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40" activeTab="2"/>
  </bookViews>
  <sheets>
    <sheet name="FA" sheetId="4" r:id="rId1"/>
    <sheet name="资产分摊表" sheetId="9" r:id="rId2"/>
    <sheet name="预算书-初步" sheetId="6" r:id="rId3"/>
    <sheet name="预算书-找差异" sheetId="11" r:id="rId4"/>
    <sheet name="其他" sheetId="8" state="hidden" r:id="rId5"/>
    <sheet name="描述信息参考页" sheetId="10" state="hidden" r:id="rId6"/>
  </sheets>
  <externalReferences>
    <externalReference r:id="rId8"/>
  </externalReferences>
  <definedNames>
    <definedName name="_xlnm._FilterDatabase" localSheetId="1" hidden="1">资产分摊表!$A$4:$IT$1245</definedName>
    <definedName name="_xlnm._FilterDatabase" localSheetId="2" hidden="1">'预算书-初步'!$A$12:$IR$2541</definedName>
    <definedName name="_xlnm._FilterDatabase" localSheetId="3" hidden="1">'预算书-找差异'!$A$12:$IP$2541</definedName>
    <definedName name="_xlnm._FilterDatabase" localSheetId="0" hidden="1">FA!#REF!</definedName>
    <definedName name="Account" localSheetId="1">#REF!</definedName>
    <definedName name="Account">#REF!</definedName>
    <definedName name="Accountno" localSheetId="1">#REF!</definedName>
    <definedName name="Accountno">#REF!</definedName>
    <definedName name="Catcode" localSheetId="1">#REF!</definedName>
    <definedName name="Catcode">#REF!</definedName>
    <definedName name="CodeT1" localSheetId="1">#REF!</definedName>
    <definedName name="CodeT1">#REF!</definedName>
    <definedName name="CodeT2" localSheetId="1">#REF!</definedName>
    <definedName name="CodeT2">#REF!</definedName>
    <definedName name="CodeT3" localSheetId="1">#REF!</definedName>
    <definedName name="CodeT3">#REF!</definedName>
    <definedName name="FADesc" localSheetId="1">#REF!</definedName>
    <definedName name="FADesc">#REF!</definedName>
    <definedName name="Leaseterm" localSheetId="1">#REF!</definedName>
    <definedName name="Leaseterm">#REF!</definedName>
    <definedName name="lkpOrderID" localSheetId="1">'[1]OrderName Data'!$A$2:$A$5000</definedName>
    <definedName name="lkpOrderID">'[1]OrderName Data'!$A$2:$A$5000</definedName>
    <definedName name="_xlnm.Print_Area" localSheetId="2">'预算书-初步'!#REF!</definedName>
    <definedName name="TotFAInputAmt" localSheetId="1">资产分摊表!$U$3</definedName>
    <definedName name="TotFAInvAmt" localSheetId="1">资产分摊表!$K$3</definedName>
    <definedName name="vrDateEntryFormat" localSheetId="1">[1]Configuration!$C$8</definedName>
    <definedName name="vrDateEntryFormat">[1]Configuration!$C$8</definedName>
    <definedName name="vrDialogTitle" localSheetId="1">[1]Parameters!$C$19</definedName>
    <definedName name="vrDialogTitle">[1]Parameters!$C$19</definedName>
    <definedName name="vrPaymentType" localSheetId="1">[1]Configuration!$C$5</definedName>
    <definedName name="vrPaymentType">[1]Configuration!$C$5</definedName>
    <definedName name="_xlnm.Print_Area" localSheetId="3">'预算书-找差异'!#REF!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Microsoft Office User</author>
    <author>Vinda Yinghui Zhou</author>
  </authors>
  <commentList>
    <comment ref="F4" authorId="0">
      <text>
        <r>
          <rPr>
            <sz val="9"/>
            <rFont val="SimSun"/>
            <charset val="134"/>
          </rPr>
          <t xml:space="preserve">定额发票输入方法：如发票号1005001到1005010，输入：1005001-10
</t>
        </r>
      </text>
    </comment>
    <comment ref="I4" authorId="0">
      <text>
        <r>
          <rPr>
            <sz val="9"/>
            <rFont val="SimSun"/>
            <charset val="134"/>
          </rPr>
          <t xml:space="preserve">输入方法：发票日期为2010年4月1日时输入：040110
</t>
        </r>
      </text>
    </comment>
    <comment ref="Q4" authorId="0">
      <text>
        <r>
          <rPr>
            <sz val="9"/>
            <rFont val="SimSun"/>
            <charset val="134"/>
          </rPr>
          <t xml:space="preserve">FA Category：
详细定义见右边worksheet“FA Category”
</t>
        </r>
      </text>
    </comment>
    <comment ref="U4" authorId="0">
      <text>
        <r>
          <rPr>
            <sz val="9"/>
            <rFont val="SimSun"/>
            <charset val="134"/>
          </rPr>
          <t>注意:如果增值税专用发票，税金应单独一行与资产分开列示</t>
        </r>
      </text>
    </comment>
    <comment ref="V4" authorId="0">
      <text>
        <r>
          <rPr>
            <sz val="9"/>
            <rFont val="SimSun"/>
            <charset val="134"/>
          </rPr>
          <t>Project ID：
详细定义见右边worksheet“Project ID in use”</t>
        </r>
      </text>
    </comment>
    <comment ref="Y4" authorId="0">
      <text>
        <r>
          <rPr>
            <b/>
            <sz val="9"/>
            <rFont val="SimSun"/>
            <charset val="134"/>
          </rPr>
          <t>不超14个汉字。</t>
        </r>
      </text>
    </comment>
    <comment ref="AA4" authorId="0">
      <text>
        <r>
          <rPr>
            <sz val="9"/>
            <rFont val="SimSun"/>
            <charset val="134"/>
          </rPr>
          <t xml:space="preserve">设备更换请选R，设备新增空白不用选。
</t>
        </r>
      </text>
    </comment>
    <comment ref="AK4" authorId="0">
      <text>
        <r>
          <rPr>
            <b/>
            <sz val="10"/>
            <rFont val="SimSun"/>
            <charset val="134"/>
          </rPr>
          <t>请输入该麦当劳业务确认人的EID号码</t>
        </r>
        <r>
          <rPr>
            <sz val="10"/>
            <rFont val="SimSun"/>
            <charset val="134"/>
          </rPr>
          <t xml:space="preserve">
</t>
        </r>
      </text>
    </comment>
    <comment ref="A64" authorId="0">
      <text>
        <r>
          <rPr>
            <b/>
            <sz val="9"/>
            <rFont val="SimSun"/>
            <charset val="134"/>
          </rPr>
          <t>Author:</t>
        </r>
        <r>
          <rPr>
            <sz val="9"/>
            <rFont val="SimSun"/>
            <charset val="134"/>
          </rPr>
          <t xml:space="preserve">
实际FacodeW59，改行真实Facode是2910-2950（真实的Facode所对应的PMT是1160）</t>
        </r>
      </text>
    </comment>
    <comment ref="Q153" authorId="1">
      <text>
        <r>
          <rPr>
            <b/>
            <sz val="10"/>
            <rFont val="Calibri"/>
            <charset val="134"/>
          </rPr>
          <t>Microsoft Office User:</t>
        </r>
        <r>
          <rPr>
            <sz val="10"/>
            <rFont val="Calibri"/>
            <charset val="134"/>
          </rPr>
          <t xml:space="preserve">
</t>
        </r>
      </text>
    </comment>
    <comment ref="U229" authorId="2">
      <text>
        <r>
          <rPr>
            <b/>
            <sz val="9"/>
            <rFont val="Tahoma"/>
            <charset val="134"/>
          </rPr>
          <t>Vinda Yinghui Zhou:</t>
        </r>
        <r>
          <rPr>
            <sz val="9"/>
            <rFont val="Tahoma"/>
            <charset val="134"/>
          </rPr>
          <t xml:space="preserve">
</t>
        </r>
      </text>
    </comment>
    <comment ref="A243" authorId="0">
      <text>
        <r>
          <rPr>
            <b/>
            <sz val="9"/>
            <rFont val="SimSun"/>
            <charset val="134"/>
          </rPr>
          <t>Author:</t>
        </r>
        <r>
          <rPr>
            <sz val="9"/>
            <rFont val="SimSun"/>
            <charset val="134"/>
          </rPr>
          <t xml:space="preserve">
实际FacodeW59，改行真实Facode是2910-2950（真实的Facode所对应的PMT是1160）</t>
        </r>
      </text>
    </comment>
    <comment ref="U406" authorId="2">
      <text>
        <r>
          <rPr>
            <b/>
            <sz val="9"/>
            <rFont val="Tahoma"/>
            <charset val="134"/>
          </rPr>
          <t>Vinda Yinghui Zhou:</t>
        </r>
        <r>
          <rPr>
            <sz val="9"/>
            <rFont val="Tahoma"/>
            <charset val="134"/>
          </rPr>
          <t xml:space="preserve">
</t>
        </r>
      </text>
    </comment>
    <comment ref="A420" authorId="0">
      <text>
        <r>
          <rPr>
            <b/>
            <sz val="9"/>
            <rFont val="SimSun"/>
            <charset val="134"/>
          </rPr>
          <t>Author:</t>
        </r>
        <r>
          <rPr>
            <sz val="9"/>
            <rFont val="SimSun"/>
            <charset val="134"/>
          </rPr>
          <t xml:space="preserve">
实际FacodeW59，改行真实Facode是2910-2950（真实的Facode所对应的PMT是1160）</t>
        </r>
      </text>
    </comment>
    <comment ref="U583" authorId="2">
      <text>
        <r>
          <rPr>
            <b/>
            <sz val="9"/>
            <rFont val="Tahoma"/>
            <charset val="134"/>
          </rPr>
          <t>Vinda Yinghui Zhou:</t>
        </r>
        <r>
          <rPr>
            <sz val="9"/>
            <rFont val="Tahoma"/>
            <charset val="134"/>
          </rPr>
          <t xml:space="preserve">
</t>
        </r>
      </text>
    </comment>
    <comment ref="A597" authorId="0">
      <text>
        <r>
          <rPr>
            <b/>
            <sz val="9"/>
            <rFont val="SimSun"/>
            <charset val="134"/>
          </rPr>
          <t>Author:</t>
        </r>
        <r>
          <rPr>
            <sz val="9"/>
            <rFont val="SimSun"/>
            <charset val="134"/>
          </rPr>
          <t xml:space="preserve">
实际FacodeW59，改行真实Facode是2910-2950（真实的Facode所对应的PMT是1160）</t>
        </r>
      </text>
    </comment>
    <comment ref="U760" authorId="2">
      <text>
        <r>
          <rPr>
            <b/>
            <sz val="9"/>
            <rFont val="Tahoma"/>
            <charset val="134"/>
          </rPr>
          <t>Vinda Yinghui Zhou:</t>
        </r>
        <r>
          <rPr>
            <sz val="9"/>
            <rFont val="Tahoma"/>
            <charset val="134"/>
          </rPr>
          <t xml:space="preserve">
</t>
        </r>
      </text>
    </comment>
    <comment ref="A774" authorId="0">
      <text>
        <r>
          <rPr>
            <b/>
            <sz val="9"/>
            <rFont val="SimSun"/>
            <charset val="134"/>
          </rPr>
          <t>Author:</t>
        </r>
        <r>
          <rPr>
            <sz val="9"/>
            <rFont val="SimSun"/>
            <charset val="134"/>
          </rPr>
          <t xml:space="preserve">
实际FacodeW59，改行真实Facode是2910-2950（真实的Facode所对应的PMT是1160）</t>
        </r>
      </text>
    </comment>
    <comment ref="U937" authorId="2">
      <text>
        <r>
          <rPr>
            <b/>
            <sz val="9"/>
            <rFont val="Tahoma"/>
            <charset val="134"/>
          </rPr>
          <t>Vinda Yinghui Zhou:</t>
        </r>
        <r>
          <rPr>
            <sz val="9"/>
            <rFont val="Tahoma"/>
            <charset val="134"/>
          </rPr>
          <t xml:space="preserve">
</t>
        </r>
      </text>
    </comment>
    <comment ref="A951" authorId="0">
      <text>
        <r>
          <rPr>
            <b/>
            <sz val="9"/>
            <rFont val="SimSun"/>
            <charset val="134"/>
          </rPr>
          <t>Author:</t>
        </r>
        <r>
          <rPr>
            <sz val="9"/>
            <rFont val="SimSun"/>
            <charset val="134"/>
          </rPr>
          <t xml:space="preserve">
实际FacodeW59，改行真实Facode是2910-2950（真实的Facode所对应的PMT是1160）</t>
        </r>
      </text>
    </comment>
    <comment ref="Q990" authorId="1">
      <text>
        <r>
          <rPr>
            <b/>
            <sz val="10"/>
            <rFont val="Calibri"/>
            <charset val="134"/>
          </rPr>
          <t>Microsoft Office User:</t>
        </r>
        <r>
          <rPr>
            <sz val="10"/>
            <rFont val="Calibri"/>
            <charset val="134"/>
          </rPr>
          <t xml:space="preserve">
</t>
        </r>
      </text>
    </comment>
    <comment ref="U1114" authorId="2">
      <text>
        <r>
          <rPr>
            <b/>
            <sz val="9"/>
            <rFont val="Tahoma"/>
            <charset val="134"/>
          </rPr>
          <t>Vinda Yinghui Zhou:</t>
        </r>
        <r>
          <rPr>
            <sz val="9"/>
            <rFont val="Tahoma"/>
            <charset val="134"/>
          </rPr>
          <t xml:space="preserve">
</t>
        </r>
      </text>
    </comment>
    <comment ref="A1128" authorId="0">
      <text>
        <r>
          <rPr>
            <b/>
            <sz val="9"/>
            <rFont val="SimSun"/>
            <charset val="134"/>
          </rPr>
          <t>Author:</t>
        </r>
        <r>
          <rPr>
            <sz val="9"/>
            <rFont val="SimSun"/>
            <charset val="134"/>
          </rPr>
          <t xml:space="preserve">
实际FacodeW59，改行真实Facode是2910-2950（真实的Facode所对应的PMT是1160）</t>
        </r>
      </text>
    </comment>
  </commentList>
</comments>
</file>

<file path=xl/comments2.xml><?xml version="1.0" encoding="utf-8"?>
<comments xmlns="http://schemas.openxmlformats.org/spreadsheetml/2006/main">
  <authors>
    <author>Author</author>
    <author>Microsoft Office User</author>
  </authors>
  <commentList>
    <comment ref="A1" authorId="0">
      <text>
        <r>
          <rPr>
            <sz val="9"/>
            <rFont val="SimSun"/>
            <charset val="134"/>
          </rPr>
          <t xml:space="preserve">FA Category：
详细定义见右边worksheet“FA Category”
</t>
        </r>
      </text>
    </comment>
    <comment ref="B1" authorId="0">
      <text>
        <r>
          <rPr>
            <b/>
            <sz val="9"/>
            <rFont val="SimSun"/>
            <charset val="134"/>
          </rPr>
          <t>不超14个汉字。</t>
        </r>
      </text>
    </comment>
    <comment ref="A271" authorId="1">
      <text>
        <r>
          <rPr>
            <b/>
            <sz val="10"/>
            <rFont val="Calibri"/>
            <charset val="134"/>
          </rPr>
          <t>Microsoft Office User:</t>
        </r>
        <r>
          <rPr>
            <sz val="10"/>
            <rFont val="Calibri"/>
            <charset val="134"/>
          </rPr>
          <t xml:space="preserve">
</t>
        </r>
      </text>
    </comment>
    <comment ref="A272" authorId="1">
      <text>
        <r>
          <rPr>
            <b/>
            <sz val="10"/>
            <rFont val="Calibri"/>
            <charset val="134"/>
          </rPr>
          <t>Microsoft Office User:</t>
        </r>
        <r>
          <rPr>
            <sz val="10"/>
            <rFont val="Calibri"/>
            <charset val="134"/>
          </rPr>
          <t xml:space="preserve">
</t>
        </r>
      </text>
    </comment>
    <comment ref="A273" authorId="1">
      <text>
        <r>
          <rPr>
            <b/>
            <sz val="10"/>
            <rFont val="Calibri"/>
            <charset val="134"/>
          </rPr>
          <t>Microsoft Office User:</t>
        </r>
        <r>
          <rPr>
            <sz val="10"/>
            <rFont val="Calibri"/>
            <charset val="134"/>
          </rPr>
          <t xml:space="preserve">
</t>
        </r>
      </text>
    </comment>
    <comment ref="A274" authorId="1">
      <text>
        <r>
          <rPr>
            <b/>
            <sz val="10"/>
            <rFont val="Calibri"/>
            <charset val="134"/>
          </rPr>
          <t>Microsoft Office User:</t>
        </r>
        <r>
          <rPr>
            <sz val="10"/>
            <rFont val="Calibri"/>
            <charset val="134"/>
          </rPr>
          <t xml:space="preserve">
</t>
        </r>
      </text>
    </comment>
    <comment ref="A275" authorId="1">
      <text>
        <r>
          <rPr>
            <b/>
            <sz val="10"/>
            <rFont val="Calibri"/>
            <charset val="134"/>
          </rPr>
          <t>Microsoft Office User:</t>
        </r>
        <r>
          <rPr>
            <sz val="10"/>
            <rFont val="Calibri"/>
            <charset val="134"/>
          </rPr>
          <t xml:space="preserve">
</t>
        </r>
      </text>
    </comment>
    <comment ref="A276" authorId="1">
      <text>
        <r>
          <rPr>
            <b/>
            <sz val="10"/>
            <rFont val="Calibri"/>
            <charset val="134"/>
          </rPr>
          <t>Microsoft Office User:</t>
        </r>
        <r>
          <rPr>
            <sz val="10"/>
            <rFont val="Calibri"/>
            <charset val="134"/>
          </rPr>
          <t xml:space="preserve">
</t>
        </r>
      </text>
    </comment>
    <comment ref="A277" authorId="1">
      <text>
        <r>
          <rPr>
            <b/>
            <sz val="10"/>
            <rFont val="Calibri"/>
            <charset val="134"/>
          </rPr>
          <t>Microsoft Office User:</t>
        </r>
        <r>
          <rPr>
            <sz val="10"/>
            <rFont val="Calibri"/>
            <charset val="134"/>
          </rPr>
          <t xml:space="preserve">
</t>
        </r>
      </text>
    </comment>
    <comment ref="A278" authorId="1">
      <text>
        <r>
          <rPr>
            <b/>
            <sz val="10"/>
            <rFont val="Calibri"/>
            <charset val="134"/>
          </rPr>
          <t>Microsoft Office User:</t>
        </r>
        <r>
          <rPr>
            <sz val="10"/>
            <rFont val="Calibri"/>
            <charset val="134"/>
          </rPr>
          <t xml:space="preserve">
</t>
        </r>
      </text>
    </comment>
    <comment ref="A279" authorId="1">
      <text>
        <r>
          <rPr>
            <b/>
            <sz val="10"/>
            <rFont val="Calibri"/>
            <charset val="134"/>
          </rPr>
          <t>Microsoft Office User:</t>
        </r>
        <r>
          <rPr>
            <sz val="10"/>
            <rFont val="Calibri"/>
            <charset val="134"/>
          </rPr>
          <t xml:space="preserve">
</t>
        </r>
      </text>
    </comment>
    <comment ref="A280" authorId="1">
      <text>
        <r>
          <rPr>
            <b/>
            <sz val="10"/>
            <rFont val="Calibri"/>
            <charset val="134"/>
          </rPr>
          <t>Microsoft Office User:</t>
        </r>
        <r>
          <rPr>
            <sz val="10"/>
            <rFont val="Calibri"/>
            <charset val="134"/>
          </rPr>
          <t xml:space="preserve">
</t>
        </r>
      </text>
    </comment>
    <comment ref="A281" authorId="1">
      <text>
        <r>
          <rPr>
            <b/>
            <sz val="10"/>
            <rFont val="Calibri"/>
            <charset val="134"/>
          </rPr>
          <t>Microsoft Office User:</t>
        </r>
        <r>
          <rPr>
            <sz val="10"/>
            <rFont val="Calibri"/>
            <charset val="134"/>
          </rPr>
          <t xml:space="preserve">
</t>
        </r>
      </text>
    </comment>
    <comment ref="A282" authorId="1">
      <text>
        <r>
          <rPr>
            <b/>
            <sz val="10"/>
            <rFont val="Calibri"/>
            <charset val="134"/>
          </rPr>
          <t>Microsoft Office User:</t>
        </r>
        <r>
          <rPr>
            <sz val="10"/>
            <rFont val="Calibri"/>
            <charset val="134"/>
          </rPr>
          <t xml:space="preserve">
</t>
        </r>
      </text>
    </comment>
    <comment ref="A283" authorId="1">
      <text>
        <r>
          <rPr>
            <b/>
            <sz val="10"/>
            <rFont val="Calibri"/>
            <charset val="134"/>
          </rPr>
          <t>Microsoft Office User:</t>
        </r>
        <r>
          <rPr>
            <sz val="10"/>
            <rFont val="Calibri"/>
            <charset val="134"/>
          </rPr>
          <t xml:space="preserve">
</t>
        </r>
      </text>
    </comment>
    <comment ref="A284" authorId="1">
      <text>
        <r>
          <rPr>
            <b/>
            <sz val="10"/>
            <rFont val="Calibri"/>
            <charset val="134"/>
          </rPr>
          <t>Microsoft Office User:</t>
        </r>
        <r>
          <rPr>
            <sz val="10"/>
            <rFont val="Calibri"/>
            <charset val="134"/>
          </rPr>
          <t xml:space="preserve">
</t>
        </r>
      </text>
    </comment>
    <comment ref="A285" authorId="1">
      <text>
        <r>
          <rPr>
            <b/>
            <sz val="10"/>
            <rFont val="Calibri"/>
            <charset val="134"/>
          </rPr>
          <t>Microsoft Office User:</t>
        </r>
        <r>
          <rPr>
            <sz val="10"/>
            <rFont val="Calibri"/>
            <charset val="134"/>
          </rPr>
          <t xml:space="preserve">
</t>
        </r>
      </text>
    </comment>
    <comment ref="A286" authorId="1">
      <text>
        <r>
          <rPr>
            <b/>
            <sz val="10"/>
            <rFont val="Calibri"/>
            <charset val="134"/>
          </rPr>
          <t>Microsoft Office User:</t>
        </r>
        <r>
          <rPr>
            <sz val="10"/>
            <rFont val="Calibri"/>
            <charset val="134"/>
          </rPr>
          <t xml:space="preserve">
</t>
        </r>
      </text>
    </comment>
    <comment ref="A287" authorId="1">
      <text>
        <r>
          <rPr>
            <b/>
            <sz val="10"/>
            <rFont val="Calibri"/>
            <charset val="134"/>
          </rPr>
          <t>Microsoft Office User:</t>
        </r>
        <r>
          <rPr>
            <sz val="10"/>
            <rFont val="Calibri"/>
            <charset val="134"/>
          </rPr>
          <t xml:space="preserve">
</t>
        </r>
      </text>
    </comment>
    <comment ref="A288" authorId="1">
      <text>
        <r>
          <rPr>
            <b/>
            <sz val="10"/>
            <rFont val="Calibri"/>
            <charset val="134"/>
          </rPr>
          <t>Microsoft Office User:</t>
        </r>
        <r>
          <rPr>
            <sz val="10"/>
            <rFont val="Calibri"/>
            <charset val="134"/>
          </rPr>
          <t xml:space="preserve">
</t>
        </r>
      </text>
    </comment>
    <comment ref="A289" authorId="1">
      <text>
        <r>
          <rPr>
            <b/>
            <sz val="10"/>
            <rFont val="Calibri"/>
            <charset val="134"/>
          </rPr>
          <t>Microsoft Office User:</t>
        </r>
        <r>
          <rPr>
            <sz val="10"/>
            <rFont val="Calibri"/>
            <charset val="134"/>
          </rPr>
          <t xml:space="preserve">
</t>
        </r>
      </text>
    </comment>
    <comment ref="A290" authorId="1">
      <text>
        <r>
          <rPr>
            <b/>
            <sz val="10"/>
            <rFont val="Calibri"/>
            <charset val="134"/>
          </rPr>
          <t>Microsoft Office User:</t>
        </r>
        <r>
          <rPr>
            <sz val="10"/>
            <rFont val="Calibri"/>
            <charset val="134"/>
          </rPr>
          <t xml:space="preserve">
</t>
        </r>
      </text>
    </comment>
    <comment ref="A291" authorId="1">
      <text>
        <r>
          <rPr>
            <b/>
            <sz val="10"/>
            <rFont val="Calibri"/>
            <charset val="134"/>
          </rPr>
          <t>Microsoft Office User:</t>
        </r>
        <r>
          <rPr>
            <sz val="10"/>
            <rFont val="Calibri"/>
            <charset val="134"/>
          </rPr>
          <t xml:space="preserve">
</t>
        </r>
      </text>
    </comment>
    <comment ref="A292" authorId="1">
      <text>
        <r>
          <rPr>
            <b/>
            <sz val="10"/>
            <rFont val="Calibri"/>
            <charset val="134"/>
          </rPr>
          <t>Microsoft Office User:</t>
        </r>
        <r>
          <rPr>
            <sz val="10"/>
            <rFont val="Calibri"/>
            <charset val="134"/>
          </rPr>
          <t xml:space="preserve">
</t>
        </r>
      </text>
    </comment>
    <comment ref="A293" authorId="1">
      <text>
        <r>
          <rPr>
            <b/>
            <sz val="10"/>
            <rFont val="Calibri"/>
            <charset val="134"/>
          </rPr>
          <t>Microsoft Office User:</t>
        </r>
        <r>
          <rPr>
            <sz val="10"/>
            <rFont val="Calibri"/>
            <charset val="134"/>
          </rPr>
          <t xml:space="preserve">
</t>
        </r>
      </text>
    </comment>
    <comment ref="A294" authorId="1">
      <text>
        <r>
          <rPr>
            <b/>
            <sz val="10"/>
            <rFont val="Calibri"/>
            <charset val="134"/>
          </rPr>
          <t>Microsoft Office User:</t>
        </r>
        <r>
          <rPr>
            <sz val="10"/>
            <rFont val="Calibri"/>
            <charset val="134"/>
          </rPr>
          <t xml:space="preserve">
</t>
        </r>
      </text>
    </comment>
    <comment ref="A295" authorId="1">
      <text>
        <r>
          <rPr>
            <b/>
            <sz val="10"/>
            <rFont val="Calibri"/>
            <charset val="134"/>
          </rPr>
          <t>Microsoft Office User:</t>
        </r>
        <r>
          <rPr>
            <sz val="10"/>
            <rFont val="Calibri"/>
            <charset val="134"/>
          </rPr>
          <t xml:space="preserve">
</t>
        </r>
      </text>
    </comment>
    <comment ref="A296" authorId="1">
      <text>
        <r>
          <rPr>
            <b/>
            <sz val="10"/>
            <rFont val="Calibri"/>
            <charset val="134"/>
          </rPr>
          <t>Microsoft Office User:</t>
        </r>
        <r>
          <rPr>
            <sz val="10"/>
            <rFont val="Calibri"/>
            <charset val="134"/>
          </rPr>
          <t xml:space="preserve">
</t>
        </r>
      </text>
    </comment>
    <comment ref="A297" authorId="1">
      <text>
        <r>
          <rPr>
            <b/>
            <sz val="10"/>
            <rFont val="Calibri"/>
            <charset val="134"/>
          </rPr>
          <t>Microsoft Office User:</t>
        </r>
        <r>
          <rPr>
            <sz val="10"/>
            <rFont val="Calibri"/>
            <charset val="134"/>
          </rPr>
          <t xml:space="preserve">
</t>
        </r>
      </text>
    </comment>
  </commentList>
</comments>
</file>

<file path=xl/sharedStrings.xml><?xml version="1.0" encoding="utf-8"?>
<sst xmlns="http://schemas.openxmlformats.org/spreadsheetml/2006/main" count="61406" uniqueCount="3559">
  <si>
    <t>麦当劳(中国)工程预算书 - 投标报价 FA Tool (IN RMB)    V20250409</t>
  </si>
  <si>
    <r>
      <rPr>
        <b/>
        <sz val="16"/>
        <color indexed="10"/>
        <rFont val="宋体"/>
        <charset val="134"/>
      </rPr>
      <t>注意：</t>
    </r>
    <r>
      <rPr>
        <b/>
        <sz val="16"/>
        <color indexed="10"/>
        <rFont val="Tahoma"/>
        <charset val="134"/>
      </rPr>
      <t xml:space="preserve"> </t>
    </r>
    <r>
      <rPr>
        <b/>
        <sz val="16"/>
        <color indexed="10"/>
        <rFont val="宋体"/>
        <charset val="134"/>
      </rPr>
      <t>该</t>
    </r>
    <r>
      <rPr>
        <b/>
        <sz val="16"/>
        <color indexed="10"/>
        <rFont val="Tahoma"/>
        <charset val="134"/>
      </rPr>
      <t>“</t>
    </r>
    <r>
      <rPr>
        <b/>
        <sz val="16"/>
        <color indexed="10"/>
        <rFont val="宋体"/>
        <charset val="134"/>
      </rPr>
      <t>投标报价</t>
    </r>
    <r>
      <rPr>
        <b/>
        <sz val="16"/>
        <color indexed="10"/>
        <rFont val="Tahoma"/>
        <charset val="134"/>
      </rPr>
      <t xml:space="preserve"> FA Tool”</t>
    </r>
    <r>
      <rPr>
        <b/>
        <sz val="16"/>
        <color indexed="10"/>
        <rFont val="宋体"/>
        <charset val="134"/>
      </rPr>
      <t>的格式不得进行改动</t>
    </r>
  </si>
  <si>
    <t>总价（不含税）</t>
  </si>
  <si>
    <t>总价（含增值税）</t>
  </si>
  <si>
    <t>区域</t>
  </si>
  <si>
    <r>
      <rPr>
        <sz val="9"/>
        <rFont val="宋体"/>
        <charset val="134"/>
      </rPr>
      <t>麦当劳项目经理</t>
    </r>
  </si>
  <si>
    <t>市场/城市</t>
  </si>
  <si>
    <r>
      <rPr>
        <b/>
        <sz val="9"/>
        <rFont val="宋体"/>
        <charset val="134"/>
      </rPr>
      <t>餐厅类型</t>
    </r>
  </si>
  <si>
    <t>餐厅名称</t>
  </si>
  <si>
    <t>招标方式</t>
  </si>
  <si>
    <t>面积</t>
  </si>
  <si>
    <t>中标单价选用</t>
  </si>
  <si>
    <t>座位数</t>
  </si>
  <si>
    <t>异地施工上浮系数</t>
  </si>
  <si>
    <t>FA TOOL</t>
  </si>
  <si>
    <t>ASSET CODE</t>
  </si>
  <si>
    <t>PMTCode</t>
  </si>
  <si>
    <t>LEVEL</t>
  </si>
  <si>
    <t>DESCRIPTION</t>
  </si>
  <si>
    <t>Total</t>
  </si>
  <si>
    <t>Main Store</t>
  </si>
  <si>
    <t>Remote Kiosk</t>
  </si>
  <si>
    <t>Attached Kiosk</t>
  </si>
  <si>
    <t>McCafe</t>
  </si>
  <si>
    <t>MDS</t>
  </si>
  <si>
    <t>Hot Kiosk</t>
  </si>
  <si>
    <t>Dessert bar</t>
  </si>
  <si>
    <t>A</t>
  </si>
  <si>
    <t>LHI - REAL ESTATE COSTS (承租物业改造费用-地产费用)</t>
  </si>
  <si>
    <t>Real Estate Costs</t>
  </si>
  <si>
    <t>Land 土地</t>
  </si>
  <si>
    <t>Building 房产建筑</t>
  </si>
  <si>
    <t>基础 仅适用于DT</t>
  </si>
  <si>
    <t>主体建筑(仅适用于DT)</t>
  </si>
  <si>
    <t>外立面(仅适用于DT)</t>
  </si>
  <si>
    <t>Lease Right 房产使用权</t>
  </si>
  <si>
    <t>Key Money 启动费</t>
  </si>
  <si>
    <t>Landlord Compensation 业主补偿金</t>
  </si>
  <si>
    <t>PO Rent 开业前租金</t>
  </si>
  <si>
    <t>Other R/E Costs 其他地产费用</t>
  </si>
  <si>
    <t>Location Fee</t>
  </si>
  <si>
    <t>Capitalized Internal Cost (G&amp;A) 资本化管理费用</t>
  </si>
  <si>
    <t>Capitalized Interest Cost 利息资本化-餐厅开业前租金</t>
  </si>
  <si>
    <t>B</t>
  </si>
  <si>
    <t>LEASEHOLD IMPROVEMENT COST (L.H.I.)  (承租物业改造费用)(Cons.)</t>
  </si>
  <si>
    <t>Architect/Engineering/structure fees(建筑/机电/结构-设计费)</t>
  </si>
  <si>
    <t>Consultation design of Architect/M &amp; E Engineering 建筑/机电设计费</t>
  </si>
  <si>
    <t>1.1.1</t>
  </si>
  <si>
    <t>Local Design 本地设计费</t>
  </si>
  <si>
    <t>1.1.2</t>
  </si>
  <si>
    <r>
      <rPr>
        <sz val="10"/>
        <rFont val="微软雅黑"/>
        <charset val="134"/>
      </rPr>
      <t xml:space="preserve">APMEA CHARGEBACK </t>
    </r>
    <r>
      <rPr>
        <sz val="10"/>
        <color indexed="8"/>
        <rFont val="微软雅黑"/>
        <charset val="134"/>
      </rPr>
      <t>亚太设计费</t>
    </r>
  </si>
  <si>
    <t>Consultation design of structure reinforcement 结构加固设计费</t>
  </si>
  <si>
    <t>Submission Fees (图纸审批费)</t>
  </si>
  <si>
    <t>Survey /test fees (测量/检测费)</t>
  </si>
  <si>
    <t>As-builds survey of existing building(埸地勘察费)</t>
  </si>
  <si>
    <t>Required test( i.e .water quality)(检测费用)(地质,水质等)</t>
  </si>
  <si>
    <t>Permits/utility fees(许可证/公用事业费)</t>
  </si>
  <si>
    <t>Electrical services 用电费用</t>
  </si>
  <si>
    <t>3.1.1</t>
  </si>
  <si>
    <t>Payment to landlord for electrical supply 付给业主的供电工程费</t>
  </si>
  <si>
    <t>3.1.2</t>
  </si>
  <si>
    <t>Construction cost of sub-station/transforming room 配电房工程费</t>
  </si>
  <si>
    <t>3.1.3</t>
  </si>
  <si>
    <t>Fee to increase capacity 电增容费</t>
  </si>
  <si>
    <t>3.1.4</t>
  </si>
  <si>
    <t>Construction cost to bright electricity to store 红线电缆接线费</t>
  </si>
  <si>
    <t>Sewer and water conneciton fees 给水,排水 接驳费</t>
  </si>
  <si>
    <t>Gas services 煤气装置</t>
  </si>
  <si>
    <t>Public heating service 公共暖气装置</t>
  </si>
  <si>
    <t>Telephone services 电话系统</t>
  </si>
  <si>
    <t>Other permits application fee 其他许可证申请费,含招标费/环评费等</t>
  </si>
  <si>
    <t>1037</t>
  </si>
  <si>
    <t>Demolition cost 拆除费用</t>
  </si>
  <si>
    <t>1038</t>
  </si>
  <si>
    <t>Structure demolition 埸地清拆</t>
  </si>
  <si>
    <t>1039</t>
  </si>
  <si>
    <t>Hoarding 围墙板</t>
  </si>
  <si>
    <t>1040</t>
  </si>
  <si>
    <t>Temporary security 临时安全设置</t>
  </si>
  <si>
    <t>1041</t>
  </si>
  <si>
    <t>Site development cost 埸地发展费</t>
  </si>
  <si>
    <t>1042</t>
  </si>
  <si>
    <t>Site preparation 埸地准备</t>
  </si>
  <si>
    <t>1043</t>
  </si>
  <si>
    <t>Structure reinforcement 结构加固</t>
  </si>
  <si>
    <t>1044</t>
  </si>
  <si>
    <t>External building works i.e.sidewalk 物业外工程，如户外地砖，人行道等</t>
  </si>
  <si>
    <t>1531</t>
  </si>
  <si>
    <t>1045</t>
  </si>
  <si>
    <t>Curb、Driveway、Path、Parking 道路、停车场的地面和路沿石、垃圾站</t>
  </si>
  <si>
    <t>1532</t>
  </si>
  <si>
    <t>1046</t>
  </si>
  <si>
    <t>Lot Lighting 场地照明</t>
  </si>
  <si>
    <t>1533</t>
  </si>
  <si>
    <t>1047</t>
  </si>
  <si>
    <t>Drainage System 场地给排水系统</t>
  </si>
  <si>
    <t>1534</t>
  </si>
  <si>
    <t>1048</t>
  </si>
  <si>
    <t>Landscape 绿化</t>
  </si>
  <si>
    <t>1049</t>
  </si>
  <si>
    <t>Staircase Construction / Rebuild 楼梯结构新建/改造</t>
  </si>
  <si>
    <t>1050</t>
  </si>
  <si>
    <t>Building construction cost 物业施工费用</t>
  </si>
  <si>
    <t>1051</t>
  </si>
  <si>
    <t>General contract work 总承包</t>
  </si>
  <si>
    <t>1611 &amp; 1800</t>
  </si>
  <si>
    <t>1052</t>
  </si>
  <si>
    <t>6.1.1</t>
  </si>
  <si>
    <t>Interior decoration 内部装修承包</t>
  </si>
  <si>
    <t>1053</t>
  </si>
  <si>
    <t>Kitchen Decoration 厨房区装修，含经理室</t>
  </si>
  <si>
    <t>1054</t>
  </si>
  <si>
    <t>Floor finishes (for Customers' area only) 地面-就餐区</t>
  </si>
  <si>
    <t>1055</t>
  </si>
  <si>
    <t>Wall finishes (for Customers' area only) 墙面-就餐区</t>
  </si>
  <si>
    <t>1056</t>
  </si>
  <si>
    <t>Ceiling finishes (for Customers' area only) 天花-就餐区</t>
  </si>
  <si>
    <t>1057</t>
  </si>
  <si>
    <t>Façade / Storefront 外立面</t>
  </si>
  <si>
    <t>1058</t>
  </si>
  <si>
    <t>Counter 柜台</t>
  </si>
  <si>
    <t>1059</t>
  </si>
  <si>
    <t>Toilet Decoration 厕所装修-不含洁具</t>
  </si>
  <si>
    <t>1060</t>
  </si>
  <si>
    <t>Stairs Decoration 楼梯装修-不含结构</t>
  </si>
  <si>
    <t>1061</t>
  </si>
  <si>
    <t>Crew Room Decoration 员工室装修</t>
  </si>
  <si>
    <t>1062</t>
  </si>
  <si>
    <t>Doors and others 门和门套等零星装饰</t>
  </si>
  <si>
    <t>1616 &amp; 1643</t>
  </si>
  <si>
    <t>1063</t>
  </si>
  <si>
    <t>6.1.1.a</t>
  </si>
  <si>
    <t>Interior decoration-Wall and wall painting装修材料-墙体, 墙身涂料</t>
  </si>
  <si>
    <t>1064</t>
  </si>
  <si>
    <t>6.1.1.b</t>
  </si>
  <si>
    <t>Interior decoration-Wall Graphic 装修材料-墙画</t>
  </si>
  <si>
    <t>1065</t>
  </si>
  <si>
    <t>6.1.1.c</t>
  </si>
  <si>
    <t>Interior decoration-sanitary wares 装修材料-卫生间洁具</t>
  </si>
  <si>
    <t>1066</t>
  </si>
  <si>
    <t>6.1.2</t>
  </si>
  <si>
    <t>Electrical sub-contract 电承包-不包括灯具</t>
  </si>
  <si>
    <t>1067</t>
  </si>
  <si>
    <t>6.1.2.a</t>
  </si>
  <si>
    <t>Electrical Light Fixture 电承包-灯具</t>
  </si>
  <si>
    <t>1068</t>
  </si>
  <si>
    <t>Dining light fixture only 灯具-顾客就餐区-不包括装饰吊灯具</t>
  </si>
  <si>
    <t>1069</t>
  </si>
  <si>
    <t>Other light fixture only 其他灯具-包括厨房区及建筑照明</t>
  </si>
  <si>
    <t>1070</t>
  </si>
  <si>
    <t>6.1.3</t>
  </si>
  <si>
    <t>Plumbing &amp; sanitation sub-constract 给排水承包</t>
  </si>
  <si>
    <t>1614 &amp; 1615</t>
  </si>
  <si>
    <t>1071</t>
  </si>
  <si>
    <t>6.1.4</t>
  </si>
  <si>
    <t>HVAC sub-contract 空调机组安装和管道承包，不含空调设备费用</t>
  </si>
  <si>
    <t>1072</t>
  </si>
  <si>
    <t>Fire protection service 消防工程</t>
  </si>
  <si>
    <t>1073</t>
  </si>
  <si>
    <t>6.2.1</t>
  </si>
  <si>
    <t>Fire service Design and engineering 消防设计</t>
  </si>
  <si>
    <t>1074</t>
  </si>
  <si>
    <t>6.2.2</t>
  </si>
  <si>
    <t>Sprinkler/hydrant system 喷淋/消防栓系统</t>
  </si>
  <si>
    <t>1075</t>
  </si>
  <si>
    <t>6.2.3</t>
  </si>
  <si>
    <t>Smoke/heat detector system 烟感/温感系统，强排烟系统</t>
  </si>
  <si>
    <t>1076</t>
  </si>
  <si>
    <t>6.2.4</t>
  </si>
  <si>
    <t>Manual Fire Extinguisher 手动灭火设备</t>
  </si>
  <si>
    <t>1077</t>
  </si>
  <si>
    <t>Environment protection 环保工程：包括化粪池、隔油池、油烟净化器等</t>
  </si>
  <si>
    <t>1632 &amp; 1650</t>
  </si>
  <si>
    <t>1078</t>
  </si>
  <si>
    <t>Quantity survey fee &amp; Insurance 工程量测算, 工程保险</t>
  </si>
  <si>
    <t>7011</t>
  </si>
  <si>
    <t>1079</t>
  </si>
  <si>
    <t>Capitalized Interest Cost 利息资本化-餐厅建筑装修</t>
  </si>
  <si>
    <t>1080</t>
  </si>
  <si>
    <t>C</t>
  </si>
  <si>
    <t>KITCHEN EQUIPMENT,SIGNAGE SEATING,DECOR(E.S.S.D.)(厨房设备,招牌,座位,装饰)</t>
  </si>
  <si>
    <t>1081</t>
  </si>
  <si>
    <t>Signage (招牌)(Cons.)</t>
  </si>
  <si>
    <t>3711-3714</t>
  </si>
  <si>
    <t>1082</t>
  </si>
  <si>
    <t>Signage 招牌：外立面店招，侧招，方向指示牌，标牌等</t>
  </si>
  <si>
    <t>1083</t>
  </si>
  <si>
    <t>Signage-others 其他：DT场地及车道招牌，特殊招牌等</t>
  </si>
  <si>
    <t>1084</t>
  </si>
  <si>
    <t>Signage installtion 招牌安装，含杆标基础，立杆等</t>
  </si>
  <si>
    <t>3792-3794</t>
  </si>
  <si>
    <t>1085</t>
  </si>
  <si>
    <t>Freight ,delivery customs, storage etc 运输，传送，报关，贮藏等</t>
  </si>
  <si>
    <t>1086</t>
  </si>
  <si>
    <t>Equipment (设备)(EQ most)</t>
  </si>
  <si>
    <t>1087</t>
  </si>
  <si>
    <t>Fabricated Equipment 不锈钢设备制作</t>
  </si>
  <si>
    <t>1088</t>
  </si>
  <si>
    <t>8.1.1</t>
  </si>
  <si>
    <t>Customer service Counter Area 收银柜台</t>
  </si>
  <si>
    <t>8120</t>
  </si>
  <si>
    <t>1089</t>
  </si>
  <si>
    <t>8.1.2</t>
  </si>
  <si>
    <t>Central Island Area 中央岛</t>
  </si>
  <si>
    <t>8130</t>
  </si>
  <si>
    <t>1090</t>
  </si>
  <si>
    <t>8.1.3</t>
  </si>
  <si>
    <t>Grill Station Area 煎区</t>
  </si>
  <si>
    <t>8140</t>
  </si>
  <si>
    <t>1091</t>
  </si>
  <si>
    <t>8.1.4</t>
  </si>
  <si>
    <t>French Fry Area 薯条位</t>
  </si>
  <si>
    <t>8150</t>
  </si>
  <si>
    <t>1092</t>
  </si>
  <si>
    <t>8.1.5</t>
  </si>
  <si>
    <t>Filet Station Area 鱼位</t>
  </si>
  <si>
    <t>8160</t>
  </si>
  <si>
    <t>1093</t>
  </si>
  <si>
    <t>8.1.6</t>
  </si>
  <si>
    <t>Scullery Area 洗涤区</t>
  </si>
  <si>
    <t>8170</t>
  </si>
  <si>
    <t>1094</t>
  </si>
  <si>
    <t>8.1.7</t>
  </si>
  <si>
    <t>Preparation Area 调理区</t>
  </si>
  <si>
    <t>8180</t>
  </si>
  <si>
    <t>1095</t>
  </si>
  <si>
    <t>8.1.8</t>
  </si>
  <si>
    <t>Chicken Prod. Prep Area 鸡位</t>
  </si>
  <si>
    <t>8190</t>
  </si>
  <si>
    <t>1096</t>
  </si>
  <si>
    <t>8.1.9</t>
  </si>
  <si>
    <t>Cabinet/shelves 柜子/层架</t>
  </si>
  <si>
    <t>1097</t>
  </si>
  <si>
    <t>POS system 收银系统（IT）</t>
  </si>
  <si>
    <t>8210-8230</t>
  </si>
  <si>
    <t>1098</t>
  </si>
  <si>
    <t>8.2.1</t>
  </si>
  <si>
    <t>POS &amp; Printer 收银机及打印机</t>
  </si>
  <si>
    <t>1099</t>
  </si>
  <si>
    <t>8.2.2</t>
  </si>
  <si>
    <t>POS Installation 收银机安装</t>
  </si>
  <si>
    <t>8250</t>
  </si>
  <si>
    <t>1100</t>
  </si>
  <si>
    <t>8.2.3</t>
  </si>
  <si>
    <t>POS KVS/Bump Bar 产品叫制显示系统</t>
  </si>
  <si>
    <t>8260</t>
  </si>
  <si>
    <t>1101</t>
  </si>
  <si>
    <t>8.2.4</t>
  </si>
  <si>
    <t>POS HOT 手持式定单设备/SOK/Table Service/Smart Wifi</t>
  </si>
  <si>
    <t>8431-8436</t>
  </si>
  <si>
    <t>1102</t>
  </si>
  <si>
    <t>8.2.5</t>
  </si>
  <si>
    <t>Computer/UPS/Timeclock/Softwares 电脑设备/卡钟/软件等</t>
  </si>
  <si>
    <t>8270-8280</t>
  </si>
  <si>
    <t>1103</t>
  </si>
  <si>
    <t>8.2.6</t>
  </si>
  <si>
    <t>DT COD 得来速车道点餐系统</t>
  </si>
  <si>
    <t>1104</t>
  </si>
  <si>
    <t>Kitchen Equipment 厨房设备</t>
  </si>
  <si>
    <t>1105</t>
  </si>
  <si>
    <t>8.3.1</t>
  </si>
  <si>
    <t>Menu Board 柜台菜单牌/电子菜单牌 DMB</t>
  </si>
  <si>
    <t>8321</t>
  </si>
  <si>
    <t>1106</t>
  </si>
  <si>
    <t>8.3.2</t>
  </si>
  <si>
    <t>Hot Chocolate 热巧克力机</t>
  </si>
  <si>
    <t>8322</t>
  </si>
  <si>
    <t>1107</t>
  </si>
  <si>
    <t>8.3.3</t>
  </si>
  <si>
    <t>Hot Water Brewer 热水机</t>
  </si>
  <si>
    <t>8323-8324</t>
  </si>
  <si>
    <t>1108</t>
  </si>
  <si>
    <t>8.3.4</t>
  </si>
  <si>
    <t>Coffee Brewer/Refill 咖啡机/续杯壶</t>
  </si>
  <si>
    <t>8325</t>
  </si>
  <si>
    <t>1109</t>
  </si>
  <si>
    <t>8.3.5</t>
  </si>
  <si>
    <t>Ice Machine 制冰机</t>
  </si>
  <si>
    <t>8326</t>
  </si>
  <si>
    <t>1110</t>
  </si>
  <si>
    <t>8.3.6</t>
  </si>
  <si>
    <t>Cold Drinks 冷饮机</t>
  </si>
  <si>
    <t>8327</t>
  </si>
  <si>
    <t>1111</t>
  </si>
  <si>
    <t>8.3.7</t>
  </si>
  <si>
    <t>OJ Dispenser 橙汁机</t>
  </si>
  <si>
    <t>8328</t>
  </si>
  <si>
    <t>1112</t>
  </si>
  <si>
    <t>8.3.8</t>
  </si>
  <si>
    <t>Shake/Sundae 奶昔新地机</t>
  </si>
  <si>
    <t>8331</t>
  </si>
  <si>
    <t>1113</t>
  </si>
  <si>
    <t>8.3.9</t>
  </si>
  <si>
    <t>Grill 煎炉</t>
  </si>
  <si>
    <t>8332</t>
  </si>
  <si>
    <t>1114</t>
  </si>
  <si>
    <t>8.3.10</t>
  </si>
  <si>
    <t>Fryer 炸炉</t>
  </si>
  <si>
    <t>8333</t>
  </si>
  <si>
    <t>1115</t>
  </si>
  <si>
    <t>8.3.11</t>
  </si>
  <si>
    <t>Egg Cooker 蒸蛋机</t>
  </si>
  <si>
    <t>8334</t>
  </si>
  <si>
    <t>1116</t>
  </si>
  <si>
    <t>8.3.12</t>
  </si>
  <si>
    <t>Buns Streamer 蒸包机</t>
  </si>
  <si>
    <t>8335-8336</t>
  </si>
  <si>
    <t>1117</t>
  </si>
  <si>
    <t>8.3.13</t>
  </si>
  <si>
    <t>Toaster 烘包机</t>
  </si>
  <si>
    <t>8351</t>
  </si>
  <si>
    <t>1118</t>
  </si>
  <si>
    <t>8.3.14</t>
  </si>
  <si>
    <t>Cooler/Freezer 冷藏冷冻库</t>
  </si>
  <si>
    <t>8341-8343</t>
  </si>
  <si>
    <t>1119</t>
  </si>
  <si>
    <t>8.3.15</t>
  </si>
  <si>
    <t>Pie Display/UHC /Marinator 保温设备</t>
  </si>
  <si>
    <t>8344-8349</t>
  </si>
  <si>
    <t>1120</t>
  </si>
  <si>
    <t>8.3.16</t>
  </si>
  <si>
    <t>Other Cooking Equipment for McWing/Chicken etc.其他烹煮设备</t>
  </si>
  <si>
    <t>8352-8356</t>
  </si>
  <si>
    <t>1121</t>
  </si>
  <si>
    <t>8.3.17</t>
  </si>
  <si>
    <t>Refrigeration Systems 冰箱等</t>
  </si>
  <si>
    <t>8357</t>
  </si>
  <si>
    <t>1122</t>
  </si>
  <si>
    <t>8.3.18</t>
  </si>
  <si>
    <t>Water Pre-Filter 预滤水机</t>
  </si>
  <si>
    <t>8361-8362</t>
  </si>
  <si>
    <t>1123</t>
  </si>
  <si>
    <t>8.3.19</t>
  </si>
  <si>
    <t>Buyout Parts/Accessories 厨房设备零件</t>
  </si>
  <si>
    <t>1124</t>
  </si>
  <si>
    <t>8.3.20</t>
  </si>
  <si>
    <t>Kitchen equipment Installation 厨房设备安装</t>
  </si>
  <si>
    <t>8392-8394</t>
  </si>
  <si>
    <t>1125</t>
  </si>
  <si>
    <t>8.3.21</t>
  </si>
  <si>
    <t>Freight,deliveries,customs,storage etc. 运输,传送,报关,贮藏室</t>
  </si>
  <si>
    <t>8329</t>
  </si>
  <si>
    <t>1126</t>
  </si>
  <si>
    <t>8.3.22</t>
  </si>
  <si>
    <t>McFlurry 麦旋风机</t>
  </si>
  <si>
    <t>8330</t>
  </si>
  <si>
    <t>1127</t>
  </si>
  <si>
    <t>8.3.23</t>
  </si>
  <si>
    <t>Blender 麦咖啡搅拌器</t>
  </si>
  <si>
    <t>1128</t>
  </si>
  <si>
    <t>Other Equipment 其他设备</t>
  </si>
  <si>
    <t>1129</t>
  </si>
  <si>
    <t>8.4.1</t>
  </si>
  <si>
    <t>Safe 保险箱(Cons.)</t>
  </si>
  <si>
    <t>8421-8423</t>
  </si>
  <si>
    <t>1130</t>
  </si>
  <si>
    <t>8.4.2</t>
  </si>
  <si>
    <t>Sound System, TV, Telephone 音响，电视机，电话等(Cons.)</t>
  </si>
  <si>
    <t>8424</t>
  </si>
  <si>
    <t>1131</t>
  </si>
  <si>
    <t>8.4.3</t>
  </si>
  <si>
    <t>Security monitoring System 安保监控系统/ CO2报警器(Cons.)</t>
  </si>
  <si>
    <t>8426</t>
  </si>
  <si>
    <t>1132</t>
  </si>
  <si>
    <t>8.4.4</t>
  </si>
  <si>
    <t>Electrical Distribution Panel 配电柜(Cons.)</t>
  </si>
  <si>
    <t>1133</t>
  </si>
  <si>
    <t>8.4.5</t>
  </si>
  <si>
    <t>Washing Machine 洗衣机</t>
  </si>
  <si>
    <t>8437</t>
  </si>
  <si>
    <t>1134</t>
  </si>
  <si>
    <t>8.4.11</t>
  </si>
  <si>
    <t>MDS Recharger 麦乐送充电器</t>
  </si>
  <si>
    <t>8441</t>
  </si>
  <si>
    <t>1135</t>
  </si>
  <si>
    <t>8.4.12</t>
  </si>
  <si>
    <t>Dish washer 麦咖啡洗碗机</t>
  </si>
  <si>
    <t>8451-8456</t>
  </si>
  <si>
    <t>1136</t>
  </si>
  <si>
    <t>8.4.6</t>
  </si>
  <si>
    <t>Others kitchen tools 其他厨房工具/烘手机(Cons.)</t>
  </si>
  <si>
    <t>8420</t>
  </si>
  <si>
    <t>1137</t>
  </si>
  <si>
    <t>8.4.7</t>
  </si>
  <si>
    <t>Wireless speaker 无线对讲系统</t>
  </si>
  <si>
    <t>8450</t>
  </si>
  <si>
    <t>1138</t>
  </si>
  <si>
    <t>8.4.8</t>
  </si>
  <si>
    <t>Transportor 分离式厨房传送带</t>
  </si>
  <si>
    <t>8457</t>
  </si>
  <si>
    <t>1139</t>
  </si>
  <si>
    <t>8.4.9</t>
  </si>
  <si>
    <t>Elevator 升降梯</t>
  </si>
  <si>
    <t>8425</t>
  </si>
  <si>
    <t>1140</t>
  </si>
  <si>
    <t>8.4.10</t>
  </si>
  <si>
    <t>Microwave Oven 微波炉</t>
  </si>
  <si>
    <t>1149</t>
  </si>
  <si>
    <t>8.5b</t>
  </si>
  <si>
    <t>Construction materials/equipment by McD 麦当劳指定施工材料和设备</t>
  </si>
  <si>
    <t>8491</t>
  </si>
  <si>
    <t>1150</t>
  </si>
  <si>
    <t>8.5.1</t>
  </si>
  <si>
    <t>Air Conditioner 空调设备和控制系统/风幕机/新、排风机(Cons.)</t>
  </si>
  <si>
    <t>8492</t>
  </si>
  <si>
    <t>1151</t>
  </si>
  <si>
    <t>8.5.2</t>
  </si>
  <si>
    <t>Hot Water Heater 热水器(Cons.)</t>
  </si>
  <si>
    <t>8493</t>
  </si>
  <si>
    <t>1152</t>
  </si>
  <si>
    <t>8.5.3</t>
  </si>
  <si>
    <t>Grease Trap/Sink 油水分离器(Cons.)</t>
  </si>
  <si>
    <t>8494</t>
  </si>
  <si>
    <t>1153</t>
  </si>
  <si>
    <t>8.5.4</t>
  </si>
  <si>
    <t>Booster Pump 饮料系统增压泵</t>
  </si>
  <si>
    <t>8485</t>
  </si>
  <si>
    <t>1154</t>
  </si>
  <si>
    <t>8.5.5</t>
  </si>
  <si>
    <t>Kawneer Door 铝门</t>
  </si>
  <si>
    <t>8496</t>
  </si>
  <si>
    <t>1155</t>
  </si>
  <si>
    <t>8.5.6</t>
  </si>
  <si>
    <t>Kitchen Exhaust Fan 厨房抽油烟机/VDF智能排烟风机</t>
  </si>
  <si>
    <t>8497</t>
  </si>
  <si>
    <t>1156</t>
  </si>
  <si>
    <t>8.5.7</t>
  </si>
  <si>
    <t>Other Hardwares 其他五金件</t>
  </si>
  <si>
    <t>1157</t>
  </si>
  <si>
    <t>Playland/Playcorner 儿童乐园/儿童角设备(Cons.)</t>
  </si>
  <si>
    <t>1158</t>
  </si>
  <si>
    <t>Others 其他设备/折叠式换尿布平台</t>
  </si>
  <si>
    <t>1159</t>
  </si>
  <si>
    <t>Seating package 座位(Cons.)</t>
  </si>
  <si>
    <t>2910-2950</t>
  </si>
  <si>
    <t>1160</t>
  </si>
  <si>
    <t>Seating package 座位 - 室内桌椅，室内垃圾桶等</t>
  </si>
  <si>
    <t>1161</t>
  </si>
  <si>
    <t>Seating- others 其他座位 - 室外桌椅，室外垃圾桶等/员休室桌椅</t>
  </si>
  <si>
    <t>1162</t>
  </si>
  <si>
    <t>Seating installtion 座位安装</t>
  </si>
  <si>
    <t>2992-2994</t>
  </si>
  <si>
    <t>1163</t>
  </si>
  <si>
    <t>1164</t>
  </si>
  <si>
    <t>Others (Decor, fixture,sundry items) 其他：装饰品、指示牌等(Cons.)</t>
  </si>
  <si>
    <t>1165</t>
  </si>
  <si>
    <t>Decor- Ronald stands 麦当劳叔叔像</t>
  </si>
  <si>
    <t>1166</t>
  </si>
  <si>
    <t>Décor- Wall Picture 画框,挂画</t>
  </si>
  <si>
    <t>1167</t>
  </si>
  <si>
    <t>Decor- Artificial Plant 人造植物</t>
  </si>
  <si>
    <t>1168</t>
  </si>
  <si>
    <t>Decor- Window Decals 玻璃贴纸</t>
  </si>
  <si>
    <t>1169</t>
  </si>
  <si>
    <t>Decor- Ray Kroc 克罗克像</t>
  </si>
  <si>
    <t>1170</t>
  </si>
  <si>
    <t>Decor- POP Box POP盒（玩具展示柜）</t>
  </si>
  <si>
    <t>1171</t>
  </si>
  <si>
    <t>Décor Package 主题装饰（家具供应商提供的屏风、吊灯等装饰品）</t>
  </si>
  <si>
    <t>1172</t>
  </si>
  <si>
    <t>Decor- Others 其他装饰（沟通栏、布告栏等）</t>
  </si>
  <si>
    <t>1173</t>
  </si>
  <si>
    <t xml:space="preserve">Décor - Installation 装饰品- 安装 </t>
  </si>
  <si>
    <t>4992-4994</t>
  </si>
  <si>
    <t>1174</t>
  </si>
  <si>
    <t>7013</t>
  </si>
  <si>
    <t>1175</t>
  </si>
  <si>
    <t>Capitalized Interest Cost 利息资本化-餐厅设备</t>
  </si>
  <si>
    <t>1176</t>
  </si>
  <si>
    <t>TOTAL INVESTMENT</t>
  </si>
  <si>
    <t>R</t>
  </si>
  <si>
    <t>Payment Type: Vendor Master</t>
  </si>
  <si>
    <t>Ecoin</t>
  </si>
  <si>
    <t>Excel to MSIS AP with FA</t>
  </si>
  <si>
    <t>MSIS-G Voucher #</t>
  </si>
  <si>
    <t>麦当劳公司</t>
  </si>
  <si>
    <t>供应商编号</t>
  </si>
  <si>
    <t>Vendor Name</t>
  </si>
  <si>
    <t>发票号(20 Digits)</t>
  </si>
  <si>
    <t>FaPiao    Flag       (Y or N)</t>
  </si>
  <si>
    <t>Description
(30 Digits)</t>
  </si>
  <si>
    <t>发票日期（mmddyy）</t>
  </si>
  <si>
    <t>Due Date
( mmddyy)</t>
  </si>
  <si>
    <t>发票金额</t>
  </si>
  <si>
    <t>Quantity</t>
  </si>
  <si>
    <t>Unit</t>
  </si>
  <si>
    <t>Unit Price</t>
  </si>
  <si>
    <t>Total Gross Amount</t>
  </si>
  <si>
    <t>Inventory Description
(26 Digits)</t>
  </si>
  <si>
    <t>Asset Code</t>
  </si>
  <si>
    <t>含税金额</t>
  </si>
  <si>
    <t>餐厅编号</t>
  </si>
  <si>
    <t>Dept</t>
  </si>
  <si>
    <t>不含税金额</t>
  </si>
  <si>
    <t>项目</t>
  </si>
  <si>
    <t>Account</t>
  </si>
  <si>
    <t>Open Item</t>
  </si>
  <si>
    <t>工作单内容（设备名称）</t>
  </si>
  <si>
    <t>Ref1</t>
  </si>
  <si>
    <t>Ref2</t>
  </si>
  <si>
    <t>设备数量</t>
  </si>
  <si>
    <t>Book 1 Life</t>
  </si>
  <si>
    <t>Asset#</t>
  </si>
  <si>
    <t>PCC Desc</t>
  </si>
  <si>
    <t>Desc 2</t>
  </si>
  <si>
    <t>New/Used Indicator</t>
  </si>
  <si>
    <t>Book 2 Account</t>
  </si>
  <si>
    <t>Book 2 Amount</t>
  </si>
  <si>
    <t>Book 2 Life</t>
  </si>
  <si>
    <t>麦当劳联系人</t>
  </si>
  <si>
    <t>Appr. Code</t>
  </si>
  <si>
    <t>User Name</t>
  </si>
  <si>
    <t>Pre-approve</t>
  </si>
  <si>
    <t>Image Link</t>
  </si>
  <si>
    <t>Image Send</t>
  </si>
  <si>
    <t>Barcode</t>
  </si>
  <si>
    <t>增值税专用发票税率（%）</t>
  </si>
  <si>
    <t>05</t>
  </si>
  <si>
    <t>sub-Category</t>
  </si>
  <si>
    <t>餐厅类型</t>
  </si>
  <si>
    <t>房产建筑DT</t>
  </si>
  <si>
    <t>1000</t>
  </si>
  <si>
    <t>01</t>
  </si>
  <si>
    <t>主体建筑DT</t>
  </si>
  <si>
    <t>外立面DT</t>
  </si>
  <si>
    <t>检测费</t>
  </si>
  <si>
    <t>电缆工程</t>
  </si>
  <si>
    <t>供排水接驳费</t>
  </si>
  <si>
    <t xml:space="preserve"> 电话系统</t>
  </si>
  <si>
    <t>许可证申请费</t>
  </si>
  <si>
    <t>埸地清拆</t>
  </si>
  <si>
    <t>围墙板</t>
  </si>
  <si>
    <t>埸地准备</t>
  </si>
  <si>
    <t xml:space="preserve"> 结构加固</t>
  </si>
  <si>
    <t>物业外工程</t>
  </si>
  <si>
    <t>车道/停车场</t>
  </si>
  <si>
    <t>场地照明</t>
  </si>
  <si>
    <t>排水系统</t>
  </si>
  <si>
    <t>绿化</t>
  </si>
  <si>
    <t>楼梯工程</t>
  </si>
  <si>
    <t>厨房区装修</t>
  </si>
  <si>
    <t>地面装修</t>
  </si>
  <si>
    <t>墙面装修</t>
  </si>
  <si>
    <t>天花装修</t>
  </si>
  <si>
    <t>外立面</t>
  </si>
  <si>
    <t>柜台</t>
  </si>
  <si>
    <t>厕所装修</t>
  </si>
  <si>
    <t>楼梯装修</t>
  </si>
  <si>
    <t xml:space="preserve"> 员工室装修</t>
  </si>
  <si>
    <t>门等零星装饰</t>
  </si>
  <si>
    <t>装修材料-墙体</t>
  </si>
  <si>
    <t xml:space="preserve"> 装修材料-墙画</t>
  </si>
  <si>
    <t>装修-卫生洁具</t>
  </si>
  <si>
    <t>电承包-不包括灯具</t>
  </si>
  <si>
    <t>圆吊灯+规格编号</t>
  </si>
  <si>
    <t>其他灯具-包括厨房区及建筑照明</t>
  </si>
  <si>
    <t>排水工程</t>
  </si>
  <si>
    <t>空调管道工程</t>
  </si>
  <si>
    <t>消防设计</t>
  </si>
  <si>
    <t>喷淋消防栓系统</t>
  </si>
  <si>
    <t>消防报警系统</t>
  </si>
  <si>
    <t>环保工程：包括化粪池、隔油池、油烟净化器等</t>
  </si>
  <si>
    <t>招牌安装，含杆标基础，立杆等</t>
  </si>
  <si>
    <t>保险箱</t>
  </si>
  <si>
    <t>电视/录像机／相机／影碟机</t>
  </si>
  <si>
    <t>音响</t>
  </si>
  <si>
    <t>电话/传真机</t>
  </si>
  <si>
    <t>安保监控系统</t>
  </si>
  <si>
    <t>配电柜</t>
  </si>
  <si>
    <t>其他厨房工具-电熨斗</t>
  </si>
  <si>
    <t>其他厨房工具</t>
  </si>
  <si>
    <t>吸管箱</t>
  </si>
  <si>
    <t>垃圾桶</t>
  </si>
  <si>
    <t>8454</t>
  </si>
  <si>
    <t>烘手机</t>
  </si>
  <si>
    <t>灭蝇灯</t>
  </si>
  <si>
    <t>微波炉</t>
  </si>
  <si>
    <t>空调设备和控制系统</t>
  </si>
  <si>
    <t>热水器</t>
  </si>
  <si>
    <t>铝门</t>
  </si>
  <si>
    <t>厨房抽油烟机</t>
  </si>
  <si>
    <t>其他五金件</t>
  </si>
  <si>
    <t>其他设备</t>
  </si>
  <si>
    <t>座位安装</t>
  </si>
  <si>
    <t>主题装饰（家具供应商提供的屏风、吊灯等装饰品）</t>
  </si>
  <si>
    <t>其他装饰</t>
  </si>
  <si>
    <t xml:space="preserve">装饰品- 安装 </t>
  </si>
  <si>
    <t>设计、QS</t>
  </si>
  <si>
    <t>结构加固设计费</t>
  </si>
  <si>
    <t>报建费</t>
  </si>
  <si>
    <t>场地勘察费</t>
  </si>
  <si>
    <t>付业主供电费</t>
  </si>
  <si>
    <t>配电房工程费</t>
  </si>
  <si>
    <t>电增容费</t>
  </si>
  <si>
    <t>煤气装置</t>
  </si>
  <si>
    <t>公共暖气装置</t>
  </si>
  <si>
    <t>临时安全设置</t>
  </si>
  <si>
    <t>手动灭火设备</t>
  </si>
  <si>
    <t>其他桌椅</t>
  </si>
  <si>
    <t>其他招牌</t>
  </si>
  <si>
    <t>麦当劳叔叔像</t>
  </si>
  <si>
    <t>墙画</t>
  </si>
  <si>
    <t>人造植物</t>
  </si>
  <si>
    <t>玻璃贴纸</t>
  </si>
  <si>
    <t>克罗克像</t>
  </si>
  <si>
    <t>POP箱子</t>
  </si>
  <si>
    <t>餐厅房产使用权</t>
  </si>
  <si>
    <t>餐厅启动费</t>
  </si>
  <si>
    <t>餐厅业主补偿金</t>
  </si>
  <si>
    <t>餐厅开业前租金</t>
  </si>
  <si>
    <t>餐厅开业地产费用</t>
  </si>
  <si>
    <t>菜单牌</t>
  </si>
  <si>
    <t>分离式厨房升降梯</t>
  </si>
  <si>
    <t>儿童乐园</t>
  </si>
  <si>
    <t>(G&amp;A) 资本化管理费用</t>
  </si>
  <si>
    <t>利息资本化-餐厅开业前租金</t>
  </si>
  <si>
    <t>工程量测算,工程保险</t>
  </si>
  <si>
    <t>招牌：餐厅招牌</t>
  </si>
  <si>
    <t>招牌：菜单海报灯箱</t>
  </si>
  <si>
    <t>招牌：方向指示牌</t>
  </si>
  <si>
    <t>招牌：广告灯箱</t>
  </si>
  <si>
    <t>招牌运输费用</t>
  </si>
  <si>
    <t>招牌税金</t>
  </si>
  <si>
    <t>招牌仓储费</t>
  </si>
  <si>
    <t>收银柜台</t>
  </si>
  <si>
    <t>中央岛</t>
  </si>
  <si>
    <t>煎炉区</t>
  </si>
  <si>
    <t>薯条区</t>
  </si>
  <si>
    <t>炸鱼区</t>
  </si>
  <si>
    <t>洗涤区</t>
  </si>
  <si>
    <t>调理区</t>
  </si>
  <si>
    <t>鸡产品区</t>
  </si>
  <si>
    <t>柜子/层架</t>
  </si>
  <si>
    <t>收银主机</t>
  </si>
  <si>
    <t>收银机</t>
  </si>
  <si>
    <t>收银打印机</t>
  </si>
  <si>
    <t>收银机安装</t>
  </si>
  <si>
    <t>产品叫制显示系统</t>
  </si>
  <si>
    <t>POS HOT 手持式定单设备</t>
  </si>
  <si>
    <t>计算机</t>
  </si>
  <si>
    <t>计算机打印机</t>
  </si>
  <si>
    <t>计算机外围设备</t>
  </si>
  <si>
    <t>不间断电源</t>
  </si>
  <si>
    <t>计时卡钟</t>
  </si>
  <si>
    <t>SSPC</t>
  </si>
  <si>
    <t>DT COD点餐系统</t>
  </si>
  <si>
    <t>热巧克力机</t>
  </si>
  <si>
    <t>热水机</t>
  </si>
  <si>
    <t>咖啡机 母店/麦咖啡</t>
  </si>
  <si>
    <t>咖啡续杯壶</t>
  </si>
  <si>
    <t>制冰机</t>
  </si>
  <si>
    <t>冷饮机</t>
  </si>
  <si>
    <t>橙汁机</t>
  </si>
  <si>
    <t>奶昔新地机</t>
  </si>
  <si>
    <t>煎炉</t>
  </si>
  <si>
    <t>炸炉</t>
  </si>
  <si>
    <t>蒸蛋机</t>
  </si>
  <si>
    <t>快速蒸包炉</t>
  </si>
  <si>
    <t>烘包机</t>
  </si>
  <si>
    <t>冷库</t>
  </si>
  <si>
    <t>派保温箱</t>
  </si>
  <si>
    <t>高温保温柜UHC/UHC-4层/UHC-6层</t>
  </si>
  <si>
    <t>水浴保温柜</t>
  </si>
  <si>
    <t>裹粉机</t>
  </si>
  <si>
    <t>滤油车</t>
  </si>
  <si>
    <t>猪柳蛋设备</t>
  </si>
  <si>
    <t>黑椒汉堡设备</t>
  </si>
  <si>
    <t>鸡翅设备</t>
  </si>
  <si>
    <t>鸡腿设备</t>
  </si>
  <si>
    <t>柜下冰箱/煎肉冰箱/调理台冷藏冰箱/27"冷冻/冷藏冰/48"冷冻/冷藏冰箱/双开门冷冻/冷藏冰箱/四开门冷冻/冷藏冰箱/自动薯条分配器/手动薯条车冷藏冰箱/麦咖啡/甜品站冷藏冰箱/麦咖啡蛋糕展示柜/甜品吧调味展示柜</t>
  </si>
  <si>
    <t>挂壁冰箱/板烧冰箱/炸区挂壁冷藏冰箱</t>
  </si>
  <si>
    <t>解冻架</t>
  </si>
  <si>
    <t>腌制机</t>
  </si>
  <si>
    <t>水过滤器</t>
  </si>
  <si>
    <t>厨房设备零件</t>
  </si>
  <si>
    <t>厨房设备配件</t>
  </si>
  <si>
    <t>厨房设备安装</t>
  </si>
  <si>
    <t>外购设备运输费</t>
  </si>
  <si>
    <t>外购设备税金</t>
  </si>
  <si>
    <t>外购设备仓储费</t>
  </si>
  <si>
    <t>麦旋风机</t>
  </si>
  <si>
    <t>麦咖啡搅拌器</t>
  </si>
  <si>
    <t>洗衣机</t>
  </si>
  <si>
    <t>麦乐送充电器</t>
  </si>
  <si>
    <t>洗碗机</t>
  </si>
  <si>
    <t>无线对讲系统</t>
  </si>
  <si>
    <r>
      <rPr>
        <sz val="10"/>
        <rFont val="宋体"/>
        <charset val="134"/>
      </rPr>
      <t>传送带</t>
    </r>
  </si>
  <si>
    <t>油水分离器</t>
  </si>
  <si>
    <t>水增压系统</t>
  </si>
  <si>
    <t>桌子</t>
  </si>
  <si>
    <t>椅子</t>
  </si>
  <si>
    <t>连体桌椅</t>
  </si>
  <si>
    <t>桌子架子</t>
  </si>
  <si>
    <t>纤维玻璃靠背椅</t>
  </si>
  <si>
    <t>桌椅运输费用</t>
  </si>
  <si>
    <t>运桌椅税金</t>
  </si>
  <si>
    <t>桌椅仓储费</t>
  </si>
  <si>
    <t>装饰运输费用</t>
  </si>
  <si>
    <t>装饰税金</t>
  </si>
  <si>
    <t>装饰储存</t>
  </si>
  <si>
    <t>21</t>
  </si>
  <si>
    <t>11</t>
  </si>
  <si>
    <t>61</t>
  </si>
  <si>
    <t>02</t>
  </si>
  <si>
    <t>03</t>
  </si>
  <si>
    <t>04</t>
  </si>
  <si>
    <t>麦当劳(中国)工程预算书(IN RMB)    V20250409</t>
  </si>
  <si>
    <t>要求</t>
  </si>
  <si>
    <t>子目飘红15个</t>
  </si>
  <si>
    <t>做店速度 3天内；</t>
  </si>
  <si>
    <t>总价绝对值偏差控制在±2%以内；</t>
  </si>
  <si>
    <t>ABS偏差4%以内；</t>
  </si>
  <si>
    <t>麦咖啡</t>
  </si>
  <si>
    <t>中区</t>
  </si>
  <si>
    <t>高虹</t>
  </si>
  <si>
    <t>总价金额</t>
  </si>
  <si>
    <t>总金额偏差</t>
  </si>
  <si>
    <t>总金额偏差率</t>
  </si>
  <si>
    <t>ABS偏差</t>
  </si>
  <si>
    <t>ABS偏差率</t>
  </si>
  <si>
    <t>初步差异：</t>
  </si>
  <si>
    <t>飘红</t>
  </si>
  <si>
    <t>漏项</t>
  </si>
  <si>
    <t>多项</t>
  </si>
  <si>
    <t>店内甜品站</t>
  </si>
  <si>
    <t>市场</t>
  </si>
  <si>
    <t>上海</t>
  </si>
  <si>
    <t>新店</t>
  </si>
  <si>
    <t>Instore</t>
  </si>
  <si>
    <t>REVIT</t>
  </si>
  <si>
    <t>独立甜品站</t>
  </si>
  <si>
    <t>城市</t>
  </si>
  <si>
    <t>上海市</t>
  </si>
  <si>
    <t>集中招标</t>
  </si>
  <si>
    <t>初稿</t>
  </si>
  <si>
    <t>浦东张江中科路地铁站餐厅</t>
  </si>
  <si>
    <t>上海锦伟</t>
  </si>
  <si>
    <t>卫生间</t>
  </si>
  <si>
    <r>
      <rPr>
        <sz val="9"/>
        <rFont val="宋体"/>
        <charset val="134"/>
      </rPr>
      <t>PP</t>
    </r>
    <r>
      <rPr>
        <sz val="9"/>
        <rFont val="宋体"/>
        <charset val="134"/>
      </rPr>
      <t>编码</t>
    </r>
  </si>
  <si>
    <t>234618</t>
  </si>
  <si>
    <t>如何通过检查发现？</t>
  </si>
  <si>
    <t>楼梯</t>
  </si>
  <si>
    <t>电箱图，弱点常规配置，餐厅常规配置</t>
  </si>
  <si>
    <t>拿审核表检查错误，补充细节</t>
  </si>
  <si>
    <t>分离式厨房</t>
  </si>
  <si>
    <r>
      <rPr>
        <sz val="9"/>
        <rFont val="宋体"/>
        <charset val="134"/>
      </rPr>
      <t>编制人</t>
    </r>
  </si>
  <si>
    <t>委托书，项目信息，部分市场特性等无需通过建模出具的清单</t>
  </si>
  <si>
    <t>层高</t>
  </si>
  <si>
    <r>
      <rPr>
        <sz val="9"/>
        <rFont val="宋体"/>
        <charset val="134"/>
      </rPr>
      <t>审核人</t>
    </r>
  </si>
  <si>
    <t>建模正常可出清单</t>
  </si>
  <si>
    <t>建模出量率</t>
  </si>
  <si>
    <t>刨除不建模出量的，建模出量率</t>
  </si>
  <si>
    <t>税率</t>
  </si>
  <si>
    <t>设计风格</t>
  </si>
  <si>
    <t>Geometry</t>
  </si>
  <si>
    <r>
      <rPr>
        <sz val="9"/>
        <rFont val="宋体"/>
        <charset val="134"/>
      </rPr>
      <t>编制日期</t>
    </r>
  </si>
  <si>
    <t>技术原因，暂时无法出清单的</t>
  </si>
  <si>
    <t>CO</t>
  </si>
  <si>
    <t>PMT
Code</t>
  </si>
  <si>
    <t>Asset
Code</t>
  </si>
  <si>
    <r>
      <rPr>
        <b/>
        <sz val="9"/>
        <rFont val="Tahoma"/>
        <charset val="134"/>
      </rPr>
      <t>BE</t>
    </r>
    <r>
      <rPr>
        <b/>
        <sz val="9"/>
        <rFont val="宋体"/>
        <charset val="134"/>
      </rPr>
      <t>类型</t>
    </r>
  </si>
  <si>
    <t>类别</t>
  </si>
  <si>
    <r>
      <rPr>
        <b/>
        <sz val="9"/>
        <rFont val="宋体"/>
        <charset val="134"/>
      </rPr>
      <t>编号</t>
    </r>
    <r>
      <rPr>
        <b/>
        <sz val="9"/>
        <rFont val="Tahoma"/>
        <charset val="134"/>
      </rPr>
      <t>1</t>
    </r>
  </si>
  <si>
    <r>
      <rPr>
        <b/>
        <sz val="9"/>
        <rFont val="宋体"/>
        <charset val="134"/>
      </rPr>
      <t>编号</t>
    </r>
    <r>
      <rPr>
        <b/>
        <sz val="9"/>
        <rFont val="Tahoma"/>
        <charset val="134"/>
      </rPr>
      <t>2</t>
    </r>
  </si>
  <si>
    <r>
      <rPr>
        <b/>
        <sz val="9"/>
        <rFont val="宋体"/>
        <charset val="134"/>
      </rPr>
      <t>编号</t>
    </r>
    <r>
      <rPr>
        <b/>
        <sz val="9"/>
        <rFont val="Tahoma"/>
        <charset val="134"/>
      </rPr>
      <t>3</t>
    </r>
  </si>
  <si>
    <r>
      <rPr>
        <b/>
        <sz val="9"/>
        <rFont val="Tahoma"/>
        <charset val="134"/>
      </rPr>
      <t>SKU</t>
    </r>
    <r>
      <rPr>
        <b/>
        <sz val="9"/>
        <rFont val="宋体"/>
        <charset val="134"/>
      </rPr>
      <t>编码</t>
    </r>
  </si>
  <si>
    <t>项目名称</t>
  </si>
  <si>
    <t>revit数量</t>
  </si>
  <si>
    <t>初稿数量</t>
  </si>
  <si>
    <t>单位</t>
  </si>
  <si>
    <t>综合单价（不含税）</t>
  </si>
  <si>
    <t>综合单价（含税）</t>
  </si>
  <si>
    <t>revit合价</t>
  </si>
  <si>
    <t>初稿合价</t>
  </si>
  <si>
    <t>检查</t>
  </si>
  <si>
    <t>备注</t>
  </si>
  <si>
    <t>工程量差异</t>
  </si>
  <si>
    <t>合价差异</t>
  </si>
  <si>
    <t>合价ABS</t>
  </si>
  <si>
    <t>差异率</t>
  </si>
  <si>
    <t>ABS差异</t>
  </si>
  <si>
    <t>调平原因</t>
  </si>
  <si>
    <t>清单来源</t>
  </si>
  <si>
    <t>错误原因</t>
  </si>
  <si>
    <t>取参逻辑</t>
  </si>
  <si>
    <t>工程量来源</t>
  </si>
  <si>
    <t>7</t>
  </si>
  <si>
    <t>1005</t>
  </si>
  <si>
    <t>6002</t>
  </si>
  <si>
    <t>0 地产费用</t>
  </si>
  <si>
    <t>0.2 房产建筑</t>
  </si>
  <si>
    <t>DT基础(分包)</t>
  </si>
  <si>
    <t>1000040096</t>
  </si>
  <si>
    <t>项</t>
  </si>
  <si>
    <t>委托书</t>
  </si>
  <si>
    <t>8</t>
  </si>
  <si>
    <t>1006</t>
  </si>
  <si>
    <t>DT主体建筑(分包)</t>
  </si>
  <si>
    <t>1000040097</t>
  </si>
  <si>
    <t>33</t>
  </si>
  <si>
    <t>1031</t>
  </si>
  <si>
    <t>1314</t>
  </si>
  <si>
    <t>3 许可证/公用事业费</t>
  </si>
  <si>
    <t>3.1 供电费用</t>
  </si>
  <si>
    <t>3.1.4 红线电缆接线费</t>
  </si>
  <si>
    <t>1000021726</t>
  </si>
  <si>
    <t>红线电缆YJV 120双拼 或 YJV240单根 含桥架（按桥架长度计算）</t>
  </si>
  <si>
    <t>米</t>
  </si>
  <si>
    <t>1000021725</t>
  </si>
  <si>
    <t>红线电缆 YJV 95 双拼 或 YJV185单根 含桥架（按桥架长度计算）</t>
  </si>
  <si>
    <t>1000021727</t>
  </si>
  <si>
    <t>铠装红线电缆YJV 120双拼 或 YJV240单根 含桥架（按桥架长度计算）</t>
  </si>
  <si>
    <t>1000021728</t>
  </si>
  <si>
    <t>铠装红线电缆 YJV 95 双拼 或 YJV185单根 含桥架（按桥架长度计算）</t>
  </si>
  <si>
    <t>1000040026</t>
  </si>
  <si>
    <t>室外电缆沟（含井）开挖及回填</t>
  </si>
  <si>
    <t>34</t>
  </si>
  <si>
    <t>1032</t>
  </si>
  <si>
    <t>1320</t>
  </si>
  <si>
    <t>3.2 给、排水接驳费</t>
  </si>
  <si>
    <t>给、排水接驳费</t>
  </si>
  <si>
    <t>1000021729</t>
  </si>
  <si>
    <t>给水接驳费</t>
  </si>
  <si>
    <t>1000021730</t>
  </si>
  <si>
    <t>排水接驳费</t>
  </si>
  <si>
    <t>37</t>
  </si>
  <si>
    <t>1035</t>
  </si>
  <si>
    <t>1350</t>
  </si>
  <si>
    <t>3.5 电话系统</t>
  </si>
  <si>
    <t>电话申请费</t>
  </si>
  <si>
    <t>1000040027</t>
  </si>
  <si>
    <t>38</t>
  </si>
  <si>
    <t>1036</t>
  </si>
  <si>
    <t>1360</t>
  </si>
  <si>
    <t>3.6 其他许可证申请费</t>
  </si>
  <si>
    <t>其他许可证申请费</t>
  </si>
  <si>
    <t>1000040028</t>
  </si>
  <si>
    <t>有线电视申请费</t>
  </si>
  <si>
    <t>1000040098</t>
  </si>
  <si>
    <t>其他许可证申请费（含：1.环评费、2.环保申请费、3.规划申报费、4.城管／市容申报费、5.建委／招标办之甲方报建费、6.卫生防疫站申报费、7.房屋鉴定费、8.市政申请费</t>
  </si>
  <si>
    <t>40</t>
  </si>
  <si>
    <t>1410</t>
  </si>
  <si>
    <t>4 拆除费</t>
  </si>
  <si>
    <t>4.1 场地清拆</t>
  </si>
  <si>
    <t>场地清拆</t>
  </si>
  <si>
    <t>1000021731</t>
  </si>
  <si>
    <t>现场清拆（零星拆除,含非特殊位置清运）</t>
  </si>
  <si>
    <t>m2</t>
  </si>
  <si>
    <t>1000021732</t>
  </si>
  <si>
    <t>现场清拆（大面积拆除--天地墙全面拆除，含非特殊位置清运）</t>
  </si>
  <si>
    <t>1000021733</t>
  </si>
  <si>
    <t>现场清拆（特大面积拆除--天地墙全面拆除、结构拆除，含非特殊位置清运）</t>
  </si>
  <si>
    <t>1000021734</t>
  </si>
  <si>
    <t>现场清拆（零星拆除,含特殊位置清运）</t>
  </si>
  <si>
    <t>1000021735</t>
  </si>
  <si>
    <t>现场清拆（大面积拆除--天地墙全面拆除，含特殊位置清运）</t>
  </si>
  <si>
    <t>1000021736</t>
  </si>
  <si>
    <t>现场清拆（特大面积拆除--天地墙全面拆除、结构拆除，含特殊位置清运）</t>
  </si>
  <si>
    <t>1000021737</t>
  </si>
  <si>
    <t>场地清洁</t>
  </si>
  <si>
    <t>41</t>
  </si>
  <si>
    <t>1420</t>
  </si>
  <si>
    <t>4.2 围墙板</t>
  </si>
  <si>
    <t>1000021738</t>
  </si>
  <si>
    <t>场地围墙板等</t>
  </si>
  <si>
    <t>基本墙面积</t>
  </si>
  <si>
    <t>44</t>
  </si>
  <si>
    <t>1510</t>
  </si>
  <si>
    <t>5 场地发展费</t>
  </si>
  <si>
    <t>5.1 场地准备</t>
  </si>
  <si>
    <t>场地准备</t>
  </si>
  <si>
    <t>措施费</t>
  </si>
  <si>
    <t>1000021739</t>
  </si>
  <si>
    <t>措施费（新店）</t>
  </si>
  <si>
    <t>1000022205</t>
  </si>
  <si>
    <t>措施费（改造店）</t>
  </si>
  <si>
    <t>1000040030</t>
  </si>
  <si>
    <t>北区冬季施工费</t>
  </si>
  <si>
    <t>1000040099</t>
  </si>
  <si>
    <t>夜间施工人工补贴</t>
  </si>
  <si>
    <t>地面处理</t>
  </si>
  <si>
    <t>1000021740</t>
  </si>
  <si>
    <t>地面局部抬高</t>
  </si>
  <si>
    <t>楼板面积</t>
  </si>
  <si>
    <t>1000021741</t>
  </si>
  <si>
    <t>地面找平（水泥砂浆&gt;50mm时)</t>
  </si>
  <si>
    <t>防水处理</t>
  </si>
  <si>
    <t>1000021742</t>
  </si>
  <si>
    <t>地面防水层（五年保修）</t>
  </si>
  <si>
    <r>
      <t>楼板面积</t>
    </r>
    <r>
      <rPr>
        <sz val="9"/>
        <rFont val="Tahoma"/>
        <charset val="134"/>
      </rPr>
      <t>+</t>
    </r>
    <r>
      <rPr>
        <sz val="9"/>
        <rFont val="宋体-简"/>
        <charset val="134"/>
      </rPr>
      <t>上翻高度</t>
    </r>
    <r>
      <rPr>
        <sz val="9"/>
        <rFont val="Tahoma"/>
        <charset val="134"/>
      </rPr>
      <t>*</t>
    </r>
    <r>
      <rPr>
        <sz val="9"/>
        <rFont val="宋体-简"/>
        <charset val="134"/>
      </rPr>
      <t>踢脚长</t>
    </r>
  </si>
  <si>
    <t>1000021743</t>
  </si>
  <si>
    <t>顶板／外墙防水层</t>
  </si>
  <si>
    <t>调整</t>
  </si>
  <si>
    <t>1000040031</t>
  </si>
  <si>
    <t>门头钢构架含防水层（当招牌悬挑时）</t>
  </si>
  <si>
    <t>吨</t>
  </si>
  <si>
    <t>复合天花板
外挑1.5m以上，0.013单价</t>
  </si>
  <si>
    <t>45</t>
  </si>
  <si>
    <t>1520</t>
  </si>
  <si>
    <t>5.2 结构加固</t>
  </si>
  <si>
    <t>结构加固</t>
  </si>
  <si>
    <t>钢结构</t>
  </si>
  <si>
    <t>1000021744</t>
  </si>
  <si>
    <t>层高大于6米时吊顶用角钢及吊筋补贴</t>
  </si>
  <si>
    <t>73</t>
  </si>
  <si>
    <t>1614</t>
  </si>
  <si>
    <t>6 物业施工费</t>
  </si>
  <si>
    <t>6.1 总承包工程</t>
  </si>
  <si>
    <t>6.1.4 空调通风工程</t>
  </si>
  <si>
    <t>空调机/风机安装</t>
  </si>
  <si>
    <t>1000021745</t>
  </si>
  <si>
    <t>空调室外机（含厨房设备室外机）架空钢构平台</t>
  </si>
  <si>
    <t>1000021746</t>
  </si>
  <si>
    <t>空调室外机（含厨房设备室外机）混凝土基座</t>
  </si>
  <si>
    <t>1000022172</t>
  </si>
  <si>
    <t>空调外机铁丝网围壁</t>
  </si>
  <si>
    <t>1000040100</t>
  </si>
  <si>
    <t>钢构空调室外机架空平台刷防锈漆</t>
  </si>
  <si>
    <t>1000040101</t>
  </si>
  <si>
    <t>46</t>
  </si>
  <si>
    <t>1530</t>
  </si>
  <si>
    <t>5.3 物业外工程</t>
  </si>
  <si>
    <t>地面</t>
  </si>
  <si>
    <t>1000021446</t>
  </si>
  <si>
    <t>室外地坪及踏步贴砖（琛雄）</t>
  </si>
  <si>
    <t>楼板面积+踏步侧边基本墙面积</t>
  </si>
  <si>
    <t>1000021642</t>
  </si>
  <si>
    <t>室外地坪及踏步贴砖（共荣）</t>
  </si>
  <si>
    <r>
      <t>楼板面积</t>
    </r>
    <r>
      <rPr>
        <sz val="9"/>
        <rFont val="Tahoma"/>
        <charset val="134"/>
      </rPr>
      <t>+</t>
    </r>
    <r>
      <rPr>
        <sz val="9"/>
        <rFont val="宋体-简"/>
        <charset val="134"/>
      </rPr>
      <t>踏步侧边基本墙面积</t>
    </r>
  </si>
  <si>
    <t>1000021447</t>
  </si>
  <si>
    <t>室外地坪及踏步贴砖（冠军）</t>
  </si>
  <si>
    <t>1000021747</t>
  </si>
  <si>
    <t>室外地坪及踏步贴芝麻灰花岗石</t>
  </si>
  <si>
    <t>1000021748</t>
  </si>
  <si>
    <t>室外踏步基础</t>
  </si>
  <si>
    <t>m3</t>
  </si>
  <si>
    <r>
      <t>常规模型</t>
    </r>
    <r>
      <rPr>
        <sz val="9"/>
        <rFont val="Tahoma"/>
        <charset val="134"/>
      </rPr>
      <t>-&gt;</t>
    </r>
    <r>
      <rPr>
        <sz val="9"/>
        <rFont val="宋体-简"/>
        <charset val="134"/>
      </rPr>
      <t>体积</t>
    </r>
  </si>
  <si>
    <t>1000021516</t>
  </si>
  <si>
    <t>步级沿口火烧石--防滑条</t>
  </si>
  <si>
    <t>楼板边长度</t>
  </si>
  <si>
    <t>1000041816</t>
  </si>
  <si>
    <t>步级沿口火烧石--防滑条（共荣）</t>
  </si>
  <si>
    <t>1000041822</t>
  </si>
  <si>
    <t>步级沿口火烧石--防滑条（冠军）</t>
  </si>
  <si>
    <t>墙面</t>
  </si>
  <si>
    <t>1000021620</t>
  </si>
  <si>
    <t>室外其它墙面砖（琛雄）</t>
  </si>
  <si>
    <t>1000021675</t>
  </si>
  <si>
    <t>室外其它墙面砖（共荣）</t>
  </si>
  <si>
    <t>1000021621</t>
  </si>
  <si>
    <t>室外其它墙面砖（冠军）</t>
  </si>
  <si>
    <t>1000021448</t>
  </si>
  <si>
    <t>油烟管及铜管桥架等包外墙铝板</t>
  </si>
  <si>
    <t>1000040102</t>
  </si>
  <si>
    <t>与业主接壤处装饰及结构处理</t>
  </si>
  <si>
    <t>1000040103</t>
  </si>
  <si>
    <t>非麦当劳门面之墙体装修（包括与业主商场相邻之墙体外侧装修）</t>
  </si>
  <si>
    <t>零星绿化</t>
  </si>
  <si>
    <t>1000040032</t>
  </si>
  <si>
    <t>室外零星植物绿化</t>
  </si>
  <si>
    <t>花槽</t>
  </si>
  <si>
    <t>1000040033</t>
  </si>
  <si>
    <t>独立成品花槽</t>
  </si>
  <si>
    <t>只</t>
  </si>
  <si>
    <t>开洞</t>
  </si>
  <si>
    <t>1000021749</t>
  </si>
  <si>
    <t>分离式厨房楼板开洞费</t>
  </si>
  <si>
    <t>47</t>
  </si>
  <si>
    <t>5.4 道路、停车场的地面和路沿石</t>
  </si>
  <si>
    <t>DT道路、停车场的地面和路沿石</t>
  </si>
  <si>
    <t>DT土方运输</t>
  </si>
  <si>
    <t>1000040104</t>
  </si>
  <si>
    <t>土方场外运输</t>
  </si>
  <si>
    <t>DT机械</t>
  </si>
  <si>
    <t>1000040105</t>
  </si>
  <si>
    <t>DT-道路大型机械进出场费</t>
  </si>
  <si>
    <t>DT道路</t>
  </si>
  <si>
    <t>1000021750</t>
  </si>
  <si>
    <t>DT-路沿石</t>
  </si>
  <si>
    <t>1000021751</t>
  </si>
  <si>
    <t>DT-道路基层-水泥石屑</t>
  </si>
  <si>
    <t>1000021752</t>
  </si>
  <si>
    <t>DT-道路面层-混凝土</t>
  </si>
  <si>
    <t>1000021753</t>
  </si>
  <si>
    <t>DT-道路面层-沥青+碎石</t>
  </si>
  <si>
    <t>1000021754</t>
  </si>
  <si>
    <t>DT-拆除道路面层</t>
  </si>
  <si>
    <t>1000021755</t>
  </si>
  <si>
    <t>DT-感应器预埋</t>
  </si>
  <si>
    <t>套</t>
  </si>
  <si>
    <t>个数</t>
  </si>
  <si>
    <t>1000021756</t>
  </si>
  <si>
    <t>DT-路面、停车场画线</t>
  </si>
  <si>
    <t>1000021757</t>
  </si>
  <si>
    <t>DT-停车位限位器（挡轮器）（每套2只）</t>
  </si>
  <si>
    <t>1000021758</t>
  </si>
  <si>
    <t>DT-减速带</t>
  </si>
  <si>
    <t>长度（自建族设置）</t>
  </si>
  <si>
    <t>DT地面</t>
  </si>
  <si>
    <t>1000021759</t>
  </si>
  <si>
    <t>DT-植（嵌）草砖</t>
  </si>
  <si>
    <t>1000021760</t>
  </si>
  <si>
    <t>DT-压花地面（仅压花工艺）</t>
  </si>
  <si>
    <t>DT防护</t>
  </si>
  <si>
    <t>1000021761</t>
  </si>
  <si>
    <t>DT防撞杆</t>
  </si>
  <si>
    <t>1000021762</t>
  </si>
  <si>
    <t>DT防护栏杆安装</t>
  </si>
  <si>
    <t>DT埋管、电线</t>
  </si>
  <si>
    <t>1000021763</t>
  </si>
  <si>
    <t>DT-招牌电线</t>
  </si>
  <si>
    <t>总长度（插件计算）线管</t>
  </si>
  <si>
    <t>48</t>
  </si>
  <si>
    <t>5.5 场地照明</t>
  </si>
  <si>
    <t>DT场地照明</t>
  </si>
  <si>
    <t>DT场地灯具安装</t>
  </si>
  <si>
    <t>1000021764</t>
  </si>
  <si>
    <t>安装DT- L11 单头</t>
  </si>
  <si>
    <t>个</t>
  </si>
  <si>
    <t>1000021765</t>
  </si>
  <si>
    <t>安装DT- L11 双头</t>
  </si>
  <si>
    <t>1000021766</t>
  </si>
  <si>
    <t>安装DT- LED时尚草坪灯具500MM  L12</t>
  </si>
  <si>
    <t>1000021767</t>
  </si>
  <si>
    <t>DT-安装 飞利浦牌36w防水防尘荧光灯1管</t>
  </si>
  <si>
    <t>1000021768</t>
  </si>
  <si>
    <t>DT-安装 飞利浦牌36w防水防尘荧光灯2管</t>
  </si>
  <si>
    <t>DT场地管线敷设</t>
  </si>
  <si>
    <t>1000021769</t>
  </si>
  <si>
    <t>DT-路灯电气管线敷设（含草坪灯管线）</t>
  </si>
  <si>
    <t>DT场地灯具主材</t>
  </si>
  <si>
    <t>1000021449</t>
  </si>
  <si>
    <t>DT-PHILIPS-L11-单头</t>
  </si>
  <si>
    <t>1000021450</t>
  </si>
  <si>
    <t>DT-PHILIPS-L11-双头</t>
  </si>
  <si>
    <t>1000021451</t>
  </si>
  <si>
    <t>DT-PHILIPSLED时尚草坪灯具500MM-L12</t>
  </si>
  <si>
    <t>1000021562</t>
  </si>
  <si>
    <t>DT-OSRAM  L11 单头</t>
  </si>
  <si>
    <t>1000021563</t>
  </si>
  <si>
    <t>DT-OSRAM  L11 双头</t>
  </si>
  <si>
    <t>1000021564</t>
  </si>
  <si>
    <t>DT-OSRAMLED时尚草坪灯具500MM  L12</t>
  </si>
  <si>
    <t>1000021452</t>
  </si>
  <si>
    <t>DT-主材-飞利浦牌36w防水防尘荧光灯1管</t>
  </si>
  <si>
    <t>1000021453</t>
  </si>
  <si>
    <t>DT-主材-飞利浦牌36w防水防尘荧光灯2管</t>
  </si>
  <si>
    <t>DT场地路灯基础</t>
  </si>
  <si>
    <t>1000021770</t>
  </si>
  <si>
    <t>DT路灯基础</t>
  </si>
  <si>
    <t>49</t>
  </si>
  <si>
    <t>5.6 场地给排水系统（含隔油池）</t>
  </si>
  <si>
    <t>DT场地给排水系统</t>
  </si>
  <si>
    <t>DT场地废水</t>
  </si>
  <si>
    <t>1000040034</t>
  </si>
  <si>
    <t>DT-室外地下污废水管DN300</t>
  </si>
  <si>
    <t>总长度（插件计算）水管</t>
  </si>
  <si>
    <t>1000040035</t>
  </si>
  <si>
    <t>DT-室外地下污废水管DN200</t>
  </si>
  <si>
    <t>1000040036</t>
  </si>
  <si>
    <t>DT-室外地下污废水管DN110</t>
  </si>
  <si>
    <t>1000040037</t>
  </si>
  <si>
    <t>DT-污废水检查井Φ1000</t>
  </si>
  <si>
    <t>DT场地雨水</t>
  </si>
  <si>
    <t>1000040038</t>
  </si>
  <si>
    <t>DT-室外地下雨水管DN300</t>
  </si>
  <si>
    <t>1000040039</t>
  </si>
  <si>
    <t>DT-室外地下雨水管DN200</t>
  </si>
  <si>
    <t>1000040040</t>
  </si>
  <si>
    <t>DT-室外地下雨水管DN110</t>
  </si>
  <si>
    <t>1000040041</t>
  </si>
  <si>
    <t>DT-雨水检查井Φ1000</t>
  </si>
  <si>
    <t>1000040042</t>
  </si>
  <si>
    <t>DT-雨水进水口</t>
  </si>
  <si>
    <t>DT室外给水</t>
  </si>
  <si>
    <t>1000040043</t>
  </si>
  <si>
    <t>DT-室外给水管DN32</t>
  </si>
  <si>
    <t>1000040044</t>
  </si>
  <si>
    <t>DT-室外给水管DN25</t>
  </si>
  <si>
    <t>1000040045</t>
  </si>
  <si>
    <t>DT-室外给水管DN20</t>
  </si>
  <si>
    <t>1000040046</t>
  </si>
  <si>
    <t>DT-水表</t>
  </si>
  <si>
    <t>50</t>
  </si>
  <si>
    <t>DT绿化</t>
  </si>
  <si>
    <t>1000040047</t>
  </si>
  <si>
    <t>DT-室外植物绿化工程</t>
  </si>
  <si>
    <t>51</t>
  </si>
  <si>
    <t>1540</t>
  </si>
  <si>
    <t>5.8 楼梯结构新建/改造</t>
  </si>
  <si>
    <t>楼梯结构新建/改造</t>
  </si>
  <si>
    <t>1000021771</t>
  </si>
  <si>
    <t>新建钢结构楼梯（含设计及资质证明）</t>
  </si>
  <si>
    <r>
      <t>CAD</t>
    </r>
    <r>
      <rPr>
        <sz val="9"/>
        <rFont val="宋体-简"/>
        <charset val="134"/>
      </rPr>
      <t>手算</t>
    </r>
  </si>
  <si>
    <t>1000040106</t>
  </si>
  <si>
    <t>新建钢砼楼梯</t>
  </si>
  <si>
    <t>1000040107</t>
  </si>
  <si>
    <t>改建钢结构楼梯</t>
  </si>
  <si>
    <t>1000040108</t>
  </si>
  <si>
    <t>改建钢砼楼梯</t>
  </si>
  <si>
    <t>56</t>
  </si>
  <si>
    <t>1611</t>
  </si>
  <si>
    <t>6.1.1 内部装修工程</t>
  </si>
  <si>
    <t>大堂地面（不含卫生间及楼梯）</t>
  </si>
  <si>
    <t>1000021456</t>
  </si>
  <si>
    <t>国产同质砖（琛雄，含不超过50mm厚的找平层）</t>
  </si>
  <si>
    <t>1000021457</t>
  </si>
  <si>
    <t>国产同质砖踢脚（琛雄）</t>
  </si>
  <si>
    <t>踢脚长度</t>
  </si>
  <si>
    <t>1000021643</t>
  </si>
  <si>
    <t>国产同质砖（共荣，含不超过50mm厚的找平层）</t>
  </si>
  <si>
    <t>1000021644</t>
  </si>
  <si>
    <t>国产同质砖踢脚（共荣）</t>
  </si>
  <si>
    <t>1000021622</t>
  </si>
  <si>
    <t>国产同质砖（冠军，含不超过50mm厚的找平层）</t>
  </si>
  <si>
    <t>1000021623</t>
  </si>
  <si>
    <t>国产同质砖踢脚（冠军）</t>
  </si>
  <si>
    <t>1000051755</t>
  </si>
  <si>
    <t>600*600mm灰色水泥地砖（琛雄，含不超过50mm厚的找平层）</t>
  </si>
  <si>
    <t>1000051756</t>
  </si>
  <si>
    <t>600*600mm灰色水泥地砖（共荣，含不超过50mm厚的找平层）</t>
  </si>
  <si>
    <t>1000051757</t>
  </si>
  <si>
    <t>600*600mm灰色水泥地砖（冠军，含不超过50mm厚的找平层）</t>
  </si>
  <si>
    <t>1000053612</t>
  </si>
  <si>
    <t>灰色水泥纹踢脚（琛雄）</t>
  </si>
  <si>
    <t>1000053613</t>
  </si>
  <si>
    <t>灰色水泥纹踢脚（共荣）</t>
  </si>
  <si>
    <t>1000053614</t>
  </si>
  <si>
    <t>灰色水泥纹踢脚（冠军）</t>
  </si>
  <si>
    <t>1000021679</t>
  </si>
  <si>
    <t>混凝土地面砖（琛雄，人字形拼接）</t>
  </si>
  <si>
    <t>1000021678</t>
  </si>
  <si>
    <t>混凝土地面砖（共荣，人字形拼接）</t>
  </si>
  <si>
    <t>1000021460</t>
  </si>
  <si>
    <t>混凝土地面砖（冠军，人字形拼接）</t>
  </si>
  <si>
    <t>1000041810</t>
  </si>
  <si>
    <t>黑色踢脚（琛雄，Geometry）</t>
  </si>
  <si>
    <t>1000041812</t>
  </si>
  <si>
    <t>黑色踢脚（共荣，Geometry）</t>
  </si>
  <si>
    <t>1000041818</t>
  </si>
  <si>
    <r>
      <rPr>
        <sz val="9"/>
        <rFont val="宋体"/>
        <charset val="134"/>
      </rPr>
      <t>黑色踢脚（冠军，</t>
    </r>
    <r>
      <rPr>
        <sz val="9"/>
        <rFont val="Arial"/>
        <charset val="134"/>
      </rPr>
      <t>Geometry</t>
    </r>
    <r>
      <rPr>
        <sz val="9"/>
        <rFont val="宋体"/>
        <charset val="134"/>
      </rPr>
      <t>）</t>
    </r>
  </si>
  <si>
    <t>1000021666</t>
  </si>
  <si>
    <t>600*600mm水磨石地砖（琛雄，含不超过50mm厚的找平层）</t>
  </si>
  <si>
    <t>1000021667</t>
  </si>
  <si>
    <t>琛雄水磨石踢脚</t>
  </si>
  <si>
    <t>1000021462</t>
  </si>
  <si>
    <t>600*600mm水磨石地砖（共荣，含不超过50mm厚的找平层）</t>
  </si>
  <si>
    <t>1000021463</t>
  </si>
  <si>
    <t>共荣水磨石踢脚</t>
  </si>
  <si>
    <t>1000021668</t>
  </si>
  <si>
    <t>600*600mm水磨石地砖（冠军，含不超过50mm厚的找平层）</t>
  </si>
  <si>
    <t>1000021669</t>
  </si>
  <si>
    <t>冠军水磨石踢脚</t>
  </si>
  <si>
    <t>1000021670</t>
  </si>
  <si>
    <t>木纹砖(琛雄，含不超过50mm厚的找平层)</t>
  </si>
  <si>
    <t>1000021464</t>
  </si>
  <si>
    <t>木纹砖（共荣，含不超过50mm厚的找平层）</t>
  </si>
  <si>
    <t>1000021671</t>
  </si>
  <si>
    <t>木纹砖(冠军，含不超过50mm厚的找平层)</t>
  </si>
  <si>
    <t>1000021715</t>
  </si>
  <si>
    <t>地面灰砖（琛雄，Luna）</t>
  </si>
  <si>
    <t>1000041815</t>
  </si>
  <si>
    <t>地面灰砖（共荣，Luna）</t>
  </si>
  <si>
    <t>1000041821</t>
  </si>
  <si>
    <t>地面灰砖（冠军，Luna）</t>
  </si>
  <si>
    <t>1000021461</t>
  </si>
  <si>
    <t>儿童乐园800*800mm白色亚光砖地面（琛雄）</t>
  </si>
  <si>
    <t>1000021680</t>
  </si>
  <si>
    <t>儿童乐园800*800mm白色亚光砖地面（共荣）</t>
  </si>
  <si>
    <t>1000021681</t>
  </si>
  <si>
    <t>儿童乐园800*800mm白色亚光砖地面（冠军）</t>
  </si>
  <si>
    <t>1000021772</t>
  </si>
  <si>
    <t>儿童乐园微晶石地面（含不超过50mm厚的找平层）</t>
  </si>
  <si>
    <t>57</t>
  </si>
  <si>
    <t>大堂墙面基层和装饰层（不含卫生间及楼梯）</t>
  </si>
  <si>
    <t>1000021773</t>
  </si>
  <si>
    <t>墙面基层（木工板或硅酸钙板）</t>
  </si>
  <si>
    <t>两种计算公式</t>
  </si>
  <si>
    <t>1000021465</t>
  </si>
  <si>
    <t>墙面 /富美家木纹色防火板（不含基层）</t>
  </si>
  <si>
    <t>叠层墙面积</t>
  </si>
  <si>
    <t>1000040124</t>
  </si>
  <si>
    <t>墙面 /富美家深灰色防火板（不含基层）</t>
  </si>
  <si>
    <t>1000021625</t>
  </si>
  <si>
    <t>墙面 /威盛亚木纹色防火板（不含基层）</t>
  </si>
  <si>
    <t>1000021624</t>
  </si>
  <si>
    <t>墙面 /威盛亚深灰色防火板（不含基层）</t>
  </si>
  <si>
    <t>1000021466</t>
  </si>
  <si>
    <t>墙面特种防火板(定制艺术板)（不含基层）</t>
  </si>
  <si>
    <t>1000021467</t>
  </si>
  <si>
    <t>纤维水泥板（室内）</t>
  </si>
  <si>
    <t>1000021470</t>
  </si>
  <si>
    <t>木材纹文理层压板（地板上墙）</t>
  </si>
  <si>
    <t>1000021774</t>
  </si>
  <si>
    <t>A级防火铝型材墙板-墙面基层（方管龙骨）</t>
  </si>
  <si>
    <t>1000021775</t>
  </si>
  <si>
    <t>A级防火铝型材墙板-主材</t>
  </si>
  <si>
    <t>1000021776</t>
  </si>
  <si>
    <t>A级防火铝型材墙板--安装</t>
  </si>
  <si>
    <t>1000021468</t>
  </si>
  <si>
    <t>墙面PMC墙板（琛雄，薄贴法，B1级）</t>
  </si>
  <si>
    <t>1000021469</t>
  </si>
  <si>
    <t>墙面PMC墙板（琛雄，点龙骨施工，B1级）</t>
  </si>
  <si>
    <t>1000021777</t>
  </si>
  <si>
    <t>墙面抹平压光</t>
  </si>
  <si>
    <t>调整（承建商、PM)</t>
  </si>
  <si>
    <t>1000021713</t>
  </si>
  <si>
    <t>墙面多彩板（琛雄，仿涂料效果，B1级）</t>
  </si>
  <si>
    <t>1000051749</t>
  </si>
  <si>
    <t>墙面多彩板（琛雄，木格栅效果，B1级）</t>
  </si>
  <si>
    <t>1000021714</t>
  </si>
  <si>
    <t>墙面多彩板（琛雄，仿木纹效果，含收边条，B1级）</t>
  </si>
  <si>
    <t>1000041864</t>
  </si>
  <si>
    <t>墙面多彩板（大生，仿涂料效果，B1级）</t>
  </si>
  <si>
    <t>1000051751</t>
  </si>
  <si>
    <t>墙面多彩板（大生，木格栅效果，B1级）</t>
  </si>
  <si>
    <t>1000041862</t>
  </si>
  <si>
    <t>墙面多彩板（大生，仿木纹效果，含收边条，B1级）</t>
  </si>
  <si>
    <t>1000041870</t>
  </si>
  <si>
    <t>墙面多彩板（共荣，仿涂料效果，B1级）</t>
  </si>
  <si>
    <t>1000051750</t>
  </si>
  <si>
    <t>墙面多彩板（共荣，木格栅效果，B1级）</t>
  </si>
  <si>
    <t>1000041868</t>
  </si>
  <si>
    <t>墙面多彩板（共荣，仿木纹效果，含收边条，B1级）</t>
  </si>
  <si>
    <t>1000041866</t>
  </si>
  <si>
    <t>墙面多彩板（琛雄，仿涂料效果，A级）</t>
  </si>
  <si>
    <t>1000051752</t>
  </si>
  <si>
    <t>墙面多彩板（琛雄，木格栅效果，A级）</t>
  </si>
  <si>
    <t>1000041865</t>
  </si>
  <si>
    <t>墙面多彩板（琛雄，仿木纹效果，含收边条，A级）</t>
  </si>
  <si>
    <t>1000041863</t>
  </si>
  <si>
    <t>墙面多彩板（大生，仿涂料效果，A级）</t>
  </si>
  <si>
    <t>1000051754</t>
  </si>
  <si>
    <t>墙面多彩板（大生，木格栅效果，A级）</t>
  </si>
  <si>
    <t>1000041861</t>
  </si>
  <si>
    <t>墙面多彩板（大生，仿木纹效果，含收边条，A级）</t>
  </si>
  <si>
    <t>1000041869</t>
  </si>
  <si>
    <t>墙面多彩板（共荣，仿涂料效果，A级）</t>
  </si>
  <si>
    <t>1000051753</t>
  </si>
  <si>
    <t>墙面多彩板（共荣，木格栅效果，A级）</t>
  </si>
  <si>
    <t>1000041867</t>
  </si>
  <si>
    <t>墙面多彩板（共荣，仿木纹效果，含收边条，A级）</t>
  </si>
  <si>
    <t>1000022273</t>
  </si>
  <si>
    <t>墙面波纹板（Luna,含收边、基层及龙骨）</t>
  </si>
  <si>
    <t>1000021682</t>
  </si>
  <si>
    <t>墙面小白砖50*50mm（琛雄）</t>
  </si>
  <si>
    <t>1000021683</t>
  </si>
  <si>
    <t>墙面小黄砖50*50mm（琛雄）</t>
  </si>
  <si>
    <t>1000021684</t>
  </si>
  <si>
    <t>墙面灰色砖50*50mm（琛雄）</t>
  </si>
  <si>
    <t>1000021471</t>
  </si>
  <si>
    <t>墙面小白砖50*50mm（共荣）</t>
  </si>
  <si>
    <t>1000021472</t>
  </si>
  <si>
    <t>墙面小黄砖50*50mm（共荣）</t>
  </si>
  <si>
    <t>1000021473</t>
  </si>
  <si>
    <t>墙面灰色砖50*50mm（共荣）</t>
  </si>
  <si>
    <t>1000021685</t>
  </si>
  <si>
    <t>墙面小白砖50*50mm（冠军）</t>
  </si>
  <si>
    <t>1000021686</t>
  </si>
  <si>
    <t>墙面小黄砖50*50mm（冠军）</t>
  </si>
  <si>
    <t>1000021687</t>
  </si>
  <si>
    <t>墙面灰色砖50*50mm（冠军）</t>
  </si>
  <si>
    <t>1000021778</t>
  </si>
  <si>
    <t>烤漆方管装饰条</t>
  </si>
  <si>
    <t>1000021474</t>
  </si>
  <si>
    <t>墙面白色涂料（含保护清漆，可擦洗）</t>
  </si>
  <si>
    <t>1000021688</t>
  </si>
  <si>
    <t>木纹墙面砖（琛雄 ）</t>
  </si>
  <si>
    <t>1000021475</t>
  </si>
  <si>
    <t>木纹墙面砖（共荣 ）</t>
  </si>
  <si>
    <t>1000021689</t>
  </si>
  <si>
    <t>木纹墙面砖（冠军 ）</t>
  </si>
  <si>
    <t>1000021476</t>
  </si>
  <si>
    <t>仿水磨石墙面砖（琛雄）</t>
  </si>
  <si>
    <t>1000021690</t>
  </si>
  <si>
    <t>仿水磨石墙面砖（共荣）</t>
  </si>
  <si>
    <t>1000021691</t>
  </si>
  <si>
    <t>仿水磨石墙面砖（冠军）</t>
  </si>
  <si>
    <t>1000021477</t>
  </si>
  <si>
    <t>200*200mm墙面粉白砖（琛雄）</t>
  </si>
  <si>
    <t>1000021692</t>
  </si>
  <si>
    <t>200*200mm墙面粉白砖（共荣）</t>
  </si>
  <si>
    <t>1000021693</t>
  </si>
  <si>
    <t>200*200mm墙面粉白砖（冠军）</t>
  </si>
  <si>
    <t>1000021694</t>
  </si>
  <si>
    <t>150*150mm墙面粉白砖（琛雄,Geometry）</t>
  </si>
  <si>
    <t>1000021696</t>
  </si>
  <si>
    <t>150*150mm墙面粉白砖（共荣,Geometry）</t>
  </si>
  <si>
    <t>1000021695</t>
  </si>
  <si>
    <t>150*150mm墙面粉白砖（冠军,Geometry）</t>
  </si>
  <si>
    <t>1000021478</t>
  </si>
  <si>
    <t>墙面贴面砖（琛雄）</t>
  </si>
  <si>
    <t>1000021645</t>
  </si>
  <si>
    <t>墙面贴面砖（共荣）</t>
  </si>
  <si>
    <t>1000021626</t>
  </si>
  <si>
    <t>墙面贴面砖（冠军）</t>
  </si>
  <si>
    <t>1000051727</t>
  </si>
  <si>
    <t>墙面灰色水泥砖（琛雄）</t>
  </si>
  <si>
    <t>1000051728</t>
  </si>
  <si>
    <t>墙面灰色水泥砖（共荣）</t>
  </si>
  <si>
    <t>1000051729</t>
  </si>
  <si>
    <t>墙面灰色水泥砖（冠军）</t>
  </si>
  <si>
    <t>1000021716</t>
  </si>
  <si>
    <t>墙面灰砖（琛雄，Luna)</t>
  </si>
  <si>
    <t>1000041814</t>
  </si>
  <si>
    <t>墙面灰砖（共荣，Luna)</t>
  </si>
  <si>
    <t>1000041820</t>
  </si>
  <si>
    <t>墙面灰砖（冠军，Luna)</t>
  </si>
  <si>
    <t>1000021717</t>
  </si>
  <si>
    <t>墙面黑砖（琛雄，Luna)</t>
  </si>
  <si>
    <t>1000041813</t>
  </si>
  <si>
    <t>墙面黑砖（共荣，Luna)</t>
  </si>
  <si>
    <t>1000041819</t>
  </si>
  <si>
    <t>墙面黑砖（冠军，Luna)</t>
  </si>
  <si>
    <t>1000021481</t>
  </si>
  <si>
    <t>100*300mm黑色哑光面砖（琛雄）</t>
  </si>
  <si>
    <t>1000021672</t>
  </si>
  <si>
    <t>100*300mm黑色哑光面砖（共荣）</t>
  </si>
  <si>
    <t>1000021698</t>
  </si>
  <si>
    <t>100*300mm黑色哑光面砖（冠军）</t>
  </si>
  <si>
    <t>1000041811</t>
  </si>
  <si>
    <t>100*300mm深灰色哑光面砖（琛雄，Geometry）</t>
  </si>
  <si>
    <t>1000041817</t>
  </si>
  <si>
    <t>100*300mm深灰色哑光面砖（共荣，Geometry）</t>
  </si>
  <si>
    <t>1000041823</t>
  </si>
  <si>
    <t>100*300mm深灰色哑光面砖（冠军，Geometry）</t>
  </si>
  <si>
    <t>1000021479</t>
  </si>
  <si>
    <t>小青砖（琛雄）</t>
  </si>
  <si>
    <t>1000021480</t>
  </si>
  <si>
    <t>小青砖（共荣）</t>
  </si>
  <si>
    <t>1000021697</t>
  </si>
  <si>
    <t>小青砖（冠军）</t>
  </si>
  <si>
    <t>1000021632</t>
  </si>
  <si>
    <t>防火板红色六角螺丝（Ray,墙面装饰）</t>
  </si>
  <si>
    <t>1000021482</t>
  </si>
  <si>
    <t>人造石贴面（不含基层）</t>
  </si>
  <si>
    <t>1000021483</t>
  </si>
  <si>
    <t>室内深色乳胶漆（含批搪，可擦洗）</t>
  </si>
  <si>
    <t>1000021779</t>
  </si>
  <si>
    <t>装饰画墙面基层</t>
  </si>
  <si>
    <t>66</t>
  </si>
  <si>
    <t>1644</t>
  </si>
  <si>
    <t>大堂墙面，墙画</t>
  </si>
  <si>
    <t>1000021627</t>
  </si>
  <si>
    <t>墙画（仅主材-1年期）</t>
  </si>
  <si>
    <t>1000021484</t>
  </si>
  <si>
    <t>墙画（仅主材-3年期）</t>
  </si>
  <si>
    <t>1000021628</t>
  </si>
  <si>
    <t>墙画（仅主材-5年期）</t>
  </si>
  <si>
    <t>1000021780</t>
  </si>
  <si>
    <t>墙画安装</t>
  </si>
  <si>
    <t>1000021606</t>
  </si>
  <si>
    <t>热压膜（主材）</t>
  </si>
  <si>
    <t>1000022164</t>
  </si>
  <si>
    <t>热压膜（安装）</t>
  </si>
  <si>
    <t>1000021648</t>
  </si>
  <si>
    <t>餐厅定制3M墙画（Ray,主材及安装）</t>
  </si>
  <si>
    <t>58</t>
  </si>
  <si>
    <t>大堂吊顶（不含卫生间）</t>
  </si>
  <si>
    <t>1000021485</t>
  </si>
  <si>
    <t>600x600烤漆T龙防潮隔音矿棉天花</t>
  </si>
  <si>
    <t>天花板面积</t>
  </si>
  <si>
    <t>1000021486</t>
  </si>
  <si>
    <t>600*1200烤漆龙骨防潮矿棉板天花</t>
  </si>
  <si>
    <t>1000021487</t>
  </si>
  <si>
    <t>600*1200烤漆龙骨防潮防水矿棉板天花</t>
  </si>
  <si>
    <t>1000021488</t>
  </si>
  <si>
    <t>600*1200烤漆龙骨防潮灰色矿棉板天花</t>
  </si>
  <si>
    <t>1000051716</t>
  </si>
  <si>
    <t>600*1200烤漆龙骨灰色木丝吸音板天花</t>
  </si>
  <si>
    <t>1000040048</t>
  </si>
  <si>
    <t>装饰木质格栅</t>
  </si>
  <si>
    <t>1000021490</t>
  </si>
  <si>
    <t>孔板天花（含收边，含所有龙骨等辅件）</t>
  </si>
  <si>
    <t>1000051745</t>
  </si>
  <si>
    <t>孔板天花（桂可道，含收边，含所有龙骨等辅件）</t>
  </si>
  <si>
    <t>1000021491</t>
  </si>
  <si>
    <t>碳灰色镜面板（含收边，含所有龙骨等辅件）</t>
  </si>
  <si>
    <r>
      <t>天花板面积</t>
    </r>
    <r>
      <rPr>
        <sz val="9"/>
        <rFont val="Tahoma"/>
        <charset val="134"/>
      </rPr>
      <t>+</t>
    </r>
    <r>
      <rPr>
        <sz val="9"/>
        <rFont val="宋体-简"/>
        <charset val="134"/>
      </rPr>
      <t>基本墙面积（特殊）</t>
    </r>
  </si>
  <si>
    <t>1000022180</t>
  </si>
  <si>
    <t>不锈钢波纹艺术天花（Luna,含收边、龙骨等辅件）</t>
  </si>
  <si>
    <t>1000021781</t>
  </si>
  <si>
    <t>轻钢龙骨石膏板叠级天花（含收口凹槽）</t>
  </si>
  <si>
    <t>跌级天花板面积</t>
  </si>
  <si>
    <t>1000021782</t>
  </si>
  <si>
    <t>轻钢龙骨石膏板天花</t>
  </si>
  <si>
    <t>平级天花板面积+基本墙（特殊，倍率，300以内不计算）</t>
  </si>
  <si>
    <t>1000021783</t>
  </si>
  <si>
    <t>防火板天花</t>
  </si>
  <si>
    <r>
      <t>天花板面积</t>
    </r>
    <r>
      <rPr>
        <sz val="9"/>
        <rFont val="Tahoma"/>
        <charset val="134"/>
      </rPr>
      <t>+</t>
    </r>
    <r>
      <rPr>
        <sz val="9"/>
        <rFont val="宋体-简"/>
        <charset val="134"/>
      </rPr>
      <t>基本墙面积</t>
    </r>
  </si>
  <si>
    <r>
      <t>【主材</t>
    </r>
    <r>
      <rPr>
        <sz val="9"/>
        <rFont val="Tahoma"/>
        <charset val="134"/>
      </rPr>
      <t>.</t>
    </r>
    <r>
      <rPr>
        <sz val="9"/>
        <rFont val="宋体-简"/>
        <charset val="134"/>
      </rPr>
      <t>天花板</t>
    </r>
    <r>
      <rPr>
        <sz val="9"/>
        <rFont val="Tahoma"/>
        <charset val="134"/>
      </rPr>
      <t>.</t>
    </r>
    <r>
      <rPr>
        <sz val="9"/>
        <rFont val="宋体-简"/>
        <charset val="134"/>
      </rPr>
      <t>轻钢龙骨石膏板天花</t>
    </r>
    <r>
      <rPr>
        <sz val="9"/>
        <rFont val="Tahoma"/>
        <charset val="134"/>
      </rPr>
      <t>.</t>
    </r>
    <r>
      <rPr>
        <sz val="9"/>
        <rFont val="宋体-简"/>
        <charset val="134"/>
      </rPr>
      <t>面积】</t>
    </r>
    <r>
      <rPr>
        <sz val="9"/>
        <rFont val="Tahoma"/>
        <charset val="134"/>
      </rPr>
      <t>+1.3*</t>
    </r>
    <r>
      <rPr>
        <sz val="9"/>
        <rFont val="宋体-简"/>
        <charset val="134"/>
      </rPr>
      <t>【主材</t>
    </r>
    <r>
      <rPr>
        <sz val="9"/>
        <rFont val="Tahoma"/>
        <charset val="134"/>
      </rPr>
      <t>.</t>
    </r>
    <r>
      <rPr>
        <sz val="9"/>
        <rFont val="宋体-简"/>
        <charset val="134"/>
      </rPr>
      <t>天花板</t>
    </r>
    <r>
      <rPr>
        <sz val="9"/>
        <rFont val="Tahoma"/>
        <charset val="134"/>
      </rPr>
      <t>.</t>
    </r>
    <r>
      <rPr>
        <sz val="9"/>
        <rFont val="宋体-简"/>
        <charset val="134"/>
      </rPr>
      <t>轻钢龙骨石膏板叠级天花（含收口凹槽）</t>
    </r>
    <r>
      <rPr>
        <sz val="9"/>
        <rFont val="Tahoma"/>
        <charset val="134"/>
      </rPr>
      <t>.</t>
    </r>
    <r>
      <rPr>
        <sz val="9"/>
        <rFont val="宋体-简"/>
        <charset val="134"/>
      </rPr>
      <t>面积】</t>
    </r>
  </si>
  <si>
    <t>1000021489</t>
  </si>
  <si>
    <r>
      <t>天花黄色</t>
    </r>
    <r>
      <rPr>
        <sz val="9"/>
        <rFont val="Arial"/>
        <charset val="134"/>
      </rPr>
      <t>/</t>
    </r>
    <r>
      <rPr>
        <sz val="9"/>
        <rFont val="宋体-简"/>
        <charset val="134"/>
      </rPr>
      <t>棕色涂料（无腻子，喷刷）</t>
    </r>
  </si>
  <si>
    <t>1000021784</t>
  </si>
  <si>
    <t>天花轨道灯灯槽（含乳胶漆饰面）</t>
  </si>
  <si>
    <t>自建族增加几何属性</t>
  </si>
  <si>
    <t>1000021785</t>
  </si>
  <si>
    <t>遮光板不锈钢收口</t>
  </si>
  <si>
    <t>系统族单边长度，类似防滑条</t>
  </si>
  <si>
    <t>59</t>
  </si>
  <si>
    <t>DT外立面(总包自建)</t>
  </si>
  <si>
    <t>1000021443</t>
  </si>
  <si>
    <t>DT-外墙漆</t>
  </si>
  <si>
    <t>1000021444</t>
  </si>
  <si>
    <t>DT-售卖窗口推拉窗（主材，佳诺浩德）</t>
  </si>
  <si>
    <t>1000053608</t>
  </si>
  <si>
    <t>DT-售卖窗口推拉窗（主材，天晟）</t>
  </si>
  <si>
    <t>1000053611</t>
  </si>
  <si>
    <t>DT-售卖窗口推拉窗（主材，航凯）</t>
  </si>
  <si>
    <t>1000081636</t>
  </si>
  <si>
    <t>DT-售卖窗口推拉窗（主材，力保)</t>
  </si>
  <si>
    <t>1000021718</t>
  </si>
  <si>
    <t>DT-二层室外楼梯不锈钢扶手</t>
  </si>
  <si>
    <t>不建模</t>
  </si>
  <si>
    <t>1000021719</t>
  </si>
  <si>
    <t>刀旗加固（仅适用于刀旗高出建筑物的情况）</t>
  </si>
  <si>
    <t>户外棚架区、伞位区</t>
  </si>
  <si>
    <t>1000021722</t>
  </si>
  <si>
    <r>
      <t>DT-</t>
    </r>
    <r>
      <rPr>
        <sz val="9"/>
        <rFont val="宋体-简"/>
        <charset val="134"/>
      </rPr>
      <t>室外棚架钢结构及油漆</t>
    </r>
  </si>
  <si>
    <t>1000021723</t>
  </si>
  <si>
    <t>DT-室外花槽及防水</t>
  </si>
  <si>
    <t>1000021445</t>
  </si>
  <si>
    <t>DT-花槽塑铝板</t>
  </si>
  <si>
    <t>1000021724</t>
  </si>
  <si>
    <t>DT-花槽格栅及喷漆</t>
  </si>
  <si>
    <t>外立面装修</t>
  </si>
  <si>
    <t>1000021787</t>
  </si>
  <si>
    <t>铝框12mm 钢化玻璃（单层）</t>
  </si>
  <si>
    <t>幕墙面积</t>
  </si>
  <si>
    <t>1000021788</t>
  </si>
  <si>
    <t>铝框6+6mm 钢化玻璃（双层）</t>
  </si>
  <si>
    <t>1000021789</t>
  </si>
  <si>
    <t>铝框15mm 钢化防火玻璃</t>
  </si>
  <si>
    <t>1000021790</t>
  </si>
  <si>
    <t>铝框19mm 钢化防火玻璃</t>
  </si>
  <si>
    <t>1000021791</t>
  </si>
  <si>
    <t>12mm 钢化玻璃（不含铝框）</t>
  </si>
  <si>
    <t>1000022168</t>
  </si>
  <si>
    <t>窗框刷漆</t>
  </si>
  <si>
    <t>1000021442</t>
  </si>
  <si>
    <t>消防排烟窗</t>
  </si>
  <si>
    <t>玻璃嵌板面积</t>
  </si>
  <si>
    <t>1000021629</t>
  </si>
  <si>
    <t>人造石贴面</t>
  </si>
  <si>
    <r>
      <t>天花</t>
    </r>
    <r>
      <rPr>
        <sz val="9"/>
        <rFont val="Tahoma"/>
        <charset val="134"/>
      </rPr>
      <t>+</t>
    </r>
    <r>
      <rPr>
        <sz val="9"/>
        <rFont val="宋体-简"/>
        <charset val="134"/>
      </rPr>
      <t>基本墙</t>
    </r>
  </si>
  <si>
    <t>1000021492</t>
  </si>
  <si>
    <t>外墙塑铝板（新高丽）</t>
  </si>
  <si>
    <t>天花+基本墙</t>
  </si>
  <si>
    <t>1000040125</t>
  </si>
  <si>
    <t>外墙塑铝板（桂可道）</t>
  </si>
  <si>
    <t>1000040126</t>
  </si>
  <si>
    <t>外墙塑铝板（标榜）</t>
  </si>
  <si>
    <t>1000022142</t>
  </si>
  <si>
    <t>外墙花纹木纹铝塑板（Luna，A级防火）</t>
  </si>
  <si>
    <t>1000021792</t>
  </si>
  <si>
    <t>外立面穿孔铝板安装</t>
  </si>
  <si>
    <t>【主材.墙饰面.木纹色防火板（不含基层）.实际面积】+【主材.墙饰面.纤维水泥板（室内）.实际面积】</t>
  </si>
  <si>
    <t>1000021494</t>
  </si>
  <si>
    <t>纤维水泥板（室外）</t>
  </si>
  <si>
    <t>1000021493</t>
  </si>
  <si>
    <t>镜面铝塑板（桂可道）</t>
  </si>
  <si>
    <t>1000040119</t>
  </si>
  <si>
    <t>镜面铝塑板（标榜）</t>
  </si>
  <si>
    <t>1000021786</t>
  </si>
  <si>
    <t>外立面纯铝板</t>
  </si>
  <si>
    <t>1000021793</t>
  </si>
  <si>
    <t>外立面宣传画基层</t>
  </si>
  <si>
    <t>1000021459</t>
  </si>
  <si>
    <t>门头内充保温棉（适用北区外立面）</t>
  </si>
  <si>
    <t>1000021794</t>
  </si>
  <si>
    <t>外墙脚手架及吊篮（高于5米，低于9米）-按m2计</t>
  </si>
  <si>
    <t>1000021795</t>
  </si>
  <si>
    <t>外墙脚手架及吊篮（高于9米）-按m2计</t>
  </si>
  <si>
    <t>1000021630</t>
  </si>
  <si>
    <t>外立面墙面砖（琛雄）</t>
  </si>
  <si>
    <t>1000021646</t>
  </si>
  <si>
    <t>外立面墙面砖（共荣）</t>
  </si>
  <si>
    <t>1000021631</t>
  </si>
  <si>
    <t>外立面墙面砖（冠军）</t>
  </si>
  <si>
    <t>厨房墙面（不含员休室）</t>
  </si>
  <si>
    <t>1000021636</t>
  </si>
  <si>
    <t>150*75mm二三窗墙面砖（琛雄）</t>
  </si>
  <si>
    <t>1000021647</t>
  </si>
  <si>
    <t>150*75mm二三窗墙面砖（共荣）</t>
  </si>
  <si>
    <t>1000021495</t>
  </si>
  <si>
    <t>150*75mm二三窗墙面砖（冠军）</t>
  </si>
  <si>
    <t>1000021496</t>
  </si>
  <si>
    <t>仿木外墙装饰条</t>
  </si>
  <si>
    <t>1000021497</t>
  </si>
  <si>
    <t>仿木外墙装饰条（非标，按米计）</t>
  </si>
  <si>
    <t>1000021498</t>
  </si>
  <si>
    <t>外立面乳胶漆</t>
  </si>
  <si>
    <t>踢脚线长度</t>
  </si>
  <si>
    <t>1000021796</t>
  </si>
  <si>
    <t>石材砖踢脚</t>
  </si>
  <si>
    <t>1000021797</t>
  </si>
  <si>
    <t>不锈钢踢脚 H=200mm</t>
  </si>
  <si>
    <t>148</t>
  </si>
  <si>
    <t>1000021499</t>
  </si>
  <si>
    <t>铝合金双开门连门框及全部配件（主材，佳诺浩德）</t>
  </si>
  <si>
    <t>樘</t>
  </si>
  <si>
    <t>1000021500</t>
  </si>
  <si>
    <t>铝合金单开门连门框及全部配件（主材，佳诺浩德）</t>
  </si>
  <si>
    <t>1000053607</t>
  </si>
  <si>
    <t>铝合金双开门连门框及全部配件（主材，天晟）</t>
  </si>
  <si>
    <t>1000053606</t>
  </si>
  <si>
    <t>铝合金单开门连门框及全部配件（主材，天晟）</t>
  </si>
  <si>
    <t>1000053610</t>
  </si>
  <si>
    <t>铝合金双开门连门框及全部配件（主材，航凯）</t>
  </si>
  <si>
    <t>1000053609</t>
  </si>
  <si>
    <t>铝合金单开门连门框及全部配件（主材，航凯）</t>
  </si>
  <si>
    <t>1000081295</t>
  </si>
  <si>
    <t>铝合金双开门连门框及全部配件（主材，力保）</t>
  </si>
  <si>
    <t>1000081635</t>
  </si>
  <si>
    <t>铝合金单开门连门框及全部配件（主材，力保）</t>
  </si>
  <si>
    <t>1000021800</t>
  </si>
  <si>
    <t>（主材）无框双开门连门框及全部配件</t>
  </si>
  <si>
    <t>1000021663</t>
  </si>
  <si>
    <t>（主材）无框单开门连门框及全部配件</t>
  </si>
  <si>
    <t>1000081639</t>
  </si>
  <si>
    <t>窄边不锈钢双开门连门框及全部配件（主材，天晟）</t>
  </si>
  <si>
    <t>1000082233</t>
  </si>
  <si>
    <t>窄边不锈钢单开门连门框及全部配件（主材，天晟）</t>
  </si>
  <si>
    <t>1000082234</t>
  </si>
  <si>
    <t>窄边不锈钢双开门连门框及全部配件（主材，航凯）</t>
  </si>
  <si>
    <t>1000082402</t>
  </si>
  <si>
    <t>窄边不锈钢单开门连门框及全部配件（主材，航凯）</t>
  </si>
  <si>
    <t>1000081637</t>
  </si>
  <si>
    <t>窄边不锈钢双开门连门框及全部配件（主材，力保）</t>
  </si>
  <si>
    <t>1000081638</t>
  </si>
  <si>
    <t>窄边不锈钢单开门连门框及全部配件（主材，力保）</t>
  </si>
  <si>
    <t>1000021798</t>
  </si>
  <si>
    <t>(安装)铝合金双开门连门框</t>
  </si>
  <si>
    <t>1000021799</t>
  </si>
  <si>
    <t>(安装)铝合金单开门连门框</t>
  </si>
  <si>
    <t>1000021801</t>
  </si>
  <si>
    <t>红色门头安装</t>
  </si>
  <si>
    <t>正面长度</t>
  </si>
  <si>
    <t>60</t>
  </si>
  <si>
    <t>1000021802</t>
  </si>
  <si>
    <t>钢木结构柜台连面板及柜台立面(台面+立面人造石)</t>
  </si>
  <si>
    <t>1000022158</t>
  </si>
  <si>
    <t>主店柜台安装（3+1成品柜台）</t>
  </si>
  <si>
    <t>常规餐厅配置</t>
  </si>
  <si>
    <t>卫生间地面</t>
  </si>
  <si>
    <r>
      <t>楼板面积</t>
    </r>
    <r>
      <rPr>
        <sz val="9"/>
        <rFont val="Tahoma"/>
        <charset val="134"/>
      </rPr>
      <t>+</t>
    </r>
    <r>
      <rPr>
        <sz val="9"/>
        <rFont val="宋体-简"/>
        <charset val="134"/>
      </rPr>
      <t>基本墙面积</t>
    </r>
  </si>
  <si>
    <t>卫生间墙面</t>
  </si>
  <si>
    <t>1000021633</t>
  </si>
  <si>
    <t>卫生间墙面砖（琛雄）</t>
  </si>
  <si>
    <t>1000021649</t>
  </si>
  <si>
    <t>卫生间墙面砖（共荣）</t>
  </si>
  <si>
    <t>1000021634</t>
  </si>
  <si>
    <t>卫生间墙面砖（冠军）</t>
  </si>
  <si>
    <t>1000021709</t>
  </si>
  <si>
    <t>100*300mm白色哑光面砖（琛雄，Ray)</t>
  </si>
  <si>
    <t>1000021710</t>
  </si>
  <si>
    <t>100*300mm白色哑光面砖（冠军，Ray)</t>
  </si>
  <si>
    <t>1000021711</t>
  </si>
  <si>
    <t>100*300mm白色哑光面砖（共荣，Ray)</t>
  </si>
  <si>
    <t>1000021517</t>
  </si>
  <si>
    <t>室内浅色乳胶漆（含批搪，遮盖）</t>
  </si>
  <si>
    <t>卫生间吊顶</t>
  </si>
  <si>
    <t>1000022179</t>
  </si>
  <si>
    <t>卫生间轻钢龙骨石膏板天花</t>
  </si>
  <si>
    <t>1000021803</t>
  </si>
  <si>
    <t>叠级天花与墙体收口凹槽</t>
  </si>
  <si>
    <t>卫生间洗手台</t>
  </si>
  <si>
    <t>1000021804</t>
  </si>
  <si>
    <t>卫生间钢木洗手台架连人造石（高低隔）</t>
  </si>
  <si>
    <t>自建族增加长度参数</t>
  </si>
  <si>
    <t>1000021805</t>
  </si>
  <si>
    <t>卫生间钢木洗手台架连人造石（直条型）</t>
  </si>
  <si>
    <t>1000021501</t>
  </si>
  <si>
    <t>卫生间钢木洗手台架连仿水磨石台面（成品定制）</t>
  </si>
  <si>
    <t>1000021502</t>
  </si>
  <si>
    <t>卫生间钢木洗手台架连仿水磨石台面（直条型）</t>
  </si>
  <si>
    <t>1000021503</t>
  </si>
  <si>
    <t>卫生间钢木洗手台架连仿水磨石台面（高低隔）</t>
  </si>
  <si>
    <t>1000021806</t>
  </si>
  <si>
    <t>不锈钢包边镜面</t>
  </si>
  <si>
    <t>块</t>
  </si>
  <si>
    <t>1000022162</t>
  </si>
  <si>
    <t>不包边镜子</t>
  </si>
  <si>
    <t>1000051725</t>
  </si>
  <si>
    <t>洗手台下方不锈钢挡板</t>
  </si>
  <si>
    <t>调整\市场特性</t>
  </si>
  <si>
    <t>1000021807</t>
  </si>
  <si>
    <t>卫生间不锈钢拉手</t>
  </si>
  <si>
    <t>1000021808</t>
  </si>
  <si>
    <t>不锈钢分隔条</t>
  </si>
  <si>
    <t>1000021504</t>
  </si>
  <si>
    <t>手机承载平台</t>
  </si>
  <si>
    <t>卫生间隔断</t>
  </si>
  <si>
    <t>1000021505</t>
  </si>
  <si>
    <t>卫生间   防潮隔断板连门</t>
  </si>
  <si>
    <t>1000021506</t>
  </si>
  <si>
    <t>卫生间   防潮隔断五金件</t>
  </si>
  <si>
    <t>1000021650</t>
  </si>
  <si>
    <t>卫生间防潮隔断板连门（远达供应）</t>
  </si>
  <si>
    <t>1000021651</t>
  </si>
  <si>
    <t>卫生间防潮隔断五金件（远达供应）</t>
  </si>
  <si>
    <t>1000053615</t>
  </si>
  <si>
    <t>卫生间防潮隔断板连门（航凯供应）</t>
  </si>
  <si>
    <t>1000053616</t>
  </si>
  <si>
    <t>卫生间防潮隔断五金件（航凯供应）</t>
  </si>
  <si>
    <t>67</t>
  </si>
  <si>
    <t>1645</t>
  </si>
  <si>
    <t>卫生间洁具</t>
  </si>
  <si>
    <t>1000021809</t>
  </si>
  <si>
    <t>台下盆连感应龙头</t>
  </si>
  <si>
    <t>是=卫生间钢木洗手台架连仿水磨石台面(高低隔)</t>
  </si>
  <si>
    <t>1000021810</t>
  </si>
  <si>
    <t>坐便器</t>
  </si>
  <si>
    <t>1000021811</t>
  </si>
  <si>
    <t>蹲便器连冲洗阀</t>
  </si>
  <si>
    <t>1000021812</t>
  </si>
  <si>
    <t>小便器连感应器</t>
  </si>
  <si>
    <t>1000021507</t>
  </si>
  <si>
    <t>台下盆连感应龙头-LEED认证</t>
  </si>
  <si>
    <t>1000021508</t>
  </si>
  <si>
    <t>坐便器-LEED认证</t>
  </si>
  <si>
    <t>1000040120</t>
  </si>
  <si>
    <t>蹲便器配隐藏式水箱-LEED认证</t>
  </si>
  <si>
    <t>1000021510</t>
  </si>
  <si>
    <t>小便器连感应器-LEED认证</t>
  </si>
  <si>
    <t>62</t>
  </si>
  <si>
    <t>1000021511</t>
  </si>
  <si>
    <t>国产同质砖（琛雄，含不超过50mm厚的找平层，楼梯）</t>
  </si>
  <si>
    <t>1000021673</t>
  </si>
  <si>
    <t>国产同质砖踢脚（琛雄，楼梯）</t>
  </si>
  <si>
    <t>1000021652</t>
  </si>
  <si>
    <t>国产同质砖（共荣，含不超过50mm厚的找平层，楼梯）</t>
  </si>
  <si>
    <t>1000021653</t>
  </si>
  <si>
    <t>国产同质砖踢脚（共荣，楼梯）</t>
  </si>
  <si>
    <t>1000021512</t>
  </si>
  <si>
    <t>国产同质砖（冠军，含不超过50mm厚的找平层，楼梯）</t>
  </si>
  <si>
    <t>1000021513</t>
  </si>
  <si>
    <t>国产同质砖踢脚（冠军，楼梯）</t>
  </si>
  <si>
    <t>1000053618</t>
  </si>
  <si>
    <t>600*600mm灰色水泥地砖（琛雄，含不超过50mm厚的找平层，楼梯）</t>
  </si>
  <si>
    <t>1000053621</t>
  </si>
  <si>
    <t>灰色水泥纹踢脚（琛雄，楼梯）</t>
  </si>
  <si>
    <t>1000053619</t>
  </si>
  <si>
    <t>600*600mm灰色水泥地砖（共荣，含不超过50mm厚的找平层，楼梯）</t>
  </si>
  <si>
    <t>1000053622</t>
  </si>
  <si>
    <t>灰色水泥纹踢脚（共荣，楼梯）</t>
  </si>
  <si>
    <t>1000053620</t>
  </si>
  <si>
    <t>600*600mm灰色水泥地砖（冠军，含不超过50mm厚的找平层，楼梯）</t>
  </si>
  <si>
    <t>1000053623</t>
  </si>
  <si>
    <t>灰色水泥纹踢脚（冠军，楼梯）</t>
  </si>
  <si>
    <t>1000021700</t>
  </si>
  <si>
    <t>600*600mm黄色水磨石地砖（琛雄，含不超过50mm厚的找平层）</t>
  </si>
  <si>
    <t>1000021702</t>
  </si>
  <si>
    <t>黄色水磨石踢脚（琛雄）</t>
  </si>
  <si>
    <t>1000021514</t>
  </si>
  <si>
    <t>600*600mm黄色水磨石地砖（共荣，含不超过50mm厚的找平层）</t>
  </si>
  <si>
    <t>1000021515</t>
  </si>
  <si>
    <t>黄色水磨石踢脚（共荣）</t>
  </si>
  <si>
    <t>1000021699</t>
  </si>
  <si>
    <t>600*600mm黄色水磨石地砖（冠军，含不超过50mm厚的找平层）</t>
  </si>
  <si>
    <t>1000021701</t>
  </si>
  <si>
    <t>黄色水磨石踢脚（冠军）</t>
  </si>
  <si>
    <t>1000051733</t>
  </si>
  <si>
    <t>混凝土地面砖（琛雄，人字形拼接，楼梯）</t>
  </si>
  <si>
    <t>1000051734</t>
  </si>
  <si>
    <t>混凝土地面砖（共荣，人字形拼接，楼梯）</t>
  </si>
  <si>
    <t>1000051735</t>
  </si>
  <si>
    <t>混凝土地面砖（冠军，人字形拼接，楼梯）</t>
  </si>
  <si>
    <t>1000051742</t>
  </si>
  <si>
    <t>黑色踢脚（琛雄，Geometry，楼梯）</t>
  </si>
  <si>
    <t>1000051743</t>
  </si>
  <si>
    <t>黑色踢脚（共荣，Geometry，楼梯）</t>
  </si>
  <si>
    <t>1000051744</t>
  </si>
  <si>
    <t>黑色踢脚（冠军，Geometry，楼梯）</t>
  </si>
  <si>
    <t>1000051736</t>
  </si>
  <si>
    <t>木纹砖(琛雄，含不超过50mm厚的找平层，楼梯)</t>
  </si>
  <si>
    <t>1000051737</t>
  </si>
  <si>
    <t>木纹砖（共荣，含不超过50mm厚的找平层，楼梯）</t>
  </si>
  <si>
    <t>1000051738</t>
  </si>
  <si>
    <t>木纹砖(冠军，含不超过50mm厚的找平层，楼梯)</t>
  </si>
  <si>
    <t>1000051739</t>
  </si>
  <si>
    <t>地面灰砖（琛雄，Luna，楼梯）</t>
  </si>
  <si>
    <t>1000051740</t>
  </si>
  <si>
    <t>地面灰砖（共荣，Luna，楼梯）</t>
  </si>
  <si>
    <t>1000051741</t>
  </si>
  <si>
    <t>地面灰砖（冠军，Luna，楼梯）</t>
  </si>
  <si>
    <t>1000021813</t>
  </si>
  <si>
    <t>19mm玻璃下口冠军同质砖地台</t>
  </si>
  <si>
    <t>1000021814</t>
  </si>
  <si>
    <t>钢结构楼梯钢板网敷设及水泥垫层（按展开面积计算）</t>
  </si>
  <si>
    <t>1000021815</t>
  </si>
  <si>
    <t>40*4发丝不锈钢靠墙拦河</t>
  </si>
  <si>
    <t>1000021816</t>
  </si>
  <si>
    <t>40*4发丝不锈钢弧形拦河</t>
  </si>
  <si>
    <t>1000021662</t>
  </si>
  <si>
    <t>楼梯柚木色扶手</t>
  </si>
  <si>
    <t>1000085729</t>
  </si>
  <si>
    <t>楼梯柚木扶手钢支架</t>
  </si>
  <si>
    <t>1000045090</t>
  </si>
  <si>
    <t>楼梯碳钢护栏（Ray风格）</t>
  </si>
  <si>
    <t>1000021817</t>
  </si>
  <si>
    <t>19mm玻璃护栏</t>
  </si>
  <si>
    <t>1000021818</t>
  </si>
  <si>
    <t>楼梯上口石膏板吊顶</t>
  </si>
  <si>
    <t>1000021922</t>
  </si>
  <si>
    <t>黄色水性环氧半光涂料（Ray,楼梯饰面）</t>
  </si>
  <si>
    <t>63</t>
  </si>
  <si>
    <t>员休室地面</t>
  </si>
  <si>
    <t>1000021454</t>
  </si>
  <si>
    <t>150x150mm灰色砖地面（琛雄，含不超过50mm厚的找平层）</t>
  </si>
  <si>
    <t>1000021455</t>
  </si>
  <si>
    <t>灰色砖踢脚（琛雄，含阴阳角）</t>
  </si>
  <si>
    <t>1000021654</t>
  </si>
  <si>
    <t>150x150mm灰色砖地面（共荣，含不超过50mm厚的找平层）</t>
  </si>
  <si>
    <t>1000021655</t>
  </si>
  <si>
    <t>灰色砖踢脚（共荣，含阴阳角）</t>
  </si>
  <si>
    <t>1000021676</t>
  </si>
  <si>
    <t>150x150mm灰色砖地面（冠军，含不超过50mm厚的找平层）</t>
  </si>
  <si>
    <t>1000021677</t>
  </si>
  <si>
    <t>灰色砖踢脚（冠军，含阴阳角）</t>
  </si>
  <si>
    <t>员休室墙面</t>
  </si>
  <si>
    <t>公式</t>
  </si>
  <si>
    <t>员休室吊顶</t>
  </si>
  <si>
    <t>1000021519</t>
  </si>
  <si>
    <t>600x600 烤漆龙骨防油石膏板天花</t>
  </si>
  <si>
    <t>员休室家具及其他</t>
  </si>
  <si>
    <t>1000021819</t>
  </si>
  <si>
    <r>
      <t>员工室电视柜</t>
    </r>
    <r>
      <rPr>
        <sz val="9"/>
        <rFont val="Arial"/>
        <charset val="134"/>
      </rPr>
      <t>/</t>
    </r>
    <r>
      <rPr>
        <sz val="9"/>
        <rFont val="宋体-简"/>
        <charset val="134"/>
      </rPr>
      <t>储物格</t>
    </r>
    <r>
      <rPr>
        <sz val="9"/>
        <rFont val="Arial"/>
        <charset val="134"/>
      </rPr>
      <t>/</t>
    </r>
    <r>
      <rPr>
        <sz val="9"/>
        <rFont val="宋体-简"/>
        <charset val="134"/>
      </rPr>
      <t>鞋柜</t>
    </r>
    <r>
      <rPr>
        <sz val="9"/>
        <rFont val="Arial"/>
        <charset val="134"/>
      </rPr>
      <t>/</t>
    </r>
    <r>
      <rPr>
        <sz val="9"/>
        <rFont val="宋体-简"/>
        <charset val="134"/>
      </rPr>
      <t>更衣座板</t>
    </r>
  </si>
  <si>
    <t>1000021820</t>
  </si>
  <si>
    <t>员工室仪容镜</t>
  </si>
  <si>
    <t>1000021821</t>
  </si>
  <si>
    <t>员工室熨衣板</t>
  </si>
  <si>
    <t>1000021822</t>
  </si>
  <si>
    <t>挂衣杆</t>
  </si>
  <si>
    <t>1000085742</t>
  </si>
  <si>
    <t>员休室隔断及全部配件</t>
  </si>
  <si>
    <t>1000021823</t>
  </si>
  <si>
    <t>防火板面刨花板隔断及全部配件</t>
  </si>
  <si>
    <t>1000040109</t>
  </si>
  <si>
    <t>员休室翻新</t>
  </si>
  <si>
    <t>55</t>
  </si>
  <si>
    <t>厨房地面(含不超过50mm厚的找平层)</t>
  </si>
  <si>
    <t>楼板面积+基本墙面积</t>
  </si>
  <si>
    <t>1000021824</t>
  </si>
  <si>
    <t>冷库水泥地面</t>
  </si>
  <si>
    <t>1000021518</t>
  </si>
  <si>
    <t>200x200x8mm白瓷砖（琛雄）</t>
  </si>
  <si>
    <t>1000021656</t>
  </si>
  <si>
    <t>200x200x8mm白瓷砖（共荣）</t>
  </si>
  <si>
    <t>1000021703</t>
  </si>
  <si>
    <t>200x200x8mm白瓷砖（冠军）</t>
  </si>
  <si>
    <t>1000021825</t>
  </si>
  <si>
    <t>后区墙面贴发丝不锈钢</t>
  </si>
  <si>
    <t>1000021826</t>
  </si>
  <si>
    <t>60x60x2.5 发丝不锈钢护角</t>
  </si>
  <si>
    <t>件</t>
  </si>
  <si>
    <t>1000021827</t>
  </si>
  <si>
    <t>60x180x60x2.5 U型发丝不锈钢护角</t>
  </si>
  <si>
    <t>1000021635</t>
  </si>
  <si>
    <t>墙面其它面砖（琛雄）</t>
  </si>
  <si>
    <t>1000021657</t>
  </si>
  <si>
    <t>墙面其它面砖（共荣）</t>
  </si>
  <si>
    <t>公式【主材.墙饰面.木纹色防火板（不含基层）.实际面积】+【主材.墙饰面.纤维水泥板（室内）.实际面积】</t>
  </si>
  <si>
    <t>厨房吊顶（不含员休室）</t>
  </si>
  <si>
    <t>1000022181</t>
  </si>
  <si>
    <t>轻钢龙骨石膏板天花 (干仓/清洁间/礼品房等)</t>
  </si>
  <si>
    <t>1000021828</t>
  </si>
  <si>
    <t>菜单牌钢支架</t>
  </si>
  <si>
    <t>厨房家具及其他（不含员休室）</t>
  </si>
  <si>
    <t>1000021829</t>
  </si>
  <si>
    <t>经理室防火板贴面胶边写字桌连吊柜及布告板</t>
  </si>
  <si>
    <t>1000085721</t>
  </si>
  <si>
    <t>员休室及经理室家具安装费</t>
  </si>
  <si>
    <t>餐厅常规配置</t>
  </si>
  <si>
    <t>1000040110</t>
  </si>
  <si>
    <t>经理室翻新</t>
  </si>
  <si>
    <t>1000021830</t>
  </si>
  <si>
    <t>干货间营运物料柜</t>
  </si>
  <si>
    <t>组</t>
  </si>
  <si>
    <t>1000021831</t>
  </si>
  <si>
    <t>小件设备物品安装</t>
  </si>
  <si>
    <t>65</t>
  </si>
  <si>
    <t>1643</t>
  </si>
  <si>
    <t>墙体（均包含规范要求之圈梁、构造柱、粉墙）</t>
  </si>
  <si>
    <t>1000021832</t>
  </si>
  <si>
    <t>240厚砌块墙</t>
  </si>
  <si>
    <t>1000021833</t>
  </si>
  <si>
    <t>150厚砌块墙</t>
  </si>
  <si>
    <t>1000021834</t>
  </si>
  <si>
    <t>120厚砌块墙</t>
  </si>
  <si>
    <t>1000021835</t>
  </si>
  <si>
    <t>100轻钢龙骨隔墙</t>
  </si>
  <si>
    <t>1000021836</t>
  </si>
  <si>
    <t>50厚钢构墙体蒙网抹灰（双面）</t>
  </si>
  <si>
    <t>1000021837</t>
  </si>
  <si>
    <t>50厚钢构墙体蒙网抹灰（单面）</t>
  </si>
  <si>
    <t>1000021838</t>
  </si>
  <si>
    <t>1000mm高矮墙（上口人造石）（不含防火板）</t>
  </si>
  <si>
    <t>基本墙长度参数</t>
  </si>
  <si>
    <t>1000021839</t>
  </si>
  <si>
    <t>高凳侧面屏风仅龙骨</t>
  </si>
  <si>
    <t>1000021840</t>
  </si>
  <si>
    <t>墙面粉墙找平</t>
  </si>
  <si>
    <t>1000021841</t>
  </si>
  <si>
    <t>配电柜/员工柜/洗衣机之地台</t>
  </si>
  <si>
    <t>64</t>
  </si>
  <si>
    <t>其他零星装修</t>
  </si>
  <si>
    <t>1000021520</t>
  </si>
  <si>
    <t>40mm厚成品门（含门套，连桥供应）</t>
  </si>
  <si>
    <t>1000021658</t>
  </si>
  <si>
    <t>40mm厚成品门（含门套，远达供应）</t>
  </si>
  <si>
    <t>1000053617</t>
  </si>
  <si>
    <t>40mm厚成品门（含门套，航凯供应）</t>
  </si>
  <si>
    <t>1000021521</t>
  </si>
  <si>
    <t>员工室入口 门套（连桥供应）</t>
  </si>
  <si>
    <t>1000021664</t>
  </si>
  <si>
    <t>员工室入口 门套（远达供应）</t>
  </si>
  <si>
    <t>1000021522</t>
  </si>
  <si>
    <t>卫生间入口 成品门套（连桥供应）</t>
  </si>
  <si>
    <t>1000021659</t>
  </si>
  <si>
    <t>卫生间入口 成品门套（远达供应）</t>
  </si>
  <si>
    <t>1000022165</t>
  </si>
  <si>
    <t>干仓钢丝网门</t>
  </si>
  <si>
    <t>1000021842</t>
  </si>
  <si>
    <t>钢制送货后门（单开门）</t>
  </si>
  <si>
    <t>1000021843</t>
  </si>
  <si>
    <t>传送带窗口</t>
  </si>
  <si>
    <t>1000021844</t>
  </si>
  <si>
    <t>传送带单元门</t>
  </si>
  <si>
    <t>1000021845</t>
  </si>
  <si>
    <t>分区推拉门</t>
  </si>
  <si>
    <t>1000021846</t>
  </si>
  <si>
    <t>双开消防门（含消防推杆锁）</t>
  </si>
  <si>
    <t>1000021847</t>
  </si>
  <si>
    <t>单开消防门（含消防推杆锁）</t>
  </si>
  <si>
    <t>1000021848</t>
  </si>
  <si>
    <t>密码锁</t>
  </si>
  <si>
    <t>把</t>
  </si>
  <si>
    <t>1000021849</t>
  </si>
  <si>
    <t>消防推杆锁</t>
  </si>
  <si>
    <t>1000021850</t>
  </si>
  <si>
    <t>不锈钢踢脚 H=100mm</t>
  </si>
  <si>
    <t>1000021851</t>
  </si>
  <si>
    <t>儿童乐园地面找平</t>
  </si>
  <si>
    <t>1000021852</t>
  </si>
  <si>
    <t>12mm厚钢化玻璃</t>
  </si>
  <si>
    <t>1000021853</t>
  </si>
  <si>
    <t>儿童区玻璃隔墙（不含防火板）</t>
  </si>
  <si>
    <t>1000021854</t>
  </si>
  <si>
    <t>儿童乐园烤漆方管框架（50*50mm)</t>
  </si>
  <si>
    <t>幕墙竖挺长度</t>
  </si>
  <si>
    <t>1000021855</t>
  </si>
  <si>
    <t>19mm玻璃矮隔断</t>
  </si>
  <si>
    <t>幕墙长度</t>
  </si>
  <si>
    <t>1000021856</t>
  </si>
  <si>
    <t>消防栓门连框</t>
  </si>
  <si>
    <t>1000022160</t>
  </si>
  <si>
    <t>SOK配合安装</t>
  </si>
  <si>
    <t>1000022163</t>
  </si>
  <si>
    <t>玻璃贴膜</t>
  </si>
  <si>
    <t>1000051717</t>
  </si>
  <si>
    <t>墙面3M造型膜安装</t>
  </si>
  <si>
    <t>1000085732</t>
  </si>
  <si>
    <t>磨砂方格子贴膜（3M)（仅安装）</t>
  </si>
  <si>
    <t>1000051720</t>
  </si>
  <si>
    <t>防鼠封堵（轻钢龙骨+硅钙板/石膏板）</t>
  </si>
  <si>
    <t>1000051721</t>
  </si>
  <si>
    <t>Ray-桌面无线充电器安装</t>
  </si>
  <si>
    <t>1000051722</t>
  </si>
  <si>
    <t>餐厅清洁深灰地垫（单开门）</t>
  </si>
  <si>
    <t>1000051723</t>
  </si>
  <si>
    <t>餐厅清洁深灰地垫（双开门）</t>
  </si>
  <si>
    <t>1000022166</t>
  </si>
  <si>
    <t>DMB安装</t>
  </si>
  <si>
    <t>1000021458</t>
  </si>
  <si>
    <t>垃圾房纸皮油桶层架</t>
  </si>
  <si>
    <t>1000022167</t>
  </si>
  <si>
    <t>裸顶喷漆</t>
  </si>
  <si>
    <t>天花板面积+基本墙面积</t>
  </si>
  <si>
    <t>68</t>
  </si>
  <si>
    <t>1612</t>
  </si>
  <si>
    <t>6.1.2 电气工程</t>
  </si>
  <si>
    <t>配电系统</t>
  </si>
  <si>
    <t>1000021858</t>
  </si>
  <si>
    <t>（不含主材）安装调试总配电柜</t>
  </si>
  <si>
    <t>1000021859</t>
  </si>
  <si>
    <t>接地装置（仅DT）</t>
  </si>
  <si>
    <t>1000021860</t>
  </si>
  <si>
    <t>调试电费</t>
  </si>
  <si>
    <t>1000040111</t>
  </si>
  <si>
    <t>总配电柜回路调整</t>
  </si>
  <si>
    <t>厨房动力 (包含所有毛坯及辅材）</t>
  </si>
  <si>
    <t>1000021861</t>
  </si>
  <si>
    <t>10A 三眼单相插座回路</t>
  </si>
  <si>
    <r>
      <t>弱电管线</t>
    </r>
    <r>
      <rPr>
        <sz val="9"/>
        <rFont val="Tahoma"/>
        <charset val="134"/>
      </rPr>
      <t>\</t>
    </r>
    <r>
      <rPr>
        <sz val="9"/>
        <rFont val="宋体-简"/>
        <charset val="134"/>
      </rPr>
      <t>电气系统图</t>
    </r>
  </si>
  <si>
    <t>1000021862</t>
  </si>
  <si>
    <t>10A 三眼单相插座</t>
  </si>
  <si>
    <t>1000021863</t>
  </si>
  <si>
    <t>16A 三眼单相插座回路</t>
  </si>
  <si>
    <t>1000021864</t>
  </si>
  <si>
    <t>16A 三眼单相插座</t>
  </si>
  <si>
    <t>1000021865</t>
  </si>
  <si>
    <t>传送带紧急按钮</t>
  </si>
  <si>
    <t>待定</t>
  </si>
  <si>
    <t>1000021866</t>
  </si>
  <si>
    <t>接线盒---- 电气联锁</t>
  </si>
  <si>
    <t>1000021867</t>
  </si>
  <si>
    <t>接线盒---- 烘手器 (不含烘手器主材)</t>
  </si>
  <si>
    <t>1000021868</t>
  </si>
  <si>
    <t>接线盒---- 热水器</t>
  </si>
  <si>
    <t>1000021869</t>
  </si>
  <si>
    <t>接线盒 ---- 卡钟</t>
  </si>
  <si>
    <t>1000021870</t>
  </si>
  <si>
    <t>接线盒 ---- 肉饼冰箱</t>
  </si>
  <si>
    <t>1000021871</t>
  </si>
  <si>
    <t>接线盒 ---- 薯条灯</t>
  </si>
  <si>
    <t>1000021872</t>
  </si>
  <si>
    <t>吊辫电源</t>
  </si>
  <si>
    <t>1000021873</t>
  </si>
  <si>
    <t>100A三相电源 ---- 中央岛</t>
  </si>
  <si>
    <t>1000021874</t>
  </si>
  <si>
    <t>30A三相电源 ---- 煎炉/炸炉</t>
  </si>
  <si>
    <t>1000021875</t>
  </si>
  <si>
    <t>30A三相电源 ---- 薯条炉</t>
  </si>
  <si>
    <t>1000021876</t>
  </si>
  <si>
    <t>40A三相电源 ---- 冷藏库/冷冻库</t>
  </si>
  <si>
    <t>1000021877</t>
  </si>
  <si>
    <t>40A三相电源 ---- 调理台（前端）</t>
  </si>
  <si>
    <t>1000021878</t>
  </si>
  <si>
    <t>冷冻与冷藏库室外机电源</t>
  </si>
  <si>
    <t>1000021879</t>
  </si>
  <si>
    <t>制冰机与汽水机室外机电源</t>
  </si>
  <si>
    <t>取消</t>
  </si>
  <si>
    <t>1000021880</t>
  </si>
  <si>
    <t>传送带电源</t>
  </si>
  <si>
    <t>1000021881</t>
  </si>
  <si>
    <t>厨房大菜牌电源</t>
  </si>
  <si>
    <t>1000045088</t>
  </si>
  <si>
    <t>洗碗机电源（含元配件等）</t>
  </si>
  <si>
    <r>
      <t>强电管线</t>
    </r>
    <r>
      <rPr>
        <sz val="9"/>
        <rFont val="Tahoma"/>
        <charset val="134"/>
      </rPr>
      <t>\</t>
    </r>
    <r>
      <rPr>
        <sz val="9"/>
        <rFont val="宋体-简"/>
        <charset val="134"/>
      </rPr>
      <t>电气系统图</t>
    </r>
  </si>
  <si>
    <t>1000051718</t>
  </si>
  <si>
    <t>咖啡机电源（含元配件等）</t>
  </si>
  <si>
    <t>1000085720</t>
  </si>
  <si>
    <t>万能烤箱电源</t>
  </si>
  <si>
    <t>厨房弱电管线</t>
  </si>
  <si>
    <t>1000021882</t>
  </si>
  <si>
    <t>电话、电脑网络管线</t>
  </si>
  <si>
    <t>弱电管线\电气系统图</t>
  </si>
  <si>
    <t>1000021883</t>
  </si>
  <si>
    <t>CCU弱电管包括KVS系统管线</t>
  </si>
  <si>
    <t>1000021884</t>
  </si>
  <si>
    <t>KVS设备安装配合</t>
  </si>
  <si>
    <t>1000021885</t>
  </si>
  <si>
    <t>110管线</t>
  </si>
  <si>
    <t>委托书\市场特性</t>
  </si>
  <si>
    <t>1000021886</t>
  </si>
  <si>
    <t>UPS电源</t>
  </si>
  <si>
    <t>1000021887</t>
  </si>
  <si>
    <t>收银台POS机布线</t>
  </si>
  <si>
    <t>1000022171</t>
  </si>
  <si>
    <t>CCTV闭路监控系统（含传送带监控）布线</t>
  </si>
  <si>
    <t>1000021888</t>
  </si>
  <si>
    <t>员休室电脑一体机布线</t>
  </si>
  <si>
    <t>大堂照明 (包括灯具安装及辅材)</t>
  </si>
  <si>
    <t>1000021889</t>
  </si>
  <si>
    <t>大堂照明回路</t>
  </si>
  <si>
    <t>1000021927</t>
  </si>
  <si>
    <t>安装暗藏轨道射灯 LO3</t>
  </si>
  <si>
    <t>1000021928</t>
  </si>
  <si>
    <t>安装LED灯带 L09</t>
  </si>
  <si>
    <t>长度</t>
  </si>
  <si>
    <t>厨房照明 (不包括灯具安装，但包含电管、电线及所有辅材)</t>
  </si>
  <si>
    <t>1000021890</t>
  </si>
  <si>
    <t>厨房照明回路</t>
  </si>
  <si>
    <t>厨房照明 (包括灯具安装及辅材)</t>
  </si>
  <si>
    <t>1000022199</t>
  </si>
  <si>
    <t>安装 灭蝇灯 (不含灭蝇灯主材)</t>
  </si>
  <si>
    <t>1000085743</t>
  </si>
  <si>
    <t>室内灯具安装</t>
  </si>
  <si>
    <t>1000021926</t>
  </si>
  <si>
    <t>空调电气(包含电管、电线及所有配件辅材)</t>
  </si>
  <si>
    <t>1000021891</t>
  </si>
  <si>
    <t>25匹空调机电源线（配电柜-室外机）</t>
  </si>
  <si>
    <t>技术原因暂无解决方案</t>
  </si>
  <si>
    <t>1000021892</t>
  </si>
  <si>
    <r>
      <rPr>
        <sz val="9"/>
        <color rgb="FF92D050"/>
        <rFont val="Arial"/>
        <charset val="134"/>
      </rPr>
      <t>15-20</t>
    </r>
    <r>
      <rPr>
        <sz val="9"/>
        <color rgb="FF92D050"/>
        <rFont val="宋体"/>
        <charset val="134"/>
      </rPr>
      <t>匹空调机电源线（配电柜</t>
    </r>
    <r>
      <rPr>
        <sz val="9"/>
        <color rgb="FF92D050"/>
        <rFont val="Arial"/>
        <charset val="134"/>
      </rPr>
      <t>-</t>
    </r>
    <r>
      <rPr>
        <sz val="9"/>
        <color rgb="FF92D050"/>
        <rFont val="宋体"/>
        <charset val="134"/>
      </rPr>
      <t>室外机）</t>
    </r>
  </si>
  <si>
    <t>技术原因</t>
  </si>
  <si>
    <t>1000021893</t>
  </si>
  <si>
    <r>
      <rPr>
        <sz val="9"/>
        <color rgb="FF92D050"/>
        <rFont val="Arial"/>
        <charset val="134"/>
      </rPr>
      <t>6-12.5</t>
    </r>
    <r>
      <rPr>
        <sz val="9"/>
        <color rgb="FF92D050"/>
        <rFont val="宋体"/>
        <charset val="134"/>
      </rPr>
      <t>匹空调机电源线（配电柜</t>
    </r>
    <r>
      <rPr>
        <sz val="9"/>
        <color rgb="FF92D050"/>
        <rFont val="Arial"/>
        <charset val="134"/>
      </rPr>
      <t>-</t>
    </r>
    <r>
      <rPr>
        <sz val="9"/>
        <color rgb="FF92D050"/>
        <rFont val="宋体"/>
        <charset val="134"/>
      </rPr>
      <t>室外机）</t>
    </r>
  </si>
  <si>
    <t>1000021894</t>
  </si>
  <si>
    <t>2-5匹空调机电源线（配电柜-室外机）</t>
  </si>
  <si>
    <t>1000021895</t>
  </si>
  <si>
    <t>15-20匹空调机电源线（配电柜-室内机主）</t>
  </si>
  <si>
    <t>1000021896</t>
  </si>
  <si>
    <r>
      <rPr>
        <sz val="9"/>
        <color rgb="FF92D050"/>
        <rFont val="Arial"/>
        <charset val="134"/>
      </rPr>
      <t>6-12.5</t>
    </r>
    <r>
      <rPr>
        <sz val="9"/>
        <color rgb="FF92D050"/>
        <rFont val="宋体"/>
        <charset val="134"/>
      </rPr>
      <t>匹空调机电源线（配电柜</t>
    </r>
    <r>
      <rPr>
        <sz val="9"/>
        <color rgb="FF92D050"/>
        <rFont val="Arial"/>
        <charset val="134"/>
      </rPr>
      <t>-</t>
    </r>
    <r>
      <rPr>
        <sz val="9"/>
        <color rgb="FF92D050"/>
        <rFont val="宋体"/>
        <charset val="134"/>
      </rPr>
      <t>室内机主）</t>
    </r>
  </si>
  <si>
    <t>1000021897</t>
  </si>
  <si>
    <r>
      <rPr>
        <sz val="9"/>
        <color rgb="FF92D050"/>
        <rFont val="Arial"/>
        <charset val="134"/>
      </rPr>
      <t>2-5</t>
    </r>
    <r>
      <rPr>
        <sz val="9"/>
        <color rgb="FF92D050"/>
        <rFont val="宋体"/>
        <charset val="134"/>
      </rPr>
      <t>匹空调机电源线（配电柜</t>
    </r>
    <r>
      <rPr>
        <sz val="9"/>
        <color rgb="FF92D050"/>
        <rFont val="Arial"/>
        <charset val="134"/>
      </rPr>
      <t>-</t>
    </r>
    <r>
      <rPr>
        <sz val="9"/>
        <color rgb="FF92D050"/>
        <rFont val="宋体"/>
        <charset val="134"/>
      </rPr>
      <t>室内机主）</t>
    </r>
  </si>
  <si>
    <t>1000021898</t>
  </si>
  <si>
    <t>25匹空调机控制线（室内外机连线）</t>
  </si>
  <si>
    <t>1000021899</t>
  </si>
  <si>
    <r>
      <rPr>
        <sz val="9"/>
        <color rgb="FF92D050"/>
        <rFont val="Arial"/>
        <charset val="134"/>
      </rPr>
      <t>15-20</t>
    </r>
    <r>
      <rPr>
        <sz val="9"/>
        <color rgb="FF92D050"/>
        <rFont val="宋体"/>
        <charset val="134"/>
      </rPr>
      <t>匹空调机控制线（室内外机连线）</t>
    </r>
  </si>
  <si>
    <t>1000021900</t>
  </si>
  <si>
    <r>
      <rPr>
        <sz val="9"/>
        <color rgb="FF92D050"/>
        <rFont val="Arial"/>
        <charset val="134"/>
      </rPr>
      <t>6-12.5</t>
    </r>
    <r>
      <rPr>
        <sz val="9"/>
        <color rgb="FF92D050"/>
        <rFont val="宋体"/>
        <charset val="134"/>
      </rPr>
      <t>匹空调机控制线（室内外机连线）</t>
    </r>
  </si>
  <si>
    <t>1000021901</t>
  </si>
  <si>
    <r>
      <rPr>
        <sz val="9"/>
        <color rgb="FF92D050"/>
        <rFont val="Arial"/>
        <charset val="134"/>
      </rPr>
      <t>2-5</t>
    </r>
    <r>
      <rPr>
        <sz val="9"/>
        <color rgb="FF92D050"/>
        <rFont val="宋体"/>
        <charset val="134"/>
      </rPr>
      <t>匹空调机控制线（室内外机连线）</t>
    </r>
  </si>
  <si>
    <t>1000021902</t>
  </si>
  <si>
    <r>
      <rPr>
        <sz val="9"/>
        <color rgb="FF92D050"/>
        <rFont val="宋体"/>
        <charset val="134"/>
      </rPr>
      <t>空调机控制线（室内机</t>
    </r>
    <r>
      <rPr>
        <sz val="9"/>
        <color rgb="FF92D050"/>
        <rFont val="Arial"/>
        <charset val="134"/>
      </rPr>
      <t>-</t>
    </r>
    <r>
      <rPr>
        <sz val="9"/>
        <color rgb="FF92D050"/>
        <rFont val="宋体"/>
        <charset val="134"/>
      </rPr>
      <t>控制面板）</t>
    </r>
  </si>
  <si>
    <t>1000021903</t>
  </si>
  <si>
    <t>抽油烟机电源</t>
  </si>
  <si>
    <t>1000021904</t>
  </si>
  <si>
    <t>新风/排风机电源</t>
  </si>
  <si>
    <t>1000021905</t>
  </si>
  <si>
    <t>小型排风扇电源</t>
  </si>
  <si>
    <t>1000021906</t>
  </si>
  <si>
    <t>油烟净化器电源</t>
  </si>
  <si>
    <t>1000021907</t>
  </si>
  <si>
    <t>风幕机电源</t>
  </si>
  <si>
    <t>判断电源个数，普通风幕机？</t>
  </si>
  <si>
    <t>1000021908</t>
  </si>
  <si>
    <t>吊扇电源</t>
  </si>
  <si>
    <t>1000021909</t>
  </si>
  <si>
    <t>经理室空调控制箱</t>
  </si>
  <si>
    <t>1000021910</t>
  </si>
  <si>
    <t>25匹冷冻水系统风机盘管电源</t>
  </si>
  <si>
    <t>1000021911</t>
  </si>
  <si>
    <t>15-20匹冷冻水系统风机盘管电源</t>
  </si>
  <si>
    <t>1000021912</t>
  </si>
  <si>
    <t>6-12匹冷冻水系统风机盘管电源</t>
  </si>
  <si>
    <t>1000021913</t>
  </si>
  <si>
    <t>2-5匹冷冻水系统风机盘管电源</t>
  </si>
  <si>
    <t>1000021914</t>
  </si>
  <si>
    <t>北区电加热电源及控制线</t>
  </si>
  <si>
    <t>招牌电气(包含电管、电线及所以配件辅材)</t>
  </si>
  <si>
    <t>1000021915</t>
  </si>
  <si>
    <t>16A门头招牌电源</t>
  </si>
  <si>
    <t>强电管线\电气系统图</t>
  </si>
  <si>
    <t>1000021916</t>
  </si>
  <si>
    <t>20A侧招电源</t>
  </si>
  <si>
    <t>1000021917</t>
  </si>
  <si>
    <t>20A杆标电源</t>
  </si>
  <si>
    <t>1000025195</t>
  </si>
  <si>
    <t>高位招牌小电箱（含时控开关及电表等配件）</t>
  </si>
  <si>
    <t>1000021918</t>
  </si>
  <si>
    <t>1000*700菜单箱电源</t>
  </si>
  <si>
    <t>1000021919</t>
  </si>
  <si>
    <t>指示牌、餐牌电源</t>
  </si>
  <si>
    <t>其它电气(包含电管、电线及所以配件辅材)</t>
  </si>
  <si>
    <t>1000021920</t>
  </si>
  <si>
    <t>卷帘门电源</t>
  </si>
  <si>
    <t>1000021921</t>
  </si>
  <si>
    <t>happy meal电源</t>
  </si>
  <si>
    <t>1000022161</t>
  </si>
  <si>
    <t>SOK电源</t>
  </si>
  <si>
    <t>1000021924</t>
  </si>
  <si>
    <t>数盒系统安装</t>
  </si>
  <si>
    <t>1000051714</t>
  </si>
  <si>
    <t>消防应急集中控制装置（单层）</t>
  </si>
  <si>
    <t>1000051715</t>
  </si>
  <si>
    <t>消防应急集中控制装置（双层）</t>
  </si>
  <si>
    <t>LEED认证配套电气(包含电管、电线及所以配件辅材)</t>
  </si>
  <si>
    <t>1000021523</t>
  </si>
  <si>
    <t>PHILIPS灯具感应装置（房间&lt;25m2时配备）</t>
  </si>
  <si>
    <t>1000049829</t>
  </si>
  <si>
    <t>OPPLE灯具感应装置（房间&lt;25m2时配备）</t>
  </si>
  <si>
    <t>1000049830</t>
  </si>
  <si>
    <t>OSRAM灯具感应装置（房间&lt;25m2时配备）</t>
  </si>
  <si>
    <t>其它电气(包含电管及所以配件辅材)</t>
  </si>
  <si>
    <t>1000021923</t>
  </si>
  <si>
    <t>智能水表485控制线（不含线主材）</t>
  </si>
  <si>
    <t>1000051724</t>
  </si>
  <si>
    <t>空调IOT通讯线</t>
  </si>
  <si>
    <t>1000085722</t>
  </si>
  <si>
    <t>冷藏冷库IOT通讯线</t>
  </si>
  <si>
    <t>70</t>
  </si>
  <si>
    <t>1646</t>
  </si>
  <si>
    <t>6.1.2A 电气工程-灯具主材</t>
  </si>
  <si>
    <t>灯具主材-大堂</t>
  </si>
  <si>
    <t>1000021524</t>
  </si>
  <si>
    <t>PHILIPS吊灯用LED光源P1</t>
  </si>
  <si>
    <t>1000021929</t>
  </si>
  <si>
    <t>安全出口灯</t>
  </si>
  <si>
    <t>1000051746</t>
  </si>
  <si>
    <t>A型安全出口灯/单面指示灯</t>
  </si>
  <si>
    <t>1000051747</t>
  </si>
  <si>
    <t>A型双面单向指示灯</t>
  </si>
  <si>
    <t>1000051748</t>
  </si>
  <si>
    <t>A型应急灯</t>
  </si>
  <si>
    <t>1000021525</t>
  </si>
  <si>
    <t>PHILIPS LED 5W应急灯具90分钟E</t>
  </si>
  <si>
    <t>1000021526</t>
  </si>
  <si>
    <t>PHILIPS方形LED灯筒灯灯具  L1</t>
  </si>
  <si>
    <t>1000021527</t>
  </si>
  <si>
    <t>PHILIPS双头方形LED灯筒灯灯具  L2</t>
  </si>
  <si>
    <t>1000021528</t>
  </si>
  <si>
    <t>PHILIPS方形嵌入式LED射灯28W  L3</t>
  </si>
  <si>
    <t>1000021529</t>
  </si>
  <si>
    <t>PHILIPS深照型圆形LED灯筒灯灯具  L4</t>
  </si>
  <si>
    <t>1000021531</t>
  </si>
  <si>
    <t>PHILIPS圆形嵌入式 LED 筒灯  L5</t>
  </si>
  <si>
    <t>1000021532</t>
  </si>
  <si>
    <t>PHILIPS方形嵌入式 LED 筒灯  L5</t>
  </si>
  <si>
    <t>1000021530</t>
  </si>
  <si>
    <t>PHILIPS圆形嵌入式 LED 防尘防水筒灯  L6</t>
  </si>
  <si>
    <t>1000021561</t>
  </si>
  <si>
    <t>PHILIPS圆形嵌入式LED防水型射灯 L9</t>
  </si>
  <si>
    <t>1000021536</t>
  </si>
  <si>
    <t>PHILIPS 圆形吊灯 LO1</t>
  </si>
  <si>
    <t>1000041828</t>
  </si>
  <si>
    <t>PHILIPS双头嵌入式射灯 L02</t>
  </si>
  <si>
    <t>1000021537</t>
  </si>
  <si>
    <t>PHILIPS 暗藏轨道射灯 LO3</t>
  </si>
  <si>
    <t>1000041827</t>
  </si>
  <si>
    <t>PHILIPS圆形嵌入式射灯 L04</t>
  </si>
  <si>
    <t>1000021541</t>
  </si>
  <si>
    <t>PHILIPS 长条壁灯 L07</t>
  </si>
  <si>
    <t>1000021542</t>
  </si>
  <si>
    <t>PHILIPS Wall Light L08</t>
  </si>
  <si>
    <t>1000021543</t>
  </si>
  <si>
    <t>PHILIPS LED灯带 L09</t>
  </si>
  <si>
    <t>1000021538</t>
  </si>
  <si>
    <t>PHILIPS L05配套导轨 Track L=2000mm</t>
  </si>
  <si>
    <t>1000021539</t>
  </si>
  <si>
    <t>PHILIPS L05配套导轨 Track L=1000mm</t>
  </si>
  <si>
    <t>1000021540</t>
  </si>
  <si>
    <t>PHILIPS L05配套导轨连接件 Track connector</t>
  </si>
  <si>
    <t>1000021544</t>
  </si>
  <si>
    <t>PHILIPS L09配套电源变压器（每10米配备一个）</t>
  </si>
  <si>
    <t>1000021573</t>
  </si>
  <si>
    <t>PHILIPS装饰性灯具（吊灯光源L3-E/L4-E）</t>
  </si>
  <si>
    <t>1000021574</t>
  </si>
  <si>
    <t>PHILIPS圆形嵌入式射灯 L1-E</t>
  </si>
  <si>
    <t>1000021575</t>
  </si>
  <si>
    <t>PHILIPS圆形嵌入式射灯 L2-E/L5-E</t>
  </si>
  <si>
    <t>1000041825</t>
  </si>
  <si>
    <t>PHILIPS圆形嵌入式灯 L1-L</t>
  </si>
  <si>
    <t>1000041824</t>
  </si>
  <si>
    <t>PHILIPS圆形嵌入式灯 L2-L</t>
  </si>
  <si>
    <t>1000041826</t>
  </si>
  <si>
    <t>PHILIPS LED灯带含变压器 L3-L</t>
  </si>
  <si>
    <t>6.1.1A 电气工程-灯具主材</t>
  </si>
  <si>
    <t>1000021572</t>
  </si>
  <si>
    <t>OSRAM吊灯用LED光源P1</t>
  </si>
  <si>
    <t>1000021571</t>
  </si>
  <si>
    <t>OSRAM LED 5W应急灯具90分钟E</t>
  </si>
  <si>
    <t>1000021554</t>
  </si>
  <si>
    <t>OSRAM方形LED灯筒灯灯具  L1</t>
  </si>
  <si>
    <t>1000021555</t>
  </si>
  <si>
    <t>OSRAM双头方形LED灯筒灯灯具  L2</t>
  </si>
  <si>
    <t>1000021567</t>
  </si>
  <si>
    <t>OSRAM方形嵌入式LED射灯28W  L3</t>
  </si>
  <si>
    <t>1000021556</t>
  </si>
  <si>
    <t>OSRAM深照型圆形LED灯筒灯灯具  L4</t>
  </si>
  <si>
    <t>1000021557</t>
  </si>
  <si>
    <t>OSRAM圆形嵌入式 LED 筒灯  L5</t>
  </si>
  <si>
    <t>1000021565</t>
  </si>
  <si>
    <t>OSRAM方形嵌入式 LED 筒灯  L5</t>
  </si>
  <si>
    <t>1000021560</t>
  </si>
  <si>
    <t>OSRAM圆形嵌入式 LED 防尘防水筒灯  L6</t>
  </si>
  <si>
    <t>1000021566</t>
  </si>
  <si>
    <t>OSRAM圆形嵌入式LED防水型射灯 L9</t>
  </si>
  <si>
    <t>1000021545</t>
  </si>
  <si>
    <t>OSRAM 圆形吊灯 LO1</t>
  </si>
  <si>
    <t>1000041833</t>
  </si>
  <si>
    <t>OSRAM双头嵌入式射灯 L02</t>
  </si>
  <si>
    <t>1000021546</t>
  </si>
  <si>
    <t>OSRAM 暗藏轨道射灯 LO3</t>
  </si>
  <si>
    <t>1000041832</t>
  </si>
  <si>
    <t>OSRAM圆形嵌入式射灯 L04</t>
  </si>
  <si>
    <t>1000021550</t>
  </si>
  <si>
    <t>OSRAM 长条壁灯 L07</t>
  </si>
  <si>
    <t>1000021551</t>
  </si>
  <si>
    <t>OSRAM Wall Light L08</t>
  </si>
  <si>
    <t>1000021552</t>
  </si>
  <si>
    <t>OSRAM LED灯带 L09</t>
  </si>
  <si>
    <t>1000021553</t>
  </si>
  <si>
    <t>OSRAM L09配套电源变压器（每10米配备一个）</t>
  </si>
  <si>
    <t>1000021547</t>
  </si>
  <si>
    <t>OSRAM L05配套导轨 Track L=2000mm</t>
  </si>
  <si>
    <t>1000021548</t>
  </si>
  <si>
    <t>OSRAM L05配套导轨 Track L=1000mm</t>
  </si>
  <si>
    <t>1000021549</t>
  </si>
  <si>
    <t>OSRAM L05配套导轨连接件 Track connector</t>
  </si>
  <si>
    <t>1000021568</t>
  </si>
  <si>
    <t>OSRAM装饰性灯具（吊灯光源L3-E/L4-E）</t>
  </si>
  <si>
    <t>1000021569</t>
  </si>
  <si>
    <t>OSRAM圆形嵌入式射灯 L1-E</t>
  </si>
  <si>
    <t>1000021570</t>
  </si>
  <si>
    <t>OSRAM圆形嵌入式射灯 L2-E/L5-E</t>
  </si>
  <si>
    <t>1000041829</t>
  </si>
  <si>
    <t>OSRAM圆形嵌入式灯 L1-L</t>
  </si>
  <si>
    <t>1000041831</t>
  </si>
  <si>
    <t>OSRAM圆形嵌入式灯 L2-L</t>
  </si>
  <si>
    <t>1000041830</t>
  </si>
  <si>
    <t>OSRAM LED灯带含变压器 L3-L</t>
  </si>
  <si>
    <t>1000041847</t>
  </si>
  <si>
    <t>OPPLE吊灯用LED光源P1</t>
  </si>
  <si>
    <t>1000041841</t>
  </si>
  <si>
    <t>OPPLE LED 5W应急灯具90分钟E</t>
  </si>
  <si>
    <t>1000041839</t>
  </si>
  <si>
    <t>OPPLE方形LED灯筒灯灯具  L1</t>
  </si>
  <si>
    <t>1000041850</t>
  </si>
  <si>
    <t>OPPLE双头方形LED灯筒灯灯具  L2</t>
  </si>
  <si>
    <t>1000041851</t>
  </si>
  <si>
    <t>OPPLE方形嵌入式LED射灯28W  L3</t>
  </si>
  <si>
    <t>1000041852</t>
  </si>
  <si>
    <t>OPPLE深照型圆形LED灯筒灯灯具  L4</t>
  </si>
  <si>
    <t>1000041853</t>
  </si>
  <si>
    <t>OPPLE方形嵌入式 LED 筒灯  L5</t>
  </si>
  <si>
    <t>1000041846</t>
  </si>
  <si>
    <t>OPPLE圆形嵌入式 LED 防尘防水筒灯 L6</t>
  </si>
  <si>
    <t>1000041845</t>
  </si>
  <si>
    <t>OPPLE圆形吊灯 LO1</t>
  </si>
  <si>
    <t>1000041848</t>
  </si>
  <si>
    <t>OPPLE双头嵌入式射灯 L02</t>
  </si>
  <si>
    <t>1000041844</t>
  </si>
  <si>
    <t>OPPLE暗藏轨道射灯 LO3</t>
  </si>
  <si>
    <t>1000041849</t>
  </si>
  <si>
    <t>OPPLE圆形嵌入式射灯 L04</t>
  </si>
  <si>
    <t>1000041860</t>
  </si>
  <si>
    <t>OPPLE长条壁灯 L07</t>
  </si>
  <si>
    <t>1000041856</t>
  </si>
  <si>
    <t>OPPLE Wall Light L08</t>
  </si>
  <si>
    <t>1000041857</t>
  </si>
  <si>
    <t>OPPLE LED灯带 L09</t>
  </si>
  <si>
    <t>1000041858</t>
  </si>
  <si>
    <t>OPPLE L09配套电源变压器（每10米配备一个）</t>
  </si>
  <si>
    <t>1000041859</t>
  </si>
  <si>
    <t>OPPLE L05配套导轨 Track L=2000mm</t>
  </si>
  <si>
    <t>1000041854</t>
  </si>
  <si>
    <t>OPPLE L05配套导轨 Track L=1000mm</t>
  </si>
  <si>
    <t>1000041855</t>
  </si>
  <si>
    <t>OPPLE L05配套导轨连接件 Track connector</t>
  </si>
  <si>
    <t>1000041840</t>
  </si>
  <si>
    <t>OPPLE装饰性灯具（吊灯光源L3-E/L4-E）</t>
  </si>
  <si>
    <t>1000041842</t>
  </si>
  <si>
    <t>OPPLE圆形嵌入式射灯 L1-E</t>
  </si>
  <si>
    <t>1000041843</t>
  </si>
  <si>
    <t>OPPLE圆形嵌入式射灯 L2-E/L5-E</t>
  </si>
  <si>
    <t>1000041836</t>
  </si>
  <si>
    <t>OPPLE圆形嵌入式灯 L1-L</t>
  </si>
  <si>
    <t>1000041835</t>
  </si>
  <si>
    <t>OPPLE圆形嵌入式灯 L2-L</t>
  </si>
  <si>
    <t>1000041834</t>
  </si>
  <si>
    <t>OPPLE LED灯带含变压器 L3-L</t>
  </si>
  <si>
    <t>71</t>
  </si>
  <si>
    <t>灯具主材-厨房</t>
  </si>
  <si>
    <t>1000021930</t>
  </si>
  <si>
    <t>灯槽内单管日光灯L13</t>
  </si>
  <si>
    <t>1000021533</t>
  </si>
  <si>
    <t>PHILIPS600*600mm嵌入式LED灯盘  L7（0-Base）</t>
  </si>
  <si>
    <t>1000021534</t>
  </si>
  <si>
    <t>PHILIPS600*600mm嵌入式LED灯盘  L7（Minimal等）</t>
  </si>
  <si>
    <t>1000021535</t>
  </si>
  <si>
    <t>PHILIPS1200mm 带罩LED支架灯  L8</t>
  </si>
  <si>
    <t>1000021558</t>
  </si>
  <si>
    <t>OSRAM600*600mm嵌入式LED灯盘  L7</t>
  </si>
  <si>
    <t>1000021559</t>
  </si>
  <si>
    <t>OSRAM1200mm 带罩LED支架灯  L8</t>
  </si>
  <si>
    <t>1000041837</t>
  </si>
  <si>
    <t>OPPLE600*600mm嵌入式LED灯盘 L7</t>
  </si>
  <si>
    <t>1000041838</t>
  </si>
  <si>
    <t>OPPLE1200mm 带罩LED支架灯  L8</t>
  </si>
  <si>
    <t>72</t>
  </si>
  <si>
    <t>1613</t>
  </si>
  <si>
    <t>6.1.3 给排水工程（含独立甜品站以外的所有给排水）</t>
  </si>
  <si>
    <t>给水(下列各项包含吊杆及全部配件)</t>
  </si>
  <si>
    <t>1000021931</t>
  </si>
  <si>
    <t>Φ50mm镀锌钢管</t>
  </si>
  <si>
    <t>1000021932</t>
  </si>
  <si>
    <t>Φ50mmPPR管</t>
  </si>
  <si>
    <t>1000021933</t>
  </si>
  <si>
    <t>Φ40mmPPR管</t>
  </si>
  <si>
    <t>1000021934</t>
  </si>
  <si>
    <t>Φ32mmPPR管</t>
  </si>
  <si>
    <t>1000021935</t>
  </si>
  <si>
    <t>Φ25mmPPR管</t>
  </si>
  <si>
    <t>1000021936</t>
  </si>
  <si>
    <t>Φ20mmPPR管</t>
  </si>
  <si>
    <t>1000021937</t>
  </si>
  <si>
    <t>Φ15mmPPR管</t>
  </si>
  <si>
    <t>1000021938</t>
  </si>
  <si>
    <t>铜阀门直径50mm</t>
  </si>
  <si>
    <t>1000021939</t>
  </si>
  <si>
    <t>铜阀门直径32mm</t>
  </si>
  <si>
    <t>1000021940</t>
  </si>
  <si>
    <t>铜阀门直径25mm</t>
  </si>
  <si>
    <t>1000021941</t>
  </si>
  <si>
    <t>铜阀门直径20mm</t>
  </si>
  <si>
    <t>1000021942</t>
  </si>
  <si>
    <t>铜阀门直径15mm</t>
  </si>
  <si>
    <t>1000021943</t>
  </si>
  <si>
    <t>水管保温</t>
  </si>
  <si>
    <t>1000021944</t>
  </si>
  <si>
    <t>水龙头</t>
  </si>
  <si>
    <t>1000021945</t>
  </si>
  <si>
    <t>水表（含接头）</t>
  </si>
  <si>
    <t>1000021946</t>
  </si>
  <si>
    <t>压力表（含接头）</t>
  </si>
  <si>
    <t>1000021947</t>
  </si>
  <si>
    <t>拖把池制作安装</t>
  </si>
  <si>
    <t>1000085738</t>
  </si>
  <si>
    <t>不锈钢一体式拖把池安装</t>
  </si>
  <si>
    <t>1000021948</t>
  </si>
  <si>
    <t>员工洗手盆连感应龙头（含镜子）</t>
  </si>
  <si>
    <t>1000021576</t>
  </si>
  <si>
    <t>员工洗手盆连感应龙头-LEED认证</t>
  </si>
  <si>
    <t>1000021949</t>
  </si>
  <si>
    <t>安装热水器含底座 (不含热水器主材)</t>
  </si>
  <si>
    <t>台</t>
  </si>
  <si>
    <t>1000085739</t>
  </si>
  <si>
    <t>安装“空气能热泵系统”含底座 (不含主材)</t>
  </si>
  <si>
    <t>1000021950</t>
  </si>
  <si>
    <t>Φ20mm止回阀</t>
  </si>
  <si>
    <t>1000021951</t>
  </si>
  <si>
    <t>Φ25mm止回阀</t>
  </si>
  <si>
    <t>1000021952</t>
  </si>
  <si>
    <t>Φ50mm止回阀</t>
  </si>
  <si>
    <t>其它给水(下列各项包含吊杆及全部配件)</t>
  </si>
  <si>
    <t>1000021953</t>
  </si>
  <si>
    <t>直饮水给水</t>
  </si>
  <si>
    <t>排水(下列各项包含吊杆及全部配件)</t>
  </si>
  <si>
    <t>1000021954</t>
  </si>
  <si>
    <t>Φ 160UPVC排水管</t>
  </si>
  <si>
    <t>1000021955</t>
  </si>
  <si>
    <t>Φ 110UPVC排水管</t>
  </si>
  <si>
    <t>1000021956</t>
  </si>
  <si>
    <t>Φ 75UPVC排水管</t>
  </si>
  <si>
    <t>1000021957</t>
  </si>
  <si>
    <t>Φ 50UPVC排水管</t>
  </si>
  <si>
    <t>1000021958</t>
  </si>
  <si>
    <t>Φ 50UPVC透气管</t>
  </si>
  <si>
    <t>1000021959</t>
  </si>
  <si>
    <t>Φ75UPVC透气管</t>
  </si>
  <si>
    <t>1000021577</t>
  </si>
  <si>
    <t>不锈钢四防地漏</t>
  </si>
  <si>
    <t>1000021578</t>
  </si>
  <si>
    <t>杯型地漏</t>
  </si>
  <si>
    <t>1000021960</t>
  </si>
  <si>
    <t>清扫口</t>
  </si>
  <si>
    <t>1000040112</t>
  </si>
  <si>
    <t>给排水改造</t>
  </si>
  <si>
    <t>1000021961</t>
  </si>
  <si>
    <t>智能水表安装（不含主材，含两端接头）</t>
  </si>
  <si>
    <t>1000021579</t>
  </si>
  <si>
    <t>智能水表（DN50）</t>
  </si>
  <si>
    <t>1000021712</t>
  </si>
  <si>
    <t>智能水表（DN40）</t>
  </si>
  <si>
    <t>1000021580</t>
  </si>
  <si>
    <t>智能水表（DN25）</t>
  </si>
  <si>
    <t>1000021962</t>
  </si>
  <si>
    <t>室外机安装--25匹风冷管道分体空调(含吊杆减震器、维修平台、室外机底座、吊装等）</t>
  </si>
  <si>
    <t>按制冷量判断清单范围记取个数</t>
  </si>
  <si>
    <t>1000021963</t>
  </si>
  <si>
    <t>室外机安装--15 - 20匹风冷管道分体空调(含吊杆减震器、维修平台、室外机底座、吊装等）</t>
  </si>
  <si>
    <t>1000021964</t>
  </si>
  <si>
    <t>室外机安装--8 - 12.5匹风冷管道分体空调(含吊杆减震器、维修平台、室外机底座、吊装等）</t>
  </si>
  <si>
    <t>1000021965</t>
  </si>
  <si>
    <t>室外机安装--5 - 7匹风冷管道分体空调(含吊杆减震器、维修平台、室外机底座、吊装等）</t>
  </si>
  <si>
    <t>1000021966</t>
  </si>
  <si>
    <t>室外机安装--3匹风冷管道分体空调(含吊杆减震器、维修平台、室外机底座、吊装等）</t>
  </si>
  <si>
    <t>1000021967</t>
  </si>
  <si>
    <t>室内机安装--8 - 12.5匹风冷管道分体空调(含吊杆减震器、维修平台、室外机底座等）</t>
  </si>
  <si>
    <t>1000021968</t>
  </si>
  <si>
    <t>室内机安装--5 - 7匹风冷管道分体空调(含吊杆减震器、维修平台、室外机底座等）</t>
  </si>
  <si>
    <t>1000021969</t>
  </si>
  <si>
    <t>室内机安装--3匹风冷管道分体空调(含吊杆减震器、维修平台、室外机底座等）</t>
  </si>
  <si>
    <t>1000021970</t>
  </si>
  <si>
    <t>多联机制冷剂（室外机数量，单根冷媒管长度在70米以下）</t>
  </si>
  <si>
    <t>根据空调系统种类记取个数</t>
  </si>
  <si>
    <t>1000021971</t>
  </si>
  <si>
    <t>多联机制冷剂（室外机数量，单根冷媒管长度在70米以上）</t>
  </si>
  <si>
    <t>1000021972</t>
  </si>
  <si>
    <t>单联机制冷剂（室外机数量，单根冷媒管长度在70米以下）</t>
  </si>
  <si>
    <t>1000021973</t>
  </si>
  <si>
    <t>单联机制冷剂（室外机数量，单根冷媒管长度在70米以上）</t>
  </si>
  <si>
    <t>1000040113</t>
  </si>
  <si>
    <t>冷却水塔系统</t>
  </si>
  <si>
    <t>1000021974</t>
  </si>
  <si>
    <t>新风机/排风机连吊杆减震器等(风量4000CMH及以上）（不含主材）</t>
  </si>
  <si>
    <t>根据风量判断清单范围记取个数</t>
  </si>
  <si>
    <t>1000021975</t>
  </si>
  <si>
    <t>新风机/排风机连吊杆减震器等(风量2000-4000CMH）（不含主材）</t>
  </si>
  <si>
    <t>1000021976</t>
  </si>
  <si>
    <t>新风机/排风机连吊杆减震器等(风量2000CMH及以下）（不含主材）</t>
  </si>
  <si>
    <t>1000021977</t>
  </si>
  <si>
    <t>排油烟机安装, 连吊杆减震器及底座、检修平台(不含抽油烟机主材)</t>
  </si>
  <si>
    <t>1000021978</t>
  </si>
  <si>
    <t>小型排风扇安装（不含主材）</t>
  </si>
  <si>
    <t>1000021979</t>
  </si>
  <si>
    <t>风幕机安装(不含主材)</t>
  </si>
  <si>
    <t>1000021980</t>
  </si>
  <si>
    <t>吊扇安装（含主材）</t>
  </si>
  <si>
    <t>1000021981</t>
  </si>
  <si>
    <t>空调室内机电加热器安装</t>
  </si>
  <si>
    <t>1000021982</t>
  </si>
  <si>
    <t>烘手器安装(不含主材)</t>
  </si>
  <si>
    <t>1000021983</t>
  </si>
  <si>
    <t>冷凝水管安装（含保温）</t>
  </si>
  <si>
    <t>1000021984</t>
  </si>
  <si>
    <t>21-25匹冷冻水系统风机盘管安装（含阀组和主机安装等）</t>
  </si>
  <si>
    <t>1000021985</t>
  </si>
  <si>
    <t>15-20匹冷冻水系统风机盘管安装（含阀组和主机安装等）</t>
  </si>
  <si>
    <t>1000021986</t>
  </si>
  <si>
    <t>8-12.5匹冷冻水系统风机盘管安装（含阀组和主机安装等）</t>
  </si>
  <si>
    <t>1000021987</t>
  </si>
  <si>
    <t>5-7匹冷冻水系统风机盘管安装（含阀组和主机安装等）</t>
  </si>
  <si>
    <t>1000021988</t>
  </si>
  <si>
    <t>3-4匹冷冻水系统风机盘管安装（含阀组和主机安装等）</t>
  </si>
  <si>
    <t>1000021989</t>
  </si>
  <si>
    <t>接管DN50水冷式冷水机安装（含阀组和主机安装等）</t>
  </si>
  <si>
    <t>1000021990</t>
  </si>
  <si>
    <t>接管DN40水冷式冷水机安装（含阀组和主机安装等）</t>
  </si>
  <si>
    <t>1000021991</t>
  </si>
  <si>
    <t>接管DN32水冷式冷水机安装（含阀组和主机安装等）</t>
  </si>
  <si>
    <t>空调风管(包含保温、吊杆及全部配件）</t>
  </si>
  <si>
    <t>1000021992</t>
  </si>
  <si>
    <t>送风管连保温及调节阀、防火阀等(玻璃棉保温材料)</t>
  </si>
  <si>
    <t>总面积（插件计算）风管</t>
  </si>
  <si>
    <t>1000021993</t>
  </si>
  <si>
    <t>送风管连保温及调节阀、防火阀等(橡塑保温材料)</t>
  </si>
  <si>
    <t>1000021994</t>
  </si>
  <si>
    <t>末端送风软管(带保温)</t>
  </si>
  <si>
    <t>1000021995</t>
  </si>
  <si>
    <t>新风管连保温及调节阀、防火阀等(玻璃棉保温材料)</t>
  </si>
  <si>
    <t>1000021996</t>
  </si>
  <si>
    <t>新风管连保温及调节阀、防火阀等(橡塑保温材料)</t>
  </si>
  <si>
    <t>1000021997</t>
  </si>
  <si>
    <t>排风管</t>
  </si>
  <si>
    <t>1000021998</t>
  </si>
  <si>
    <t>130排风软管</t>
  </si>
  <si>
    <t>1000021999</t>
  </si>
  <si>
    <t>350送风软管</t>
  </si>
  <si>
    <t>1000022000</t>
  </si>
  <si>
    <t>2mm厚钢板排油烟管</t>
  </si>
  <si>
    <t>1000022002</t>
  </si>
  <si>
    <t>不锈钢排油烟管</t>
  </si>
  <si>
    <t>1000022001</t>
  </si>
  <si>
    <t>2mm钢板油烟排放稀释袖套</t>
  </si>
  <si>
    <t>1000022003</t>
  </si>
  <si>
    <t>回风箱1800mm</t>
  </si>
  <si>
    <t>1000022004</t>
  </si>
  <si>
    <t>回风箱1200mm</t>
  </si>
  <si>
    <t>1000022005</t>
  </si>
  <si>
    <t>回风箱600mm</t>
  </si>
  <si>
    <t>1000022006</t>
  </si>
  <si>
    <t>静压箱</t>
  </si>
  <si>
    <t>1000051719</t>
  </si>
  <si>
    <t>条形风口静压箱</t>
  </si>
  <si>
    <t>空调冷媒管(含保温、吊杆）</t>
  </si>
  <si>
    <t>1000022007</t>
  </si>
  <si>
    <t>连接25匹分体空调内、外机的一对(两根)冷媒管</t>
  </si>
  <si>
    <t>1000022008</t>
  </si>
  <si>
    <r>
      <rPr>
        <sz val="9"/>
        <color rgb="FF92D050"/>
        <rFont val="宋体"/>
        <charset val="134"/>
      </rPr>
      <t>连接</t>
    </r>
    <r>
      <rPr>
        <sz val="9"/>
        <color rgb="FF92D050"/>
        <rFont val="Arial"/>
        <charset val="134"/>
      </rPr>
      <t>15 - 20</t>
    </r>
    <r>
      <rPr>
        <sz val="9"/>
        <color rgb="FF92D050"/>
        <rFont val="宋体"/>
        <charset val="134"/>
      </rPr>
      <t>匹分体空调内、外机的一对</t>
    </r>
    <r>
      <rPr>
        <sz val="9"/>
        <color rgb="FF92D050"/>
        <rFont val="Arial"/>
        <charset val="134"/>
      </rPr>
      <t>(</t>
    </r>
    <r>
      <rPr>
        <sz val="9"/>
        <color rgb="FF92D050"/>
        <rFont val="宋体"/>
        <charset val="134"/>
      </rPr>
      <t>两根</t>
    </r>
    <r>
      <rPr>
        <sz val="9"/>
        <color rgb="FF92D050"/>
        <rFont val="Arial"/>
        <charset val="134"/>
      </rPr>
      <t>)</t>
    </r>
    <r>
      <rPr>
        <sz val="9"/>
        <color rgb="FF92D050"/>
        <rFont val="宋体"/>
        <charset val="134"/>
      </rPr>
      <t>冷媒管</t>
    </r>
  </si>
  <si>
    <t>1000022009</t>
  </si>
  <si>
    <r>
      <rPr>
        <sz val="9"/>
        <color rgb="FF92D050"/>
        <rFont val="宋体"/>
        <charset val="134"/>
      </rPr>
      <t>连接</t>
    </r>
    <r>
      <rPr>
        <sz val="9"/>
        <color rgb="FF92D050"/>
        <rFont val="Arial"/>
        <charset val="134"/>
      </rPr>
      <t>8 - 12.5</t>
    </r>
    <r>
      <rPr>
        <sz val="9"/>
        <color rgb="FF92D050"/>
        <rFont val="宋体"/>
        <charset val="134"/>
      </rPr>
      <t>匹空调内、外机的一对</t>
    </r>
    <r>
      <rPr>
        <sz val="9"/>
        <color rgb="FF92D050"/>
        <rFont val="Arial"/>
        <charset val="134"/>
      </rPr>
      <t>(</t>
    </r>
    <r>
      <rPr>
        <sz val="9"/>
        <color rgb="FF92D050"/>
        <rFont val="宋体"/>
        <charset val="134"/>
      </rPr>
      <t>两根</t>
    </r>
    <r>
      <rPr>
        <sz val="9"/>
        <color rgb="FF92D050"/>
        <rFont val="Arial"/>
        <charset val="134"/>
      </rPr>
      <t>)</t>
    </r>
    <r>
      <rPr>
        <sz val="9"/>
        <color rgb="FF92D050"/>
        <rFont val="宋体"/>
        <charset val="134"/>
      </rPr>
      <t>冷媒管</t>
    </r>
  </si>
  <si>
    <t>1000022010</t>
  </si>
  <si>
    <t>连接7匹空调内、外机的一对(两根)冷媒管</t>
  </si>
  <si>
    <t>1000022011</t>
  </si>
  <si>
    <r>
      <rPr>
        <sz val="9"/>
        <color rgb="FF92D050"/>
        <rFont val="宋体"/>
        <charset val="134"/>
      </rPr>
      <t>连接</t>
    </r>
    <r>
      <rPr>
        <sz val="9"/>
        <color rgb="FF92D050"/>
        <rFont val="Arial"/>
        <charset val="134"/>
      </rPr>
      <t>5 - 6</t>
    </r>
    <r>
      <rPr>
        <sz val="9"/>
        <color rgb="FF92D050"/>
        <rFont val="宋体"/>
        <charset val="134"/>
      </rPr>
      <t>匹空调内、外机的一对</t>
    </r>
    <r>
      <rPr>
        <sz val="9"/>
        <color rgb="FF92D050"/>
        <rFont val="Arial"/>
        <charset val="134"/>
      </rPr>
      <t>(</t>
    </r>
    <r>
      <rPr>
        <sz val="9"/>
        <color rgb="FF92D050"/>
        <rFont val="宋体"/>
        <charset val="134"/>
      </rPr>
      <t>两根</t>
    </r>
    <r>
      <rPr>
        <sz val="9"/>
        <color rgb="FF92D050"/>
        <rFont val="Arial"/>
        <charset val="134"/>
      </rPr>
      <t>)</t>
    </r>
    <r>
      <rPr>
        <sz val="9"/>
        <color rgb="FF92D050"/>
        <rFont val="宋体"/>
        <charset val="134"/>
      </rPr>
      <t>冷媒管</t>
    </r>
  </si>
  <si>
    <t>1000022012</t>
  </si>
  <si>
    <t>连接3匹空调内、外机的一对(两根)冷媒管</t>
  </si>
  <si>
    <t>1000022013</t>
  </si>
  <si>
    <t>屋面冷媒铜管保护槽</t>
  </si>
  <si>
    <t>1000022014</t>
  </si>
  <si>
    <t>水冷空调镀锌管含保温DN100</t>
  </si>
  <si>
    <t>1000022015</t>
  </si>
  <si>
    <t>水冷空调镀锌管含保温DN80</t>
  </si>
  <si>
    <t>1000022016</t>
  </si>
  <si>
    <t>水冷空调镀锌管含保温DN70</t>
  </si>
  <si>
    <t>1000022017</t>
  </si>
  <si>
    <t>水冷空调镀锌管含保温DN50</t>
  </si>
  <si>
    <t>1000022018</t>
  </si>
  <si>
    <t>水冷空调镀锌管含保温DN40</t>
  </si>
  <si>
    <t>1000022019</t>
  </si>
  <si>
    <t>水冷空调镀锌管含保温DN32</t>
  </si>
  <si>
    <t>1000022020</t>
  </si>
  <si>
    <t>水冷空调镀锌管含保温DN25</t>
  </si>
  <si>
    <t>1000022021</t>
  </si>
  <si>
    <t>水冷空调镀锌管含保温DN20</t>
  </si>
  <si>
    <t>风口</t>
  </si>
  <si>
    <t>1000022022</t>
  </si>
  <si>
    <t>600x600散流器</t>
  </si>
  <si>
    <t>1000022023</t>
  </si>
  <si>
    <t>400x400散流器</t>
  </si>
  <si>
    <t>1000022024</t>
  </si>
  <si>
    <t>300x300散流器</t>
  </si>
  <si>
    <t>1000022025</t>
  </si>
  <si>
    <t>Φ600圆形散流器</t>
  </si>
  <si>
    <t>1000022026</t>
  </si>
  <si>
    <t>Φ400圆形散流器</t>
  </si>
  <si>
    <t>1000022027</t>
  </si>
  <si>
    <t>Φ300圆形散流器</t>
  </si>
  <si>
    <t>1000022028</t>
  </si>
  <si>
    <t>条形散流器</t>
  </si>
  <si>
    <t>总长度（无法用插件计算）</t>
  </si>
  <si>
    <t>1000022029</t>
  </si>
  <si>
    <t>600x600孔板厨房送风口</t>
  </si>
  <si>
    <t>1000022030</t>
  </si>
  <si>
    <t>其它送风口(截面 ≤ 0.13m2)</t>
  </si>
  <si>
    <t>1000022031</t>
  </si>
  <si>
    <t>595x595带滤网回风百叶</t>
  </si>
  <si>
    <t>1000022032</t>
  </si>
  <si>
    <t>1200x600带滤网门绞回风百叶</t>
  </si>
  <si>
    <t>1000022033</t>
  </si>
  <si>
    <t>防雨排风百叶(截面 ≤  0.25m2)</t>
  </si>
  <si>
    <t>根据百叶面积判断清单范围记取个数</t>
  </si>
  <si>
    <t>1000022034</t>
  </si>
  <si>
    <t>防雨排风百叶( 0.25m2 &lt;截面 ≤  0.5m2)</t>
  </si>
  <si>
    <t>1000022035</t>
  </si>
  <si>
    <t>防雨新风百叶(截面 ≤  0.25m2)</t>
  </si>
  <si>
    <t>1000022036</t>
  </si>
  <si>
    <t>防雨新风百叶( 0.25m2 &lt;截面 ≤  0.5m2)</t>
  </si>
  <si>
    <t>1000022037</t>
  </si>
  <si>
    <t>防雨新风百叶( 0.5m2 &lt;截面 ≤  0.75m2)</t>
  </si>
  <si>
    <t>1000022038</t>
  </si>
  <si>
    <t>防雨新风百叶( 0.75m2 &lt;截面 ≤  1.0m2)</t>
  </si>
  <si>
    <t>1000022039</t>
  </si>
  <si>
    <t>300*300百叶排风</t>
  </si>
  <si>
    <t>1000040114</t>
  </si>
  <si>
    <t>风口翻新</t>
  </si>
  <si>
    <t>1000040115</t>
  </si>
  <si>
    <t>风管保温修补（含风口移位的风管接驳费）</t>
  </si>
  <si>
    <t>设备安装</t>
  </si>
  <si>
    <t>1000021925</t>
  </si>
  <si>
    <t>智能变频通风系统安装</t>
  </si>
  <si>
    <t>1000022040</t>
  </si>
  <si>
    <t>F6+G4空气过滤系统安装（PM2.5&gt;35城市配备）</t>
  </si>
  <si>
    <t>76</t>
  </si>
  <si>
    <t>1622</t>
  </si>
  <si>
    <t>6.2 消防系统</t>
  </si>
  <si>
    <t>消防工程</t>
  </si>
  <si>
    <t>消防工程(火灾自动报警系统)</t>
  </si>
  <si>
    <t>1000040049</t>
  </si>
  <si>
    <t>编码感烟探测器（含线管）</t>
  </si>
  <si>
    <t>1000040050</t>
  </si>
  <si>
    <t>编码感温探测器（含线管）</t>
  </si>
  <si>
    <t>1000040051</t>
  </si>
  <si>
    <t>消火栓按钮</t>
  </si>
  <si>
    <t>1000040052</t>
  </si>
  <si>
    <t>手动报警按钮</t>
  </si>
  <si>
    <t>1000040053</t>
  </si>
  <si>
    <t>警铃</t>
  </si>
  <si>
    <t>1000040054</t>
  </si>
  <si>
    <t>总线控制模块</t>
  </si>
  <si>
    <t>1000040055</t>
  </si>
  <si>
    <t>消防箱（端子箱）</t>
  </si>
  <si>
    <t>1000040056</t>
  </si>
  <si>
    <t>自动报警系统装置调试</t>
  </si>
  <si>
    <t>系统</t>
  </si>
  <si>
    <t>1000040057</t>
  </si>
  <si>
    <t>防火阀</t>
  </si>
  <si>
    <t>消防工程(消防广播系统系统)</t>
  </si>
  <si>
    <t>1000040058</t>
  </si>
  <si>
    <t>消防切换模块</t>
  </si>
  <si>
    <t>1000040059</t>
  </si>
  <si>
    <t>广播驱动模块(音响主机)</t>
  </si>
  <si>
    <t>1000040060</t>
  </si>
  <si>
    <t>消防广播系统调试</t>
  </si>
  <si>
    <t>消防工程(水灭火系统)</t>
  </si>
  <si>
    <t>1000040061</t>
  </si>
  <si>
    <t>水喷头(普通型)</t>
  </si>
  <si>
    <t>1000040062</t>
  </si>
  <si>
    <t>水喷头防护罩</t>
  </si>
  <si>
    <t>1000040063</t>
  </si>
  <si>
    <t>水喷淋镀锌钢管DN25</t>
  </si>
  <si>
    <t>1000040064</t>
  </si>
  <si>
    <t>水喷淋镀锌钢管DN32</t>
  </si>
  <si>
    <t>1000040065</t>
  </si>
  <si>
    <t>水喷淋镀锌钢管DN40</t>
  </si>
  <si>
    <t>1000040066</t>
  </si>
  <si>
    <t>水喷淋镀锌钢管DN50</t>
  </si>
  <si>
    <t>1000040067</t>
  </si>
  <si>
    <t>水喷淋镀锌钢管DN70</t>
  </si>
  <si>
    <t>1000040068</t>
  </si>
  <si>
    <t>水喷淋镀锌钢管DN80</t>
  </si>
  <si>
    <t>1000040080</t>
  </si>
  <si>
    <t>水喷淋镀锌钢管DN100</t>
  </si>
  <si>
    <t>1000040069</t>
  </si>
  <si>
    <t>信号蝶阀DN80</t>
  </si>
  <si>
    <t>1000040081</t>
  </si>
  <si>
    <t>信号蝶阀DN100</t>
  </si>
  <si>
    <t>1000040070</t>
  </si>
  <si>
    <t>压力表</t>
  </si>
  <si>
    <t>1000040071</t>
  </si>
  <si>
    <t>自动排气阀DN25</t>
  </si>
  <si>
    <t>1000040072</t>
  </si>
  <si>
    <t>湿式报警阀DN80</t>
  </si>
  <si>
    <t>1000040073</t>
  </si>
  <si>
    <t>水流指示器DN80</t>
  </si>
  <si>
    <t>1000040074</t>
  </si>
  <si>
    <t>末端试水装置DN25</t>
  </si>
  <si>
    <t>消防工程(消防栓系统)</t>
  </si>
  <si>
    <t>1000040075</t>
  </si>
  <si>
    <t>水灭火系统控制装置调试</t>
  </si>
  <si>
    <t>1000040076</t>
  </si>
  <si>
    <t>管网水冲洗</t>
  </si>
  <si>
    <t>1000040077</t>
  </si>
  <si>
    <t>3KG2具装ABC干粉灭火器</t>
  </si>
  <si>
    <t>1000040078</t>
  </si>
  <si>
    <t>消火栓</t>
  </si>
  <si>
    <t>1000040079</t>
  </si>
  <si>
    <t>消火栓箱</t>
  </si>
  <si>
    <t>1000040082</t>
  </si>
  <si>
    <t>消防水泵接合器</t>
  </si>
  <si>
    <t>77</t>
  </si>
  <si>
    <t>1623</t>
  </si>
  <si>
    <t>消防排烟系统</t>
  </si>
  <si>
    <t>1000022041</t>
  </si>
  <si>
    <t>消防强排烟风口</t>
  </si>
  <si>
    <t>1000022042</t>
  </si>
  <si>
    <t>消防强排烟防火阀</t>
  </si>
  <si>
    <t>1000022043</t>
  </si>
  <si>
    <t>强排烟管道</t>
  </si>
  <si>
    <t>1000040116</t>
  </si>
  <si>
    <t>强排烟风机系统</t>
  </si>
  <si>
    <t>1000022044</t>
  </si>
  <si>
    <t>防火卷帘门连门框及全部配件</t>
  </si>
  <si>
    <t>1000022045</t>
  </si>
  <si>
    <t>防火卷帘门电机系统、消防联动及全部配件</t>
  </si>
  <si>
    <t>疏散图</t>
  </si>
  <si>
    <t>1000022046</t>
  </si>
  <si>
    <t>不锈钢消防疏散图</t>
  </si>
  <si>
    <t>79</t>
  </si>
  <si>
    <t>1630</t>
  </si>
  <si>
    <t>6.3 环保工程</t>
  </si>
  <si>
    <t>环保工程</t>
  </si>
  <si>
    <t>消声屏障/消声房(分包)</t>
  </si>
  <si>
    <t>1000022047</t>
  </si>
  <si>
    <t>消声屏障/消声房/装饰百叶(分包)</t>
  </si>
  <si>
    <t>油烟净化器/系统</t>
  </si>
  <si>
    <t>1000022048</t>
  </si>
  <si>
    <t>油烟净化器/系统（仅主材）</t>
  </si>
  <si>
    <t>1000022049</t>
  </si>
  <si>
    <t>油烟净化器/系统（仅安装）</t>
  </si>
  <si>
    <t>隔油池化粪池</t>
  </si>
  <si>
    <t>1000022050</t>
  </si>
  <si>
    <t>隔油池(含不锈钢框防臭盖及取样井,具体尺寸详见图纸)</t>
  </si>
  <si>
    <t>1000022051</t>
  </si>
  <si>
    <t>铸铁盖过路井</t>
  </si>
  <si>
    <t>1000022052</t>
  </si>
  <si>
    <t>化粪池</t>
  </si>
  <si>
    <t>1000022053</t>
  </si>
  <si>
    <t>排污泵设施（含配套电气及管、阀等）</t>
  </si>
  <si>
    <t>86</t>
  </si>
  <si>
    <t>3791</t>
  </si>
  <si>
    <t>7 招牌</t>
  </si>
  <si>
    <t>7.2 招牌安装</t>
  </si>
  <si>
    <t>招牌安装</t>
  </si>
  <si>
    <t>1000022159</t>
  </si>
  <si>
    <t>大堂墙面字母安装</t>
  </si>
  <si>
    <t>装饰品面积</t>
  </si>
  <si>
    <t>7.3 招牌安装</t>
  </si>
  <si>
    <t>1000022054</t>
  </si>
  <si>
    <t>门头招牌安装</t>
  </si>
  <si>
    <t>专用设备面积</t>
  </si>
  <si>
    <t>1000022055</t>
  </si>
  <si>
    <t>双面侧招安装含钢架(底标高H ≤ 10m）</t>
  </si>
  <si>
    <t>根据族所在高度判断清单范围记取个数</t>
  </si>
  <si>
    <t>1000022056</t>
  </si>
  <si>
    <t>双面侧招安装含钢架（底标高H &gt; 10m)</t>
  </si>
  <si>
    <t>1000022057</t>
  </si>
  <si>
    <t>小侧招安装</t>
  </si>
  <si>
    <t>1000022058</t>
  </si>
  <si>
    <t>杆标基础(杆标顶H ≤10m)</t>
  </si>
  <si>
    <t>1000022059</t>
  </si>
  <si>
    <t>杆标安装(杆标顶H ≤10m,含杆标主材及招牌安装)</t>
  </si>
  <si>
    <t>1000022060</t>
  </si>
  <si>
    <t>杆标基础(杆标顶H&gt; 10m)</t>
  </si>
  <si>
    <t>1000022061</t>
  </si>
  <si>
    <t>杆标安装(杆标顶H &gt; 10m,含杆标主材及招牌安装)</t>
  </si>
  <si>
    <t>1000022062</t>
  </si>
  <si>
    <t>贴墙招牌安装(底标高H ≤ 10m)</t>
  </si>
  <si>
    <t>1000022063</t>
  </si>
  <si>
    <t>贴墙招牌安装(底标高H &gt; 10m)</t>
  </si>
  <si>
    <t>1000022064</t>
  </si>
  <si>
    <t>悬挂招牌安装</t>
  </si>
  <si>
    <t>1000022065</t>
  </si>
  <si>
    <t>1000X700贴墙菜单箱安装</t>
  </si>
  <si>
    <t>1000022066</t>
  </si>
  <si>
    <t>1000X700立式菜单牌安装</t>
  </si>
  <si>
    <t>1000045089</t>
  </si>
  <si>
    <t>落地大M字招牌安装及加固基础</t>
  </si>
  <si>
    <t>1000085730</t>
  </si>
  <si>
    <t>CUBE 麦咖啡灯箱（内立面）（仅安装）</t>
  </si>
  <si>
    <t>1000085731</t>
  </si>
  <si>
    <t>CUBE 麦咖啡灯箱（外立面）（仅安装）</t>
  </si>
  <si>
    <t>1000085733</t>
  </si>
  <si>
    <t>more seat标志（仅安装）</t>
  </si>
  <si>
    <t>1000085734</t>
  </si>
  <si>
    <t>Happy Box（仅安装）</t>
  </si>
  <si>
    <t>1000085735</t>
  </si>
  <si>
    <t>2000*2000mm高位灯箱招牌（仅安装）（底标高H &gt; 10m)</t>
  </si>
  <si>
    <t>1000085736</t>
  </si>
  <si>
    <t>2000*2000mm高位灯箱招牌（仅安装）(底标高H ≤ 10m）</t>
  </si>
  <si>
    <t>1000022067</t>
  </si>
  <si>
    <t>DT-售卖窗口外挂订制招牌</t>
  </si>
  <si>
    <t>1000085740</t>
  </si>
  <si>
    <t>DT-落地指示牌安装（不含基础）</t>
  </si>
  <si>
    <t>1000085741</t>
  </si>
  <si>
    <t>DT-落地指示牌基础</t>
  </si>
  <si>
    <t>1000085723</t>
  </si>
  <si>
    <t>DT-三转灯箱安装</t>
  </si>
  <si>
    <t>1000085724</t>
  </si>
  <si>
    <t>DT-三转灯箱基础</t>
  </si>
  <si>
    <t>1000022068</t>
  </si>
  <si>
    <t>DT-出入口指示牌安装(不含基础)</t>
  </si>
  <si>
    <t>1000022069</t>
  </si>
  <si>
    <t>DT-出入口指示牌基础</t>
  </si>
  <si>
    <t>1000022070</t>
  </si>
  <si>
    <t>DT-购餐车道指示牌安装(不含基础)</t>
  </si>
  <si>
    <t>1000022071</t>
  </si>
  <si>
    <t>DT-购餐车道指示牌基础</t>
  </si>
  <si>
    <t>1000022072</t>
  </si>
  <si>
    <t>DT-麦当劳停车位指示牌安装(不含基础)</t>
  </si>
  <si>
    <t>1000022073</t>
  </si>
  <si>
    <t>DT-麦当劳停车位指示牌基础</t>
  </si>
  <si>
    <t>1000022074</t>
  </si>
  <si>
    <t>DT-COD（含雨棚）安装(不含基础)</t>
  </si>
  <si>
    <t>1000022075</t>
  </si>
  <si>
    <t>DT-COD（含雨棚）及预售菜单牌基础</t>
  </si>
  <si>
    <t>1000022076</t>
  </si>
  <si>
    <t>DT-限高杆安装(不含基础)</t>
  </si>
  <si>
    <t>1000022077</t>
  </si>
  <si>
    <t>DT-限高杆基础</t>
  </si>
  <si>
    <t>1000022078</t>
  </si>
  <si>
    <t>DT-预售菜单牌安装（一组）(不含基础)</t>
  </si>
  <si>
    <t>131</t>
  </si>
  <si>
    <t>8410</t>
  </si>
  <si>
    <t>8 设备</t>
  </si>
  <si>
    <t>8.4 本地采购设备</t>
  </si>
  <si>
    <t>8.4.1 保险箱</t>
  </si>
  <si>
    <t>1000021581</t>
  </si>
  <si>
    <t>132</t>
  </si>
  <si>
    <t>8423</t>
  </si>
  <si>
    <t>8.4.2 电视机/录像机,音响,电话/传真机等</t>
  </si>
  <si>
    <t>电视机/录像机,音响,电话/传真机等</t>
  </si>
  <si>
    <t>1000022083</t>
  </si>
  <si>
    <t>电话机</t>
  </si>
  <si>
    <t>1000022084</t>
  </si>
  <si>
    <t>A4传真机</t>
  </si>
  <si>
    <t>134</t>
  </si>
  <si>
    <t>1000021582</t>
  </si>
  <si>
    <t>经理室IT机柜</t>
  </si>
  <si>
    <t>8422</t>
  </si>
  <si>
    <t>1000021583</t>
  </si>
  <si>
    <t>Honeywell主店音响系统（含吸顶低音喇叭）（不含甜品站）</t>
  </si>
  <si>
    <t>1000021584</t>
  </si>
  <si>
    <t>BOSCH主店音响系统（含吸顶低音喇叭）（不含甜品站）</t>
  </si>
  <si>
    <t>1000022169</t>
  </si>
  <si>
    <t>音响系统布线及安装（不含甜品站）</t>
  </si>
  <si>
    <t>133</t>
  </si>
  <si>
    <t>8.4.3 保安监控系统</t>
  </si>
  <si>
    <t>CCTV闭路监控系统（不含传送带监控）</t>
  </si>
  <si>
    <t>1000022085</t>
  </si>
  <si>
    <t>CCTV闭路监控系统（含传送带监控）</t>
  </si>
  <si>
    <t>1000040083</t>
  </si>
  <si>
    <t>110报警系统</t>
  </si>
  <si>
    <t>1000040084</t>
  </si>
  <si>
    <t>138</t>
  </si>
  <si>
    <t>8.4.6 其他厨房工具</t>
  </si>
  <si>
    <t>1000021585</t>
  </si>
  <si>
    <t>松下烘手器</t>
  </si>
  <si>
    <t>是=台盆个数</t>
  </si>
  <si>
    <t>8456</t>
  </si>
  <si>
    <t>1000021586</t>
  </si>
  <si>
    <t>灭蝇灯（大堂位置，科凌）</t>
  </si>
  <si>
    <t>1000040127</t>
  </si>
  <si>
    <t>灭蝇灯（厨房位置，景隆）</t>
  </si>
  <si>
    <t>142</t>
  </si>
  <si>
    <t>8.7 其他设备</t>
  </si>
  <si>
    <t>1000022089</t>
  </si>
  <si>
    <t>144</t>
  </si>
  <si>
    <t>8.5a 承包商供应施工材料和设备</t>
  </si>
  <si>
    <t>8.5.1 空调设备和控制系统</t>
  </si>
  <si>
    <t>1000021587</t>
  </si>
  <si>
    <t>供应(不含安装) 风幕机</t>
  </si>
  <si>
    <t>1000051731</t>
  </si>
  <si>
    <t>供应(不含安装) 风幕机1200mm</t>
  </si>
  <si>
    <t>1000051732</t>
  </si>
  <si>
    <t>供应(不含安装) 风幕机1500mm</t>
  </si>
  <si>
    <t>1000021588</t>
  </si>
  <si>
    <t>供应(不含安装) 电加热型 风幕机</t>
  </si>
  <si>
    <t>1000022086</t>
  </si>
  <si>
    <t>供应（不含安装）新风机/排风机(风量4000CMH及以上）</t>
  </si>
  <si>
    <t>1000022087</t>
  </si>
  <si>
    <t>供应（不含安装）新风机/排风机(风量2000-4000CMH）</t>
  </si>
  <si>
    <t>1000022088</t>
  </si>
  <si>
    <t>供应（不含安装）新风机/排风机(风量2000CMH及以下）</t>
  </si>
  <si>
    <t>8.5.2 空调设备和控制系统</t>
  </si>
  <si>
    <t>1000021590</t>
  </si>
  <si>
    <t>供应(不含安装)小型排风扇</t>
  </si>
  <si>
    <t>145</t>
  </si>
  <si>
    <t>8.5.2 热水器</t>
  </si>
  <si>
    <t>1000021591</t>
  </si>
  <si>
    <t>供应(不含安装) 史密斯150升电热水器(KEH)</t>
  </si>
  <si>
    <t>1000021592</t>
  </si>
  <si>
    <t>供应(不含安装) 史密斯120升电热水器(KEH)</t>
  </si>
  <si>
    <t>1000021593</t>
  </si>
  <si>
    <t>供应(不含安装) 史密斯60升电热水器</t>
  </si>
  <si>
    <t>1000040121</t>
  </si>
  <si>
    <t>供应(不含安装) 瑞美150升电热水器</t>
  </si>
  <si>
    <t>1000040122</t>
  </si>
  <si>
    <t>供应(不含安装) 瑞美120升电热水器</t>
  </si>
  <si>
    <t>1000040123</t>
  </si>
  <si>
    <t>供应(不含安装) 瑞美60升电热水器</t>
  </si>
  <si>
    <t>149</t>
  </si>
  <si>
    <t>8.5.6 厨房抽油烟机</t>
  </si>
  <si>
    <t>1000021597</t>
  </si>
  <si>
    <t>供应(不含安装) Infinair 厨房抽油烟机</t>
  </si>
  <si>
    <t>1000051730</t>
  </si>
  <si>
    <t>供应(不含安装) Infinair 厨房抽油烟机2.2kw</t>
  </si>
  <si>
    <t>150</t>
  </si>
  <si>
    <t>8.5.7 其他五金件</t>
  </si>
  <si>
    <t>卷帘门</t>
  </si>
  <si>
    <t>1000022079</t>
  </si>
  <si>
    <t>防盗卷帘门连门框及全部配件</t>
  </si>
  <si>
    <t>1000022080</t>
  </si>
  <si>
    <t>防盗卷帘门电机系统及全部配件</t>
  </si>
  <si>
    <t>123</t>
  </si>
  <si>
    <t>8352</t>
  </si>
  <si>
    <t>1000022090</t>
  </si>
  <si>
    <t>冰箱</t>
  </si>
  <si>
    <t>152</t>
  </si>
  <si>
    <t>8900</t>
  </si>
  <si>
    <t>1000022091</t>
  </si>
  <si>
    <t>饮水机</t>
  </si>
  <si>
    <t>8451</t>
  </si>
  <si>
    <t>1000022092</t>
  </si>
  <si>
    <t>电熨斗</t>
  </si>
  <si>
    <t>1000022081</t>
  </si>
  <si>
    <t>冷冻、冷藏一对(两根)冷媒管</t>
  </si>
  <si>
    <t>1000022082</t>
  </si>
  <si>
    <t>制冰机与汽水机一对(两根)冷媒管</t>
  </si>
  <si>
    <t>1000022093</t>
  </si>
  <si>
    <t>小米随身USB风扇</t>
  </si>
  <si>
    <t>156</t>
  </si>
  <si>
    <t>2991</t>
  </si>
  <si>
    <t>9 座位</t>
  </si>
  <si>
    <t>9.3 座位安装</t>
  </si>
  <si>
    <t>1000022095</t>
  </si>
  <si>
    <t>座位下货及安装</t>
  </si>
  <si>
    <t>166</t>
  </si>
  <si>
    <t>4081</t>
  </si>
  <si>
    <t>10 装饰品及其他</t>
  </si>
  <si>
    <t>10.08 其它装饰品</t>
  </si>
  <si>
    <t>室内指示牌</t>
  </si>
  <si>
    <t>1000021598</t>
  </si>
  <si>
    <t>室内指示牌（仅主材）</t>
  </si>
  <si>
    <t>1000022096</t>
  </si>
  <si>
    <t>室内指示牌安装</t>
  </si>
  <si>
    <t>165</t>
  </si>
  <si>
    <t>4007</t>
  </si>
  <si>
    <t>10.07 主题装饰品</t>
  </si>
  <si>
    <t>主题装饰（由承包商采购）</t>
  </si>
  <si>
    <t>1000040117</t>
  </si>
  <si>
    <t>主题装饰（由承包商采购的龙门架、屏风、吊灯、沟通栏等）</t>
  </si>
  <si>
    <t>1000021609</t>
  </si>
  <si>
    <t>挂画Alp主材(600*900)</t>
  </si>
  <si>
    <t>1000021610</t>
  </si>
  <si>
    <t>挂画Alp主材(1240*1800)</t>
  </si>
  <si>
    <t>1000040085</t>
  </si>
  <si>
    <t>挂画Ele主材(295*400)</t>
  </si>
  <si>
    <t>1000040086</t>
  </si>
  <si>
    <t>挂画Ele主材(350*450)</t>
  </si>
  <si>
    <t>167</t>
  </si>
  <si>
    <t>4991</t>
  </si>
  <si>
    <t>10.09 装饰品安装</t>
  </si>
  <si>
    <t>装饰品安装</t>
  </si>
  <si>
    <t>1000022097</t>
  </si>
  <si>
    <t>儿童乐园安装（地垫、软包、游乐设施）</t>
  </si>
  <si>
    <t>1000022098</t>
  </si>
  <si>
    <t>happy meal安装</t>
  </si>
  <si>
    <t>1000022099</t>
  </si>
  <si>
    <t>成品龙门架安装（含结构钢架）</t>
  </si>
  <si>
    <t>1000022100</t>
  </si>
  <si>
    <t>挂画安装</t>
  </si>
  <si>
    <t>1000022101</t>
  </si>
  <si>
    <t>装饰品隔断安装（1组3个小隔断）</t>
  </si>
  <si>
    <t>1000022102</t>
  </si>
  <si>
    <t>成品镜子安装</t>
  </si>
  <si>
    <t>1000022094</t>
  </si>
  <si>
    <t>大生定制图案图形安装</t>
  </si>
  <si>
    <t>1000051726</t>
  </si>
  <si>
    <t>吊装挂画安装（含支撑钢架）</t>
  </si>
  <si>
    <t>1000085725</t>
  </si>
  <si>
    <t>EI2.0 挂画安装</t>
  </si>
  <si>
    <t>1000085726</t>
  </si>
  <si>
    <t>CUBE 挂画安装</t>
  </si>
  <si>
    <t>1000085727</t>
  </si>
  <si>
    <t>室内可乐、汉堡、冰淇淋立体图案安装</t>
  </si>
  <si>
    <t>1000085728</t>
  </si>
  <si>
    <t>玻璃屏风安装</t>
  </si>
  <si>
    <t>1000085737</t>
  </si>
  <si>
    <t>1200*1200非标绿色折弯花架（仅安装）</t>
  </si>
  <si>
    <t>6056</t>
  </si>
  <si>
    <t>McCafe-LHI</t>
  </si>
  <si>
    <t>麦咖啡装修</t>
  </si>
  <si>
    <t>麦咖啡-地面</t>
  </si>
  <si>
    <t>黑色踢脚（冠军，Geometry）</t>
  </si>
  <si>
    <t>6057</t>
  </si>
  <si>
    <t>麦咖啡-墙面</t>
  </si>
  <si>
    <t>6058</t>
  </si>
  <si>
    <t>麦咖啡-天花</t>
  </si>
  <si>
    <t>6060</t>
  </si>
  <si>
    <t>麦咖啡-模组</t>
  </si>
  <si>
    <t>1000022104</t>
  </si>
  <si>
    <t>连桥模组安装</t>
  </si>
  <si>
    <t>6064</t>
  </si>
  <si>
    <t>麦咖啡-门</t>
  </si>
  <si>
    <t>1000022111</t>
  </si>
  <si>
    <t>总包自制--850mmX40mm厚 隔断成品门及全部配件</t>
  </si>
  <si>
    <t>麦咖啡-其他</t>
  </si>
  <si>
    <t>1000022114</t>
  </si>
  <si>
    <t>不锈钢踢脚 H=100</t>
  </si>
  <si>
    <t>1000022115</t>
  </si>
  <si>
    <t>不锈钢踢脚 H=200</t>
  </si>
  <si>
    <t>6068</t>
  </si>
  <si>
    <t>麦咖啡-电气</t>
  </si>
  <si>
    <t>1000021599</t>
  </si>
  <si>
    <t>电源箱</t>
  </si>
  <si>
    <t>1000022116</t>
  </si>
  <si>
    <t>配电柜至麦咖啡接驳电线</t>
  </si>
  <si>
    <t>1000022117</t>
  </si>
  <si>
    <t>内部电源安装（含插头插座开关）</t>
  </si>
  <si>
    <t>1000022118</t>
  </si>
  <si>
    <t>配合网线安装</t>
  </si>
  <si>
    <t>1000022119</t>
  </si>
  <si>
    <t>排污泵及附属设施 （含设备）</t>
  </si>
  <si>
    <t>1000022120</t>
  </si>
  <si>
    <t>电视机安装</t>
  </si>
  <si>
    <t>1000022121</t>
  </si>
  <si>
    <t>麦咖啡专用电视机支架</t>
  </si>
  <si>
    <t>6086</t>
  </si>
  <si>
    <t>McCafe-ESSD</t>
  </si>
  <si>
    <t>麦咖啡ESSD</t>
  </si>
  <si>
    <t>麦咖啡-招牌安装</t>
  </si>
  <si>
    <t>1000022122</t>
  </si>
  <si>
    <t>麦咖啡-菜单牌安装</t>
  </si>
  <si>
    <t>1000022123</t>
  </si>
  <si>
    <t>麦咖啡-麦咖啡灯箱安装</t>
  </si>
  <si>
    <t>1000022124</t>
  </si>
  <si>
    <t>甜吧60</t>
  </si>
  <si>
    <t>DessertBar-LHI</t>
  </si>
  <si>
    <t>甜吧装修</t>
  </si>
  <si>
    <t>甜吧-模组</t>
  </si>
  <si>
    <t>1000040087</t>
  </si>
  <si>
    <t>模组采购---甜吧柜台</t>
  </si>
  <si>
    <t>1000040089</t>
  </si>
  <si>
    <t>模组安装</t>
  </si>
  <si>
    <t>甜吧64</t>
  </si>
  <si>
    <t>甜吧-门</t>
  </si>
  <si>
    <t>甜吧68</t>
  </si>
  <si>
    <t>甜吧-电气</t>
  </si>
  <si>
    <t>1000040091</t>
  </si>
  <si>
    <t>配电柜至甜吧接驳电线</t>
  </si>
  <si>
    <t>7056</t>
  </si>
  <si>
    <t>Kiosk-LHI</t>
  </si>
  <si>
    <t>母店内甜品站装修</t>
  </si>
  <si>
    <t>母店内甜品站-地面</t>
  </si>
  <si>
    <t>7057</t>
  </si>
  <si>
    <t>母店内甜品站-墙面</t>
  </si>
  <si>
    <t>1000021608</t>
  </si>
  <si>
    <t>50*50mm黄色六角砖（琛雄）</t>
  </si>
  <si>
    <t>1000021705</t>
  </si>
  <si>
    <t>50*50mm黄色六角砖（共荣）</t>
  </si>
  <si>
    <t>1000021704</t>
  </si>
  <si>
    <t>50*50mm黄色六角砖（冠军）</t>
  </si>
  <si>
    <t>7058</t>
  </si>
  <si>
    <t>母店内甜品站-吊顶</t>
  </si>
  <si>
    <t>7059</t>
  </si>
  <si>
    <t>母店内甜品站-外立面</t>
  </si>
  <si>
    <t>1000022126</t>
  </si>
  <si>
    <t>定制黄色烤漆铝板装饰带安装</t>
  </si>
  <si>
    <t>1000021638</t>
  </si>
  <si>
    <t>外墙人造石面层</t>
  </si>
  <si>
    <t>1000022125</t>
  </si>
  <si>
    <t>外围踏步处栏杆</t>
  </si>
  <si>
    <t>1000021600</t>
  </si>
  <si>
    <t>移动窗口</t>
  </si>
  <si>
    <t>7060</t>
  </si>
  <si>
    <t>母店内甜品站-柜台</t>
  </si>
  <si>
    <t>1000022127</t>
  </si>
  <si>
    <t>钢木结构柜台连面板及柜台立面（人造石）</t>
  </si>
  <si>
    <t>1000022128</t>
  </si>
  <si>
    <t>柜台上12mm钢化玻璃</t>
  </si>
  <si>
    <t>7064</t>
  </si>
  <si>
    <t>母店内甜品站-墙体隔断</t>
  </si>
  <si>
    <t>1000021601</t>
  </si>
  <si>
    <t>防潮隔断板连门（连桥供应）</t>
  </si>
  <si>
    <t>1000021602</t>
  </si>
  <si>
    <t>防潮隔断五金件（连桥供应）</t>
  </si>
  <si>
    <t>1000021857</t>
  </si>
  <si>
    <t>1300mm高矮墙（不含防火板）</t>
  </si>
  <si>
    <t>1000022129</t>
  </si>
  <si>
    <t>12mm厚钢化磨砂玻璃</t>
  </si>
  <si>
    <t>母店内甜品站-门</t>
  </si>
  <si>
    <t>1000022130</t>
  </si>
  <si>
    <t>850mmX40mm厚 隔断成品门及全部配件</t>
  </si>
  <si>
    <t>1000025194</t>
  </si>
  <si>
    <t>甜品站玻璃单开门（含五金配件）</t>
  </si>
  <si>
    <t>母店内甜品站-其他</t>
  </si>
  <si>
    <t>1000022131</t>
  </si>
  <si>
    <t>地面抬高</t>
  </si>
  <si>
    <t>7068</t>
  </si>
  <si>
    <t>母店内甜品站-电气</t>
  </si>
  <si>
    <t>1000022132</t>
  </si>
  <si>
    <t>配电柜至甜品站接驳电线</t>
  </si>
  <si>
    <t>1000022133</t>
  </si>
  <si>
    <t>配合弱电安装</t>
  </si>
  <si>
    <t>7132</t>
  </si>
  <si>
    <t>Kiosk-ESSD</t>
  </si>
  <si>
    <t>店内甜品站ESSD</t>
  </si>
  <si>
    <t>店内甜品站本地采购设备</t>
  </si>
  <si>
    <t>店内甜品站-音响</t>
  </si>
  <si>
    <t>1000021603</t>
  </si>
  <si>
    <t>Honeywell甜品站-音响（含无线耳麦话筒）</t>
  </si>
  <si>
    <t>1000021604</t>
  </si>
  <si>
    <t>BOSCH甜品站-音响（含无线耳麦话筒）</t>
  </si>
  <si>
    <t>1000022170</t>
  </si>
  <si>
    <t>甜品站-音响布线及安装</t>
  </si>
  <si>
    <t>7086</t>
  </si>
  <si>
    <t>母店内甜品站ESSD</t>
  </si>
  <si>
    <t>母店内甜品站-招牌安装</t>
  </si>
  <si>
    <t>1000022134</t>
  </si>
  <si>
    <t>甜品站-招牌安装</t>
  </si>
  <si>
    <t>母店内甜品站-“大生”铝板吊顶安装</t>
  </si>
  <si>
    <t>1000022135</t>
  </si>
  <si>
    <t>甜品站-“大生”铝板吊顶安装</t>
  </si>
  <si>
    <t>母店内甜品站-菜单牌安装</t>
  </si>
  <si>
    <t>1000022136</t>
  </si>
  <si>
    <t>甜品站-菜单牌安装</t>
  </si>
  <si>
    <t>1000022138</t>
  </si>
  <si>
    <t>定制展示柜灯箱安装</t>
  </si>
  <si>
    <t>1000022137</t>
  </si>
  <si>
    <t>甜品站-700*700灯箱安装</t>
  </si>
  <si>
    <t>8056</t>
  </si>
  <si>
    <t>独立甜品站装修</t>
  </si>
  <si>
    <t>独立甜品站-地面</t>
  </si>
  <si>
    <t>8057</t>
  </si>
  <si>
    <t>独立甜品站-墙面</t>
  </si>
  <si>
    <t>独立甜品站-墙画</t>
  </si>
  <si>
    <t>8058</t>
  </si>
  <si>
    <t>独立甜品站-吊顶</t>
  </si>
  <si>
    <t>8059</t>
  </si>
  <si>
    <t>独立甜品站-外立面</t>
  </si>
  <si>
    <t>8148</t>
  </si>
  <si>
    <t>8060</t>
  </si>
  <si>
    <t>独立甜品站-柜台</t>
  </si>
  <si>
    <t>8064</t>
  </si>
  <si>
    <t>独立甜品站-墙体隔断</t>
  </si>
  <si>
    <t>独立甜品站-门</t>
  </si>
  <si>
    <t>1000022139</t>
  </si>
  <si>
    <t>防盗门</t>
  </si>
  <si>
    <t>独立甜品站-其他</t>
  </si>
  <si>
    <t>8068</t>
  </si>
  <si>
    <t>独立甜品站-电气</t>
  </si>
  <si>
    <t>1000022140</t>
  </si>
  <si>
    <t>红线电缆</t>
  </si>
  <si>
    <t>1000022141</t>
  </si>
  <si>
    <t>照明回路</t>
  </si>
  <si>
    <t>1000085744</t>
  </si>
  <si>
    <t>1000022188</t>
  </si>
  <si>
    <t>安装方形LED灯筒灯灯具  L1</t>
  </si>
  <si>
    <t>1000022189</t>
  </si>
  <si>
    <t>安装双头方形LED灯筒灯灯具  L2</t>
  </si>
  <si>
    <t>1000022190</t>
  </si>
  <si>
    <t>安装方形嵌入式LED射灯28W  L3</t>
  </si>
  <si>
    <t>1000022191</t>
  </si>
  <si>
    <t>安装深照型圆形LED灯筒灯灯具  L4</t>
  </si>
  <si>
    <t>1000022193</t>
  </si>
  <si>
    <t>安装圆形嵌入式 LED 筒灯  L5</t>
  </si>
  <si>
    <t>1000022194</t>
  </si>
  <si>
    <t>安装方形嵌入式 LED 筒灯  L5</t>
  </si>
  <si>
    <t>1000022192</t>
  </si>
  <si>
    <t>安装圆形嵌入式 LED 防尘防水筒灯  L6</t>
  </si>
  <si>
    <t>1000022195</t>
  </si>
  <si>
    <t>安装600*600mm嵌入式LED灯盘  L7（0-Base）</t>
  </si>
  <si>
    <t>1000022196</t>
  </si>
  <si>
    <t>安装600*600mm嵌入式LED灯盘  L7（Minimal等）</t>
  </si>
  <si>
    <t>1000022198</t>
  </si>
  <si>
    <t>安装圆形嵌入式LED防水型射灯 L9</t>
  </si>
  <si>
    <t>1000022184</t>
  </si>
  <si>
    <t>安装 应急灯</t>
  </si>
  <si>
    <t>1000022183</t>
  </si>
  <si>
    <t>安装 安全出口灯</t>
  </si>
  <si>
    <t>2-5匹空调机电源线（配电柜-室内机主）</t>
  </si>
  <si>
    <t>2-5匹空调机控制线（室内外机连线）</t>
  </si>
  <si>
    <t>空调机控制线（室内机-控制面板）</t>
  </si>
  <si>
    <t>8070</t>
  </si>
  <si>
    <t>独立甜品站-灯具主材</t>
  </si>
  <si>
    <t>8072</t>
  </si>
  <si>
    <t>独立甜品站-给排水</t>
  </si>
  <si>
    <t>1000022143</t>
  </si>
  <si>
    <t>安装电热水器含底座 (不含热水器主材)</t>
  </si>
  <si>
    <t>1000022144</t>
  </si>
  <si>
    <t>Φ 50UPVC排水管及透气管</t>
  </si>
  <si>
    <t>1000022145</t>
  </si>
  <si>
    <t>积水盘</t>
  </si>
  <si>
    <t>8144</t>
  </si>
  <si>
    <t>独立甜品站-空调</t>
  </si>
  <si>
    <t>1000022146</t>
  </si>
  <si>
    <t>1.5匹空调机（安装+主材+电源+冷媒）</t>
  </si>
  <si>
    <t>8073</t>
  </si>
  <si>
    <t>1000022150</t>
  </si>
  <si>
    <t>3匹风冷管道分体空调机安装(含吊杆减震器、维修平台、室外机底座等）</t>
  </si>
  <si>
    <t>1000022147</t>
  </si>
  <si>
    <t>新风机/排风机连吊杆减震器等(风量2000CMH及以下）主材及安装</t>
  </si>
  <si>
    <t>1000022148</t>
  </si>
  <si>
    <t>风幕机安装(不含风幕机主材)</t>
  </si>
  <si>
    <t>1000022149</t>
  </si>
  <si>
    <t>烘手器安装</t>
  </si>
  <si>
    <t>8086</t>
  </si>
  <si>
    <t>独立甜品站ESSD</t>
  </si>
  <si>
    <t>独立甜品站招牌安装</t>
  </si>
  <si>
    <t>独立甜品站-招牌安装</t>
  </si>
  <si>
    <t>独立甜品站-“大生”铝板吊顶安装</t>
  </si>
  <si>
    <t>独立甜品站-菜单牌安装</t>
  </si>
  <si>
    <t>8132</t>
  </si>
  <si>
    <t>独立甜品站本地采购设备</t>
  </si>
  <si>
    <t>独立甜品站-音响</t>
  </si>
  <si>
    <t>8133</t>
  </si>
  <si>
    <t>独立独立甜品站-监控</t>
  </si>
  <si>
    <t>1000022151</t>
  </si>
  <si>
    <t>独立甜品站-监控</t>
  </si>
  <si>
    <t>独立独立甜品站-110报警</t>
  </si>
  <si>
    <t>1000040118</t>
  </si>
  <si>
    <t>独立甜品站-110报警</t>
  </si>
  <si>
    <t>独立甜品站承包商供应施工材料和设备</t>
  </si>
  <si>
    <t>独立甜品站-空调设备和控制系统</t>
  </si>
  <si>
    <t>1000021660</t>
  </si>
  <si>
    <t>供应(不含安装) 松下小型排风扇</t>
  </si>
  <si>
    <t>8145</t>
  </si>
  <si>
    <t>独立甜品站-热水器</t>
  </si>
  <si>
    <t>8138</t>
  </si>
  <si>
    <t>9057</t>
  </si>
  <si>
    <t>MDS装饰</t>
  </si>
  <si>
    <t>1000022153</t>
  </si>
  <si>
    <t>MDS窗口</t>
  </si>
  <si>
    <t>1000021605</t>
  </si>
  <si>
    <t>MDS柜</t>
  </si>
  <si>
    <t>1000022152</t>
  </si>
  <si>
    <t>MDS柜安装</t>
  </si>
  <si>
    <t>1000045087</t>
  </si>
  <si>
    <t>MDS智能取餐柜下货及安装（含洞口收口）</t>
  </si>
  <si>
    <t>9058</t>
  </si>
  <si>
    <t>9056</t>
  </si>
  <si>
    <t>1000021639</t>
  </si>
  <si>
    <t>MDS墙面砖（琛雄）</t>
  </si>
  <si>
    <t>1000021661</t>
  </si>
  <si>
    <t>MDS墙面砖（共荣）</t>
  </si>
  <si>
    <t>1000021640</t>
  </si>
  <si>
    <t>MDS墙面砖（冠军）</t>
  </si>
  <si>
    <t>1000021706</t>
  </si>
  <si>
    <t>MDS黑色瓷质釉砖（琛雄，Ray)</t>
  </si>
  <si>
    <t>1000021707</t>
  </si>
  <si>
    <t>MDS黑色瓷质釉砖（冠军，Ray)</t>
  </si>
  <si>
    <t>1000021708</t>
  </si>
  <si>
    <t>MDS黑色瓷质釉砖（共荣，Ray)</t>
  </si>
  <si>
    <t>9068</t>
  </si>
  <si>
    <t>MDS电气</t>
  </si>
  <si>
    <t>1000022155</t>
  </si>
  <si>
    <t>MDS 三眼单相插座回路</t>
  </si>
  <si>
    <t>1000022156</t>
  </si>
  <si>
    <t>MDS 10A 三眼单相插座</t>
  </si>
  <si>
    <t>1000022157</t>
  </si>
  <si>
    <t>MDS网络布线</t>
  </si>
  <si>
    <t>1000040095</t>
  </si>
  <si>
    <t>普通插座面板</t>
  </si>
  <si>
    <t>大甜33</t>
  </si>
  <si>
    <t>大甜34</t>
  </si>
  <si>
    <t>大甜37</t>
  </si>
  <si>
    <t>大甜38</t>
  </si>
  <si>
    <t>大甜40</t>
  </si>
  <si>
    <t>大甜41</t>
  </si>
  <si>
    <t>大甜44</t>
  </si>
  <si>
    <t>大甜45</t>
  </si>
  <si>
    <t>大甜73</t>
  </si>
  <si>
    <t>大甜46</t>
  </si>
  <si>
    <t>大甜47</t>
  </si>
  <si>
    <t>大甜48</t>
  </si>
  <si>
    <t>大甜49</t>
  </si>
  <si>
    <t>大甜50</t>
  </si>
  <si>
    <t>大甜51</t>
  </si>
  <si>
    <t>大甜56</t>
  </si>
  <si>
    <t>大甜57</t>
  </si>
  <si>
    <t>大甜66</t>
  </si>
  <si>
    <t>大甜58</t>
  </si>
  <si>
    <t>天花黄色/棕色涂料（无腻子，喷刷）</t>
  </si>
  <si>
    <t>大甜59</t>
  </si>
  <si>
    <t>DT-室外棚架钢结构及油漆</t>
  </si>
  <si>
    <t>大甜148</t>
  </si>
  <si>
    <t>大甜60</t>
  </si>
  <si>
    <t>大甜61</t>
  </si>
  <si>
    <t>大甜67</t>
  </si>
  <si>
    <t>大甜62</t>
  </si>
  <si>
    <t>大甜63</t>
  </si>
  <si>
    <t>员工室电视柜/储物格/鞋柜/更衣座板</t>
  </si>
  <si>
    <t>大甜55</t>
  </si>
  <si>
    <t>大甜65</t>
  </si>
  <si>
    <t>大甜64</t>
  </si>
  <si>
    <t>大甜68</t>
  </si>
  <si>
    <t>15-20匹空调机电源线（配电柜-室外机）</t>
  </si>
  <si>
    <t>6-12.5匹空调机电源线（配电柜-室外机）</t>
  </si>
  <si>
    <t>6-12.5匹空调机电源线（配电柜-室内机主）</t>
  </si>
  <si>
    <t>15-20匹空调机控制线（室内外机连线）</t>
  </si>
  <si>
    <t>6-12.5匹空调机控制线（室内外机连线）</t>
  </si>
  <si>
    <t>大甜70</t>
  </si>
  <si>
    <t>大甜71</t>
  </si>
  <si>
    <t>大甜72</t>
  </si>
  <si>
    <t>连接15 - 20匹分体空调内、外机的一对(两根)冷媒管</t>
  </si>
  <si>
    <t>连接8 - 12.5匹空调内、外机的一对(两根)冷媒管</t>
  </si>
  <si>
    <t>连接5 - 6匹空调内、外机的一对(两根)冷媒管</t>
  </si>
  <si>
    <t>大甜76</t>
  </si>
  <si>
    <t>大甜77</t>
  </si>
  <si>
    <t>大甜79</t>
  </si>
  <si>
    <t>大甜86</t>
  </si>
  <si>
    <t>大甜131</t>
  </si>
  <si>
    <t>大甜132</t>
  </si>
  <si>
    <t>大甜134</t>
  </si>
  <si>
    <t>大甜133</t>
  </si>
  <si>
    <t>大甜138</t>
  </si>
  <si>
    <t>大甜142</t>
  </si>
  <si>
    <t>大甜144</t>
  </si>
  <si>
    <t>大甜145</t>
  </si>
  <si>
    <t>大甜149</t>
  </si>
  <si>
    <t>大甜150</t>
  </si>
  <si>
    <t>大甜123</t>
  </si>
  <si>
    <t>大甜152</t>
  </si>
  <si>
    <t>大甜156</t>
  </si>
  <si>
    <t>大甜166</t>
  </si>
  <si>
    <t>大甜165</t>
  </si>
  <si>
    <t>大甜167</t>
  </si>
  <si>
    <t>1000021509</t>
  </si>
  <si>
    <t>蹲便器连冲洗阀-LEED认证</t>
  </si>
  <si>
    <t>1000021589</t>
  </si>
  <si>
    <t>供应（不含安装）F6+G4空气过滤系统</t>
  </si>
  <si>
    <t>8.5.5 配电柜</t>
  </si>
  <si>
    <t>1000021594</t>
  </si>
  <si>
    <t>Instore-供应单进线博耳（或施朗）总配电柜(仅主材)</t>
  </si>
  <si>
    <t>1000021595</t>
  </si>
  <si>
    <t>Instore-供应双进线博耳（或施朗）总配电柜(仅主材)</t>
  </si>
  <si>
    <t>1000021596</t>
  </si>
  <si>
    <t>DT- 供应博耳（或施朗）总配电柜(仅主材)</t>
  </si>
  <si>
    <t>Φ40mm铜阀门</t>
  </si>
  <si>
    <t>装饰百叶-喷炭绿色漆</t>
  </si>
  <si>
    <t>㎡</t>
  </si>
  <si>
    <t/>
  </si>
  <si>
    <t>风幕机补差</t>
  </si>
  <si>
    <r>
      <t>是</t>
    </r>
    <r>
      <rPr>
        <sz val="9"/>
        <rFont val="Tahoma"/>
        <charset val="134"/>
      </rPr>
      <t>=</t>
    </r>
    <r>
      <rPr>
        <sz val="9"/>
        <rFont val="宋体-简"/>
        <charset val="134"/>
      </rPr>
      <t>风幕机</t>
    </r>
  </si>
  <si>
    <t>耐高温PPR排水管</t>
  </si>
  <si>
    <t>墙面贴发丝不锈钢</t>
  </si>
  <si>
    <t>总计</t>
  </si>
  <si>
    <t>注意：请与FA Tool中的总价核对</t>
  </si>
  <si>
    <t>门洞漏扣除</t>
  </si>
  <si>
    <r>
      <rPr>
        <sz val="9"/>
        <rFont val="Arial"/>
        <charset val="134"/>
      </rPr>
      <t>100*300mm</t>
    </r>
    <r>
      <rPr>
        <sz val="9"/>
        <rFont val="宋体"/>
        <charset val="134"/>
      </rPr>
      <t>深灰色哑光面砖（冠军，</t>
    </r>
    <r>
      <rPr>
        <sz val="9"/>
        <rFont val="Arial"/>
        <charset val="134"/>
      </rPr>
      <t>Geometry</t>
    </r>
    <r>
      <rPr>
        <sz val="9"/>
        <rFont val="宋体"/>
        <charset val="134"/>
      </rPr>
      <t>）</t>
    </r>
  </si>
  <si>
    <r>
      <rPr>
        <sz val="9"/>
        <rFont val="Tahoma"/>
        <charset val="134"/>
      </rPr>
      <t>MDS</t>
    </r>
    <r>
      <rPr>
        <sz val="9"/>
        <rFont val="宋体"/>
        <charset val="134"/>
      </rPr>
      <t>入口遮光板未给</t>
    </r>
  </si>
  <si>
    <t>室内外踢脚一致</t>
  </si>
  <si>
    <r>
      <rPr>
        <sz val="9"/>
        <rFont val="宋体"/>
        <charset val="134"/>
      </rPr>
      <t>看下平面图，不是固</t>
    </r>
    <r>
      <rPr>
        <sz val="9"/>
        <rFont val="Tahoma"/>
        <charset val="134"/>
      </rPr>
      <t>1</t>
    </r>
  </si>
  <si>
    <t>干手器不给，热回收看回路图</t>
  </si>
  <si>
    <t>分区</t>
  </si>
  <si>
    <t>拉线差异</t>
  </si>
  <si>
    <t>分叉路由管径问题</t>
  </si>
  <si>
    <t>过滤水不给、烤箱那里写角阀不给</t>
  </si>
  <si>
    <t>联动，新型拖把池不给地漏</t>
  </si>
  <si>
    <r>
      <rPr>
        <sz val="9"/>
        <rFont val="Arial"/>
        <charset val="134"/>
      </rPr>
      <t>110</t>
    </r>
    <r>
      <rPr>
        <sz val="9"/>
        <rFont val="宋体"/>
        <charset val="134"/>
      </rPr>
      <t>报警系统</t>
    </r>
  </si>
  <si>
    <t>如果写放线，就不给系统了</t>
  </si>
  <si>
    <r>
      <rPr>
        <sz val="9"/>
        <rFont val="宋体"/>
        <charset val="134"/>
      </rPr>
      <t>麦咖啡</t>
    </r>
    <r>
      <rPr>
        <sz val="9"/>
        <rFont val="Tahoma"/>
        <charset val="134"/>
      </rPr>
      <t>logo</t>
    </r>
    <r>
      <rPr>
        <sz val="9"/>
        <rFont val="宋体"/>
        <charset val="134"/>
      </rPr>
      <t>看插座图</t>
    </r>
  </si>
  <si>
    <t>模型中门的长和高均需要调整</t>
  </si>
  <si>
    <t>漏加层高</t>
  </si>
  <si>
    <t>沟通记录</t>
  </si>
  <si>
    <r>
      <rPr>
        <sz val="9"/>
        <rFont val="微软雅黑"/>
        <charset val="134"/>
      </rPr>
      <t>麦当劳项目经理</t>
    </r>
  </si>
  <si>
    <t xml:space="preserve">餐厅名称 </t>
  </si>
  <si>
    <t>ppcode</t>
  </si>
  <si>
    <t>餐厅地址</t>
  </si>
  <si>
    <t>注意：填写Asset Code和PMT Code时，请对照资产分摊表中的Q列Asset Code和BD列的PMT Code对应关系填写，Asset Code和PMT Code必须都为四位编码。填写完毕之后，请校验资产分摊表和FA的汇总金额是否一致，税率必填。</t>
  </si>
  <si>
    <t>PMT Code</t>
  </si>
  <si>
    <r>
      <rPr>
        <sz val="9"/>
        <color theme="1"/>
        <rFont val="微软雅黑"/>
        <charset val="134"/>
      </rPr>
      <t>描述（</t>
    </r>
    <r>
      <rPr>
        <sz val="9"/>
        <color indexed="10"/>
        <rFont val="微软雅黑"/>
        <charset val="134"/>
      </rPr>
      <t>请参照描述信息参考页将分摊表中的合并描述按规则拆分之后填写在下列表格中</t>
    </r>
    <r>
      <rPr>
        <sz val="9"/>
        <color indexed="8"/>
        <rFont val="微软雅黑"/>
        <charset val="134"/>
      </rPr>
      <t>）</t>
    </r>
  </si>
  <si>
    <t>单价</t>
  </si>
  <si>
    <r>
      <rPr>
        <sz val="9"/>
        <color theme="1"/>
        <rFont val="微软雅黑"/>
        <charset val="134"/>
      </rPr>
      <t>小计</t>
    </r>
    <r>
      <rPr>
        <sz val="9"/>
        <color indexed="10"/>
        <rFont val="微软雅黑"/>
        <charset val="134"/>
      </rPr>
      <t>（下列金额和数量都为</t>
    </r>
    <r>
      <rPr>
        <b/>
        <sz val="9"/>
        <color indexed="10"/>
        <rFont val="微软雅黑"/>
        <charset val="134"/>
      </rPr>
      <t>必填项</t>
    </r>
    <r>
      <rPr>
        <sz val="9"/>
        <color indexed="10"/>
        <rFont val="微软雅黑"/>
        <charset val="134"/>
      </rPr>
      <t>）</t>
    </r>
  </si>
  <si>
    <t>Main Store
（不含税金额）</t>
  </si>
  <si>
    <t>数量</t>
  </si>
  <si>
    <t>Remote Kiosk
（不含税金额）</t>
  </si>
  <si>
    <t>Attached Kiosk
（不含税金额）</t>
  </si>
  <si>
    <t>McCafe
（不含税金额）</t>
  </si>
  <si>
    <t>MDS
（不含税金额）</t>
  </si>
  <si>
    <t>Hot Kiosk
（不含税金额）</t>
  </si>
  <si>
    <t>Dessert bar
（不含税金额）</t>
  </si>
  <si>
    <t>分项小计：</t>
  </si>
  <si>
    <t>总计：</t>
  </si>
  <si>
    <t>备注：</t>
  </si>
  <si>
    <t>1. 请完整填写以上信息，以免影响付款；</t>
  </si>
  <si>
    <t>2. 请根据采购设备或安装服务的归属，准确将小计金额填写在所属的投资分类项中</t>
  </si>
  <si>
    <t xml:space="preserve">   Main Store--母店，Remote Kiosk--外甜， Attached Kiosk--内甜， McCafe--麦咖啡， MDS--外送，Hot Kiosk--热甜，Dessert bar--甜品吧</t>
  </si>
  <si>
    <t>3. 可插入行记录。</t>
  </si>
  <si>
    <t>分摊表描述</t>
  </si>
  <si>
    <t>其他页【描述】字段填写标准</t>
  </si>
  <si>
    <t>MDS吊柜+规格编号</t>
  </si>
  <si>
    <t>DPS分段式柜台</t>
  </si>
  <si>
    <t>DPS柜台</t>
  </si>
  <si>
    <t>电气工程</t>
  </si>
  <si>
    <t>变压器</t>
  </si>
  <si>
    <t>客区照明-各种筒灯及射灯</t>
  </si>
  <si>
    <t>厨房照明-各种格栅灯盘</t>
  </si>
  <si>
    <t>环保工程-其他</t>
  </si>
  <si>
    <t>油烟净化器</t>
  </si>
  <si>
    <t>Safe 保险箱</t>
  </si>
  <si>
    <t>餐厅电视机</t>
  </si>
  <si>
    <t>麦咖啡电视机</t>
  </si>
  <si>
    <t>录像机</t>
  </si>
  <si>
    <t>相机</t>
  </si>
  <si>
    <t>影碟机</t>
  </si>
  <si>
    <t>电话</t>
  </si>
  <si>
    <t>传真机</t>
  </si>
  <si>
    <t>CO2报警器</t>
  </si>
  <si>
    <t>监控设备</t>
  </si>
  <si>
    <t>Electrical Distribution Panel 配电柜</t>
  </si>
  <si>
    <t>倒油车</t>
  </si>
  <si>
    <t>MDS外卖箱</t>
  </si>
  <si>
    <t>食用油检测仪</t>
  </si>
  <si>
    <t>烫衣板&amp;电熨斗</t>
  </si>
  <si>
    <t>节能开水机</t>
  </si>
  <si>
    <t>其他小件工具</t>
  </si>
  <si>
    <t>Others kitchen tools 其他厨房工具</t>
  </si>
  <si>
    <t>高压水枪</t>
  </si>
  <si>
    <t>感应龙头</t>
  </si>
  <si>
    <t>其他清洁工具</t>
  </si>
  <si>
    <t>烘手器</t>
  </si>
  <si>
    <t>烘手机、灭蝇灯</t>
  </si>
  <si>
    <t>空调+规格编号</t>
  </si>
  <si>
    <t>风幕机</t>
  </si>
  <si>
    <t>新风机</t>
  </si>
  <si>
    <t>排风机</t>
  </si>
  <si>
    <t>Hot Water Heater 热水器</t>
  </si>
  <si>
    <t>Kitchen Exhaust Fan 厨房抽油烟机/VFD智能排烟风机</t>
  </si>
  <si>
    <t>排风扇</t>
  </si>
  <si>
    <t>油烟机</t>
  </si>
  <si>
    <t>智能排烟风机</t>
  </si>
  <si>
    <t>外送接单机</t>
  </si>
  <si>
    <t>折叠式换尿布平台</t>
  </si>
  <si>
    <t>礼品箱+规格编号</t>
  </si>
  <si>
    <t>挂画+规格编号</t>
  </si>
  <si>
    <t>屏风+规格编号</t>
  </si>
  <si>
    <t>主题装饰</t>
  </si>
  <si>
    <t>长吊灯+规格编号</t>
  </si>
  <si>
    <t>其他吊灯+规格编号</t>
  </si>
  <si>
    <t>灭火器</t>
  </si>
  <si>
    <t>消防应急包</t>
  </si>
  <si>
    <t>儿童椅</t>
  </si>
  <si>
    <t>沙发+规格编号</t>
  </si>
  <si>
    <t>沙发垫</t>
  </si>
  <si>
    <t>太阳伞+规格编号</t>
  </si>
  <si>
    <t>2960</t>
  </si>
  <si>
    <t>员休室桌椅</t>
  </si>
  <si>
    <t>防撞条</t>
  </si>
  <si>
    <t>取餐牌+规格编号</t>
  </si>
  <si>
    <t>点餐牌+规格编号</t>
  </si>
  <si>
    <t>24小时贴墙灯箱</t>
  </si>
  <si>
    <t>黄色灯带</t>
  </si>
  <si>
    <t>画框，挂画</t>
  </si>
  <si>
    <t>画框，挂画（注：不是墙画材料）</t>
  </si>
  <si>
    <t>户外花槽+规格编号</t>
  </si>
  <si>
    <t>HM玩具柜+规格编号</t>
  </si>
  <si>
    <t>三星49寸</t>
  </si>
  <si>
    <t>三面旋转灯箱</t>
  </si>
  <si>
    <t>车道旋转菜单箱</t>
  </si>
  <si>
    <t>电子菜单牌DMB相关费用</t>
  </si>
  <si>
    <t>升降梯</t>
  </si>
  <si>
    <t>儿童乐园-Digital Play</t>
  </si>
  <si>
    <t>Quantity survey fee, insurance 工程量测算,工程保险</t>
  </si>
  <si>
    <t>Signage 招牌：餐厅招牌</t>
  </si>
  <si>
    <t>M字+规格编号</t>
  </si>
  <si>
    <t>麦当劳中文+规格编号</t>
  </si>
  <si>
    <t>甜品站+规格编号</t>
  </si>
  <si>
    <t>大杆招牌</t>
  </si>
  <si>
    <t>红色门头灯箱</t>
  </si>
  <si>
    <t>麦当劳英文+规格编号</t>
  </si>
  <si>
    <t>麦咖啡不锈钢</t>
  </si>
  <si>
    <t>麦咖啡发光字</t>
  </si>
  <si>
    <t>麦咖啡BLADE</t>
  </si>
  <si>
    <t>红色侧招</t>
  </si>
  <si>
    <t>黑色测招</t>
  </si>
  <si>
    <t>Signage 招牌：菜单海报灯箱</t>
  </si>
  <si>
    <t>冰淇淋菜单灯箱</t>
  </si>
  <si>
    <t>双面EMP</t>
  </si>
  <si>
    <t>黑色超薄灯箱</t>
  </si>
  <si>
    <t>甜品站菜单灯箱</t>
  </si>
  <si>
    <t>Signage 招牌：方向指示牌</t>
  </si>
  <si>
    <t>购餐车道入口</t>
  </si>
  <si>
    <t>购餐车道出口</t>
  </si>
  <si>
    <t>购餐车道指示牌</t>
  </si>
  <si>
    <t>栅栏-DT</t>
  </si>
  <si>
    <t>其他指示牌</t>
  </si>
  <si>
    <t>限高吊杆-DT</t>
  </si>
  <si>
    <t>Signage 招牌：广告灯箱</t>
  </si>
  <si>
    <t>POP灯箱+规格编号</t>
  </si>
  <si>
    <t>出口灯箱</t>
  </si>
  <si>
    <t>MDS层架</t>
  </si>
  <si>
    <t>干货间镀铬层架</t>
  </si>
  <si>
    <t>冷库层架</t>
  </si>
  <si>
    <t>DPS汇集台</t>
  </si>
  <si>
    <t>收银台层架</t>
  </si>
  <si>
    <t>员休鞋柜</t>
  </si>
  <si>
    <t>MDS电脑台</t>
  </si>
  <si>
    <t>BumpBar</t>
  </si>
  <si>
    <t>DPS显示器+规格编号</t>
  </si>
  <si>
    <t>DPS扫描枪</t>
  </si>
  <si>
    <t>KVS支架</t>
  </si>
  <si>
    <t>VXL控制器设备</t>
  </si>
  <si>
    <t>厨房产品显示器</t>
  </si>
  <si>
    <t>柜台产品显示器</t>
  </si>
  <si>
    <t>UHC产品显示器</t>
  </si>
  <si>
    <t>饮料位产品显示器</t>
  </si>
  <si>
    <t>MDS产品显示器</t>
  </si>
  <si>
    <t>麦咖啡产品显示器</t>
  </si>
  <si>
    <t>ELO触摸屏</t>
  </si>
  <si>
    <t>SOK-扫描枪</t>
  </si>
  <si>
    <t>SOK-触摸屏</t>
  </si>
  <si>
    <t>SOK-打印机</t>
  </si>
  <si>
    <t>SOK-小PC</t>
  </si>
  <si>
    <t>SOK-网络布线</t>
  </si>
  <si>
    <t>SOK双面自助</t>
  </si>
  <si>
    <t>SOK单面</t>
  </si>
  <si>
    <t>SOK三角支架</t>
  </si>
  <si>
    <t>SOK LOGO贴膜</t>
  </si>
  <si>
    <t>SW（Smart Wifi）数盒</t>
  </si>
  <si>
    <t>Computer/UPS/Timeclock/Softwares 计算机</t>
  </si>
  <si>
    <t>员工休息室电脑</t>
  </si>
  <si>
    <t>经理室电脑</t>
  </si>
  <si>
    <t>联想小电脑</t>
  </si>
  <si>
    <t>平板电脑</t>
  </si>
  <si>
    <t>服务器</t>
  </si>
  <si>
    <t>Computer/UPS/Timeclock/Softwares 计算机打印机</t>
  </si>
  <si>
    <t>MDS打印机</t>
  </si>
  <si>
    <t>经理室打印机</t>
  </si>
  <si>
    <t>Computer/UPS/Timeclock/Softwares 计算机外围设备</t>
  </si>
  <si>
    <t>网络布线系统</t>
  </si>
  <si>
    <t>网络路由器</t>
  </si>
  <si>
    <t>网络交换机</t>
  </si>
  <si>
    <t>其他外围设备</t>
  </si>
  <si>
    <t>Computer/UPS/Timeclock/Softwares 不间断电源器</t>
  </si>
  <si>
    <t>Computer/UPS/Timeclock/Softwares 计时卡钟</t>
  </si>
  <si>
    <t>Computer/UPS/Timeclock/Softwares 计算机软件</t>
  </si>
  <si>
    <t>Coffee Brewer/Refill 咖啡机 母店/麦咖啡</t>
  </si>
  <si>
    <t>高效能咖啡机</t>
  </si>
  <si>
    <t>咖啡机</t>
  </si>
  <si>
    <t>半自动咖啡机</t>
  </si>
  <si>
    <t>暖杯机</t>
  </si>
  <si>
    <t>8783PC咖啡机</t>
  </si>
  <si>
    <t>Coffee Brewer/Refill 咖啡续杯壶</t>
  </si>
  <si>
    <t>汽水机</t>
  </si>
  <si>
    <t>汽水机预冷器</t>
  </si>
  <si>
    <t>新地-双缸</t>
  </si>
  <si>
    <t>新地-单缸</t>
  </si>
  <si>
    <t>奶昔机</t>
  </si>
  <si>
    <t>彩虹机</t>
  </si>
  <si>
    <t>煎炉-三面</t>
  </si>
  <si>
    <t>煎炉-双面</t>
  </si>
  <si>
    <t>两槽炸炉</t>
  </si>
  <si>
    <t>三槽炸炉</t>
  </si>
  <si>
    <t>四槽炸炉</t>
  </si>
  <si>
    <t>快速烘包机</t>
  </si>
  <si>
    <t>松饼烘包机</t>
  </si>
  <si>
    <t>Pie Display/UHC /Marinator 派展示箱</t>
  </si>
  <si>
    <t>Pie Display/UHC /Marinator 高温保温柜UHC/UHC-4层/UHC-6层</t>
  </si>
  <si>
    <r>
      <rPr>
        <sz val="10"/>
        <rFont val="宋体"/>
        <charset val="134"/>
      </rPr>
      <t>高温保温柜</t>
    </r>
    <r>
      <rPr>
        <sz val="10"/>
        <rFont val="Arial"/>
        <charset val="134"/>
      </rPr>
      <t>-HLZ</t>
    </r>
  </si>
  <si>
    <t>OAT台</t>
  </si>
  <si>
    <r>
      <rPr>
        <sz val="10"/>
        <rFont val="Arial"/>
        <charset val="134"/>
      </rPr>
      <t>UHC4</t>
    </r>
    <r>
      <rPr>
        <sz val="10"/>
        <rFont val="宋体"/>
        <charset val="134"/>
      </rPr>
      <t>层</t>
    </r>
  </si>
  <si>
    <r>
      <rPr>
        <sz val="10"/>
        <rFont val="Arial"/>
        <charset val="134"/>
      </rPr>
      <t>UHC6</t>
    </r>
    <r>
      <rPr>
        <sz val="10"/>
        <rFont val="宋体"/>
        <charset val="134"/>
      </rPr>
      <t>层双面</t>
    </r>
  </si>
  <si>
    <r>
      <rPr>
        <sz val="10"/>
        <rFont val="Arial"/>
        <charset val="134"/>
      </rPr>
      <t>UHC6</t>
    </r>
    <r>
      <rPr>
        <sz val="10"/>
        <rFont val="宋体"/>
        <charset val="134"/>
      </rPr>
      <t>层单面</t>
    </r>
  </si>
  <si>
    <t>Pie Display/UHC /Marinator 水浴保温柜</t>
  </si>
  <si>
    <t>多功能电饭锅</t>
  </si>
  <si>
    <r>
      <rPr>
        <sz val="10"/>
        <rFont val="宋体"/>
        <charset val="134"/>
      </rPr>
      <t>早餐麦鲜粥高压锅</t>
    </r>
    <r>
      <rPr>
        <sz val="10"/>
        <rFont val="Arial"/>
        <charset val="134"/>
      </rPr>
      <t xml:space="preserve"> </t>
    </r>
  </si>
  <si>
    <t>Other Cooking Equipment for McWing/Chicken etc. 裹粉机</t>
  </si>
  <si>
    <t>Other Cooking Equipment for McWing/Chicken etc.滤油车</t>
  </si>
  <si>
    <t>Other Cooking Equipment for McWing/Chicken etc.猪柳蛋设备</t>
  </si>
  <si>
    <t>Other Cooking Equipment for McWing/Chicken etc.黑椒汉堡设备</t>
  </si>
  <si>
    <t>Other Cooking Equipment for McWing/Chicken etc.鸡翅设备</t>
  </si>
  <si>
    <t>Other Cooking Equipment for McWing/Chicken etc.鸡腿设备</t>
  </si>
  <si>
    <t>Refrigeration Systems 柜下冰箱/煎肉冰箱/调理台冷藏冰箱/27"冷冻/冷藏冰/48"冷冻/冷藏冰箱/双开门冷冻/冷藏冰箱/四开门冷冻/冷藏冰箱/自动薯条分配器/手动薯条车冷藏冰箱/麦咖啡/甜品站冷藏冰箱/麦咖啡蛋糕展示柜/甜品吧调味展示柜</t>
  </si>
  <si>
    <t>自动薯条分配器</t>
  </si>
  <si>
    <t>27"冷冻冰箱</t>
  </si>
  <si>
    <t>高容量煎肉冰箱</t>
  </si>
  <si>
    <t>麦咖啡-27"冰箱</t>
  </si>
  <si>
    <t>柜下冰箱</t>
  </si>
  <si>
    <t>生菜冰箱</t>
  </si>
  <si>
    <t>48"冷冻冰箱</t>
  </si>
  <si>
    <t>25"薯条冰箱</t>
  </si>
  <si>
    <t>调理台冰箱</t>
  </si>
  <si>
    <t>高密度台下冰箱</t>
  </si>
  <si>
    <t>麦咖啡蛋糕柜</t>
  </si>
  <si>
    <t>甜品吧展示柜</t>
  </si>
  <si>
    <t>柜下-蛋糕展示柜</t>
  </si>
  <si>
    <t>柜下27"冷冻冰箱</t>
  </si>
  <si>
    <t>柜下27"冷藏冰箱</t>
  </si>
  <si>
    <t>柜下48"冷冻冰箱</t>
  </si>
  <si>
    <t>27"冷藏冰箱</t>
  </si>
  <si>
    <t>麦咖啡冷藏冰箱</t>
  </si>
  <si>
    <t>单边调理台冰箱</t>
  </si>
  <si>
    <t>双边调理台冰箱</t>
  </si>
  <si>
    <t>27”冷冻冰箱</t>
  </si>
  <si>
    <t>25"薯条冷冻冰箱</t>
  </si>
  <si>
    <t>四门冷藏冰箱</t>
  </si>
  <si>
    <t>四门冷冻冰箱</t>
  </si>
  <si>
    <t>二门双温冰箱</t>
  </si>
  <si>
    <t>二门冷冻冰箱</t>
  </si>
  <si>
    <t>二门冷藏冰箱</t>
  </si>
  <si>
    <t>Refrigeration Systems 挂壁冰箱/板烧冰箱/炸区挂壁冷藏冰箱</t>
  </si>
  <si>
    <t>挂壁冰箱</t>
  </si>
  <si>
    <t>板烧冰箱</t>
  </si>
  <si>
    <t>Refrigeration Systems 解冻架</t>
  </si>
  <si>
    <t>24层解冻架</t>
  </si>
  <si>
    <t>12层解冻架</t>
  </si>
  <si>
    <t>Refrigeration Systems 淹渍机</t>
  </si>
  <si>
    <t>Water Pre-Filter 预滤水机/母店/甜品店/麦咖啡</t>
  </si>
  <si>
    <t>Buyout Parts/Accessories 厨房设备配件</t>
  </si>
  <si>
    <t>Freight,deliveries,customs,storage etc .外购设备运输费</t>
  </si>
  <si>
    <t>Freight,deliveries,customs,storage etc. 外购设备税金</t>
  </si>
  <si>
    <t>Freight,deliveries,customs,storage etc. 外购设备仓储费</t>
  </si>
  <si>
    <t>搅拌器</t>
  </si>
  <si>
    <t>搅拌器杯子</t>
  </si>
  <si>
    <r>
      <rPr>
        <sz val="10"/>
        <rFont val="Arial"/>
        <charset val="134"/>
      </rPr>
      <t>MDS</t>
    </r>
    <r>
      <rPr>
        <sz val="10"/>
        <rFont val="宋体"/>
        <charset val="134"/>
      </rPr>
      <t>能量传输器</t>
    </r>
  </si>
  <si>
    <t>3M无线点餐系统</t>
  </si>
  <si>
    <t>Grease Trap/Sink 油水分离器</t>
  </si>
  <si>
    <t>Seating package 桌子</t>
  </si>
  <si>
    <t>员休室二人位桌+规格</t>
  </si>
  <si>
    <t>固定二人桌+规格</t>
  </si>
  <si>
    <t>活动二人桌+规格</t>
  </si>
  <si>
    <t>固定四人桌+规格</t>
  </si>
  <si>
    <t>活动四人桌+规格</t>
  </si>
  <si>
    <t>八人桌+规格</t>
  </si>
  <si>
    <t>十人桌+规格</t>
  </si>
  <si>
    <t>高吧台+规格</t>
  </si>
  <si>
    <t>矮吧台+规格</t>
  </si>
  <si>
    <t>悬挂台+规格</t>
  </si>
  <si>
    <t>沙龙桌+规格编号</t>
  </si>
  <si>
    <t>圆桌+规格</t>
  </si>
  <si>
    <t>Seating package 椅子/垃圾桶/分类垃圾桶</t>
  </si>
  <si>
    <t>防火板靠背椅+规格</t>
  </si>
  <si>
    <t>皮质圆凳+规格</t>
  </si>
  <si>
    <t>皮垫矮凳+规格</t>
  </si>
  <si>
    <t>高吧凳+规格</t>
  </si>
  <si>
    <t>中吧凳+规格</t>
  </si>
  <si>
    <t>矮吧凳+规格</t>
  </si>
  <si>
    <t>娟娜椅+规格编号</t>
  </si>
  <si>
    <t>麦咖啡扶手椅</t>
  </si>
  <si>
    <t>2920</t>
  </si>
  <si>
    <t>Seating package 客区垃圾箱</t>
  </si>
  <si>
    <t>客区垃圾箱</t>
  </si>
  <si>
    <t>垃圾桶+规格编号</t>
  </si>
  <si>
    <t>分类垃圾桶</t>
  </si>
  <si>
    <t>Seating package 连体桌椅</t>
  </si>
  <si>
    <t>Seating package 桌子架子</t>
  </si>
  <si>
    <t>Seating package 纤维玻璃靠背椅</t>
  </si>
  <si>
    <t>Freight,deliveries,customs,storage etc. 桌椅运输费用</t>
  </si>
  <si>
    <t>Freight,deliveries,customs,storage etc. 运桌椅税金</t>
  </si>
  <si>
    <t>Freight,deliveries,customs,storage etc. 桌椅仓储费</t>
  </si>
  <si>
    <t>Freight,deliveries,customs,storage etc. 装饰运输费用</t>
  </si>
  <si>
    <t>Freight,deliveries,customs,storage etc. 装饰税金</t>
  </si>
  <si>
    <t>Freight,deliveries,customs,storage etc. 装饰储存</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</si>
</sst>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_ "/>
    <numFmt numFmtId="181" formatCode="[$-409]d/mmm/yy;@"/>
    <numFmt numFmtId="182" formatCode="0000\-000"/>
    <numFmt numFmtId="183" formatCode="#,##0.00_ "/>
    <numFmt numFmtId="184" formatCode="yyyy/m/d;@"/>
    <numFmt numFmtId="185" formatCode="0.00_);[Red]\(0.00\)"/>
    <numFmt numFmtId="186" formatCode="&quot;Co:&quot;00"/>
    <numFmt numFmtId="187" formatCode="&quot;A/C Mth:&quot;00"/>
    <numFmt numFmtId="188" formatCode="&quot;Copy: x&quot;#"/>
    <numFmt numFmtId="189" formatCode="00&quot;/&quot;00&quot;/&quot;00"/>
    <numFmt numFmtId="190" formatCode="&quot;$&quot;#,##0.00"/>
    <numFmt numFmtId="191" formatCode="0.00_ "/>
    <numFmt numFmtId="192" formatCode="0_);[Red]\(0\)"/>
  </numFmts>
  <fonts count="96">
    <font>
      <sz val="11"/>
      <color theme="1"/>
      <name val="Calibri"/>
      <charset val="134"/>
      <scheme val="minor"/>
    </font>
    <font>
      <sz val="10"/>
      <name val="Arial"/>
      <charset val="134"/>
    </font>
    <font>
      <b/>
      <sz val="10"/>
      <name val="微软雅黑"/>
      <charset val="134"/>
    </font>
    <font>
      <b/>
      <sz val="20"/>
      <name val="微软雅黑"/>
      <charset val="134"/>
    </font>
    <font>
      <sz val="10"/>
      <name val="微软雅黑"/>
      <charset val="134"/>
    </font>
    <font>
      <sz val="10"/>
      <color rgb="FFFF0000"/>
      <name val="微软雅黑"/>
      <charset val="134"/>
    </font>
    <font>
      <sz val="10"/>
      <color theme="1"/>
      <name val="微软雅黑"/>
      <charset val="134"/>
    </font>
    <font>
      <sz val="11"/>
      <color rgb="FFFF0000"/>
      <name val="Calibri"/>
      <charset val="134"/>
      <scheme val="minor"/>
    </font>
    <font>
      <sz val="11"/>
      <name val="Calibri"/>
      <charset val="134"/>
      <scheme val="minor"/>
    </font>
    <font>
      <sz val="10"/>
      <name val="宋体"/>
      <charset val="134"/>
    </font>
    <font>
      <sz val="9"/>
      <color theme="1"/>
      <name val="微软雅黑"/>
      <charset val="134"/>
    </font>
    <font>
      <sz val="9"/>
      <name val="微软雅黑"/>
      <charset val="134"/>
    </font>
    <font>
      <b/>
      <sz val="9"/>
      <name val="微软雅黑"/>
      <charset val="134"/>
    </font>
    <font>
      <b/>
      <sz val="9"/>
      <color rgb="FFFF0000"/>
      <name val="微软雅黑"/>
      <charset val="134"/>
    </font>
    <font>
      <b/>
      <i/>
      <sz val="9"/>
      <name val="微软雅黑"/>
      <charset val="134"/>
    </font>
    <font>
      <b/>
      <sz val="9"/>
      <name val="Tahoma"/>
      <charset val="134"/>
    </font>
    <font>
      <sz val="8"/>
      <name val="Tahoma"/>
      <charset val="134"/>
    </font>
    <font>
      <sz val="9"/>
      <name val="Tahoma"/>
      <charset val="134"/>
    </font>
    <font>
      <sz val="9"/>
      <name val="Arial"/>
      <charset val="134"/>
    </font>
    <font>
      <b/>
      <sz val="16"/>
      <color theme="0"/>
      <name val="黑体"/>
      <charset val="134"/>
    </font>
    <font>
      <sz val="12"/>
      <name val="微软雅黑"/>
      <charset val="134"/>
    </font>
    <font>
      <sz val="11"/>
      <color theme="1"/>
      <name val="微软雅黑"/>
      <charset val="134"/>
    </font>
    <font>
      <sz val="9"/>
      <name val="宋体"/>
      <charset val="134"/>
    </font>
    <font>
      <b/>
      <sz val="12"/>
      <name val="Arial"/>
      <charset val="134"/>
    </font>
    <font>
      <sz val="9"/>
      <color rgb="FFFFC000"/>
      <name val="微软雅黑"/>
      <charset val="134"/>
    </font>
    <font>
      <u/>
      <sz val="11"/>
      <color theme="1"/>
      <name val="Calibri"/>
      <charset val="134"/>
      <scheme val="minor"/>
    </font>
    <font>
      <sz val="9"/>
      <color rgb="FFFF0000"/>
      <name val="微软雅黑"/>
      <charset val="134"/>
    </font>
    <font>
      <sz val="9"/>
      <color rgb="FF92D050"/>
      <name val="微软雅黑"/>
      <charset val="134"/>
    </font>
    <font>
      <b/>
      <sz val="9"/>
      <name val="宋体"/>
      <charset val="134"/>
    </font>
    <font>
      <b/>
      <sz val="9"/>
      <color theme="0"/>
      <name val="宋体"/>
      <charset val="134"/>
    </font>
    <font>
      <sz val="8"/>
      <name val="Arial"/>
      <charset val="134"/>
    </font>
    <font>
      <b/>
      <sz val="8"/>
      <name val="Arial"/>
      <charset val="134"/>
    </font>
    <font>
      <sz val="9"/>
      <color rgb="FF92D050"/>
      <name val="Arial"/>
      <charset val="134"/>
    </font>
    <font>
      <sz val="9"/>
      <color rgb="FF92D050"/>
      <name val="宋体"/>
      <charset val="134"/>
    </font>
    <font>
      <sz val="8"/>
      <color rgb="FF00B050"/>
      <name val="Arial"/>
      <charset val="134"/>
    </font>
    <font>
      <sz val="9"/>
      <color rgb="FF00B050"/>
      <name val="Arial"/>
      <charset val="134"/>
    </font>
    <font>
      <sz val="9"/>
      <color rgb="FF00B050"/>
      <name val="宋体"/>
      <charset val="134"/>
    </font>
    <font>
      <sz val="9"/>
      <name val="宋体-简"/>
      <charset val="134"/>
    </font>
    <font>
      <b/>
      <sz val="9"/>
      <name val="宋体-简"/>
      <charset val="134"/>
    </font>
    <font>
      <b/>
      <sz val="10"/>
      <color indexed="9"/>
      <name val="微软雅黑"/>
      <charset val="134"/>
    </font>
    <font>
      <sz val="10"/>
      <color indexed="10"/>
      <name val="微软雅黑"/>
      <charset val="134"/>
    </font>
    <font>
      <sz val="10"/>
      <color indexed="9"/>
      <name val="微软雅黑"/>
      <charset val="134"/>
    </font>
    <font>
      <sz val="10"/>
      <color indexed="8"/>
      <name val="微软雅黑"/>
      <charset val="134"/>
    </font>
    <font>
      <sz val="10"/>
      <name val="Tahoma"/>
      <charset val="134"/>
    </font>
    <font>
      <b/>
      <sz val="18"/>
      <color theme="0"/>
      <name val="黑体"/>
      <charset val="134"/>
    </font>
    <font>
      <b/>
      <sz val="16"/>
      <color rgb="FFFF0000"/>
      <name val="Tahoma"/>
      <charset val="134"/>
    </font>
    <font>
      <b/>
      <sz val="12"/>
      <color indexed="10"/>
      <name val="宋体"/>
      <charset val="134"/>
    </font>
    <font>
      <b/>
      <sz val="16"/>
      <color indexed="10"/>
      <name val="Tahoma"/>
      <charset val="134"/>
    </font>
    <font>
      <b/>
      <sz val="12"/>
      <color rgb="FFFF0000"/>
      <name val="宋体"/>
      <charset val="134"/>
    </font>
    <font>
      <b/>
      <sz val="12"/>
      <color rgb="FFFF0000"/>
      <name val="Tahoma"/>
      <charset val="134"/>
    </font>
    <font>
      <sz val="8"/>
      <name val="宋体"/>
      <charset val="134"/>
    </font>
    <font>
      <sz val="11"/>
      <name val="Calibri"/>
      <charset val="134"/>
    </font>
    <font>
      <b/>
      <sz val="11"/>
      <name val="Calibri"/>
      <charset val="134"/>
    </font>
    <font>
      <b/>
      <sz val="14"/>
      <name val="Calibri"/>
      <charset val="134"/>
    </font>
    <font>
      <b/>
      <sz val="11"/>
      <color theme="0"/>
      <name val="Calibri"/>
      <charset val="134"/>
    </font>
    <font>
      <b/>
      <sz val="10"/>
      <color theme="0"/>
      <name val="Calibri"/>
      <charset val="134"/>
    </font>
    <font>
      <b/>
      <i/>
      <sz val="11"/>
      <name val="Calibri"/>
      <charset val="134"/>
    </font>
    <font>
      <sz val="10"/>
      <color theme="0"/>
      <name val="微软雅黑"/>
      <charset val="134"/>
    </font>
    <font>
      <sz val="11"/>
      <color theme="0"/>
      <name val="Calibri"/>
      <charset val="134"/>
    </font>
    <font>
      <sz val="11"/>
      <name val="宋体"/>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name val="宋体"/>
      <charset val="134"/>
    </font>
    <font>
      <sz val="11"/>
      <color indexed="8"/>
      <name val="宋体"/>
      <charset val="134"/>
    </font>
    <font>
      <sz val="12"/>
      <name val="Times New Roman"/>
      <charset val="134"/>
    </font>
    <font>
      <b/>
      <sz val="20"/>
      <color rgb="FF000000"/>
      <name val="Calibri"/>
      <charset val="134"/>
      <scheme val="minor"/>
    </font>
    <font>
      <sz val="10"/>
      <color rgb="FF000000"/>
      <name val="Calibri"/>
      <charset val="134"/>
      <scheme val="minor"/>
    </font>
    <font>
      <sz val="9"/>
      <color rgb="FF000000"/>
      <name val="Calibri"/>
      <charset val="134"/>
      <scheme val="minor"/>
    </font>
    <font>
      <sz val="12"/>
      <name val="Arial"/>
      <charset val="134"/>
    </font>
    <font>
      <sz val="9"/>
      <color indexed="10"/>
      <name val="微软雅黑"/>
      <charset val="134"/>
    </font>
    <font>
      <sz val="9"/>
      <color indexed="8"/>
      <name val="微软雅黑"/>
      <charset val="134"/>
    </font>
    <font>
      <b/>
      <sz val="16"/>
      <color indexed="10"/>
      <name val="宋体"/>
      <charset val="134"/>
    </font>
    <font>
      <b/>
      <sz val="9"/>
      <color indexed="10"/>
      <name val="微软雅黑"/>
      <charset val="134"/>
    </font>
    <font>
      <sz val="10"/>
      <name val="Calibri"/>
      <charset val="134"/>
    </font>
    <font>
      <b/>
      <sz val="10"/>
      <name val="SimSun"/>
      <charset val="134"/>
    </font>
    <font>
      <b/>
      <sz val="10"/>
      <name val="Calibri"/>
      <charset val="134"/>
    </font>
    <font>
      <sz val="10"/>
      <name val="SimSun"/>
      <charset val="134"/>
    </font>
    <font>
      <b/>
      <sz val="9"/>
      <name val="SimSun"/>
      <charset val="134"/>
    </font>
    <font>
      <sz val="9"/>
      <name val="SimSun"/>
      <charset val="134"/>
    </font>
  </fonts>
  <fills count="64">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0"/>
        <bgColor indexed="64"/>
      </patternFill>
    </fill>
    <fill>
      <patternFill patternType="solid">
        <fgColor theme="6" tint="0.599993896298105"/>
        <bgColor indexed="64"/>
      </patternFill>
    </fill>
    <fill>
      <patternFill patternType="solid">
        <fgColor theme="6" tint="0.399884029663991"/>
        <bgColor indexed="64"/>
      </patternFill>
    </fill>
    <fill>
      <patternFill patternType="solid">
        <fgColor rgb="FFB3CB7F"/>
        <bgColor indexed="64"/>
      </patternFill>
    </fill>
    <fill>
      <patternFill patternType="solid">
        <fgColor rgb="FFA7C26A"/>
        <bgColor indexed="64"/>
      </patternFill>
    </fill>
    <fill>
      <patternFill patternType="solid">
        <fgColor rgb="FF91B44A"/>
        <bgColor indexed="64"/>
      </patternFill>
    </fill>
    <fill>
      <patternFill patternType="solid">
        <fgColor rgb="FFFFFFCC"/>
        <bgColor indexed="64"/>
      </patternFill>
    </fill>
    <fill>
      <patternFill patternType="solid">
        <fgColor indexed="26"/>
        <bgColor indexed="64"/>
      </patternFill>
    </fill>
    <fill>
      <patternFill patternType="solid">
        <fgColor theme="1"/>
        <bgColor indexed="64"/>
      </patternFill>
    </fill>
    <fill>
      <patternFill patternType="solid">
        <fgColor indexed="13"/>
        <bgColor indexed="64"/>
      </patternFill>
    </fill>
    <fill>
      <patternFill patternType="solid">
        <fgColor rgb="FFE4DFEC"/>
        <bgColor rgb="FF000000"/>
      </patternFill>
    </fill>
    <fill>
      <patternFill patternType="solid">
        <fgColor theme="7" tint="0.8"/>
        <bgColor rgb="FF000000"/>
      </patternFill>
    </fill>
    <fill>
      <patternFill patternType="solid">
        <fgColor theme="5" tint="0.8"/>
        <bgColor rgb="FF000000"/>
      </patternFill>
    </fill>
    <fill>
      <patternFill patternType="solid">
        <fgColor theme="5" tint="0.599993896298105"/>
        <bgColor indexed="64"/>
      </patternFill>
    </fill>
    <fill>
      <patternFill patternType="solid">
        <fgColor indexed="10"/>
        <bgColor indexed="64"/>
      </patternFill>
    </fill>
    <fill>
      <patternFill patternType="solid">
        <fgColor rgb="FF92D050"/>
        <bgColor indexed="64"/>
      </patternFill>
    </fill>
    <fill>
      <patternFill patternType="solid">
        <fgColor indexed="41"/>
        <bgColor indexed="64"/>
      </patternFill>
    </fill>
    <fill>
      <patternFill patternType="solid">
        <fgColor rgb="FFC00000"/>
        <bgColor indexed="64"/>
      </patternFill>
    </fill>
    <fill>
      <patternFill patternType="solid">
        <fgColor rgb="FFFFC000"/>
        <bgColor indexed="64"/>
      </patternFill>
    </fill>
    <fill>
      <patternFill patternType="solid">
        <fgColor rgb="FFFF0000"/>
        <bgColor indexed="64"/>
      </patternFill>
    </fill>
    <fill>
      <patternFill patternType="solid">
        <fgColor indexed="43"/>
        <bgColor indexed="64"/>
      </patternFill>
    </fill>
    <fill>
      <patternFill patternType="solid">
        <fgColor indexed="14"/>
        <bgColor indexed="64"/>
      </patternFill>
    </fill>
    <fill>
      <patternFill patternType="solid">
        <fgColor rgb="FFFF9966"/>
        <bgColor indexed="64"/>
      </patternFill>
    </fill>
    <fill>
      <patternFill patternType="solid">
        <fgColor rgb="FF00B050"/>
        <bgColor indexed="64"/>
      </patternFill>
    </fill>
    <fill>
      <patternFill patternType="solid">
        <fgColor rgb="FF0070C0"/>
        <bgColor indexed="64"/>
      </patternFill>
    </fill>
    <fill>
      <patternFill patternType="solid">
        <fgColor rgb="FF00B0F0"/>
        <bgColor indexed="64"/>
      </patternFill>
    </fill>
    <fill>
      <patternFill patternType="solid">
        <fgColor theme="1" tint="0.0499893185216834"/>
        <bgColor indexed="64"/>
      </patternFill>
    </fill>
    <fill>
      <patternFill patternType="solid">
        <fgColor theme="0" tint="-0.499984740745262"/>
        <bgColor indexed="64"/>
      </patternFill>
    </fill>
    <fill>
      <patternFill patternType="solid">
        <fgColor theme="0" tint="-0.0499893185216834"/>
        <bgColor indexed="64"/>
      </patternFill>
    </fill>
    <fill>
      <patternFill patternType="solid">
        <fgColor theme="6" tint="0.399822992645039"/>
        <bgColor indexed="64"/>
      </patternFill>
    </fill>
    <fill>
      <patternFill patternType="solid">
        <fgColor theme="3" tint="-0.249977111117893"/>
        <bgColor indexed="64"/>
      </patternFill>
    </fill>
    <fill>
      <patternFill patternType="solid">
        <fgColor theme="4" tint="0.599993896298105"/>
        <bgColor indexed="64"/>
      </patternFill>
    </fill>
    <fill>
      <patternFill patternType="solid">
        <fgColor rgb="FFFFFF99"/>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FFF"/>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thin">
        <color auto="1"/>
      </top>
      <bottom style="thin">
        <color auto="1"/>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thin">
        <color theme="0"/>
      </left>
      <right style="medium">
        <color auto="1"/>
      </right>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medium">
        <color rgb="FFFF0000"/>
      </left>
      <right style="medium">
        <color rgb="FFFF0000"/>
      </right>
      <top style="medium">
        <color rgb="FFFF0000"/>
      </top>
      <bottom style="thin">
        <color theme="0"/>
      </bottom>
      <diagonal/>
    </border>
    <border>
      <left style="medium">
        <color rgb="FFFF0000"/>
      </left>
      <right style="medium">
        <color rgb="FFFF0000"/>
      </right>
      <top style="thin">
        <color theme="0"/>
      </top>
      <bottom style="thin">
        <color theme="0"/>
      </bottom>
      <diagonal/>
    </border>
    <border>
      <left style="medium">
        <color rgb="FFFF0000"/>
      </left>
      <right style="medium">
        <color rgb="FFFF0000"/>
      </right>
      <top style="thin">
        <color theme="0"/>
      </top>
      <bottom style="medium">
        <color rgb="FFFF0000"/>
      </bottom>
      <diagonal/>
    </border>
    <border>
      <left style="medium">
        <color rgb="FFFF0000"/>
      </left>
      <right style="medium">
        <color rgb="FFFF0000"/>
      </right>
      <top style="medium">
        <color rgb="FFFF0000"/>
      </top>
      <bottom style="medium">
        <color rgb="FFFF0000"/>
      </bottom>
      <diagonal/>
    </border>
    <border>
      <left style="thin">
        <color theme="0"/>
      </left>
      <right style="thin">
        <color theme="0"/>
      </right>
      <top/>
      <bottom style="thin">
        <color theme="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right/>
      <top style="medium">
        <color rgb="FFFF0000"/>
      </top>
      <bottom style="medium">
        <color rgb="FFFF0000"/>
      </bottom>
      <diagonal/>
    </border>
    <border>
      <left style="medium">
        <color rgb="FFFF0000"/>
      </left>
      <right style="medium">
        <color rgb="FFFF0000"/>
      </right>
      <top/>
      <bottom/>
      <diagonal/>
    </border>
    <border>
      <left style="thin">
        <color theme="0"/>
      </left>
      <right style="thin">
        <color theme="0"/>
      </right>
      <top style="thin">
        <color theme="0"/>
      </top>
      <bottom style="medium">
        <color auto="1"/>
      </bottom>
      <diagonal/>
    </border>
    <border>
      <left style="thin">
        <color theme="0"/>
      </left>
      <right style="thin">
        <color theme="0"/>
      </right>
      <top/>
      <bottom style="medium">
        <color auto="1"/>
      </bottom>
      <diagonal/>
    </border>
    <border>
      <left style="thin">
        <color theme="0"/>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97">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0" fillId="10" borderId="52" applyNumberFormat="0" applyFont="0" applyAlignment="0" applyProtection="0">
      <alignmen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53" applyNumberFormat="0" applyFill="0" applyAlignment="0" applyProtection="0">
      <alignment vertical="center"/>
    </xf>
    <xf numFmtId="0" fontId="66" fillId="0" borderId="53" applyNumberFormat="0" applyFill="0" applyAlignment="0" applyProtection="0">
      <alignment vertical="center"/>
    </xf>
    <xf numFmtId="0" fontId="67" fillId="0" borderId="54" applyNumberFormat="0" applyFill="0" applyAlignment="0" applyProtection="0">
      <alignment vertical="center"/>
    </xf>
    <xf numFmtId="0" fontId="67" fillId="0" borderId="0" applyNumberFormat="0" applyFill="0" applyBorder="0" applyAlignment="0" applyProtection="0">
      <alignment vertical="center"/>
    </xf>
    <xf numFmtId="0" fontId="68" fillId="37" borderId="55" applyNumberFormat="0" applyAlignment="0" applyProtection="0">
      <alignment vertical="center"/>
    </xf>
    <xf numFmtId="0" fontId="69" fillId="38" borderId="56" applyNumberFormat="0" applyAlignment="0" applyProtection="0">
      <alignment vertical="center"/>
    </xf>
    <xf numFmtId="0" fontId="70" fillId="38" borderId="55" applyNumberFormat="0" applyAlignment="0" applyProtection="0">
      <alignment vertical="center"/>
    </xf>
    <xf numFmtId="0" fontId="71" fillId="39" borderId="57" applyNumberFormat="0" applyAlignment="0" applyProtection="0">
      <alignment vertical="center"/>
    </xf>
    <xf numFmtId="0" fontId="72" fillId="0" borderId="58" applyNumberFormat="0" applyFill="0" applyAlignment="0" applyProtection="0">
      <alignment vertical="center"/>
    </xf>
    <xf numFmtId="0" fontId="73" fillId="0" borderId="59" applyNumberFormat="0" applyFill="0" applyAlignment="0" applyProtection="0">
      <alignment vertical="center"/>
    </xf>
    <xf numFmtId="0" fontId="74" fillId="40" borderId="0" applyNumberFormat="0" applyBorder="0" applyAlignment="0" applyProtection="0">
      <alignment vertical="center"/>
    </xf>
    <xf numFmtId="0" fontId="75" fillId="41" borderId="0" applyNumberFormat="0" applyBorder="0" applyAlignment="0" applyProtection="0">
      <alignment vertical="center"/>
    </xf>
    <xf numFmtId="0" fontId="76" fillId="42" borderId="0" applyNumberFormat="0" applyBorder="0" applyAlignment="0" applyProtection="0">
      <alignment vertical="center"/>
    </xf>
    <xf numFmtId="0" fontId="77" fillId="2" borderId="0" applyNumberFormat="0" applyBorder="0" applyAlignment="0" applyProtection="0">
      <alignment vertical="center"/>
    </xf>
    <xf numFmtId="0" fontId="78" fillId="43" borderId="0" applyNumberFormat="0" applyBorder="0" applyAlignment="0" applyProtection="0">
      <alignment vertical="center"/>
    </xf>
    <xf numFmtId="0" fontId="78" fillId="35" borderId="0" applyNumberFormat="0" applyBorder="0" applyAlignment="0" applyProtection="0">
      <alignment vertical="center"/>
    </xf>
    <xf numFmtId="0" fontId="77" fillId="44" borderId="0" applyNumberFormat="0" applyBorder="0" applyAlignment="0" applyProtection="0">
      <alignment vertical="center"/>
    </xf>
    <xf numFmtId="0" fontId="77" fillId="45" borderId="0" applyNumberFormat="0" applyBorder="0" applyAlignment="0" applyProtection="0">
      <alignment vertical="center"/>
    </xf>
    <xf numFmtId="0" fontId="78" fillId="46" borderId="0" applyNumberFormat="0" applyBorder="0" applyAlignment="0" applyProtection="0">
      <alignment vertical="center"/>
    </xf>
    <xf numFmtId="0" fontId="78" fillId="17" borderId="0" applyNumberFormat="0" applyBorder="0" applyAlignment="0" applyProtection="0">
      <alignment vertical="center"/>
    </xf>
    <xf numFmtId="0" fontId="77" fillId="47" borderId="0" applyNumberFormat="0" applyBorder="0" applyAlignment="0" applyProtection="0">
      <alignment vertical="center"/>
    </xf>
    <xf numFmtId="0" fontId="77" fillId="48" borderId="0" applyNumberFormat="0" applyBorder="0" applyAlignment="0" applyProtection="0">
      <alignment vertical="center"/>
    </xf>
    <xf numFmtId="0" fontId="78" fillId="49" borderId="0" applyNumberFormat="0" applyBorder="0" applyAlignment="0" applyProtection="0">
      <alignment vertical="center"/>
    </xf>
    <xf numFmtId="0" fontId="78" fillId="5" borderId="0" applyNumberFormat="0" applyBorder="0" applyAlignment="0" applyProtection="0">
      <alignment vertical="center"/>
    </xf>
    <xf numFmtId="0" fontId="77" fillId="50" borderId="0" applyNumberFormat="0" applyBorder="0" applyAlignment="0" applyProtection="0">
      <alignment vertical="center"/>
    </xf>
    <xf numFmtId="0" fontId="77" fillId="51" borderId="0" applyNumberFormat="0" applyBorder="0" applyAlignment="0" applyProtection="0">
      <alignment vertical="center"/>
    </xf>
    <xf numFmtId="0" fontId="78" fillId="52" borderId="0" applyNumberFormat="0" applyBorder="0" applyAlignment="0" applyProtection="0">
      <alignment vertical="center"/>
    </xf>
    <xf numFmtId="0" fontId="78" fillId="53" borderId="0" applyNumberFormat="0" applyBorder="0" applyAlignment="0" applyProtection="0">
      <alignment vertical="center"/>
    </xf>
    <xf numFmtId="0" fontId="77" fillId="54" borderId="0" applyNumberFormat="0" applyBorder="0" applyAlignment="0" applyProtection="0">
      <alignment vertical="center"/>
    </xf>
    <xf numFmtId="0" fontId="77" fillId="55" borderId="0" applyNumberFormat="0" applyBorder="0" applyAlignment="0" applyProtection="0">
      <alignment vertical="center"/>
    </xf>
    <xf numFmtId="0" fontId="78" fillId="56" borderId="0" applyNumberFormat="0" applyBorder="0" applyAlignment="0" applyProtection="0">
      <alignment vertical="center"/>
    </xf>
    <xf numFmtId="0" fontId="78" fillId="57" borderId="0" applyNumberFormat="0" applyBorder="0" applyAlignment="0" applyProtection="0">
      <alignment vertical="center"/>
    </xf>
    <xf numFmtId="0" fontId="77" fillId="58" borderId="0" applyNumberFormat="0" applyBorder="0" applyAlignment="0" applyProtection="0">
      <alignment vertical="center"/>
    </xf>
    <xf numFmtId="0" fontId="77" fillId="59" borderId="0" applyNumberFormat="0" applyBorder="0" applyAlignment="0" applyProtection="0">
      <alignment vertical="center"/>
    </xf>
    <xf numFmtId="0" fontId="78" fillId="60" borderId="0" applyNumberFormat="0" applyBorder="0" applyAlignment="0" applyProtection="0">
      <alignment vertical="center"/>
    </xf>
    <xf numFmtId="0" fontId="78" fillId="61" borderId="0" applyNumberFormat="0" applyBorder="0" applyAlignment="0" applyProtection="0">
      <alignment vertical="center"/>
    </xf>
    <xf numFmtId="0" fontId="77" fillId="62" borderId="0" applyNumberFormat="0" applyBorder="0" applyAlignment="0" applyProtection="0">
      <alignment vertical="center"/>
    </xf>
    <xf numFmtId="0" fontId="0" fillId="0" borderId="0">
      <alignment vertical="center"/>
    </xf>
    <xf numFmtId="0" fontId="1" fillId="0" borderId="0"/>
    <xf numFmtId="0" fontId="79" fillId="0" borderId="0"/>
    <xf numFmtId="0" fontId="80" fillId="0" borderId="0">
      <alignment vertical="center"/>
    </xf>
    <xf numFmtId="180" fontId="80" fillId="0" borderId="0">
      <alignment vertical="center"/>
    </xf>
    <xf numFmtId="0" fontId="81" fillId="0" borderId="0"/>
    <xf numFmtId="0" fontId="82" fillId="63" borderId="0">
      <alignment horizontal="center" vertical="center" wrapText="1"/>
    </xf>
    <xf numFmtId="0" fontId="83" fillId="63" borderId="0">
      <alignment horizontal="left" wrapText="1"/>
    </xf>
    <xf numFmtId="0" fontId="83" fillId="63" borderId="0">
      <alignment horizontal="center" vertical="center" wrapText="1"/>
    </xf>
    <xf numFmtId="0" fontId="83" fillId="63" borderId="0">
      <alignment horizontal="center" vertical="center" wrapText="1"/>
    </xf>
    <xf numFmtId="0" fontId="83" fillId="63" borderId="0">
      <alignment horizontal="right" vertical="center" wrapText="1"/>
    </xf>
    <xf numFmtId="0" fontId="83" fillId="63" borderId="0">
      <alignment horizontal="right" vertical="center" wrapText="1"/>
    </xf>
    <xf numFmtId="0" fontId="84" fillId="63" borderId="0">
      <alignment horizontal="right" vertical="center" wrapText="1"/>
    </xf>
    <xf numFmtId="0" fontId="83" fillId="63" borderId="0">
      <alignment horizontal="center" vertical="center" wrapText="1"/>
    </xf>
    <xf numFmtId="0" fontId="84" fillId="63" borderId="0">
      <alignment horizontal="center" vertical="center" wrapText="1"/>
    </xf>
    <xf numFmtId="0" fontId="84" fillId="63" borderId="0">
      <alignment horizontal="center" vertical="center" wrapText="1"/>
    </xf>
    <xf numFmtId="0" fontId="84" fillId="63" borderId="0">
      <alignment horizontal="right" vertical="center" wrapText="1"/>
    </xf>
    <xf numFmtId="0" fontId="84" fillId="63" borderId="0">
      <alignment horizontal="right" vertical="center" wrapText="1"/>
    </xf>
    <xf numFmtId="0" fontId="83" fillId="63" borderId="0">
      <alignment horizontal="right"/>
    </xf>
    <xf numFmtId="0" fontId="84" fillId="63" borderId="0">
      <alignment horizontal="right" wrapText="1"/>
    </xf>
    <xf numFmtId="0" fontId="84" fillId="63" borderId="0">
      <alignment horizontal="left" vertical="top" wrapText="1"/>
    </xf>
    <xf numFmtId="0" fontId="83" fillId="63" borderId="0">
      <alignment horizontal="left"/>
    </xf>
    <xf numFmtId="0" fontId="83" fillId="63" borderId="0">
      <alignment horizontal="center" vertical="center"/>
    </xf>
    <xf numFmtId="0" fontId="83" fillId="63" borderId="0">
      <alignment horizontal="left" vertical="center" wrapText="1"/>
    </xf>
    <xf numFmtId="0" fontId="83" fillId="63" borderId="0">
      <alignment horizontal="left" vertical="center" wrapText="1"/>
    </xf>
    <xf numFmtId="0" fontId="83" fillId="63" borderId="0">
      <alignment horizontal="center" vertical="center" wrapText="1"/>
    </xf>
    <xf numFmtId="0" fontId="83" fillId="63" borderId="0">
      <alignment horizontal="center" vertical="center"/>
    </xf>
    <xf numFmtId="0" fontId="83" fillId="63" borderId="0">
      <alignment horizontal="right" vertical="center" wrapText="1"/>
    </xf>
    <xf numFmtId="9" fontId="43" fillId="0" borderId="0" applyFont="0" applyFill="0" applyBorder="0" applyAlignment="0" applyProtection="0">
      <alignment vertical="center"/>
    </xf>
    <xf numFmtId="181" fontId="79" fillId="0" borderId="0"/>
    <xf numFmtId="180" fontId="80" fillId="0" borderId="0">
      <alignment vertical="center"/>
    </xf>
    <xf numFmtId="180" fontId="80" fillId="0" borderId="0">
      <alignment vertical="center"/>
    </xf>
    <xf numFmtId="0" fontId="43" fillId="0" borderId="0">
      <alignment vertical="center"/>
    </xf>
    <xf numFmtId="0" fontId="43" fillId="0" borderId="0">
      <alignment vertical="center"/>
    </xf>
    <xf numFmtId="0" fontId="81" fillId="0" borderId="0"/>
    <xf numFmtId="0" fontId="43" fillId="0" borderId="0">
      <alignment vertical="center"/>
    </xf>
    <xf numFmtId="0" fontId="43" fillId="0" borderId="0">
      <alignment vertical="center"/>
    </xf>
    <xf numFmtId="0" fontId="43" fillId="0" borderId="0">
      <alignment vertical="center"/>
    </xf>
    <xf numFmtId="0" fontId="0" fillId="0" borderId="0">
      <alignment vertical="center"/>
    </xf>
    <xf numFmtId="0" fontId="1" fillId="0" borderId="0"/>
    <xf numFmtId="0" fontId="1" fillId="0" borderId="0"/>
    <xf numFmtId="0" fontId="43" fillId="0" borderId="0"/>
    <xf numFmtId="0" fontId="81" fillId="0" borderId="0"/>
    <xf numFmtId="176" fontId="1" fillId="0" borderId="0" applyFont="0" applyFill="0" applyBorder="0" applyAlignment="0" applyProtection="0"/>
    <xf numFmtId="176" fontId="1" fillId="0" borderId="0" applyFont="0" applyFill="0" applyBorder="0" applyAlignment="0" applyProtection="0"/>
    <xf numFmtId="176" fontId="85" fillId="0" borderId="0" applyFont="0" applyFill="0" applyBorder="0" applyAlignment="0" applyProtection="0">
      <alignment vertical="center"/>
    </xf>
    <xf numFmtId="176" fontId="85" fillId="0" borderId="0" applyFont="0" applyFill="0" applyBorder="0" applyAlignment="0" applyProtection="0">
      <alignment vertical="center"/>
    </xf>
    <xf numFmtId="176" fontId="85" fillId="0" borderId="0" applyFont="0" applyFill="0" applyBorder="0" applyAlignment="0" applyProtection="0">
      <alignment vertical="center"/>
    </xf>
  </cellStyleXfs>
  <cellXfs count="581">
    <xf numFmtId="0" fontId="0" fillId="0" borderId="0" xfId="0">
      <alignment vertical="center"/>
    </xf>
    <xf numFmtId="0" fontId="1" fillId="0" borderId="0" xfId="50"/>
    <xf numFmtId="0" fontId="1" fillId="0" borderId="0" xfId="50" applyAlignment="1">
      <alignment horizontal="left"/>
    </xf>
    <xf numFmtId="181" fontId="2" fillId="2" borderId="1" xfId="54" applyNumberFormat="1" applyFont="1" applyFill="1" applyBorder="1" applyAlignment="1" applyProtection="1">
      <alignment horizontal="center" vertical="center" wrapText="1"/>
    </xf>
    <xf numFmtId="182" fontId="3" fillId="3" borderId="1" xfId="54" applyNumberFormat="1" applyFont="1" applyFill="1" applyBorder="1" applyAlignment="1" applyProtection="1">
      <alignment horizontal="center" vertical="center" wrapText="1"/>
    </xf>
    <xf numFmtId="49" fontId="4" fillId="0" borderId="1" xfId="93" applyNumberFormat="1" applyFont="1" applyFill="1" applyBorder="1" applyAlignment="1" applyProtection="1">
      <alignment horizontal="center" vertical="center"/>
    </xf>
    <xf numFmtId="3" fontId="4" fillId="0" borderId="1" xfId="93" applyNumberFormat="1" applyFont="1" applyFill="1" applyBorder="1" applyAlignment="1" applyProtection="1">
      <alignment horizontal="left" vertical="center"/>
    </xf>
    <xf numFmtId="0" fontId="0" fillId="0" borderId="1" xfId="0" applyFill="1" applyBorder="1" applyAlignment="1"/>
    <xf numFmtId="0" fontId="1" fillId="0" borderId="0" xfId="50" applyFill="1"/>
    <xf numFmtId="0" fontId="5" fillId="0" borderId="1" xfId="89" applyFont="1" applyFill="1" applyBorder="1" applyAlignment="1" applyProtection="1">
      <alignment horizontal="left" vertical="center"/>
    </xf>
    <xf numFmtId="3" fontId="5" fillId="0" borderId="1" xfId="93" applyNumberFormat="1" applyFont="1" applyFill="1" applyBorder="1" applyAlignment="1" applyProtection="1">
      <alignment horizontal="left" vertical="center"/>
    </xf>
    <xf numFmtId="0" fontId="5" fillId="0" borderId="2" xfId="88" applyFont="1" applyFill="1" applyBorder="1" applyAlignment="1" applyProtection="1">
      <alignment horizontal="left" vertical="top"/>
    </xf>
    <xf numFmtId="3" fontId="4" fillId="0" borderId="3" xfId="93" applyNumberFormat="1" applyFont="1" applyFill="1" applyBorder="1" applyAlignment="1" applyProtection="1">
      <alignment horizontal="left" vertical="center"/>
    </xf>
    <xf numFmtId="3" fontId="4" fillId="0" borderId="4" xfId="93" applyNumberFormat="1" applyFont="1" applyFill="1" applyBorder="1" applyAlignment="1" applyProtection="1">
      <alignment horizontal="left" vertical="center"/>
    </xf>
    <xf numFmtId="0" fontId="0" fillId="0" borderId="1" xfId="0" applyFont="1" applyFill="1" applyBorder="1" applyAlignment="1"/>
    <xf numFmtId="3" fontId="4" fillId="0" borderId="5" xfId="93" applyNumberFormat="1" applyFont="1" applyFill="1" applyBorder="1" applyAlignment="1" applyProtection="1">
      <alignment horizontal="left" vertical="center"/>
    </xf>
    <xf numFmtId="3" fontId="5" fillId="0" borderId="3" xfId="93" applyNumberFormat="1" applyFont="1" applyFill="1" applyBorder="1" applyAlignment="1" applyProtection="1">
      <alignment horizontal="left" vertical="center"/>
    </xf>
    <xf numFmtId="3" fontId="5" fillId="0" borderId="4" xfId="93" applyNumberFormat="1" applyFont="1" applyFill="1" applyBorder="1" applyAlignment="1" applyProtection="1">
      <alignment horizontal="left" vertical="center"/>
    </xf>
    <xf numFmtId="0" fontId="5" fillId="0" borderId="3" xfId="88" applyFont="1" applyFill="1" applyBorder="1" applyAlignment="1" applyProtection="1">
      <alignment horizontal="left" vertical="center"/>
    </xf>
    <xf numFmtId="0" fontId="5" fillId="0" borderId="5" xfId="88" applyFont="1" applyFill="1" applyBorder="1" applyAlignment="1" applyProtection="1">
      <alignment horizontal="left" vertical="center"/>
    </xf>
    <xf numFmtId="0" fontId="4" fillId="0" borderId="1" xfId="88" applyFont="1" applyFill="1" applyBorder="1" applyAlignment="1" applyProtection="1">
      <alignment vertical="center"/>
    </xf>
    <xf numFmtId="0" fontId="5" fillId="0" borderId="4" xfId="88" applyFont="1" applyFill="1" applyBorder="1" applyAlignment="1" applyProtection="1">
      <alignment horizontal="left" vertical="center"/>
    </xf>
    <xf numFmtId="0" fontId="4" fillId="0" borderId="3" xfId="88" applyFont="1" applyFill="1" applyBorder="1" applyAlignment="1" applyProtection="1">
      <alignment horizontal="left" vertical="center"/>
    </xf>
    <xf numFmtId="0" fontId="4" fillId="0" borderId="5" xfId="88" applyFont="1" applyFill="1" applyBorder="1" applyAlignment="1" applyProtection="1">
      <alignment horizontal="left" vertical="center"/>
    </xf>
    <xf numFmtId="0" fontId="4" fillId="0" borderId="4" xfId="88" applyFont="1" applyFill="1" applyBorder="1" applyAlignment="1" applyProtection="1">
      <alignment horizontal="left" vertical="center"/>
    </xf>
    <xf numFmtId="0" fontId="5" fillId="0" borderId="1" xfId="88" applyFont="1" applyFill="1" applyBorder="1" applyAlignment="1" applyProtection="1">
      <alignment vertical="center"/>
    </xf>
    <xf numFmtId="3" fontId="5" fillId="0" borderId="5" xfId="93" applyNumberFormat="1" applyFont="1" applyFill="1" applyBorder="1" applyAlignment="1" applyProtection="1">
      <alignment horizontal="left" vertical="center"/>
    </xf>
    <xf numFmtId="49" fontId="4" fillId="0" borderId="1" xfId="54" applyNumberFormat="1" applyFont="1" applyFill="1" applyBorder="1" applyAlignment="1" applyProtection="1">
      <alignment horizontal="center" vertical="center"/>
    </xf>
    <xf numFmtId="0" fontId="4" fillId="0" borderId="1" xfId="54" applyFont="1" applyFill="1" applyBorder="1" applyAlignment="1" applyProtection="1">
      <alignment horizontal="left" vertical="center"/>
    </xf>
    <xf numFmtId="49" fontId="4" fillId="0" borderId="1" xfId="86" applyNumberFormat="1" applyFont="1" applyFill="1" applyBorder="1" applyAlignment="1">
      <alignment horizontal="center" vertical="center"/>
    </xf>
    <xf numFmtId="0" fontId="4" fillId="0" borderId="1" xfId="86" applyFont="1" applyFill="1" applyBorder="1" applyAlignment="1">
      <alignment horizontal="left" vertical="center"/>
    </xf>
    <xf numFmtId="0" fontId="4" fillId="0" borderId="3" xfId="86" applyFont="1" applyFill="1" applyBorder="1" applyAlignment="1">
      <alignment horizontal="left" vertical="center"/>
    </xf>
    <xf numFmtId="0" fontId="4" fillId="0" borderId="4" xfId="86" applyFont="1" applyFill="1" applyBorder="1" applyAlignment="1">
      <alignment horizontal="left" vertical="center"/>
    </xf>
    <xf numFmtId="49" fontId="6" fillId="0" borderId="1" xfId="86" applyNumberFormat="1" applyFont="1" applyFill="1" applyBorder="1" applyAlignment="1">
      <alignment horizontal="center" vertical="center"/>
    </xf>
    <xf numFmtId="0" fontId="5" fillId="0" borderId="3" xfId="86" applyFont="1" applyFill="1" applyBorder="1" applyAlignment="1">
      <alignment horizontal="left" vertical="center"/>
    </xf>
    <xf numFmtId="0" fontId="5" fillId="0" borderId="5" xfId="86" applyFont="1" applyFill="1" applyBorder="1" applyAlignment="1">
      <alignment horizontal="left" vertical="center"/>
    </xf>
    <xf numFmtId="0" fontId="6" fillId="0" borderId="1" xfId="86" applyFont="1" applyFill="1" applyBorder="1" applyAlignment="1">
      <alignment horizontal="left" vertical="center"/>
    </xf>
    <xf numFmtId="0" fontId="5" fillId="0" borderId="1" xfId="86" applyFont="1" applyFill="1" applyBorder="1" applyAlignment="1">
      <alignment horizontal="left" vertical="center"/>
    </xf>
    <xf numFmtId="0" fontId="5" fillId="0" borderId="4" xfId="86" applyFont="1" applyFill="1" applyBorder="1" applyAlignment="1">
      <alignment horizontal="left" vertical="center"/>
    </xf>
    <xf numFmtId="0" fontId="6" fillId="0" borderId="3" xfId="86" applyFont="1" applyFill="1" applyBorder="1" applyAlignment="1">
      <alignment horizontal="left" vertical="center"/>
    </xf>
    <xf numFmtId="0" fontId="6" fillId="0" borderId="5" xfId="86" applyFont="1" applyFill="1" applyBorder="1" applyAlignment="1">
      <alignment horizontal="left" vertical="center"/>
    </xf>
    <xf numFmtId="0" fontId="6" fillId="0" borderId="4" xfId="86" applyFont="1" applyFill="1" applyBorder="1" applyAlignment="1">
      <alignment horizontal="left" vertical="center"/>
    </xf>
    <xf numFmtId="0" fontId="7" fillId="0" borderId="1" xfId="0" applyFont="1" applyFill="1" applyBorder="1" applyAlignment="1"/>
    <xf numFmtId="181" fontId="4" fillId="0" borderId="1" xfId="82" applyNumberFormat="1" applyFont="1" applyFill="1" applyBorder="1" applyAlignment="1" applyProtection="1">
      <alignment horizontal="center" vertical="center"/>
    </xf>
    <xf numFmtId="0" fontId="6" fillId="0" borderId="1" xfId="89" applyFont="1" applyFill="1" applyBorder="1" applyAlignment="1" applyProtection="1">
      <alignment horizontal="left" vertical="center"/>
    </xf>
    <xf numFmtId="0" fontId="4" fillId="0" borderId="1" xfId="89" applyFont="1" applyFill="1" applyBorder="1" applyAlignment="1" applyProtection="1">
      <alignment horizontal="left" vertical="center"/>
    </xf>
    <xf numFmtId="49" fontId="4" fillId="0" borderId="1" xfId="82" applyNumberFormat="1" applyFont="1" applyFill="1" applyBorder="1" applyAlignment="1" applyProtection="1">
      <alignment horizontal="center" vertical="center"/>
    </xf>
    <xf numFmtId="49" fontId="4" fillId="0" borderId="1" xfId="89" applyNumberFormat="1" applyFont="1" applyFill="1" applyBorder="1" applyAlignment="1" applyProtection="1">
      <alignment horizontal="center" vertical="center"/>
    </xf>
    <xf numFmtId="0" fontId="4" fillId="0" borderId="3" xfId="89" applyFont="1" applyFill="1" applyBorder="1" applyAlignment="1" applyProtection="1">
      <alignment horizontal="left" vertical="center"/>
    </xf>
    <xf numFmtId="0" fontId="4" fillId="0" borderId="5" xfId="89" applyFont="1" applyFill="1" applyBorder="1" applyAlignment="1" applyProtection="1">
      <alignment horizontal="left" vertical="center"/>
    </xf>
    <xf numFmtId="0" fontId="8" fillId="0" borderId="1" xfId="0" applyFont="1" applyFill="1" applyBorder="1" applyAlignment="1"/>
    <xf numFmtId="0" fontId="4" fillId="0" borderId="4" xfId="89" applyFont="1" applyFill="1" applyBorder="1" applyAlignment="1" applyProtection="1">
      <alignment horizontal="left" vertical="center"/>
    </xf>
    <xf numFmtId="0" fontId="4" fillId="0" borderId="1" xfId="54" applyFont="1" applyFill="1" applyBorder="1" applyProtection="1"/>
    <xf numFmtId="0" fontId="5" fillId="0" borderId="3" xfId="89" applyFont="1" applyFill="1" applyBorder="1" applyAlignment="1" applyProtection="1">
      <alignment horizontal="left" vertical="center"/>
    </xf>
    <xf numFmtId="0" fontId="5" fillId="0" borderId="5" xfId="89" applyFont="1" applyFill="1" applyBorder="1" applyAlignment="1" applyProtection="1">
      <alignment horizontal="left" vertical="center"/>
    </xf>
    <xf numFmtId="0" fontId="5" fillId="0" borderId="4" xfId="89" applyFont="1" applyFill="1" applyBorder="1" applyAlignment="1" applyProtection="1">
      <alignment horizontal="left" vertical="center"/>
    </xf>
    <xf numFmtId="0" fontId="1" fillId="0" borderId="1" xfId="0" applyFont="1" applyFill="1" applyBorder="1" applyAlignment="1">
      <alignment horizontal="left" vertical="center"/>
    </xf>
    <xf numFmtId="0" fontId="9" fillId="0" borderId="1" xfId="0" applyFont="1" applyFill="1" applyBorder="1" applyAlignment="1">
      <alignment horizontal="left" vertical="center"/>
    </xf>
    <xf numFmtId="0" fontId="5" fillId="0" borderId="1" xfId="54" applyFont="1" applyFill="1" applyBorder="1" applyProtection="1"/>
    <xf numFmtId="3" fontId="4" fillId="0" borderId="6" xfId="93" applyNumberFormat="1" applyFont="1" applyFill="1" applyBorder="1" applyAlignment="1" applyProtection="1">
      <alignment horizontal="left" vertical="center"/>
    </xf>
    <xf numFmtId="0" fontId="10" fillId="0" borderId="0" xfId="0" applyFont="1" applyProtection="1">
      <alignment vertical="center"/>
      <protection locked="0"/>
    </xf>
    <xf numFmtId="2" fontId="10" fillId="0" borderId="0" xfId="0" applyNumberFormat="1" applyFont="1" applyProtection="1">
      <alignment vertical="center"/>
      <protection locked="0"/>
    </xf>
    <xf numFmtId="0" fontId="11" fillId="4" borderId="7" xfId="81" applyFont="1" applyFill="1" applyBorder="1" applyAlignment="1" applyProtection="1">
      <alignment horizontal="right" vertical="center"/>
    </xf>
    <xf numFmtId="0" fontId="10" fillId="0" borderId="8" xfId="0" applyFont="1" applyBorder="1" applyAlignment="1" applyProtection="1">
      <alignment horizontal="center" vertical="center"/>
    </xf>
    <xf numFmtId="0" fontId="12" fillId="4" borderId="8" xfId="0" applyFont="1" applyFill="1" applyBorder="1" applyAlignment="1" applyProtection="1">
      <alignment horizontal="right" vertical="center"/>
    </xf>
    <xf numFmtId="0" fontId="10" fillId="0" borderId="8" xfId="0" applyFont="1" applyBorder="1" applyProtection="1">
      <alignment vertical="center"/>
      <protection locked="0"/>
    </xf>
    <xf numFmtId="2" fontId="10" fillId="0" borderId="9" xfId="0" applyNumberFormat="1" applyFont="1" applyBorder="1" applyProtection="1">
      <alignment vertical="center"/>
      <protection locked="0"/>
    </xf>
    <xf numFmtId="0" fontId="11" fillId="4" borderId="10" xfId="81" applyFont="1" applyFill="1" applyBorder="1" applyAlignment="1" applyProtection="1">
      <alignment horizontal="right" vertical="center"/>
    </xf>
    <xf numFmtId="0" fontId="10" fillId="0" borderId="1" xfId="0" applyFont="1" applyBorder="1" applyAlignment="1" applyProtection="1">
      <alignment horizontal="center" vertical="center"/>
    </xf>
    <xf numFmtId="0" fontId="11" fillId="4" borderId="1" xfId="0" applyFont="1" applyFill="1" applyBorder="1" applyAlignment="1" applyProtection="1">
      <alignment horizontal="right" vertical="center"/>
    </xf>
    <xf numFmtId="0" fontId="10" fillId="0" borderId="1" xfId="0" applyFont="1" applyBorder="1" applyProtection="1">
      <alignment vertical="center"/>
      <protection locked="0"/>
    </xf>
    <xf numFmtId="2" fontId="10" fillId="0" borderId="11" xfId="0" applyNumberFormat="1" applyFont="1" applyBorder="1" applyProtection="1">
      <alignment vertical="center"/>
      <protection locked="0"/>
    </xf>
    <xf numFmtId="0" fontId="11" fillId="4" borderId="12" xfId="81" applyFont="1" applyFill="1" applyBorder="1" applyAlignment="1" applyProtection="1">
      <alignment horizontal="right" vertical="center"/>
    </xf>
    <xf numFmtId="0" fontId="10" fillId="0" borderId="13" xfId="0" applyFont="1" applyBorder="1" applyAlignment="1" applyProtection="1">
      <alignment horizontal="center" vertical="center"/>
    </xf>
    <xf numFmtId="0" fontId="11" fillId="4" borderId="13" xfId="0" applyFont="1" applyFill="1" applyBorder="1" applyAlignment="1" applyProtection="1">
      <alignment horizontal="right" vertical="center"/>
    </xf>
    <xf numFmtId="0" fontId="10" fillId="0" borderId="13" xfId="0" applyFont="1" applyBorder="1" applyProtection="1">
      <alignment vertical="center"/>
      <protection locked="0"/>
    </xf>
    <xf numFmtId="2" fontId="10" fillId="0" borderId="14" xfId="0" applyNumberFormat="1" applyFont="1" applyBorder="1" applyProtection="1">
      <alignment vertical="center"/>
      <protection locked="0"/>
    </xf>
    <xf numFmtId="0" fontId="13" fillId="4" borderId="15" xfId="81" applyFont="1" applyFill="1" applyBorder="1" applyAlignment="1" applyProtection="1">
      <alignment horizontal="left" vertical="center"/>
    </xf>
    <xf numFmtId="0" fontId="13" fillId="4" borderId="0" xfId="81" applyFont="1" applyFill="1" applyBorder="1" applyAlignment="1" applyProtection="1">
      <alignment horizontal="left" vertical="center"/>
    </xf>
    <xf numFmtId="0" fontId="10" fillId="0" borderId="1" xfId="0" applyFont="1" applyBorder="1" applyAlignment="1" applyProtection="1">
      <alignment horizontal="center" vertical="center" wrapText="1"/>
    </xf>
    <xf numFmtId="2" fontId="10" fillId="0" borderId="1" xfId="0" applyNumberFormat="1" applyFont="1" applyBorder="1" applyAlignment="1" applyProtection="1">
      <alignment horizontal="center" vertical="center"/>
    </xf>
    <xf numFmtId="0" fontId="10" fillId="0" borderId="0" xfId="0" applyFont="1" applyProtection="1">
      <alignment vertical="center"/>
    </xf>
    <xf numFmtId="2" fontId="14" fillId="5" borderId="1" xfId="88" applyNumberFormat="1" applyFont="1" applyFill="1" applyBorder="1" applyAlignment="1" applyProtection="1">
      <alignment horizontal="center" vertical="center" wrapText="1"/>
    </xf>
    <xf numFmtId="2" fontId="14" fillId="6" borderId="1" xfId="88" applyNumberFormat="1" applyFont="1" applyFill="1" applyBorder="1" applyAlignment="1" applyProtection="1">
      <alignment horizontal="center" vertical="center" wrapText="1"/>
    </xf>
    <xf numFmtId="2" fontId="14" fillId="7" borderId="1" xfId="88" applyNumberFormat="1" applyFont="1" applyFill="1" applyBorder="1" applyAlignment="1" applyProtection="1">
      <alignment horizontal="center" vertical="center" wrapText="1"/>
    </xf>
    <xf numFmtId="2" fontId="14" fillId="8" borderId="1" xfId="88" applyNumberFormat="1" applyFont="1" applyFill="1" applyBorder="1" applyAlignment="1" applyProtection="1">
      <alignment horizontal="center" vertical="center" wrapText="1"/>
    </xf>
    <xf numFmtId="2" fontId="14" fillId="9" borderId="1" xfId="88" applyNumberFormat="1" applyFont="1" applyFill="1" applyBorder="1" applyAlignment="1" applyProtection="1">
      <alignment horizontal="center" vertical="center" wrapText="1"/>
    </xf>
    <xf numFmtId="0" fontId="10" fillId="10" borderId="1" xfId="0" applyFont="1" applyFill="1" applyBorder="1" applyAlignment="1" applyProtection="1">
      <alignment horizontal="left" vertical="center"/>
      <protection locked="0"/>
    </xf>
    <xf numFmtId="0" fontId="10" fillId="10" borderId="1" xfId="0" applyFont="1" applyFill="1" applyBorder="1" applyAlignment="1" applyProtection="1">
      <alignment horizontal="center" vertical="center"/>
      <protection locked="0"/>
    </xf>
    <xf numFmtId="0" fontId="0" fillId="11" borderId="1" xfId="0" applyFont="1" applyFill="1" applyBorder="1" applyAlignment="1" applyProtection="1">
      <alignment vertical="center" wrapText="1"/>
      <protection locked="0"/>
    </xf>
    <xf numFmtId="183" fontId="0" fillId="11" borderId="1" xfId="0" applyNumberFormat="1" applyFill="1" applyBorder="1" applyProtection="1">
      <alignment vertical="center"/>
      <protection locked="0"/>
    </xf>
    <xf numFmtId="2" fontId="0" fillId="11" borderId="1" xfId="0" applyNumberFormat="1" applyFill="1" applyBorder="1" applyProtection="1">
      <alignment vertical="center"/>
      <protection locked="0"/>
    </xf>
    <xf numFmtId="0" fontId="10" fillId="10" borderId="1" xfId="0" applyFont="1" applyFill="1" applyBorder="1" applyProtection="1">
      <alignment vertical="center"/>
      <protection locked="0"/>
    </xf>
    <xf numFmtId="2" fontId="10" fillId="10" borderId="1" xfId="0" applyNumberFormat="1" applyFont="1" applyFill="1" applyBorder="1" applyProtection="1">
      <alignment vertical="center"/>
      <protection locked="0"/>
    </xf>
    <xf numFmtId="2" fontId="10" fillId="10" borderId="1" xfId="0" applyNumberFormat="1" applyFont="1" applyFill="1" applyBorder="1" applyAlignment="1" applyProtection="1">
      <alignment horizontal="center" vertical="center"/>
      <protection locked="0"/>
    </xf>
    <xf numFmtId="0" fontId="10" fillId="0" borderId="0" xfId="0" applyFont="1" applyAlignment="1" applyProtection="1">
      <alignment horizontal="center" vertical="center"/>
      <protection locked="0"/>
    </xf>
    <xf numFmtId="0" fontId="0" fillId="0" borderId="0" xfId="0" applyProtection="1">
      <alignment vertical="center"/>
    </xf>
    <xf numFmtId="0" fontId="15" fillId="0" borderId="0" xfId="81" applyFont="1" applyAlignment="1" applyProtection="1">
      <alignment horizontal="center" vertical="center"/>
    </xf>
    <xf numFmtId="0" fontId="16" fillId="0" borderId="0" xfId="0" applyFont="1" applyFill="1" applyAlignment="1" applyProtection="1">
      <alignment vertical="center"/>
    </xf>
    <xf numFmtId="0" fontId="17" fillId="0" borderId="0" xfId="0" applyFont="1" applyFill="1" applyAlignment="1" applyProtection="1">
      <alignment vertical="center"/>
    </xf>
    <xf numFmtId="0" fontId="17" fillId="0" borderId="0" xfId="0" applyFont="1" applyFill="1" applyAlignment="1" applyProtection="1">
      <alignment horizontal="left" vertical="center"/>
    </xf>
    <xf numFmtId="0" fontId="17" fillId="0" borderId="0" xfId="0" applyFont="1" applyAlignment="1" applyProtection="1">
      <alignment horizontal="left" vertical="center"/>
    </xf>
    <xf numFmtId="0" fontId="17" fillId="0" borderId="0" xfId="0" applyFont="1" applyProtection="1">
      <alignment vertical="center"/>
    </xf>
    <xf numFmtId="0" fontId="18" fillId="0" borderId="0" xfId="0" applyFont="1" applyAlignment="1" applyProtection="1">
      <alignment vertical="center" wrapText="1"/>
    </xf>
    <xf numFmtId="183" fontId="18" fillId="0" borderId="0" xfId="0" applyNumberFormat="1" applyFont="1" applyAlignment="1" applyProtection="1">
      <alignment horizontal="center" vertical="center"/>
    </xf>
    <xf numFmtId="0" fontId="18" fillId="0" borderId="0" xfId="0" applyFont="1" applyAlignment="1" applyProtection="1">
      <alignment horizontal="center" vertical="center"/>
    </xf>
    <xf numFmtId="183" fontId="17" fillId="0" borderId="0" xfId="0" applyNumberFormat="1" applyFont="1" applyAlignment="1" applyProtection="1">
      <alignment horizontal="right" vertical="center"/>
    </xf>
    <xf numFmtId="183" fontId="17" fillId="0" borderId="0" xfId="0" applyNumberFormat="1" applyFont="1" applyProtection="1">
      <alignment vertical="center"/>
    </xf>
    <xf numFmtId="180" fontId="17" fillId="0" borderId="0" xfId="0" applyNumberFormat="1" applyFont="1" applyAlignment="1" applyProtection="1">
      <alignment horizontal="center" vertical="center"/>
    </xf>
    <xf numFmtId="0" fontId="17" fillId="0" borderId="0" xfId="81" applyFont="1" applyProtection="1">
      <alignment vertical="center"/>
    </xf>
    <xf numFmtId="0" fontId="19" fillId="12" borderId="0" xfId="0" applyFont="1" applyFill="1" applyAlignment="1" applyProtection="1">
      <alignment horizontal="center" vertical="center" wrapText="1"/>
    </xf>
    <xf numFmtId="0" fontId="20" fillId="0" borderId="0" xfId="0" applyFont="1" applyFill="1" applyAlignment="1">
      <alignment horizontal="center" vertical="center"/>
    </xf>
    <xf numFmtId="0" fontId="21" fillId="0" borderId="0" xfId="0" applyFont="1" applyFill="1" applyProtection="1">
      <alignment vertical="center"/>
    </xf>
    <xf numFmtId="0" fontId="21" fillId="0" borderId="0" xfId="0" applyFont="1" applyProtection="1">
      <alignment vertical="center"/>
    </xf>
    <xf numFmtId="9" fontId="20" fillId="0" borderId="0" xfId="0" applyNumberFormat="1" applyFont="1" applyFill="1" applyAlignment="1">
      <alignment horizontal="center" vertical="center"/>
    </xf>
    <xf numFmtId="0" fontId="16" fillId="0" borderId="0" xfId="0" applyFont="1" applyFill="1" applyBorder="1" applyAlignment="1" applyProtection="1">
      <alignment vertical="center"/>
    </xf>
    <xf numFmtId="0" fontId="17" fillId="0" borderId="0" xfId="0" applyFont="1" applyFill="1" applyBorder="1" applyAlignment="1" applyProtection="1">
      <alignment vertical="center"/>
    </xf>
    <xf numFmtId="0" fontId="22" fillId="0" borderId="0" xfId="0" applyFont="1" applyFill="1" applyBorder="1" applyAlignment="1" applyProtection="1">
      <alignment horizontal="right" vertical="center"/>
    </xf>
    <xf numFmtId="0" fontId="0" fillId="3" borderId="16" xfId="0" applyFont="1" applyFill="1" applyBorder="1" applyAlignment="1" applyProtection="1">
      <alignment horizontal="center" vertical="center"/>
    </xf>
    <xf numFmtId="0" fontId="17" fillId="4" borderId="0" xfId="0" applyFont="1" applyFill="1" applyBorder="1" applyProtection="1">
      <alignment vertical="center"/>
    </xf>
    <xf numFmtId="0" fontId="22" fillId="4" borderId="0" xfId="0" applyFont="1" applyFill="1" applyBorder="1" applyAlignment="1" applyProtection="1">
      <alignment horizontal="right" vertical="center"/>
    </xf>
    <xf numFmtId="0" fontId="18" fillId="13" borderId="16" xfId="0" applyFont="1" applyFill="1" applyBorder="1" applyAlignment="1" applyProtection="1">
      <alignment horizontal="center" vertical="center" wrapText="1"/>
    </xf>
    <xf numFmtId="183" fontId="18" fillId="4" borderId="0" xfId="0" applyNumberFormat="1" applyFont="1" applyFill="1" applyBorder="1" applyAlignment="1" applyProtection="1">
      <alignment horizontal="center" vertical="center"/>
    </xf>
    <xf numFmtId="0" fontId="23" fillId="4" borderId="0" xfId="0" applyFont="1" applyFill="1" applyAlignment="1" applyProtection="1">
      <alignment horizontal="right" vertical="center"/>
    </xf>
    <xf numFmtId="183" fontId="23" fillId="4" borderId="0" xfId="0" applyNumberFormat="1" applyFont="1" applyFill="1" applyAlignment="1" applyProtection="1">
      <alignment horizontal="right" vertical="center"/>
    </xf>
    <xf numFmtId="183" fontId="22" fillId="13" borderId="16" xfId="0" applyNumberFormat="1" applyFont="1" applyFill="1" applyBorder="1" applyAlignment="1" applyProtection="1">
      <alignment horizontal="center" vertical="center"/>
    </xf>
    <xf numFmtId="0" fontId="22" fillId="13" borderId="16" xfId="0" applyFont="1" applyFill="1" applyBorder="1" applyAlignment="1" applyProtection="1">
      <alignment horizontal="center" vertical="center"/>
    </xf>
    <xf numFmtId="0" fontId="20" fillId="14" borderId="4" xfId="0" applyFont="1" applyFill="1" applyBorder="1" applyAlignment="1">
      <alignment horizontal="center" vertical="center" wrapText="1"/>
    </xf>
    <xf numFmtId="0" fontId="20" fillId="15" borderId="4" xfId="0" applyFont="1" applyFill="1" applyBorder="1" applyAlignment="1">
      <alignment horizontal="center" vertical="center" wrapText="1"/>
    </xf>
    <xf numFmtId="0" fontId="20" fillId="16" borderId="4" xfId="0" applyFont="1" applyFill="1" applyBorder="1" applyAlignment="1">
      <alignment horizontal="center" vertical="center" wrapText="1"/>
    </xf>
    <xf numFmtId="0" fontId="0" fillId="3" borderId="17" xfId="0" applyFont="1" applyFill="1" applyBorder="1" applyAlignment="1" applyProtection="1">
      <alignment horizontal="center" vertical="center"/>
    </xf>
    <xf numFmtId="0" fontId="18" fillId="4" borderId="0" xfId="0" applyFont="1" applyFill="1" applyAlignment="1" applyProtection="1">
      <alignment horizontal="right" vertical="center"/>
    </xf>
    <xf numFmtId="183" fontId="22" fillId="13" borderId="17" xfId="0" applyNumberFormat="1" applyFont="1" applyFill="1" applyBorder="1" applyAlignment="1" applyProtection="1">
      <alignment horizontal="center" vertical="center"/>
    </xf>
    <xf numFmtId="183" fontId="17" fillId="13" borderId="18" xfId="0" applyNumberFormat="1" applyFont="1" applyFill="1" applyBorder="1" applyAlignment="1" applyProtection="1">
      <alignment horizontal="center" vertical="center"/>
    </xf>
    <xf numFmtId="180" fontId="17" fillId="13" borderId="19" xfId="0" applyNumberFormat="1" applyFont="1" applyFill="1" applyBorder="1" applyAlignment="1" applyProtection="1">
      <alignment horizontal="center" vertical="center"/>
    </xf>
    <xf numFmtId="180" fontId="17" fillId="13" borderId="20" xfId="0" applyNumberFormat="1" applyFont="1" applyFill="1" applyBorder="1" applyAlignment="1" applyProtection="1">
      <alignment horizontal="center" vertical="center"/>
    </xf>
    <xf numFmtId="0" fontId="22" fillId="13" borderId="16" xfId="0" applyFont="1" applyFill="1" applyBorder="1" applyAlignment="1" applyProtection="1">
      <alignment horizontal="center" vertical="center" wrapText="1"/>
    </xf>
    <xf numFmtId="183" fontId="18" fillId="4" borderId="0" xfId="0" applyNumberFormat="1" applyFont="1" applyFill="1" applyAlignment="1" applyProtection="1">
      <alignment horizontal="right" vertical="center"/>
    </xf>
    <xf numFmtId="183" fontId="17" fillId="17" borderId="18" xfId="0" applyNumberFormat="1" applyFont="1" applyFill="1" applyBorder="1" applyAlignment="1" applyProtection="1">
      <alignment horizontal="center" vertical="center"/>
    </xf>
    <xf numFmtId="183" fontId="17" fillId="17" borderId="19" xfId="0" applyNumberFormat="1" applyFont="1" applyFill="1" applyBorder="1" applyAlignment="1" applyProtection="1">
      <alignment horizontal="center" vertical="center"/>
    </xf>
    <xf numFmtId="184" fontId="17" fillId="17" borderId="19" xfId="0" applyNumberFormat="1" applyFont="1" applyFill="1" applyBorder="1" applyAlignment="1" applyProtection="1">
      <alignment horizontal="center" vertical="center"/>
    </xf>
    <xf numFmtId="184" fontId="17" fillId="17" borderId="20" xfId="0" applyNumberFormat="1" applyFont="1" applyFill="1" applyBorder="1" applyAlignment="1" applyProtection="1">
      <alignment horizontal="center" vertical="center"/>
    </xf>
    <xf numFmtId="10" fontId="21" fillId="0" borderId="0" xfId="3" applyNumberFormat="1" applyFont="1" applyAlignment="1" applyProtection="1">
      <alignment vertical="center"/>
    </xf>
    <xf numFmtId="0" fontId="17" fillId="0" borderId="0" xfId="0" applyFont="1" applyFill="1" applyBorder="1" applyAlignment="1" applyProtection="1">
      <alignment horizontal="right" vertical="center"/>
    </xf>
    <xf numFmtId="0" fontId="22" fillId="4" borderId="0" xfId="0" applyFont="1" applyFill="1" applyAlignment="1" applyProtection="1">
      <alignment horizontal="right" vertical="center"/>
    </xf>
    <xf numFmtId="183" fontId="22" fillId="4" borderId="0" xfId="0" applyNumberFormat="1" applyFont="1" applyFill="1" applyAlignment="1" applyProtection="1">
      <alignment horizontal="right" vertical="center"/>
    </xf>
    <xf numFmtId="183" fontId="22" fillId="17" borderId="18" xfId="0" applyNumberFormat="1" applyFont="1" applyFill="1" applyBorder="1" applyAlignment="1" applyProtection="1">
      <alignment horizontal="center" vertical="center"/>
    </xf>
    <xf numFmtId="10" fontId="17" fillId="17" borderId="18" xfId="77" applyNumberFormat="1" applyFont="1" applyFill="1" applyBorder="1" applyAlignment="1" applyProtection="1">
      <alignment horizontal="center" vertical="center"/>
    </xf>
    <xf numFmtId="10" fontId="17" fillId="17" borderId="19" xfId="77" applyNumberFormat="1" applyFont="1" applyFill="1" applyBorder="1" applyAlignment="1" applyProtection="1">
      <alignment horizontal="center" vertical="center"/>
    </xf>
    <xf numFmtId="10" fontId="17" fillId="17" borderId="20" xfId="77" applyNumberFormat="1" applyFont="1" applyFill="1" applyBorder="1" applyAlignment="1" applyProtection="1">
      <alignment horizontal="center" vertical="center"/>
    </xf>
    <xf numFmtId="0" fontId="9" fillId="0" borderId="0" xfId="0" applyFont="1" applyFill="1" applyBorder="1" applyAlignment="1" applyProtection="1">
      <alignment horizontal="right" vertical="center"/>
    </xf>
    <xf numFmtId="183" fontId="17" fillId="0" borderId="0" xfId="77" applyNumberFormat="1" applyFont="1" applyFill="1" applyBorder="1" applyAlignment="1" applyProtection="1">
      <alignment horizontal="center" vertical="center"/>
    </xf>
    <xf numFmtId="9" fontId="17" fillId="0" borderId="0" xfId="77" applyNumberFormat="1" applyFont="1" applyFill="1" applyBorder="1" applyAlignment="1" applyProtection="1">
      <alignment horizontal="center" vertical="center"/>
    </xf>
    <xf numFmtId="0" fontId="17" fillId="4" borderId="0" xfId="0" applyFont="1" applyFill="1" applyBorder="1" applyAlignment="1" applyProtection="1">
      <alignment horizontal="left" vertical="center" wrapText="1"/>
    </xf>
    <xf numFmtId="0" fontId="24" fillId="0" borderId="1" xfId="81" applyFont="1" applyFill="1" applyBorder="1" applyAlignment="1" applyProtection="1">
      <alignment horizontal="left" vertical="center"/>
    </xf>
    <xf numFmtId="0" fontId="0" fillId="0" borderId="0" xfId="0" applyFont="1" applyFill="1" applyBorder="1" applyAlignment="1" applyProtection="1">
      <alignment horizontal="right" vertical="center"/>
    </xf>
    <xf numFmtId="0" fontId="25" fillId="3" borderId="17" xfId="0" applyFont="1" applyFill="1" applyBorder="1" applyAlignment="1" applyProtection="1">
      <alignment horizontal="center" vertical="center"/>
    </xf>
    <xf numFmtId="183" fontId="17" fillId="3" borderId="18" xfId="0" applyNumberFormat="1" applyFont="1" applyFill="1" applyBorder="1" applyAlignment="1" applyProtection="1">
      <alignment horizontal="center" vertical="center"/>
    </xf>
    <xf numFmtId="183" fontId="17" fillId="3" borderId="19" xfId="0" applyNumberFormat="1" applyFont="1" applyFill="1" applyBorder="1" applyAlignment="1" applyProtection="1">
      <alignment horizontal="center" vertical="center"/>
    </xf>
    <xf numFmtId="184" fontId="17" fillId="3" borderId="19" xfId="0" applyNumberFormat="1" applyFont="1" applyFill="1" applyBorder="1" applyAlignment="1" applyProtection="1">
      <alignment horizontal="center" vertical="center"/>
    </xf>
    <xf numFmtId="184" fontId="17" fillId="3" borderId="20" xfId="0" applyNumberFormat="1" applyFont="1" applyFill="1" applyBorder="1" applyAlignment="1" applyProtection="1">
      <alignment horizontal="center" vertical="center"/>
    </xf>
    <xf numFmtId="0" fontId="26" fillId="0" borderId="1" xfId="81" applyFont="1" applyFill="1" applyBorder="1" applyAlignment="1" applyProtection="1">
      <alignment horizontal="left" vertical="center"/>
    </xf>
    <xf numFmtId="0" fontId="11" fillId="0" borderId="1" xfId="81" applyFont="1" applyFill="1" applyBorder="1" applyAlignment="1" applyProtection="1">
      <alignment horizontal="left" vertical="center"/>
    </xf>
    <xf numFmtId="9" fontId="0" fillId="3" borderId="17" xfId="0" applyNumberFormat="1" applyFont="1" applyFill="1" applyBorder="1" applyAlignment="1" applyProtection="1">
      <alignment horizontal="center" vertical="center"/>
    </xf>
    <xf numFmtId="0" fontId="27" fillId="0" borderId="1" xfId="81" applyFont="1" applyFill="1" applyBorder="1" applyAlignment="1" applyProtection="1">
      <alignment horizontal="left" vertical="center"/>
    </xf>
    <xf numFmtId="0" fontId="18" fillId="4" borderId="0" xfId="0" applyFont="1" applyFill="1" applyBorder="1" applyProtection="1">
      <alignment vertical="center"/>
    </xf>
    <xf numFmtId="183" fontId="18" fillId="4" borderId="0" xfId="0" applyNumberFormat="1" applyFont="1" applyFill="1" applyBorder="1" applyProtection="1">
      <alignment vertical="center"/>
    </xf>
    <xf numFmtId="183" fontId="17" fillId="4" borderId="0" xfId="0" applyNumberFormat="1" applyFont="1" applyFill="1" applyBorder="1" applyProtection="1">
      <alignment vertical="center"/>
    </xf>
    <xf numFmtId="0" fontId="17" fillId="4" borderId="0" xfId="0" applyFont="1" applyFill="1" applyBorder="1" applyAlignment="1" applyProtection="1">
      <alignment vertical="center"/>
    </xf>
    <xf numFmtId="0" fontId="15" fillId="0" borderId="21" xfId="0" applyFont="1" applyFill="1" applyBorder="1" applyAlignment="1" applyProtection="1">
      <alignment horizontal="center" vertical="center"/>
    </xf>
    <xf numFmtId="49" fontId="15" fillId="0" borderId="21" xfId="0" applyNumberFormat="1" applyFont="1" applyFill="1" applyBorder="1" applyAlignment="1" applyProtection="1">
      <alignment horizontal="center" vertical="center" wrapText="1"/>
    </xf>
    <xf numFmtId="49" fontId="15" fillId="0" borderId="21" xfId="0" applyNumberFormat="1" applyFont="1" applyFill="1" applyBorder="1" applyAlignment="1" applyProtection="1">
      <alignment vertical="center"/>
    </xf>
    <xf numFmtId="0" fontId="28" fillId="0" borderId="22" xfId="0" applyFont="1" applyFill="1" applyBorder="1" applyAlignment="1" applyProtection="1">
      <alignment horizontal="center" vertical="center"/>
    </xf>
    <xf numFmtId="49" fontId="15" fillId="0" borderId="22" xfId="0" applyNumberFormat="1" applyFont="1" applyFill="1" applyBorder="1" applyAlignment="1" applyProtection="1">
      <alignment horizontal="center" vertical="center"/>
    </xf>
    <xf numFmtId="0" fontId="28" fillId="0" borderId="22" xfId="0" applyFont="1" applyFill="1" applyBorder="1" applyAlignment="1" applyProtection="1">
      <alignment horizontal="center" vertical="center" wrapText="1"/>
    </xf>
    <xf numFmtId="183" fontId="12" fillId="0" borderId="1" xfId="0" applyNumberFormat="1" applyFont="1" applyFill="1" applyBorder="1" applyAlignment="1" applyProtection="1">
      <alignment horizontal="center" vertical="center"/>
    </xf>
    <xf numFmtId="185" fontId="12" fillId="0" borderId="1" xfId="0" applyNumberFormat="1" applyFont="1" applyFill="1" applyBorder="1" applyAlignment="1" applyProtection="1">
      <alignment horizontal="center" vertical="center"/>
    </xf>
    <xf numFmtId="183" fontId="28" fillId="0" borderId="22" xfId="0" applyNumberFormat="1" applyFont="1" applyFill="1" applyBorder="1" applyAlignment="1" applyProtection="1">
      <alignment horizontal="center" vertical="center" wrapText="1"/>
    </xf>
    <xf numFmtId="183" fontId="28" fillId="0" borderId="23" xfId="0" applyNumberFormat="1" applyFont="1" applyFill="1" applyBorder="1" applyAlignment="1" applyProtection="1">
      <alignment horizontal="center" vertical="center"/>
    </xf>
    <xf numFmtId="180" fontId="28" fillId="0" borderId="24" xfId="0" applyNumberFormat="1" applyFont="1" applyFill="1" applyBorder="1" applyAlignment="1" applyProtection="1">
      <alignment horizontal="center" vertical="center"/>
    </xf>
    <xf numFmtId="0" fontId="29" fillId="18" borderId="25" xfId="0" applyFont="1" applyFill="1" applyBorder="1" applyAlignment="1" applyProtection="1">
      <alignment horizontal="center" vertical="center"/>
    </xf>
    <xf numFmtId="0" fontId="11" fillId="0" borderId="0" xfId="81" applyFont="1" applyFill="1" applyAlignment="1" applyProtection="1">
      <alignment horizontal="center" vertical="center"/>
    </xf>
    <xf numFmtId="10" fontId="11" fillId="0" borderId="0" xfId="81" applyNumberFormat="1" applyFont="1" applyFill="1" applyAlignment="1" applyProtection="1">
      <alignment horizontal="center" vertical="center"/>
    </xf>
    <xf numFmtId="9" fontId="11" fillId="0" borderId="0" xfId="3" applyFont="1" applyFill="1" applyBorder="1" applyAlignment="1" applyProtection="1">
      <alignment horizontal="center" vertical="center"/>
    </xf>
    <xf numFmtId="0" fontId="30" fillId="0" borderId="1" xfId="0" applyFont="1" applyFill="1" applyBorder="1" applyAlignment="1" applyProtection="1">
      <alignment horizontal="right" vertical="center"/>
      <protection locked="0"/>
    </xf>
    <xf numFmtId="0" fontId="18" fillId="0" borderId="1" xfId="0" applyFont="1" applyFill="1" applyBorder="1" applyAlignment="1" applyProtection="1">
      <alignment vertical="center"/>
    </xf>
    <xf numFmtId="0" fontId="18" fillId="0" borderId="1" xfId="0" applyFont="1" applyFill="1" applyBorder="1" applyAlignment="1" applyProtection="1">
      <alignment vertical="center"/>
      <protection locked="0"/>
    </xf>
    <xf numFmtId="0" fontId="18" fillId="0" borderId="1" xfId="0" applyFont="1" applyFill="1" applyBorder="1" applyAlignment="1" applyProtection="1">
      <alignment vertical="top" wrapText="1"/>
    </xf>
    <xf numFmtId="183" fontId="18" fillId="0" borderId="1" xfId="0" applyNumberFormat="1" applyFont="1" applyFill="1" applyBorder="1" applyAlignment="1" applyProtection="1">
      <alignment horizontal="center" vertical="center"/>
    </xf>
    <xf numFmtId="0" fontId="22" fillId="0" borderId="1" xfId="0" applyFont="1" applyFill="1" applyBorder="1" applyAlignment="1" applyProtection="1">
      <alignment horizontal="center" vertical="center"/>
    </xf>
    <xf numFmtId="183" fontId="17" fillId="19" borderId="1" xfId="0" applyNumberFormat="1" applyFont="1" applyFill="1" applyBorder="1" applyAlignment="1" applyProtection="1">
      <alignment horizontal="right" vertical="center"/>
    </xf>
    <xf numFmtId="183" fontId="17" fillId="0" borderId="1" xfId="0" applyNumberFormat="1" applyFont="1" applyFill="1" applyBorder="1" applyAlignment="1" applyProtection="1">
      <alignment vertical="center"/>
    </xf>
    <xf numFmtId="183" fontId="11" fillId="0" borderId="1" xfId="0" applyNumberFormat="1" applyFont="1" applyFill="1" applyBorder="1" applyAlignment="1" applyProtection="1">
      <alignment vertical="center"/>
    </xf>
    <xf numFmtId="0" fontId="31" fillId="20" borderId="1" xfId="3" applyNumberFormat="1" applyFont="1" applyFill="1" applyBorder="1" applyAlignment="1" applyProtection="1">
      <alignment horizontal="center" vertical="center"/>
    </xf>
    <xf numFmtId="0" fontId="17" fillId="0" borderId="11" xfId="0" applyFont="1" applyFill="1" applyBorder="1" applyAlignment="1" applyProtection="1">
      <alignment horizontal="left" vertical="center"/>
    </xf>
    <xf numFmtId="0" fontId="11" fillId="0" borderId="0" xfId="81" applyFont="1" applyFill="1" applyAlignment="1" applyProtection="1">
      <alignment vertical="center"/>
    </xf>
    <xf numFmtId="10" fontId="11" fillId="0" borderId="0" xfId="81" applyNumberFormat="1" applyFont="1" applyFill="1" applyAlignment="1" applyProtection="1">
      <alignment vertical="center"/>
    </xf>
    <xf numFmtId="9" fontId="26" fillId="0" borderId="0" xfId="3" applyFont="1" applyFill="1" applyBorder="1" applyAlignment="1" applyProtection="1">
      <alignment vertical="center"/>
    </xf>
    <xf numFmtId="0" fontId="22" fillId="0" borderId="1" xfId="0" applyFont="1" applyFill="1" applyBorder="1" applyAlignment="1" applyProtection="1">
      <alignment vertical="top" wrapText="1"/>
    </xf>
    <xf numFmtId="9" fontId="11" fillId="0" borderId="0" xfId="3" applyFont="1" applyFill="1" applyBorder="1" applyAlignment="1" applyProtection="1">
      <alignment vertical="center"/>
    </xf>
    <xf numFmtId="183" fontId="18" fillId="21" borderId="1" xfId="0" applyNumberFormat="1" applyFont="1" applyFill="1" applyBorder="1" applyAlignment="1" applyProtection="1">
      <alignment horizontal="center" vertical="center"/>
    </xf>
    <xf numFmtId="0" fontId="22" fillId="0" borderId="0" xfId="81" applyFont="1" applyProtection="1">
      <alignment vertical="center"/>
    </xf>
    <xf numFmtId="0" fontId="32" fillId="0" borderId="1" xfId="0" applyFont="1" applyFill="1" applyBorder="1" applyAlignment="1" applyProtection="1">
      <alignment vertical="top" wrapText="1"/>
    </xf>
    <xf numFmtId="183" fontId="18" fillId="22" borderId="1" xfId="0" applyNumberFormat="1" applyFont="1" applyFill="1" applyBorder="1" applyAlignment="1" applyProtection="1">
      <alignment horizontal="center" vertical="center"/>
    </xf>
    <xf numFmtId="0" fontId="33" fillId="0" borderId="1" xfId="0" applyFont="1" applyFill="1" applyBorder="1" applyAlignment="1" applyProtection="1">
      <alignment vertical="top" wrapText="1"/>
    </xf>
    <xf numFmtId="0" fontId="34" fillId="0" borderId="1" xfId="0" applyFont="1" applyFill="1" applyBorder="1" applyAlignment="1" applyProtection="1">
      <alignment horizontal="right" vertical="center"/>
      <protection locked="0"/>
    </xf>
    <xf numFmtId="0" fontId="35" fillId="0" borderId="1" xfId="0" applyFont="1" applyFill="1" applyBorder="1" applyAlignment="1" applyProtection="1">
      <alignment vertical="center"/>
    </xf>
    <xf numFmtId="0" fontId="35" fillId="0" borderId="1" xfId="0" applyFont="1" applyFill="1" applyBorder="1" applyAlignment="1" applyProtection="1">
      <alignment vertical="center"/>
      <protection locked="0"/>
    </xf>
    <xf numFmtId="0" fontId="35" fillId="0" borderId="1" xfId="0" applyFont="1" applyFill="1" applyBorder="1" applyAlignment="1" applyProtection="1">
      <alignment vertical="top" wrapText="1"/>
    </xf>
    <xf numFmtId="0" fontId="36" fillId="0" borderId="1" xfId="0" applyFont="1" applyFill="1" applyBorder="1" applyAlignment="1" applyProtection="1">
      <alignment horizontal="left" vertical="top" wrapText="1"/>
    </xf>
    <xf numFmtId="0" fontId="17" fillId="0" borderId="26" xfId="0" applyFont="1" applyFill="1" applyBorder="1" applyAlignment="1" applyProtection="1">
      <alignment horizontal="left" vertical="center"/>
    </xf>
    <xf numFmtId="0" fontId="17" fillId="0" borderId="1" xfId="0" applyFont="1" applyFill="1" applyBorder="1" applyAlignment="1" applyProtection="1">
      <alignment horizontal="left" vertical="center"/>
    </xf>
    <xf numFmtId="183" fontId="28" fillId="0" borderId="0" xfId="0" applyNumberFormat="1" applyFont="1" applyAlignment="1" applyProtection="1">
      <alignment horizontal="right" vertical="center"/>
    </xf>
    <xf numFmtId="0" fontId="17" fillId="0" borderId="0" xfId="0" applyNumberFormat="1" applyFont="1" applyProtection="1">
      <alignment vertical="center"/>
    </xf>
    <xf numFmtId="180" fontId="22" fillId="0" borderId="0" xfId="0" applyNumberFormat="1" applyFont="1" applyAlignment="1" applyProtection="1">
      <alignment horizontal="center" vertical="center"/>
    </xf>
    <xf numFmtId="183" fontId="28" fillId="21" borderId="0" xfId="0" applyNumberFormat="1" applyFont="1" applyFill="1" applyAlignment="1" applyProtection="1">
      <alignment horizontal="left" vertical="center"/>
    </xf>
    <xf numFmtId="180" fontId="28" fillId="21" borderId="0" xfId="0" applyNumberFormat="1" applyFont="1" applyFill="1" applyAlignment="1" applyProtection="1">
      <alignment horizontal="left" vertical="center"/>
    </xf>
    <xf numFmtId="0" fontId="37" fillId="13" borderId="16" xfId="0" applyFont="1" applyFill="1" applyBorder="1" applyAlignment="1" applyProtection="1">
      <alignment horizontal="center" vertical="center" wrapText="1"/>
    </xf>
    <xf numFmtId="0" fontId="38" fillId="0" borderId="0" xfId="81" applyFont="1" applyAlignment="1" applyProtection="1">
      <alignment horizontal="center" vertical="center"/>
    </xf>
    <xf numFmtId="0" fontId="37" fillId="0" borderId="0" xfId="81" applyFont="1" applyProtection="1">
      <alignment vertical="center"/>
    </xf>
    <xf numFmtId="0" fontId="37" fillId="0" borderId="0" xfId="81" applyFont="1" applyAlignment="1" applyProtection="1">
      <alignment vertical="center" wrapText="1"/>
    </xf>
    <xf numFmtId="183" fontId="18" fillId="23" borderId="1" xfId="0" applyNumberFormat="1" applyFont="1" applyFill="1" applyBorder="1" applyAlignment="1" applyProtection="1">
      <alignment horizontal="center" vertical="center"/>
    </xf>
    <xf numFmtId="0" fontId="37" fillId="0" borderId="1" xfId="0" applyFont="1" applyFill="1" applyBorder="1" applyAlignment="1" applyProtection="1">
      <alignment vertical="top" wrapText="1"/>
    </xf>
    <xf numFmtId="0" fontId="4" fillId="0" borderId="0" xfId="54" applyFont="1" applyProtection="1"/>
    <xf numFmtId="0" fontId="4" fillId="0" borderId="1" xfId="54" applyFont="1" applyFill="1" applyBorder="1" applyAlignment="1" applyProtection="1">
      <alignment horizontal="center" vertical="center"/>
    </xf>
    <xf numFmtId="0" fontId="4" fillId="23" borderId="1" xfId="54" applyFont="1" applyFill="1" applyBorder="1" applyProtection="1"/>
    <xf numFmtId="0" fontId="4" fillId="0" borderId="1" xfId="82" applyFont="1" applyBorder="1" applyAlignment="1" applyProtection="1"/>
    <xf numFmtId="0" fontId="4" fillId="0" borderId="1" xfId="82" applyFont="1" applyFill="1" applyBorder="1" applyAlignment="1" applyProtection="1"/>
    <xf numFmtId="0" fontId="4" fillId="0" borderId="1" xfId="82" applyFont="1" applyFill="1" applyBorder="1" applyAlignment="1" applyProtection="1">
      <alignment horizontal="center"/>
    </xf>
    <xf numFmtId="49" fontId="4" fillId="0" borderId="1" xfId="82" applyNumberFormat="1" applyFont="1" applyFill="1" applyBorder="1" applyAlignment="1" applyProtection="1">
      <alignment horizontal="center"/>
    </xf>
    <xf numFmtId="0" fontId="4" fillId="0" borderId="1" xfId="82" applyNumberFormat="1" applyFont="1" applyBorder="1" applyAlignment="1" applyProtection="1"/>
    <xf numFmtId="0" fontId="4" fillId="0" borderId="1" xfId="82" applyNumberFormat="1" applyFont="1" applyFill="1" applyBorder="1" applyAlignment="1" applyProtection="1"/>
    <xf numFmtId="1" fontId="4" fillId="0" borderId="1" xfId="82" applyNumberFormat="1" applyFont="1" applyBorder="1" applyAlignment="1" applyProtection="1"/>
    <xf numFmtId="0" fontId="4" fillId="0" borderId="1" xfId="82" applyFont="1" applyBorder="1" applyAlignment="1" applyProtection="1">
      <alignment horizontal="left"/>
    </xf>
    <xf numFmtId="0" fontId="4" fillId="0" borderId="0" xfId="82" applyFont="1" applyAlignment="1" applyProtection="1"/>
    <xf numFmtId="0" fontId="4" fillId="0" borderId="0" xfId="82" applyNumberFormat="1" applyFont="1" applyAlignment="1" applyProtection="1">
      <alignment horizontal="center"/>
    </xf>
    <xf numFmtId="0" fontId="4" fillId="0" borderId="0" xfId="82" applyFont="1" applyFill="1" applyAlignment="1" applyProtection="1"/>
    <xf numFmtId="0" fontId="4" fillId="0" borderId="0" xfId="82" applyFont="1" applyAlignment="1" applyProtection="1">
      <alignment horizontal="center"/>
    </xf>
    <xf numFmtId="9" fontId="4" fillId="0" borderId="1" xfId="54" applyNumberFormat="1" applyFont="1" applyBorder="1" applyAlignment="1" applyProtection="1">
      <alignment horizontal="center"/>
    </xf>
    <xf numFmtId="0" fontId="4" fillId="0" borderId="1" xfId="54" applyFont="1" applyBorder="1" applyProtection="1"/>
    <xf numFmtId="49" fontId="4" fillId="0" borderId="1" xfId="54" applyNumberFormat="1" applyFont="1" applyBorder="1" applyProtection="1"/>
    <xf numFmtId="0" fontId="4" fillId="0" borderId="0" xfId="54" applyFont="1" applyFill="1" applyProtection="1"/>
    <xf numFmtId="49" fontId="4" fillId="0" borderId="0" xfId="54" applyNumberFormat="1" applyFont="1" applyFill="1" applyProtection="1"/>
    <xf numFmtId="0" fontId="4" fillId="0" borderId="0" xfId="54" applyFont="1" applyFill="1" applyAlignment="1" applyProtection="1">
      <alignment horizontal="center"/>
    </xf>
    <xf numFmtId="0" fontId="4" fillId="0" borderId="0" xfId="54" applyFont="1" applyAlignment="1" applyProtection="1">
      <alignment horizontal="center"/>
    </xf>
    <xf numFmtId="40" fontId="4" fillId="0" borderId="0" xfId="54" applyNumberFormat="1" applyFont="1" applyAlignment="1" applyProtection="1">
      <alignment horizontal="center"/>
    </xf>
    <xf numFmtId="40" fontId="4" fillId="0" borderId="0" xfId="90" applyNumberFormat="1" applyFont="1" applyFill="1" applyProtection="1"/>
    <xf numFmtId="0" fontId="4" fillId="0" borderId="0" xfId="54" applyNumberFormat="1" applyFont="1" applyProtection="1"/>
    <xf numFmtId="0" fontId="4" fillId="0" borderId="0" xfId="54" applyNumberFormat="1" applyFont="1" applyFill="1" applyProtection="1"/>
    <xf numFmtId="1" fontId="4" fillId="0" borderId="0" xfId="54" applyNumberFormat="1" applyFont="1" applyProtection="1"/>
    <xf numFmtId="0" fontId="4" fillId="0" borderId="0" xfId="54" applyFont="1" applyAlignment="1" applyProtection="1">
      <alignment horizontal="left"/>
    </xf>
    <xf numFmtId="0" fontId="4" fillId="0" borderId="0" xfId="54" applyNumberFormat="1" applyFont="1" applyAlignment="1" applyProtection="1">
      <alignment horizontal="center"/>
    </xf>
    <xf numFmtId="49" fontId="4" fillId="0" borderId="0" xfId="54" applyNumberFormat="1" applyFont="1" applyProtection="1"/>
    <xf numFmtId="9" fontId="4" fillId="0" borderId="0" xfId="54" applyNumberFormat="1" applyFont="1" applyAlignment="1" applyProtection="1">
      <alignment horizontal="center"/>
    </xf>
    <xf numFmtId="0" fontId="4" fillId="0" borderId="3" xfId="82" applyFont="1" applyFill="1" applyBorder="1" applyAlignment="1" applyProtection="1"/>
    <xf numFmtId="49" fontId="4" fillId="0" borderId="3" xfId="82" applyNumberFormat="1" applyFont="1" applyFill="1" applyBorder="1" applyAlignment="1" applyProtection="1"/>
    <xf numFmtId="0" fontId="4" fillId="0" borderId="3" xfId="82" applyFont="1" applyFill="1" applyBorder="1" applyAlignment="1" applyProtection="1">
      <alignment horizontal="center"/>
    </xf>
    <xf numFmtId="0" fontId="4" fillId="0" borderId="3" xfId="82" applyNumberFormat="1" applyFont="1" applyFill="1" applyBorder="1" applyAlignment="1" applyProtection="1">
      <alignment horizontal="center"/>
    </xf>
    <xf numFmtId="49" fontId="4" fillId="0" borderId="3" xfId="82" applyNumberFormat="1" applyFont="1" applyFill="1" applyBorder="1" applyAlignment="1" applyProtection="1">
      <alignment horizontal="left" wrapText="1"/>
    </xf>
    <xf numFmtId="49" fontId="4" fillId="0" borderId="3" xfId="82" applyNumberFormat="1" applyFont="1" applyFill="1" applyBorder="1" applyAlignment="1" applyProtection="1">
      <alignment horizontal="center"/>
    </xf>
    <xf numFmtId="49" fontId="4" fillId="0" borderId="3" xfId="82" applyNumberFormat="1" applyFont="1" applyFill="1" applyBorder="1" applyAlignment="1" applyProtection="1">
      <alignment horizontal="left"/>
    </xf>
    <xf numFmtId="40" fontId="4" fillId="0" borderId="3" xfId="82" applyNumberFormat="1" applyFont="1" applyFill="1" applyBorder="1" applyAlignment="1" applyProtection="1">
      <alignment horizontal="center"/>
    </xf>
    <xf numFmtId="40" fontId="4" fillId="0" borderId="3" xfId="90" applyNumberFormat="1" applyFont="1" applyFill="1" applyBorder="1" applyAlignment="1" applyProtection="1">
      <alignment horizontal="right"/>
    </xf>
    <xf numFmtId="0" fontId="4" fillId="0" borderId="3" xfId="54" applyNumberFormat="1" applyFont="1" applyFill="1" applyBorder="1" applyAlignment="1" applyProtection="1">
      <alignment horizontal="right"/>
    </xf>
    <xf numFmtId="0" fontId="4" fillId="0" borderId="3" xfId="54" applyNumberFormat="1" applyFont="1" applyBorder="1" applyProtection="1"/>
    <xf numFmtId="1" fontId="4" fillId="0" borderId="3" xfId="54" applyNumberFormat="1" applyFont="1" applyFill="1" applyBorder="1" applyAlignment="1" applyProtection="1">
      <alignment horizontal="right"/>
    </xf>
    <xf numFmtId="1" fontId="4" fillId="0" borderId="3" xfId="54" applyNumberFormat="1" applyFont="1" applyFill="1" applyBorder="1" applyProtection="1"/>
    <xf numFmtId="49" fontId="4" fillId="0" borderId="3" xfId="54" applyNumberFormat="1" applyFont="1" applyFill="1" applyBorder="1" applyAlignment="1" applyProtection="1">
      <alignment horizontal="right"/>
    </xf>
    <xf numFmtId="182" fontId="4" fillId="0" borderId="3" xfId="54" applyNumberFormat="1" applyFont="1" applyFill="1" applyBorder="1" applyAlignment="1" applyProtection="1">
      <alignment horizontal="right"/>
    </xf>
    <xf numFmtId="0" fontId="4" fillId="0" borderId="3" xfId="54" applyFont="1" applyBorder="1" applyAlignment="1" applyProtection="1">
      <alignment horizontal="left"/>
    </xf>
    <xf numFmtId="0" fontId="4" fillId="0" borderId="1" xfId="54" applyNumberFormat="1" applyFont="1" applyFill="1" applyBorder="1" applyAlignment="1" applyProtection="1">
      <alignment horizontal="center"/>
    </xf>
    <xf numFmtId="0" fontId="4" fillId="0" borderId="1" xfId="54" applyNumberFormat="1" applyFont="1" applyFill="1" applyBorder="1" applyAlignment="1" applyProtection="1">
      <alignment horizontal="right"/>
    </xf>
    <xf numFmtId="49" fontId="4" fillId="0" borderId="1" xfId="54" applyNumberFormat="1" applyFont="1" applyFill="1" applyBorder="1" applyProtection="1"/>
    <xf numFmtId="49" fontId="4" fillId="0" borderId="1" xfId="54" applyNumberFormat="1" applyFont="1" applyFill="1" applyBorder="1" applyAlignment="1" applyProtection="1">
      <alignment horizontal="left"/>
    </xf>
    <xf numFmtId="49" fontId="4" fillId="0" borderId="1" xfId="54" applyNumberFormat="1" applyFont="1" applyFill="1" applyBorder="1" applyAlignment="1" applyProtection="1">
      <alignment horizontal="right"/>
    </xf>
    <xf numFmtId="182" fontId="4" fillId="0" borderId="1" xfId="54" applyNumberFormat="1" applyFont="1" applyFill="1" applyBorder="1" applyAlignment="1" applyProtection="1">
      <alignment horizontal="left"/>
    </xf>
    <xf numFmtId="1" fontId="4" fillId="0" borderId="1" xfId="54" applyNumberFormat="1" applyFont="1" applyFill="1" applyBorder="1" applyProtection="1"/>
    <xf numFmtId="0" fontId="4" fillId="0" borderId="1" xfId="54" applyFont="1" applyBorder="1" applyAlignment="1" applyProtection="1">
      <alignment horizontal="left" wrapText="1"/>
    </xf>
    <xf numFmtId="0" fontId="4" fillId="0" borderId="1" xfId="54" applyFont="1" applyBorder="1" applyAlignment="1" applyProtection="1">
      <alignment horizontal="left"/>
    </xf>
    <xf numFmtId="0" fontId="4" fillId="0" borderId="1" xfId="54" applyFont="1" applyBorder="1" applyAlignment="1" applyProtection="1">
      <alignment horizontal="center"/>
    </xf>
    <xf numFmtId="0" fontId="39" fillId="0" borderId="1" xfId="54" applyFont="1" applyFill="1" applyBorder="1" applyAlignment="1" applyProtection="1">
      <alignment horizontal="center" vertical="center" wrapText="1"/>
    </xf>
    <xf numFmtId="0" fontId="40" fillId="0" borderId="1" xfId="82" applyNumberFormat="1" applyFont="1" applyFill="1" applyBorder="1" applyAlignment="1" applyProtection="1">
      <alignment horizontal="left" vertical="center" wrapText="1"/>
    </xf>
    <xf numFmtId="186" fontId="2" fillId="0" borderId="1" xfId="82" applyNumberFormat="1" applyFont="1" applyFill="1" applyBorder="1" applyAlignment="1" applyProtection="1">
      <alignment horizontal="center" vertical="center" wrapText="1"/>
    </xf>
    <xf numFmtId="187" fontId="4" fillId="0" borderId="1" xfId="82" applyNumberFormat="1" applyFont="1" applyFill="1" applyBorder="1" applyAlignment="1" applyProtection="1">
      <alignment horizontal="center" vertical="center" wrapText="1"/>
    </xf>
    <xf numFmtId="187" fontId="2" fillId="0" borderId="1" xfId="54" applyNumberFormat="1" applyFont="1" applyFill="1" applyBorder="1" applyAlignment="1" applyProtection="1">
      <alignment horizontal="center" vertical="center" wrapText="1"/>
    </xf>
    <xf numFmtId="188" fontId="4" fillId="0" borderId="1" xfId="54" applyNumberFormat="1" applyFont="1" applyFill="1" applyBorder="1" applyAlignment="1" applyProtection="1">
      <alignment horizontal="center" vertical="center" wrapText="1"/>
    </xf>
    <xf numFmtId="189" fontId="4" fillId="0" borderId="1" xfId="54" applyNumberFormat="1" applyFont="1" applyFill="1" applyBorder="1" applyAlignment="1" applyProtection="1">
      <alignment vertical="center" wrapText="1"/>
    </xf>
    <xf numFmtId="190" fontId="4" fillId="0" borderId="1" xfId="54" applyNumberFormat="1" applyFont="1" applyFill="1" applyBorder="1" applyAlignment="1" applyProtection="1">
      <alignment horizontal="center" vertical="center" wrapText="1"/>
    </xf>
    <xf numFmtId="2" fontId="4" fillId="0" borderId="1" xfId="82" applyNumberFormat="1" applyFont="1" applyFill="1" applyBorder="1" applyAlignment="1" applyProtection="1">
      <alignment horizontal="center" vertical="center"/>
    </xf>
    <xf numFmtId="190" fontId="4" fillId="0" borderId="1" xfId="90" applyNumberFormat="1" applyFont="1" applyFill="1" applyBorder="1" applyAlignment="1" applyProtection="1">
      <alignment horizontal="right" vertical="center" wrapText="1"/>
    </xf>
    <xf numFmtId="185" fontId="4" fillId="3" borderId="1" xfId="54" applyNumberFormat="1" applyFont="1" applyFill="1" applyBorder="1" applyAlignment="1" applyProtection="1">
      <alignment horizontal="right" vertical="center" wrapText="1"/>
    </xf>
    <xf numFmtId="185" fontId="4" fillId="0" borderId="1" xfId="54" applyNumberFormat="1" applyFont="1" applyFill="1" applyBorder="1" applyAlignment="1" applyProtection="1">
      <alignment horizontal="right" vertical="center" wrapText="1"/>
    </xf>
    <xf numFmtId="0" fontId="4" fillId="0" borderId="1" xfId="54" applyNumberFormat="1" applyFont="1" applyFill="1" applyBorder="1" applyProtection="1"/>
    <xf numFmtId="2" fontId="4" fillId="0" borderId="1" xfId="54" applyNumberFormat="1" applyFont="1" applyFill="1" applyBorder="1" applyAlignment="1" applyProtection="1">
      <alignment horizontal="center" vertical="center"/>
    </xf>
    <xf numFmtId="2" fontId="4" fillId="0" borderId="1" xfId="54" applyNumberFormat="1" applyFont="1" applyFill="1" applyBorder="1" applyAlignment="1" applyProtection="1">
      <alignment horizontal="right" vertical="center" wrapText="1"/>
    </xf>
    <xf numFmtId="189" fontId="41" fillId="0" borderId="1" xfId="54" applyNumberFormat="1" applyFont="1" applyFill="1" applyBorder="1" applyAlignment="1" applyProtection="1">
      <alignment vertical="center" wrapText="1"/>
    </xf>
    <xf numFmtId="2" fontId="42" fillId="0" borderId="1" xfId="54" applyNumberFormat="1" applyFont="1" applyFill="1" applyBorder="1" applyAlignment="1" applyProtection="1">
      <alignment horizontal="left" vertical="center"/>
    </xf>
    <xf numFmtId="2" fontId="42" fillId="0" borderId="0" xfId="54" applyNumberFormat="1" applyFont="1" applyFill="1" applyBorder="1" applyAlignment="1" applyProtection="1">
      <alignment horizontal="center" vertical="center"/>
    </xf>
    <xf numFmtId="189" fontId="41" fillId="0" borderId="0" xfId="54" applyNumberFormat="1" applyFont="1" applyFill="1" applyBorder="1" applyAlignment="1" applyProtection="1">
      <alignment vertical="center" wrapText="1"/>
    </xf>
    <xf numFmtId="0" fontId="41" fillId="0" borderId="0" xfId="54" applyNumberFormat="1" applyFont="1" applyFill="1" applyBorder="1" applyAlignment="1" applyProtection="1">
      <alignment horizontal="center" vertical="center" wrapText="1"/>
    </xf>
    <xf numFmtId="49" fontId="41" fillId="0" borderId="0" xfId="54" applyNumberFormat="1" applyFont="1" applyFill="1" applyBorder="1" applyAlignment="1" applyProtection="1">
      <alignment vertical="center" wrapText="1"/>
    </xf>
    <xf numFmtId="190" fontId="4" fillId="0" borderId="0" xfId="54" applyNumberFormat="1" applyFont="1" applyFill="1" applyBorder="1" applyAlignment="1" applyProtection="1">
      <alignment horizontal="right" vertical="center" wrapText="1"/>
    </xf>
    <xf numFmtId="49" fontId="4" fillId="0" borderId="0" xfId="54" applyNumberFormat="1" applyFont="1" applyFill="1" applyBorder="1" applyAlignment="1" applyProtection="1">
      <alignment vertical="center" wrapText="1"/>
    </xf>
    <xf numFmtId="49" fontId="41" fillId="0" borderId="27" xfId="54" applyNumberFormat="1" applyFont="1" applyFill="1" applyBorder="1" applyAlignment="1" applyProtection="1">
      <alignment vertical="center" wrapText="1"/>
    </xf>
    <xf numFmtId="189" fontId="41" fillId="0" borderId="1" xfId="82" applyNumberFormat="1" applyFont="1" applyFill="1" applyBorder="1" applyAlignment="1" applyProtection="1">
      <alignment vertical="center" wrapText="1"/>
    </xf>
    <xf numFmtId="9" fontId="4" fillId="0" borderId="1" xfId="54" applyNumberFormat="1" applyFont="1" applyFill="1" applyBorder="1" applyAlignment="1" applyProtection="1">
      <alignment horizontal="center"/>
    </xf>
    <xf numFmtId="0" fontId="41" fillId="0" borderId="1" xfId="54" applyNumberFormat="1" applyFont="1" applyFill="1" applyBorder="1" applyAlignment="1" applyProtection="1">
      <alignment horizontal="center" vertical="center" wrapText="1"/>
    </xf>
    <xf numFmtId="0" fontId="2" fillId="0" borderId="1" xfId="82" applyNumberFormat="1" applyFont="1" applyFill="1" applyBorder="1" applyAlignment="1" applyProtection="1">
      <alignment horizontal="center" vertical="center" wrapText="1"/>
    </xf>
    <xf numFmtId="0" fontId="4" fillId="0" borderId="1" xfId="82" applyNumberFormat="1" applyFont="1" applyFill="1" applyBorder="1" applyAlignment="1" applyProtection="1">
      <alignment horizontal="center" vertical="center" wrapText="1"/>
    </xf>
    <xf numFmtId="0" fontId="4" fillId="0" borderId="1" xfId="54" applyNumberFormat="1" applyFont="1" applyFill="1" applyBorder="1" applyAlignment="1" applyProtection="1">
      <alignment horizontal="center" vertical="center" wrapText="1"/>
    </xf>
    <xf numFmtId="49" fontId="2" fillId="0" borderId="1" xfId="82" applyNumberFormat="1" applyFont="1" applyFill="1" applyBorder="1" applyAlignment="1" applyProtection="1">
      <alignment horizontal="center" vertical="center" wrapText="1"/>
    </xf>
    <xf numFmtId="189" fontId="4" fillId="0" borderId="1" xfId="54" applyNumberFormat="1" applyFont="1" applyFill="1" applyBorder="1" applyAlignment="1" applyProtection="1">
      <alignment horizontal="center" vertical="center" wrapText="1"/>
    </xf>
    <xf numFmtId="40" fontId="2" fillId="0" borderId="1" xfId="82" applyNumberFormat="1" applyFont="1" applyFill="1" applyBorder="1" applyAlignment="1" applyProtection="1">
      <alignment horizontal="center" vertical="center" wrapText="1"/>
    </xf>
    <xf numFmtId="40" fontId="4" fillId="0" borderId="1" xfId="90" applyNumberFormat="1" applyFont="1" applyFill="1" applyBorder="1" applyAlignment="1" applyProtection="1">
      <alignment horizontal="center" vertical="center" wrapText="1"/>
    </xf>
    <xf numFmtId="0" fontId="2" fillId="5" borderId="1" xfId="54" applyNumberFormat="1" applyFont="1" applyFill="1" applyBorder="1" applyAlignment="1" applyProtection="1">
      <alignment horizontal="center" vertical="center" wrapText="1"/>
    </xf>
    <xf numFmtId="0" fontId="2" fillId="0" borderId="1" xfId="54" applyNumberFormat="1" applyFont="1" applyFill="1" applyBorder="1" applyAlignment="1" applyProtection="1">
      <alignment horizontal="center" vertical="center" wrapText="1"/>
    </xf>
    <xf numFmtId="182" fontId="4" fillId="5" borderId="1" xfId="54" applyNumberFormat="1" applyFont="1" applyFill="1" applyBorder="1" applyAlignment="1" applyProtection="1">
      <alignment horizontal="center" vertical="center" wrapText="1"/>
    </xf>
    <xf numFmtId="1" fontId="2" fillId="5" borderId="1" xfId="54" applyNumberFormat="1" applyFont="1" applyFill="1" applyBorder="1" applyAlignment="1" applyProtection="1">
      <alignment horizontal="center" vertical="center" wrapText="1"/>
    </xf>
    <xf numFmtId="49" fontId="2" fillId="0" borderId="1" xfId="54" applyNumberFormat="1" applyFont="1" applyFill="1" applyBorder="1" applyAlignment="1" applyProtection="1">
      <alignment horizontal="center" vertical="center" wrapText="1"/>
    </xf>
    <xf numFmtId="182" fontId="4" fillId="0" borderId="1" xfId="54" applyNumberFormat="1" applyFont="1" applyFill="1" applyBorder="1" applyAlignment="1" applyProtection="1">
      <alignment horizontal="center" vertical="center" wrapText="1"/>
    </xf>
    <xf numFmtId="0" fontId="4" fillId="0" borderId="1" xfId="54" applyFont="1" applyFill="1" applyBorder="1" applyAlignment="1" applyProtection="1">
      <alignment horizontal="center" vertical="center" wrapText="1"/>
    </xf>
    <xf numFmtId="182" fontId="2" fillId="5" borderId="1" xfId="54" applyNumberFormat="1" applyFont="1" applyFill="1" applyBorder="1" applyAlignment="1" applyProtection="1">
      <alignment horizontal="center" vertical="center" wrapText="1"/>
    </xf>
    <xf numFmtId="182" fontId="4" fillId="0" borderId="6" xfId="54" applyNumberFormat="1" applyFont="1" applyFill="1" applyBorder="1" applyAlignment="1" applyProtection="1">
      <alignment horizontal="center" vertical="center" wrapText="1"/>
    </xf>
    <xf numFmtId="49" fontId="4" fillId="0" borderId="1" xfId="54" applyNumberFormat="1" applyFont="1" applyFill="1" applyBorder="1" applyAlignment="1" applyProtection="1">
      <alignment horizontal="center" vertical="center" wrapText="1"/>
    </xf>
    <xf numFmtId="0" fontId="2" fillId="0" borderId="1" xfId="82" applyFont="1" applyFill="1" applyBorder="1" applyAlignment="1" applyProtection="1">
      <alignment horizontal="center" vertical="center" wrapText="1"/>
    </xf>
    <xf numFmtId="0" fontId="4" fillId="0" borderId="1" xfId="82" applyFont="1" applyFill="1" applyBorder="1" applyAlignment="1" applyProtection="1">
      <alignment horizontal="center" vertical="center" wrapText="1"/>
    </xf>
    <xf numFmtId="0" fontId="4" fillId="24" borderId="1" xfId="82" applyFont="1" applyFill="1" applyBorder="1" applyAlignment="1" applyProtection="1">
      <alignment horizontal="center" vertical="center" wrapText="1"/>
    </xf>
    <xf numFmtId="0" fontId="4" fillId="25" borderId="1" xfId="82" applyFont="1" applyFill="1" applyBorder="1" applyAlignment="1" applyProtection="1">
      <alignment horizontal="center" vertical="center" wrapText="1"/>
    </xf>
    <xf numFmtId="9" fontId="2" fillId="0" borderId="1" xfId="54" applyNumberFormat="1" applyFont="1" applyFill="1" applyBorder="1" applyAlignment="1" applyProtection="1">
      <alignment horizontal="center" vertical="center" wrapText="1"/>
    </xf>
    <xf numFmtId="0" fontId="2" fillId="26" borderId="1" xfId="54" applyFont="1" applyFill="1" applyBorder="1" applyAlignment="1" applyProtection="1">
      <alignment horizontal="center" vertical="center"/>
    </xf>
    <xf numFmtId="0" fontId="4" fillId="26" borderId="6" xfId="54" applyFont="1" applyFill="1" applyBorder="1" applyAlignment="1" applyProtection="1">
      <alignment horizontal="center" vertical="center"/>
    </xf>
    <xf numFmtId="49" fontId="2" fillId="26" borderId="1" xfId="54" applyNumberFormat="1" applyFont="1" applyFill="1" applyBorder="1" applyAlignment="1" applyProtection="1">
      <alignment horizontal="center" vertical="center"/>
    </xf>
    <xf numFmtId="49" fontId="4" fillId="0" borderId="1" xfId="82" applyNumberFormat="1" applyFont="1" applyFill="1" applyBorder="1" applyAlignment="1" applyProtection="1"/>
    <xf numFmtId="0" fontId="4" fillId="0" borderId="1" xfId="82" applyNumberFormat="1" applyFont="1" applyFill="1" applyBorder="1" applyAlignment="1" applyProtection="1">
      <alignment horizontal="center"/>
    </xf>
    <xf numFmtId="49" fontId="4" fillId="0" borderId="1" xfId="82" applyNumberFormat="1" applyFont="1" applyFill="1" applyBorder="1" applyAlignment="1" applyProtection="1">
      <alignment horizontal="left" wrapText="1"/>
    </xf>
    <xf numFmtId="49" fontId="4" fillId="0" borderId="1" xfId="82" applyNumberFormat="1" applyFont="1" applyFill="1" applyBorder="1" applyAlignment="1" applyProtection="1">
      <alignment horizontal="left"/>
    </xf>
    <xf numFmtId="40" fontId="4" fillId="0" borderId="1" xfId="82" applyNumberFormat="1" applyFont="1" applyFill="1" applyBorder="1" applyAlignment="1" applyProtection="1">
      <alignment horizontal="center"/>
    </xf>
    <xf numFmtId="40" fontId="4" fillId="0" borderId="1" xfId="90" applyNumberFormat="1" applyFont="1" applyFill="1" applyBorder="1" applyAlignment="1" applyProtection="1">
      <alignment horizontal="right"/>
    </xf>
    <xf numFmtId="49" fontId="4" fillId="5" borderId="1" xfId="93" applyNumberFormat="1" applyFont="1" applyFill="1" applyBorder="1" applyAlignment="1" applyProtection="1">
      <alignment horizontal="center" vertical="center"/>
    </xf>
    <xf numFmtId="0" fontId="4" fillId="5" borderId="1" xfId="54" applyNumberFormat="1" applyFont="1" applyFill="1" applyBorder="1" applyProtection="1"/>
    <xf numFmtId="1" fontId="4" fillId="5" borderId="1" xfId="54" applyNumberFormat="1" applyFont="1" applyFill="1" applyBorder="1" applyAlignment="1" applyProtection="1">
      <alignment horizontal="right"/>
    </xf>
    <xf numFmtId="1" fontId="4" fillId="5" borderId="1" xfId="93" applyNumberFormat="1" applyFont="1" applyFill="1" applyBorder="1" applyAlignment="1" applyProtection="1">
      <alignment horizontal="center" vertical="center"/>
    </xf>
    <xf numFmtId="182" fontId="4" fillId="5" borderId="1" xfId="54" applyNumberFormat="1" applyFont="1" applyFill="1" applyBorder="1" applyAlignment="1" applyProtection="1">
      <alignment horizontal="right"/>
    </xf>
    <xf numFmtId="1" fontId="4" fillId="5" borderId="1" xfId="54" applyNumberFormat="1" applyFont="1" applyFill="1" applyBorder="1" applyProtection="1"/>
    <xf numFmtId="0" fontId="4" fillId="0" borderId="6" xfId="54" applyFont="1" applyBorder="1" applyProtection="1"/>
    <xf numFmtId="3" fontId="4" fillId="5" borderId="1" xfId="93" applyNumberFormat="1" applyFont="1" applyFill="1" applyBorder="1" applyAlignment="1" applyProtection="1">
      <alignment horizontal="center" vertical="center"/>
    </xf>
    <xf numFmtId="0" fontId="6" fillId="0" borderId="6" xfId="49" applyFont="1" applyBorder="1" applyAlignment="1"/>
    <xf numFmtId="49" fontId="6" fillId="0" borderId="1" xfId="49" applyNumberFormat="1" applyFont="1" applyBorder="1" applyAlignment="1"/>
    <xf numFmtId="0" fontId="4" fillId="0" borderId="6" xfId="54" applyFont="1" applyFill="1" applyBorder="1" applyProtection="1"/>
    <xf numFmtId="0" fontId="4" fillId="0" borderId="1" xfId="93" applyNumberFormat="1" applyFont="1" applyFill="1" applyBorder="1" applyAlignment="1" applyProtection="1">
      <alignment horizontal="left" vertical="center"/>
    </xf>
    <xf numFmtId="49" fontId="4" fillId="21" borderId="1" xfId="93" applyNumberFormat="1" applyFont="1" applyFill="1" applyBorder="1" applyAlignment="1" applyProtection="1">
      <alignment horizontal="center" vertical="center"/>
    </xf>
    <xf numFmtId="3" fontId="4" fillId="3" borderId="1" xfId="93" applyNumberFormat="1" applyFont="1" applyFill="1" applyBorder="1" applyAlignment="1" applyProtection="1">
      <alignment horizontal="center" vertical="center"/>
    </xf>
    <xf numFmtId="49" fontId="4" fillId="27" borderId="1" xfId="93" applyNumberFormat="1" applyFont="1" applyFill="1" applyBorder="1" applyAlignment="1" applyProtection="1">
      <alignment horizontal="center" vertical="center"/>
    </xf>
    <xf numFmtId="0" fontId="4" fillId="27" borderId="1" xfId="54" applyNumberFormat="1" applyFont="1" applyFill="1" applyBorder="1" applyProtection="1"/>
    <xf numFmtId="1" fontId="4" fillId="27" borderId="1" xfId="54" applyNumberFormat="1" applyFont="1" applyFill="1" applyBorder="1" applyAlignment="1" applyProtection="1">
      <alignment horizontal="right"/>
    </xf>
    <xf numFmtId="1" fontId="4" fillId="27" borderId="1" xfId="93" applyNumberFormat="1" applyFont="1" applyFill="1" applyBorder="1" applyAlignment="1" applyProtection="1">
      <alignment horizontal="center" vertical="center"/>
    </xf>
    <xf numFmtId="182" fontId="4" fillId="3" borderId="1" xfId="54" applyNumberFormat="1" applyFont="1" applyFill="1" applyBorder="1" applyAlignment="1" applyProtection="1">
      <alignment horizontal="right"/>
    </xf>
    <xf numFmtId="1" fontId="4" fillId="3" borderId="1" xfId="54" applyNumberFormat="1" applyFont="1" applyFill="1" applyBorder="1" applyProtection="1"/>
    <xf numFmtId="191" fontId="4" fillId="3" borderId="1" xfId="93" applyNumberFormat="1" applyFont="1" applyFill="1" applyBorder="1" applyAlignment="1" applyProtection="1">
      <alignment horizontal="center" vertical="center"/>
    </xf>
    <xf numFmtId="0" fontId="4" fillId="28" borderId="6" xfId="54" applyFont="1" applyFill="1" applyBorder="1" applyProtection="1"/>
    <xf numFmtId="1" fontId="4" fillId="22" borderId="1" xfId="93" applyNumberFormat="1" applyFont="1" applyFill="1" applyBorder="1" applyAlignment="1" applyProtection="1">
      <alignment horizontal="center" vertical="center"/>
    </xf>
    <xf numFmtId="3" fontId="4" fillId="29" borderId="1" xfId="93" applyNumberFormat="1" applyFont="1" applyFill="1" applyBorder="1" applyAlignment="1" applyProtection="1">
      <alignment horizontal="center" vertical="center"/>
    </xf>
    <xf numFmtId="0" fontId="4" fillId="22" borderId="1" xfId="88" applyFont="1" applyFill="1" applyBorder="1" applyAlignment="1" applyProtection="1">
      <alignment vertical="center"/>
    </xf>
    <xf numFmtId="0" fontId="4" fillId="0" borderId="6" xfId="54" applyNumberFormat="1" applyFont="1" applyFill="1" applyBorder="1" applyAlignment="1" applyProtection="1">
      <alignment horizontal="right"/>
    </xf>
    <xf numFmtId="1" fontId="4" fillId="23" borderId="1" xfId="93" applyNumberFormat="1" applyFont="1" applyFill="1" applyBorder="1" applyAlignment="1" applyProtection="1">
      <alignment horizontal="center" vertical="center"/>
    </xf>
    <xf numFmtId="0" fontId="0" fillId="0" borderId="1" xfId="0" applyNumberFormat="1" applyFill="1" applyBorder="1" applyAlignment="1"/>
    <xf numFmtId="49" fontId="4" fillId="3" borderId="1" xfId="93" applyNumberFormat="1" applyFont="1" applyFill="1" applyBorder="1" applyAlignment="1" applyProtection="1">
      <alignment horizontal="center" vertical="center"/>
    </xf>
    <xf numFmtId="0" fontId="4" fillId="3" borderId="1" xfId="54" applyNumberFormat="1" applyFont="1" applyFill="1" applyBorder="1" applyProtection="1"/>
    <xf numFmtId="1" fontId="4" fillId="3" borderId="1" xfId="54" applyNumberFormat="1" applyFont="1" applyFill="1" applyBorder="1" applyAlignment="1" applyProtection="1">
      <alignment horizontal="right"/>
    </xf>
    <xf numFmtId="1" fontId="4" fillId="2" borderId="1" xfId="93" applyNumberFormat="1" applyFont="1" applyFill="1" applyBorder="1" applyAlignment="1" applyProtection="1">
      <alignment horizontal="center" vertical="center"/>
    </xf>
    <xf numFmtId="1" fontId="4" fillId="0" borderId="1" xfId="54" applyNumberFormat="1" applyFont="1" applyFill="1" applyBorder="1" applyAlignment="1" applyProtection="1">
      <alignment horizontal="right"/>
    </xf>
    <xf numFmtId="182" fontId="4" fillId="0" borderId="1" xfId="54" applyNumberFormat="1" applyFont="1" applyFill="1" applyBorder="1" applyAlignment="1" applyProtection="1">
      <alignment horizontal="right"/>
    </xf>
    <xf numFmtId="49" fontId="4" fillId="19" borderId="1" xfId="86" applyNumberFormat="1" applyFont="1" applyFill="1" applyBorder="1" applyAlignment="1">
      <alignment horizontal="center" vertical="center"/>
    </xf>
    <xf numFmtId="1" fontId="4" fillId="19" borderId="1" xfId="54" applyNumberFormat="1" applyFont="1" applyFill="1" applyBorder="1" applyAlignment="1" applyProtection="1">
      <alignment horizontal="right"/>
    </xf>
    <xf numFmtId="182" fontId="4" fillId="19" borderId="1" xfId="54" applyNumberFormat="1" applyFont="1" applyFill="1" applyBorder="1" applyAlignment="1" applyProtection="1">
      <alignment horizontal="right"/>
    </xf>
    <xf numFmtId="1" fontId="4" fillId="19" borderId="1" xfId="54" applyNumberFormat="1" applyFont="1" applyFill="1" applyBorder="1" applyProtection="1"/>
    <xf numFmtId="0" fontId="4" fillId="19" borderId="6" xfId="54" applyFont="1" applyFill="1" applyBorder="1" applyProtection="1"/>
    <xf numFmtId="49" fontId="6" fillId="19" borderId="1" xfId="86" applyNumberFormat="1" applyFont="1" applyFill="1" applyBorder="1" applyAlignment="1">
      <alignment horizontal="center" vertical="center"/>
    </xf>
    <xf numFmtId="0" fontId="4" fillId="0" borderId="26" xfId="54" applyFont="1" applyBorder="1" applyAlignment="1" applyProtection="1">
      <alignment horizontal="center"/>
    </xf>
    <xf numFmtId="0" fontId="4" fillId="0" borderId="1" xfId="82" applyNumberFormat="1" applyFont="1" applyBorder="1" applyAlignment="1" applyProtection="1">
      <alignment horizontal="center" vertical="center"/>
    </xf>
    <xf numFmtId="0" fontId="6" fillId="0" borderId="0" xfId="49" applyFont="1" applyAlignment="1"/>
    <xf numFmtId="49" fontId="4" fillId="0" borderId="1" xfId="82" applyNumberFormat="1" applyFont="1" applyBorder="1" applyAlignment="1" applyProtection="1">
      <alignment horizontal="center" vertical="center"/>
    </xf>
    <xf numFmtId="0" fontId="6" fillId="0" borderId="0" xfId="49" applyFont="1" applyFill="1" applyAlignment="1"/>
    <xf numFmtId="49" fontId="6" fillId="0" borderId="1" xfId="49" applyNumberFormat="1" applyFont="1" applyFill="1" applyBorder="1" applyAlignment="1"/>
    <xf numFmtId="49" fontId="4" fillId="4" borderId="1" xfId="89" applyNumberFormat="1" applyFont="1" applyFill="1" applyBorder="1" applyAlignment="1" applyProtection="1">
      <alignment horizontal="center" vertical="center"/>
    </xf>
    <xf numFmtId="0" fontId="4" fillId="0" borderId="1" xfId="89" applyNumberFormat="1" applyFont="1" applyFill="1" applyBorder="1" applyAlignment="1" applyProtection="1">
      <alignment horizontal="left" vertical="center"/>
    </xf>
    <xf numFmtId="0" fontId="0" fillId="0" borderId="1" xfId="0" applyNumberFormat="1" applyFont="1" applyFill="1" applyBorder="1" applyAlignment="1"/>
    <xf numFmtId="0" fontId="6" fillId="0" borderId="1" xfId="0" applyFont="1" applyFill="1" applyBorder="1" applyAlignment="1">
      <alignment horizontal="center" vertical="center"/>
    </xf>
    <xf numFmtId="0" fontId="1" fillId="0" borderId="1" xfId="0" applyNumberFormat="1" applyFont="1" applyFill="1" applyBorder="1" applyAlignment="1">
      <alignment horizontal="left" vertical="center"/>
    </xf>
    <xf numFmtId="1" fontId="4" fillId="22" borderId="1" xfId="54" applyNumberFormat="1" applyFont="1" applyFill="1" applyBorder="1" applyAlignment="1" applyProtection="1">
      <alignment horizontal="center"/>
    </xf>
    <xf numFmtId="0" fontId="9" fillId="0" borderId="1" xfId="0" applyNumberFormat="1" applyFont="1" applyFill="1" applyBorder="1" applyAlignment="1">
      <alignment horizontal="left" vertical="center"/>
    </xf>
    <xf numFmtId="49" fontId="4" fillId="23" borderId="1" xfId="89" applyNumberFormat="1" applyFont="1" applyFill="1" applyBorder="1" applyAlignment="1" applyProtection="1">
      <alignment horizontal="center" vertical="center"/>
    </xf>
    <xf numFmtId="49" fontId="6" fillId="3" borderId="1" xfId="49" applyNumberFormat="1" applyFont="1" applyFill="1" applyBorder="1" applyAlignment="1"/>
    <xf numFmtId="0" fontId="4" fillId="23" borderId="1" xfId="82" applyFont="1" applyFill="1" applyBorder="1" applyAlignment="1" applyProtection="1"/>
    <xf numFmtId="0" fontId="4" fillId="23" borderId="1" xfId="54" applyNumberFormat="1" applyFont="1" applyFill="1" applyBorder="1" applyProtection="1"/>
    <xf numFmtId="1" fontId="4" fillId="23" borderId="1" xfId="54" applyNumberFormat="1" applyFont="1" applyFill="1" applyBorder="1" applyAlignment="1" applyProtection="1">
      <alignment horizontal="right"/>
    </xf>
    <xf numFmtId="49" fontId="4" fillId="23" borderId="1" xfId="54" applyNumberFormat="1" applyFont="1" applyFill="1" applyBorder="1" applyAlignment="1" applyProtection="1">
      <alignment horizontal="right"/>
    </xf>
    <xf numFmtId="182" fontId="4" fillId="23" borderId="1" xfId="54" applyNumberFormat="1" applyFont="1" applyFill="1" applyBorder="1" applyAlignment="1" applyProtection="1">
      <alignment horizontal="right"/>
    </xf>
    <xf numFmtId="1" fontId="4" fillId="23" borderId="1" xfId="54" applyNumberFormat="1" applyFont="1" applyFill="1" applyBorder="1" applyProtection="1"/>
    <xf numFmtId="49" fontId="4" fillId="23" borderId="1" xfId="54" applyNumberFormat="1" applyFont="1" applyFill="1" applyBorder="1" applyProtection="1"/>
    <xf numFmtId="0" fontId="6" fillId="23" borderId="0" xfId="49" applyFont="1" applyFill="1" applyAlignment="1"/>
    <xf numFmtId="49" fontId="6" fillId="23" borderId="1" xfId="49" applyNumberFormat="1" applyFont="1" applyFill="1" applyBorder="1" applyAlignment="1"/>
    <xf numFmtId="0" fontId="43" fillId="0" borderId="0" xfId="81" applyProtection="1">
      <alignment vertical="center"/>
    </xf>
    <xf numFmtId="0" fontId="43" fillId="0" borderId="0" xfId="81" applyFont="1" applyProtection="1">
      <alignment vertical="center"/>
    </xf>
    <xf numFmtId="0" fontId="44" fillId="30" borderId="28" xfId="81" applyFont="1" applyFill="1" applyBorder="1" applyAlignment="1" applyProtection="1">
      <alignment horizontal="center" vertical="center"/>
    </xf>
    <xf numFmtId="0" fontId="44" fillId="30" borderId="29" xfId="81" applyFont="1" applyFill="1" applyBorder="1" applyAlignment="1" applyProtection="1">
      <alignment horizontal="center" vertical="center"/>
    </xf>
    <xf numFmtId="0" fontId="44" fillId="30" borderId="30" xfId="81" applyFont="1" applyFill="1" applyBorder="1" applyAlignment="1" applyProtection="1">
      <alignment horizontal="center" vertical="center"/>
    </xf>
    <xf numFmtId="0" fontId="45" fillId="3" borderId="31" xfId="81" applyFont="1" applyFill="1" applyBorder="1" applyAlignment="1" applyProtection="1">
      <alignment horizontal="center" vertical="center"/>
    </xf>
    <xf numFmtId="0" fontId="45" fillId="3" borderId="32" xfId="81" applyFont="1" applyFill="1" applyBorder="1" applyAlignment="1" applyProtection="1">
      <alignment horizontal="center" vertical="center"/>
    </xf>
    <xf numFmtId="0" fontId="46" fillId="3" borderId="32" xfId="81" applyFont="1" applyFill="1" applyBorder="1" applyAlignment="1" applyProtection="1">
      <alignment vertical="center" wrapText="1"/>
    </xf>
    <xf numFmtId="183" fontId="47" fillId="3" borderId="32" xfId="81" applyNumberFormat="1" applyFont="1" applyFill="1" applyBorder="1" applyAlignment="1" applyProtection="1">
      <alignment horizontal="center" vertical="center"/>
    </xf>
    <xf numFmtId="3" fontId="48" fillId="3" borderId="32" xfId="81" applyNumberFormat="1" applyFont="1" applyFill="1" applyBorder="1" applyAlignment="1" applyProtection="1">
      <alignment horizontal="center" vertical="center"/>
    </xf>
    <xf numFmtId="3" fontId="49" fillId="3" borderId="32" xfId="81" applyNumberFormat="1" applyFont="1" applyFill="1" applyBorder="1" applyAlignment="1" applyProtection="1">
      <alignment horizontal="center" vertical="center"/>
    </xf>
    <xf numFmtId="4" fontId="45" fillId="3" borderId="32" xfId="81" applyNumberFormat="1" applyFont="1" applyFill="1" applyBorder="1" applyAlignment="1" applyProtection="1">
      <alignment horizontal="center" vertical="center"/>
    </xf>
    <xf numFmtId="4" fontId="45" fillId="3" borderId="33" xfId="81" applyNumberFormat="1" applyFont="1" applyFill="1" applyBorder="1" applyAlignment="1" applyProtection="1">
      <alignment horizontal="center" vertical="center"/>
    </xf>
    <xf numFmtId="0" fontId="50" fillId="4" borderId="15" xfId="81" applyFont="1" applyFill="1" applyBorder="1" applyAlignment="1" applyProtection="1">
      <alignment horizontal="right" vertical="center"/>
    </xf>
    <xf numFmtId="0" fontId="50" fillId="4" borderId="0" xfId="81" applyFont="1" applyFill="1" applyBorder="1" applyAlignment="1" applyProtection="1">
      <alignment horizontal="right" vertical="center"/>
    </xf>
    <xf numFmtId="0" fontId="16" fillId="4" borderId="29" xfId="81" applyFont="1" applyFill="1" applyBorder="1" applyAlignment="1" applyProtection="1">
      <alignment horizontal="center" vertical="center"/>
    </xf>
    <xf numFmtId="0" fontId="23" fillId="4" borderId="0" xfId="0" applyFont="1" applyFill="1" applyBorder="1" applyAlignment="1" applyProtection="1">
      <alignment horizontal="right" vertical="center"/>
    </xf>
    <xf numFmtId="0" fontId="16" fillId="4" borderId="31" xfId="81" applyFont="1" applyFill="1" applyBorder="1" applyAlignment="1" applyProtection="1">
      <alignment horizontal="center" vertical="center"/>
    </xf>
    <xf numFmtId="0" fontId="16" fillId="4" borderId="32" xfId="81" applyFont="1" applyFill="1" applyBorder="1" applyAlignment="1" applyProtection="1">
      <alignment horizontal="center" vertical="center"/>
    </xf>
    <xf numFmtId="0" fontId="16" fillId="4" borderId="33" xfId="81" applyFont="1" applyFill="1" applyBorder="1" applyAlignment="1" applyProtection="1">
      <alignment horizontal="center" vertical="center"/>
    </xf>
    <xf numFmtId="0" fontId="18" fillId="4" borderId="0" xfId="0" applyFont="1" applyFill="1" applyBorder="1" applyAlignment="1" applyProtection="1">
      <alignment horizontal="right" vertical="center"/>
    </xf>
    <xf numFmtId="180" fontId="16" fillId="4" borderId="18" xfId="81" applyNumberFormat="1" applyFont="1" applyFill="1" applyBorder="1" applyAlignment="1" applyProtection="1">
      <alignment horizontal="center" vertical="center"/>
    </xf>
    <xf numFmtId="180" fontId="16" fillId="4" borderId="19" xfId="81" applyNumberFormat="1" applyFont="1" applyFill="1" applyBorder="1" applyAlignment="1" applyProtection="1">
      <alignment horizontal="center" vertical="center"/>
    </xf>
    <xf numFmtId="180" fontId="16" fillId="4" borderId="20" xfId="81" applyNumberFormat="1" applyFont="1" applyFill="1" applyBorder="1" applyAlignment="1" applyProtection="1">
      <alignment horizontal="center" vertical="center"/>
    </xf>
    <xf numFmtId="0" fontId="16" fillId="4" borderId="18" xfId="81" applyFont="1" applyFill="1" applyBorder="1" applyAlignment="1" applyProtection="1">
      <alignment horizontal="center" vertical="center"/>
    </xf>
    <xf numFmtId="0" fontId="16" fillId="4" borderId="19" xfId="81" applyFont="1" applyFill="1" applyBorder="1" applyAlignment="1" applyProtection="1">
      <alignment horizontal="center" vertical="center"/>
    </xf>
    <xf numFmtId="0" fontId="16" fillId="4" borderId="20" xfId="81" applyFont="1" applyFill="1" applyBorder="1" applyAlignment="1" applyProtection="1">
      <alignment horizontal="center" vertical="center"/>
    </xf>
    <xf numFmtId="0" fontId="16" fillId="4" borderId="31" xfId="81" applyFont="1" applyFill="1" applyBorder="1" applyAlignment="1" applyProtection="1">
      <alignment horizontal="right" vertical="center"/>
    </xf>
    <xf numFmtId="0" fontId="16" fillId="4" borderId="32" xfId="81" applyFont="1" applyFill="1" applyBorder="1" applyAlignment="1" applyProtection="1">
      <alignment horizontal="right" vertical="center"/>
    </xf>
    <xf numFmtId="0" fontId="50" fillId="4" borderId="32" xfId="81" applyFont="1" applyFill="1" applyBorder="1" applyAlignment="1" applyProtection="1">
      <alignment horizontal="right" vertical="center"/>
    </xf>
    <xf numFmtId="0" fontId="22" fillId="4" borderId="32" xfId="0" applyFont="1" applyFill="1" applyBorder="1" applyAlignment="1" applyProtection="1">
      <alignment horizontal="right" vertical="center"/>
    </xf>
    <xf numFmtId="10" fontId="16" fillId="4" borderId="18" xfId="81" applyNumberFormat="1" applyFont="1" applyFill="1" applyBorder="1" applyAlignment="1" applyProtection="1">
      <alignment horizontal="center" vertical="center"/>
    </xf>
    <xf numFmtId="10" fontId="16" fillId="4" borderId="19" xfId="81" applyNumberFormat="1" applyFont="1" applyFill="1" applyBorder="1" applyAlignment="1" applyProtection="1">
      <alignment horizontal="center" vertical="center"/>
    </xf>
    <xf numFmtId="10" fontId="16" fillId="4" borderId="20" xfId="81" applyNumberFormat="1" applyFont="1" applyFill="1" applyBorder="1" applyAlignment="1" applyProtection="1">
      <alignment horizontal="center" vertical="center"/>
    </xf>
    <xf numFmtId="0" fontId="51" fillId="0" borderId="15" xfId="88" applyFont="1" applyBorder="1" applyAlignment="1" applyProtection="1">
      <alignment vertical="center"/>
    </xf>
    <xf numFmtId="0" fontId="51" fillId="0" borderId="0" xfId="88" applyFont="1" applyBorder="1" applyAlignment="1" applyProtection="1">
      <alignment horizontal="center" vertical="center"/>
    </xf>
    <xf numFmtId="1" fontId="52" fillId="0" borderId="0" xfId="88" applyNumberFormat="1" applyFont="1" applyBorder="1" applyAlignment="1" applyProtection="1">
      <alignment horizontal="left" vertical="center"/>
    </xf>
    <xf numFmtId="0" fontId="52" fillId="0" borderId="0" xfId="88" applyFont="1" applyBorder="1" applyAlignment="1" applyProtection="1">
      <alignment horizontal="left" vertical="center"/>
    </xf>
    <xf numFmtId="0" fontId="53" fillId="0" borderId="0" xfId="88" applyFont="1" applyBorder="1" applyAlignment="1" applyProtection="1">
      <alignment horizontal="left" vertical="center"/>
    </xf>
    <xf numFmtId="0" fontId="51" fillId="0" borderId="0" xfId="88" applyFont="1" applyBorder="1" applyAlignment="1" applyProtection="1">
      <alignment vertical="center"/>
    </xf>
    <xf numFmtId="0" fontId="52" fillId="0" borderId="0" xfId="88" applyFont="1" applyBorder="1" applyAlignment="1" applyProtection="1">
      <alignment vertical="center"/>
    </xf>
    <xf numFmtId="3" fontId="52" fillId="4" borderId="0" xfId="92" applyNumberFormat="1" applyFont="1" applyFill="1" applyBorder="1" applyAlignment="1" applyProtection="1">
      <alignment wrapText="1"/>
    </xf>
    <xf numFmtId="3" fontId="52" fillId="4" borderId="0" xfId="92" applyNumberFormat="1" applyFont="1" applyFill="1" applyBorder="1" applyAlignment="1" applyProtection="1">
      <alignment horizontal="center" wrapText="1"/>
    </xf>
    <xf numFmtId="0" fontId="43" fillId="0" borderId="0" xfId="81" applyNumberFormat="1" applyProtection="1">
      <alignment vertical="center"/>
    </xf>
    <xf numFmtId="0" fontId="43" fillId="0" borderId="27" xfId="81" applyNumberFormat="1" applyBorder="1" applyProtection="1">
      <alignment vertical="center"/>
    </xf>
    <xf numFmtId="49" fontId="54" fillId="31" borderId="34" xfId="88" applyNumberFormat="1" applyFont="1" applyFill="1" applyBorder="1" applyAlignment="1" applyProtection="1">
      <alignment horizontal="center" vertical="center" wrapText="1"/>
    </xf>
    <xf numFmtId="1" fontId="54" fillId="31" borderId="35" xfId="88" applyNumberFormat="1" applyFont="1" applyFill="1" applyBorder="1" applyAlignment="1" applyProtection="1">
      <alignment horizontal="center" vertical="center"/>
    </xf>
    <xf numFmtId="0" fontId="55" fillId="31" borderId="35" xfId="88" applyFont="1" applyFill="1" applyBorder="1" applyAlignment="1" applyProtection="1">
      <alignment horizontal="center" vertical="center" wrapText="1"/>
    </xf>
    <xf numFmtId="0" fontId="52" fillId="32" borderId="35" xfId="88" applyFont="1" applyFill="1" applyBorder="1" applyAlignment="1" applyProtection="1">
      <alignment horizontal="center" vertical="center" wrapText="1"/>
    </xf>
    <xf numFmtId="0" fontId="56" fillId="5" borderId="35" xfId="88" applyFont="1" applyFill="1" applyBorder="1" applyAlignment="1" applyProtection="1">
      <alignment horizontal="center" vertical="center" wrapText="1"/>
    </xf>
    <xf numFmtId="0" fontId="56" fillId="33" borderId="35" xfId="88" applyFont="1" applyFill="1" applyBorder="1" applyAlignment="1" applyProtection="1">
      <alignment horizontal="center" vertical="center" wrapText="1"/>
    </xf>
    <xf numFmtId="0" fontId="56" fillId="7" borderId="35" xfId="88" applyFont="1" applyFill="1" applyBorder="1" applyAlignment="1" applyProtection="1">
      <alignment horizontal="center" vertical="center" wrapText="1"/>
    </xf>
    <xf numFmtId="0" fontId="56" fillId="8" borderId="35" xfId="88" applyFont="1" applyFill="1" applyBorder="1" applyAlignment="1" applyProtection="1">
      <alignment horizontal="center" vertical="center" wrapText="1"/>
    </xf>
    <xf numFmtId="0" fontId="52" fillId="9" borderId="36" xfId="88" applyFont="1" applyFill="1" applyBorder="1" applyAlignment="1" applyProtection="1">
      <alignment horizontal="center" vertical="center" wrapText="1"/>
    </xf>
    <xf numFmtId="0" fontId="56" fillId="7" borderId="37" xfId="88" applyFont="1" applyFill="1" applyBorder="1" applyAlignment="1" applyProtection="1">
      <alignment horizontal="center" vertical="center" wrapText="1"/>
    </xf>
    <xf numFmtId="0" fontId="56" fillId="7" borderId="27" xfId="88" applyFont="1" applyFill="1" applyBorder="1" applyAlignment="1" applyProtection="1">
      <alignment horizontal="center" vertical="center" wrapText="1"/>
    </xf>
    <xf numFmtId="0" fontId="51" fillId="4" borderId="15" xfId="88" applyFont="1" applyFill="1" applyBorder="1" applyAlignment="1" applyProtection="1">
      <alignment wrapText="1"/>
    </xf>
    <xf numFmtId="49" fontId="54" fillId="4" borderId="34" xfId="88" applyNumberFormat="1" applyFont="1" applyFill="1" applyBorder="1" applyAlignment="1" applyProtection="1">
      <alignment horizontal="center" vertical="center" wrapText="1"/>
    </xf>
    <xf numFmtId="1" fontId="54" fillId="4" borderId="35" xfId="88" applyNumberFormat="1" applyFont="1" applyFill="1" applyBorder="1" applyAlignment="1" applyProtection="1">
      <alignment horizontal="center" wrapText="1"/>
    </xf>
    <xf numFmtId="0" fontId="54" fillId="4" borderId="35" xfId="88" applyFont="1" applyFill="1" applyBorder="1" applyAlignment="1" applyProtection="1">
      <alignment horizontal="center" wrapText="1"/>
    </xf>
    <xf numFmtId="0" fontId="52" fillId="4" borderId="35" xfId="88" applyFont="1" applyFill="1" applyBorder="1" applyAlignment="1" applyProtection="1">
      <alignment horizontal="center" wrapText="1"/>
    </xf>
    <xf numFmtId="3" fontId="52" fillId="4" borderId="35" xfId="92" applyNumberFormat="1" applyFont="1" applyFill="1" applyBorder="1" applyAlignment="1" applyProtection="1">
      <alignment horizontal="center" wrapText="1"/>
    </xf>
    <xf numFmtId="3" fontId="52" fillId="4" borderId="36" xfId="92" applyNumberFormat="1" applyFont="1" applyFill="1" applyBorder="1" applyAlignment="1" applyProtection="1">
      <alignment horizontal="center" wrapText="1"/>
    </xf>
    <xf numFmtId="3" fontId="52" fillId="4" borderId="27" xfId="92" applyNumberFormat="1" applyFont="1" applyFill="1" applyBorder="1" applyAlignment="1" applyProtection="1">
      <alignment horizontal="center" wrapText="1"/>
    </xf>
    <xf numFmtId="0" fontId="51" fillId="0" borderId="15" xfId="88" applyFont="1" applyBorder="1" applyAlignment="1" applyProtection="1">
      <alignment horizontal="center" vertical="center"/>
    </xf>
    <xf numFmtId="192" fontId="57" fillId="34" borderId="2" xfId="88" applyNumberFormat="1" applyFont="1" applyFill="1" applyBorder="1" applyAlignment="1" applyProtection="1">
      <alignment horizontal="center" vertical="center" wrapText="1"/>
    </xf>
    <xf numFmtId="192" fontId="57" fillId="34" borderId="2" xfId="88" applyNumberFormat="1" applyFont="1" applyFill="1" applyBorder="1" applyAlignment="1" applyProtection="1">
      <alignment horizontal="left" vertical="center" wrapText="1"/>
    </xf>
    <xf numFmtId="49" fontId="57" fillId="34" borderId="2" xfId="88" applyNumberFormat="1" applyFont="1" applyFill="1" applyBorder="1" applyAlignment="1" applyProtection="1">
      <alignment horizontal="left" vertical="center"/>
    </xf>
    <xf numFmtId="192" fontId="57" fillId="34" borderId="2" xfId="88" applyNumberFormat="1" applyFont="1" applyFill="1" applyBorder="1" applyAlignment="1" applyProtection="1">
      <alignment horizontal="center" vertical="center"/>
    </xf>
    <xf numFmtId="0" fontId="57" fillId="34" borderId="2" xfId="88" applyFont="1" applyFill="1" applyBorder="1" applyAlignment="1" applyProtection="1">
      <alignment horizontal="left" vertical="center"/>
    </xf>
    <xf numFmtId="183" fontId="54" fillId="34" borderId="35" xfId="92" applyNumberFormat="1" applyFont="1" applyFill="1" applyBorder="1" applyAlignment="1" applyProtection="1">
      <alignment horizontal="center" vertical="center"/>
    </xf>
    <xf numFmtId="183" fontId="54" fillId="34" borderId="36" xfId="92" applyNumberFormat="1" applyFont="1" applyFill="1" applyBorder="1" applyAlignment="1" applyProtection="1">
      <alignment horizontal="center" vertical="center"/>
    </xf>
    <xf numFmtId="183" fontId="54" fillId="34" borderId="37" xfId="92" applyNumberFormat="1" applyFont="1" applyFill="1" applyBorder="1" applyAlignment="1" applyProtection="1">
      <alignment horizontal="center" vertical="center"/>
    </xf>
    <xf numFmtId="192" fontId="4" fillId="35" borderId="2" xfId="88" applyNumberFormat="1" applyFont="1" applyFill="1" applyBorder="1" applyAlignment="1" applyProtection="1">
      <alignment horizontal="center" vertical="center" wrapText="1"/>
    </xf>
    <xf numFmtId="192" fontId="4" fillId="35" borderId="2" xfId="88" applyNumberFormat="1" applyFont="1" applyFill="1" applyBorder="1" applyAlignment="1" applyProtection="1">
      <alignment horizontal="left" vertical="center" wrapText="1"/>
    </xf>
    <xf numFmtId="49" fontId="4" fillId="35" borderId="2" xfId="88" applyNumberFormat="1" applyFont="1" applyFill="1" applyBorder="1" applyAlignment="1" applyProtection="1">
      <alignment horizontal="left" vertical="center"/>
    </xf>
    <xf numFmtId="192" fontId="4" fillId="35" borderId="2" xfId="88" applyNumberFormat="1" applyFont="1" applyFill="1" applyBorder="1" applyAlignment="1" applyProtection="1">
      <alignment horizontal="center" vertical="center"/>
    </xf>
    <xf numFmtId="0" fontId="4" fillId="35" borderId="2" xfId="88" applyFont="1" applyFill="1" applyBorder="1" applyAlignment="1" applyProtection="1">
      <alignment horizontal="left" vertical="center"/>
    </xf>
    <xf numFmtId="183" fontId="52" fillId="35" borderId="35" xfId="92" applyNumberFormat="1" applyFont="1" applyFill="1" applyBorder="1" applyAlignment="1" applyProtection="1">
      <alignment horizontal="center" vertical="center"/>
    </xf>
    <xf numFmtId="183" fontId="52" fillId="35" borderId="36" xfId="92" applyNumberFormat="1" applyFont="1" applyFill="1" applyBorder="1" applyAlignment="1" applyProtection="1">
      <alignment horizontal="center" vertical="center"/>
    </xf>
    <xf numFmtId="183" fontId="52" fillId="35" borderId="37" xfId="92" applyNumberFormat="1" applyFont="1" applyFill="1" applyBorder="1" applyAlignment="1" applyProtection="1">
      <alignment horizontal="center" vertical="center"/>
    </xf>
    <xf numFmtId="192" fontId="4" fillId="4" borderId="2" xfId="88" applyNumberFormat="1" applyFont="1" applyFill="1" applyBorder="1" applyAlignment="1" applyProtection="1">
      <alignment horizontal="center" vertical="center" wrapText="1"/>
    </xf>
    <xf numFmtId="192" fontId="4" fillId="4" borderId="2" xfId="88" applyNumberFormat="1" applyFont="1" applyFill="1" applyBorder="1" applyAlignment="1" applyProtection="1">
      <alignment horizontal="left" vertical="center" wrapText="1"/>
    </xf>
    <xf numFmtId="49" fontId="4" fillId="4" borderId="2" xfId="88" applyNumberFormat="1" applyFont="1" applyFill="1" applyBorder="1" applyAlignment="1" applyProtection="1">
      <alignment horizontal="left" vertical="center"/>
    </xf>
    <xf numFmtId="192" fontId="4" fillId="4" borderId="2" xfId="88" applyNumberFormat="1" applyFont="1" applyFill="1" applyBorder="1" applyAlignment="1" applyProtection="1">
      <alignment horizontal="center" vertical="center"/>
    </xf>
    <xf numFmtId="0" fontId="4" fillId="4" borderId="2" xfId="88" applyFont="1" applyFill="1" applyBorder="1" applyAlignment="1" applyProtection="1">
      <alignment horizontal="left" vertical="center" indent="1"/>
    </xf>
    <xf numFmtId="183" fontId="51" fillId="0" borderId="35" xfId="92" applyNumberFormat="1" applyFont="1" applyFill="1" applyBorder="1" applyAlignment="1" applyProtection="1">
      <alignment horizontal="center" vertical="center"/>
    </xf>
    <xf numFmtId="183" fontId="51" fillId="0" borderId="36" xfId="92" applyNumberFormat="1" applyFont="1" applyFill="1" applyBorder="1" applyAlignment="1" applyProtection="1">
      <alignment horizontal="center" vertical="center"/>
    </xf>
    <xf numFmtId="183" fontId="51" fillId="0" borderId="37" xfId="92" applyNumberFormat="1" applyFont="1" applyFill="1" applyBorder="1" applyAlignment="1" applyProtection="1">
      <alignment horizontal="center" vertical="center"/>
    </xf>
    <xf numFmtId="0" fontId="4" fillId="4" borderId="2" xfId="88" applyFont="1" applyFill="1" applyBorder="1" applyAlignment="1" applyProtection="1">
      <alignment horizontal="left" vertical="center" indent="2"/>
    </xf>
    <xf numFmtId="183" fontId="51" fillId="36" borderId="35" xfId="92" applyNumberFormat="1" applyFont="1" applyFill="1" applyBorder="1" applyAlignment="1" applyProtection="1">
      <alignment horizontal="center" vertical="center"/>
    </xf>
    <xf numFmtId="183" fontId="51" fillId="36" borderId="36" xfId="92" applyNumberFormat="1" applyFont="1" applyFill="1" applyBorder="1" applyAlignment="1" applyProtection="1">
      <alignment horizontal="center" vertical="center"/>
    </xf>
    <xf numFmtId="183" fontId="51" fillId="36" borderId="37" xfId="92" applyNumberFormat="1" applyFont="1" applyFill="1" applyBorder="1" applyAlignment="1" applyProtection="1">
      <alignment horizontal="center" vertical="center"/>
    </xf>
    <xf numFmtId="192" fontId="4" fillId="0" borderId="2" xfId="81" applyNumberFormat="1" applyFont="1" applyBorder="1" applyAlignment="1" applyProtection="1">
      <alignment horizontal="center" vertical="center" wrapText="1"/>
    </xf>
    <xf numFmtId="183" fontId="58" fillId="0" borderId="35" xfId="92" applyNumberFormat="1" applyFont="1" applyFill="1" applyBorder="1" applyAlignment="1" applyProtection="1">
      <alignment horizontal="center" vertical="center"/>
    </xf>
    <xf numFmtId="0" fontId="6" fillId="0" borderId="2" xfId="88" applyFont="1" applyFill="1" applyBorder="1" applyAlignment="1" applyProtection="1">
      <alignment horizontal="left" vertical="center" indent="1"/>
    </xf>
    <xf numFmtId="183" fontId="58" fillId="4" borderId="35" xfId="92" applyNumberFormat="1" applyFont="1" applyFill="1" applyBorder="1" applyAlignment="1" applyProtection="1">
      <alignment horizontal="center" vertical="center"/>
    </xf>
    <xf numFmtId="183" fontId="51" fillId="4" borderId="35" xfId="92" applyNumberFormat="1" applyFont="1" applyFill="1" applyBorder="1" applyAlignment="1" applyProtection="1">
      <alignment horizontal="center" vertical="center"/>
    </xf>
    <xf numFmtId="183" fontId="51" fillId="4" borderId="36" xfId="92" applyNumberFormat="1" applyFont="1" applyFill="1" applyBorder="1" applyAlignment="1" applyProtection="1">
      <alignment horizontal="center" vertical="center"/>
    </xf>
    <xf numFmtId="183" fontId="51" fillId="4" borderId="37" xfId="92" applyNumberFormat="1" applyFont="1" applyFill="1" applyBorder="1" applyAlignment="1" applyProtection="1">
      <alignment horizontal="center" vertical="center"/>
    </xf>
    <xf numFmtId="183" fontId="54" fillId="34" borderId="35" xfId="88" applyNumberFormat="1" applyFont="1" applyFill="1" applyBorder="1" applyAlignment="1" applyProtection="1">
      <alignment horizontal="center" vertical="center"/>
    </xf>
    <xf numFmtId="183" fontId="54" fillId="34" borderId="36" xfId="88" applyNumberFormat="1" applyFont="1" applyFill="1" applyBorder="1" applyAlignment="1" applyProtection="1">
      <alignment horizontal="center" vertical="center"/>
    </xf>
    <xf numFmtId="183" fontId="54" fillId="34" borderId="37" xfId="88" applyNumberFormat="1" applyFont="1" applyFill="1" applyBorder="1" applyAlignment="1" applyProtection="1">
      <alignment horizontal="center" vertical="center"/>
    </xf>
    <xf numFmtId="192" fontId="4" fillId="3" borderId="2" xfId="88" applyNumberFormat="1" applyFont="1" applyFill="1" applyBorder="1" applyAlignment="1" applyProtection="1">
      <alignment horizontal="center" vertical="center" wrapText="1"/>
    </xf>
    <xf numFmtId="192" fontId="4" fillId="3" borderId="2" xfId="88" applyNumberFormat="1" applyFont="1" applyFill="1" applyBorder="1" applyAlignment="1" applyProtection="1">
      <alignment horizontal="left" vertical="center" wrapText="1"/>
    </xf>
    <xf numFmtId="49" fontId="4" fillId="3" borderId="2" xfId="88" applyNumberFormat="1" applyFont="1" applyFill="1" applyBorder="1" applyAlignment="1" applyProtection="1">
      <alignment horizontal="left" vertical="center"/>
    </xf>
    <xf numFmtId="192" fontId="4" fillId="3" borderId="2" xfId="88" applyNumberFormat="1" applyFont="1" applyFill="1" applyBorder="1" applyAlignment="1" applyProtection="1">
      <alignment horizontal="center" vertical="center"/>
    </xf>
    <xf numFmtId="0" fontId="4" fillId="3" borderId="2" xfId="88" applyFont="1" applyFill="1" applyBorder="1" applyAlignment="1" applyProtection="1">
      <alignment horizontal="left" vertical="center" indent="2"/>
    </xf>
    <xf numFmtId="0" fontId="4" fillId="4" borderId="2" xfId="88" applyFont="1" applyFill="1" applyBorder="1" applyAlignment="1" applyProtection="1">
      <alignment horizontal="left" vertical="center" indent="3"/>
    </xf>
    <xf numFmtId="192" fontId="4" fillId="0" borderId="2" xfId="88" applyNumberFormat="1" applyFont="1" applyFill="1" applyBorder="1" applyAlignment="1" applyProtection="1">
      <alignment horizontal="center" vertical="center" wrapText="1"/>
    </xf>
    <xf numFmtId="183" fontId="51" fillId="36" borderId="35" xfId="94" applyNumberFormat="1" applyFont="1" applyFill="1" applyBorder="1" applyAlignment="1" applyProtection="1">
      <alignment horizontal="center" vertical="center"/>
    </xf>
    <xf numFmtId="183" fontId="51" fillId="36" borderId="36" xfId="94" applyNumberFormat="1" applyFont="1" applyFill="1" applyBorder="1" applyAlignment="1" applyProtection="1">
      <alignment horizontal="center" vertical="center"/>
    </xf>
    <xf numFmtId="183" fontId="51" fillId="36" borderId="37" xfId="94" applyNumberFormat="1" applyFont="1" applyFill="1" applyBorder="1" applyAlignment="1" applyProtection="1">
      <alignment horizontal="center" vertical="center"/>
    </xf>
    <xf numFmtId="183" fontId="51" fillId="36" borderId="35" xfId="95" applyNumberFormat="1" applyFont="1" applyFill="1" applyBorder="1" applyAlignment="1" applyProtection="1">
      <alignment horizontal="center" vertical="center"/>
    </xf>
    <xf numFmtId="183" fontId="51" fillId="36" borderId="37" xfId="95" applyNumberFormat="1" applyFont="1" applyFill="1" applyBorder="1" applyAlignment="1" applyProtection="1">
      <alignment horizontal="center" vertical="center"/>
    </xf>
    <xf numFmtId="183" fontId="51" fillId="36" borderId="35" xfId="96" applyNumberFormat="1" applyFont="1" applyFill="1" applyBorder="1" applyAlignment="1" applyProtection="1">
      <alignment horizontal="center" vertical="center"/>
    </xf>
    <xf numFmtId="183" fontId="51" fillId="36" borderId="36" xfId="96" applyNumberFormat="1" applyFont="1" applyFill="1" applyBorder="1" applyAlignment="1" applyProtection="1">
      <alignment horizontal="center" vertical="center"/>
    </xf>
    <xf numFmtId="183" fontId="51" fillId="36" borderId="37" xfId="96" applyNumberFormat="1" applyFont="1" applyFill="1" applyBorder="1" applyAlignment="1" applyProtection="1">
      <alignment horizontal="center" vertical="center"/>
    </xf>
    <xf numFmtId="192" fontId="4" fillId="3" borderId="2" xfId="81" applyNumberFormat="1" applyFont="1" applyFill="1" applyBorder="1" applyAlignment="1" applyProtection="1">
      <alignment horizontal="center" vertical="center" wrapText="1"/>
    </xf>
    <xf numFmtId="0" fontId="4" fillId="3" borderId="2" xfId="88" applyFont="1" applyFill="1" applyBorder="1" applyAlignment="1" applyProtection="1">
      <alignment horizontal="left" vertical="center" indent="1"/>
    </xf>
    <xf numFmtId="0" fontId="4" fillId="4" borderId="38" xfId="88" applyFont="1" applyFill="1" applyBorder="1" applyAlignment="1" applyProtection="1">
      <alignment horizontal="left" vertical="center" indent="2"/>
    </xf>
    <xf numFmtId="192" fontId="4" fillId="4" borderId="39" xfId="88" applyNumberFormat="1" applyFont="1" applyFill="1" applyBorder="1" applyAlignment="1" applyProtection="1">
      <alignment horizontal="center" vertical="center"/>
    </xf>
    <xf numFmtId="0" fontId="4" fillId="4" borderId="40" xfId="88" applyFont="1" applyFill="1" applyBorder="1" applyAlignment="1" applyProtection="1">
      <alignment horizontal="left" vertical="center" indent="1"/>
    </xf>
    <xf numFmtId="0" fontId="4" fillId="4" borderId="41" xfId="88" applyFont="1" applyFill="1" applyBorder="1" applyAlignment="1" applyProtection="1">
      <alignment horizontal="left" vertical="center" indent="2"/>
    </xf>
    <xf numFmtId="0" fontId="5" fillId="4" borderId="41" xfId="88" applyFont="1" applyFill="1" applyBorder="1" applyAlignment="1" applyProtection="1">
      <alignment horizontal="left" vertical="center" indent="2"/>
    </xf>
    <xf numFmtId="192" fontId="4" fillId="3" borderId="39" xfId="88" applyNumberFormat="1" applyFont="1" applyFill="1" applyBorder="1" applyAlignment="1" applyProtection="1">
      <alignment horizontal="center" vertical="center"/>
    </xf>
    <xf numFmtId="0" fontId="5" fillId="3" borderId="41" xfId="88" applyFont="1" applyFill="1" applyBorder="1" applyAlignment="1" applyProtection="1">
      <alignment horizontal="left" vertical="center" indent="2"/>
    </xf>
    <xf numFmtId="0" fontId="4" fillId="4" borderId="42" xfId="88" applyFont="1" applyFill="1" applyBorder="1" applyAlignment="1" applyProtection="1">
      <alignment horizontal="left" vertical="center" indent="2"/>
    </xf>
    <xf numFmtId="0" fontId="4" fillId="4" borderId="35" xfId="88" applyFont="1" applyFill="1" applyBorder="1" applyAlignment="1" applyProtection="1">
      <alignment horizontal="left" vertical="center" indent="1"/>
    </xf>
    <xf numFmtId="0" fontId="5" fillId="3" borderId="43" xfId="88" applyFont="1" applyFill="1" applyBorder="1" applyAlignment="1" applyProtection="1">
      <alignment horizontal="left" vertical="center" indent="2"/>
    </xf>
    <xf numFmtId="0" fontId="4" fillId="4" borderId="44" xfId="88" applyFont="1" applyFill="1" applyBorder="1" applyAlignment="1" applyProtection="1">
      <alignment horizontal="left" vertical="center" indent="2"/>
    </xf>
    <xf numFmtId="183" fontId="51" fillId="22" borderId="35" xfId="92" applyNumberFormat="1" applyFont="1" applyFill="1" applyBorder="1" applyAlignment="1" applyProtection="1">
      <alignment horizontal="center" vertical="center"/>
    </xf>
    <xf numFmtId="0" fontId="4" fillId="4" borderId="38" xfId="88" applyFont="1" applyFill="1" applyBorder="1" applyAlignment="1" applyProtection="1">
      <alignment horizontal="left" vertical="center" indent="1"/>
    </xf>
    <xf numFmtId="192" fontId="4" fillId="0" borderId="2" xfId="81" applyNumberFormat="1" applyFont="1" applyFill="1" applyBorder="1" applyAlignment="1" applyProtection="1">
      <alignment horizontal="center" vertical="center" wrapText="1"/>
    </xf>
    <xf numFmtId="192" fontId="4" fillId="0" borderId="2" xfId="88" applyNumberFormat="1" applyFont="1" applyFill="1" applyBorder="1" applyAlignment="1" applyProtection="1">
      <alignment horizontal="left" vertical="center" wrapText="1"/>
    </xf>
    <xf numFmtId="49" fontId="4" fillId="0" borderId="2" xfId="88" applyNumberFormat="1" applyFont="1" applyFill="1" applyBorder="1" applyAlignment="1" applyProtection="1">
      <alignment horizontal="left" vertical="center"/>
    </xf>
    <xf numFmtId="192" fontId="4" fillId="0" borderId="39" xfId="88" applyNumberFormat="1" applyFont="1" applyFill="1" applyBorder="1" applyAlignment="1" applyProtection="1">
      <alignment horizontal="center" vertical="center"/>
    </xf>
    <xf numFmtId="0" fontId="4" fillId="0" borderId="40" xfId="88" applyFont="1" applyFill="1" applyBorder="1" applyAlignment="1" applyProtection="1">
      <alignment horizontal="left" vertical="center" indent="2"/>
    </xf>
    <xf numFmtId="0" fontId="4" fillId="0" borderId="41" xfId="88" applyFont="1" applyFill="1" applyBorder="1" applyAlignment="1" applyProtection="1">
      <alignment horizontal="left" vertical="center" indent="2"/>
    </xf>
    <xf numFmtId="192" fontId="4" fillId="3" borderId="0" xfId="88" applyNumberFormat="1" applyFont="1" applyFill="1" applyBorder="1" applyAlignment="1" applyProtection="1">
      <alignment horizontal="center" vertical="center" wrapText="1"/>
    </xf>
    <xf numFmtId="192" fontId="4" fillId="3" borderId="0" xfId="88" applyNumberFormat="1" applyFont="1" applyFill="1" applyBorder="1" applyAlignment="1" applyProtection="1">
      <alignment horizontal="left" vertical="center" wrapText="1"/>
    </xf>
    <xf numFmtId="49" fontId="4" fillId="3" borderId="0" xfId="88" applyNumberFormat="1" applyFont="1" applyFill="1" applyBorder="1" applyAlignment="1" applyProtection="1">
      <alignment horizontal="left" vertical="center"/>
    </xf>
    <xf numFmtId="0" fontId="4" fillId="3" borderId="41" xfId="88" applyFont="1" applyFill="1" applyBorder="1" applyAlignment="1" applyProtection="1">
      <alignment horizontal="left" vertical="center" indent="2"/>
    </xf>
    <xf numFmtId="192" fontId="4" fillId="0" borderId="0" xfId="88" applyNumberFormat="1" applyFont="1" applyFill="1" applyBorder="1" applyAlignment="1" applyProtection="1">
      <alignment horizontal="center" vertical="center" wrapText="1"/>
    </xf>
    <xf numFmtId="192" fontId="4" fillId="0" borderId="0" xfId="88" applyNumberFormat="1" applyFont="1" applyFill="1" applyBorder="1" applyAlignment="1" applyProtection="1">
      <alignment horizontal="left" vertical="center" wrapText="1"/>
    </xf>
    <xf numFmtId="49" fontId="4" fillId="0" borderId="0" xfId="88" applyNumberFormat="1" applyFont="1" applyFill="1" applyBorder="1" applyAlignment="1" applyProtection="1">
      <alignment horizontal="left" vertical="center"/>
    </xf>
    <xf numFmtId="0" fontId="4" fillId="0" borderId="42" xfId="88" applyFont="1" applyFill="1" applyBorder="1" applyAlignment="1" applyProtection="1">
      <alignment horizontal="left" vertical="center" indent="2"/>
    </xf>
    <xf numFmtId="192" fontId="4" fillId="0" borderId="0" xfId="81" applyNumberFormat="1" applyFont="1" applyFill="1" applyBorder="1" applyAlignment="1" applyProtection="1">
      <alignment horizontal="center" vertical="center" wrapText="1"/>
    </xf>
    <xf numFmtId="192" fontId="4" fillId="0" borderId="0" xfId="88" applyNumberFormat="1" applyFont="1" applyFill="1" applyBorder="1" applyAlignment="1" applyProtection="1">
      <alignment horizontal="center" vertical="center"/>
    </xf>
    <xf numFmtId="0" fontId="4" fillId="0" borderId="0" xfId="88" applyFont="1" applyFill="1" applyBorder="1" applyAlignment="1" applyProtection="1">
      <alignment horizontal="left" vertical="center" indent="4"/>
    </xf>
    <xf numFmtId="192" fontId="4" fillId="3" borderId="0" xfId="81" applyNumberFormat="1" applyFont="1" applyFill="1" applyBorder="1" applyAlignment="1" applyProtection="1">
      <alignment horizontal="center" vertical="center" wrapText="1"/>
    </xf>
    <xf numFmtId="192" fontId="4" fillId="3" borderId="0" xfId="88" applyNumberFormat="1" applyFont="1" applyFill="1" applyBorder="1" applyAlignment="1" applyProtection="1">
      <alignment horizontal="center" vertical="center"/>
    </xf>
    <xf numFmtId="0" fontId="6" fillId="3" borderId="43" xfId="88" applyFont="1" applyFill="1" applyBorder="1" applyAlignment="1" applyProtection="1">
      <alignment horizontal="left" vertical="center" indent="4"/>
    </xf>
    <xf numFmtId="192" fontId="4" fillId="0" borderId="0" xfId="81" applyNumberFormat="1" applyFont="1" applyBorder="1" applyAlignment="1" applyProtection="1">
      <alignment horizontal="center" vertical="center" wrapText="1"/>
    </xf>
    <xf numFmtId="192" fontId="4" fillId="4" borderId="0" xfId="88" applyNumberFormat="1" applyFont="1" applyFill="1" applyBorder="1" applyAlignment="1" applyProtection="1">
      <alignment horizontal="left" vertical="center" wrapText="1"/>
    </xf>
    <xf numFmtId="49" fontId="4" fillId="4" borderId="0" xfId="88" applyNumberFormat="1" applyFont="1" applyFill="1" applyBorder="1" applyAlignment="1" applyProtection="1">
      <alignment horizontal="left" vertical="center"/>
    </xf>
    <xf numFmtId="192" fontId="4" fillId="4" borderId="0" xfId="88" applyNumberFormat="1" applyFont="1" applyFill="1" applyBorder="1" applyAlignment="1" applyProtection="1">
      <alignment horizontal="center" vertical="center"/>
    </xf>
    <xf numFmtId="0" fontId="4" fillId="4" borderId="0" xfId="88" applyFont="1" applyFill="1" applyBorder="1" applyAlignment="1" applyProtection="1">
      <alignment horizontal="left" vertical="center" indent="4"/>
    </xf>
    <xf numFmtId="0" fontId="4" fillId="4" borderId="0" xfId="88" applyFont="1" applyFill="1" applyBorder="1" applyAlignment="1" applyProtection="1">
      <alignment horizontal="left" vertical="center" indent="2"/>
    </xf>
    <xf numFmtId="0" fontId="4" fillId="3" borderId="45" xfId="88" applyFont="1" applyFill="1" applyBorder="1" applyAlignment="1" applyProtection="1">
      <alignment horizontal="left" vertical="center" indent="4"/>
    </xf>
    <xf numFmtId="0" fontId="4" fillId="4" borderId="46" xfId="88" applyFont="1" applyFill="1" applyBorder="1" applyAlignment="1" applyProtection="1">
      <alignment horizontal="left" vertical="center" indent="4"/>
    </xf>
    <xf numFmtId="0" fontId="4" fillId="4" borderId="47" xfId="88" applyFont="1" applyFill="1" applyBorder="1" applyAlignment="1" applyProtection="1">
      <alignment horizontal="left" vertical="center" indent="4"/>
    </xf>
    <xf numFmtId="0" fontId="4" fillId="4" borderId="45" xfId="88" applyFont="1" applyFill="1" applyBorder="1" applyAlignment="1" applyProtection="1">
      <alignment horizontal="left" vertical="center" indent="4"/>
    </xf>
    <xf numFmtId="0" fontId="51" fillId="4" borderId="15" xfId="88" applyFont="1" applyFill="1" applyBorder="1" applyAlignment="1" applyProtection="1">
      <alignment vertical="center"/>
    </xf>
    <xf numFmtId="0" fontId="4" fillId="4" borderId="48" xfId="88" applyFont="1" applyFill="1" applyBorder="1" applyAlignment="1" applyProtection="1">
      <alignment horizontal="left" vertical="center" indent="4"/>
    </xf>
    <xf numFmtId="0" fontId="4" fillId="3" borderId="48" xfId="88" applyFont="1" applyFill="1" applyBorder="1" applyAlignment="1" applyProtection="1">
      <alignment horizontal="left" vertical="center" indent="2"/>
    </xf>
    <xf numFmtId="0" fontId="4" fillId="4" borderId="48" xfId="88" applyFont="1" applyFill="1" applyBorder="1" applyAlignment="1" applyProtection="1">
      <alignment horizontal="left" vertical="center" indent="2"/>
    </xf>
    <xf numFmtId="0" fontId="4" fillId="4" borderId="48" xfId="88" applyFont="1" applyFill="1" applyBorder="1" applyAlignment="1" applyProtection="1">
      <alignment horizontal="left" vertical="center" indent="1"/>
    </xf>
    <xf numFmtId="0" fontId="4" fillId="3" borderId="46" xfId="88" applyFont="1" applyFill="1" applyBorder="1" applyAlignment="1" applyProtection="1">
      <alignment horizontal="left" vertical="center" indent="1"/>
    </xf>
    <xf numFmtId="0" fontId="4" fillId="35" borderId="44" xfId="88" applyFont="1" applyFill="1" applyBorder="1" applyAlignment="1" applyProtection="1">
      <alignment horizontal="left" vertical="center"/>
    </xf>
    <xf numFmtId="183" fontId="59" fillId="36" borderId="35" xfId="92" applyNumberFormat="1" applyFont="1" applyFill="1" applyBorder="1" applyAlignment="1" applyProtection="1">
      <alignment horizontal="center" vertical="center"/>
    </xf>
    <xf numFmtId="0" fontId="58" fillId="4" borderId="31" xfId="88" applyFont="1" applyFill="1" applyBorder="1" applyAlignment="1" applyProtection="1">
      <alignment vertical="center"/>
    </xf>
    <xf numFmtId="192" fontId="57" fillId="21" borderId="49" xfId="88" applyNumberFormat="1" applyFont="1" applyFill="1" applyBorder="1" applyAlignment="1" applyProtection="1">
      <alignment horizontal="center" vertical="center" wrapText="1"/>
    </xf>
    <xf numFmtId="49" fontId="57" fillId="21" borderId="49" xfId="88" applyNumberFormat="1" applyFont="1" applyFill="1" applyBorder="1" applyAlignment="1" applyProtection="1">
      <alignment horizontal="center" vertical="center"/>
    </xf>
    <xf numFmtId="192" fontId="57" fillId="21" borderId="49" xfId="88" applyNumberFormat="1" applyFont="1" applyFill="1" applyBorder="1" applyAlignment="1" applyProtection="1">
      <alignment vertical="center"/>
    </xf>
    <xf numFmtId="0" fontId="57" fillId="21" borderId="49" xfId="88" applyFont="1" applyFill="1" applyBorder="1" applyAlignment="1" applyProtection="1">
      <alignment vertical="center"/>
    </xf>
    <xf numFmtId="183" fontId="54" fillId="21" borderId="50" xfId="88" applyNumberFormat="1" applyFont="1" applyFill="1" applyBorder="1" applyAlignment="1" applyProtection="1">
      <alignment horizontal="center" vertical="center"/>
    </xf>
    <xf numFmtId="183" fontId="54" fillId="21" borderId="51" xfId="88" applyNumberFormat="1" applyFont="1" applyFill="1" applyBorder="1" applyAlignment="1" applyProtection="1">
      <alignment horizontal="center" vertical="center"/>
    </xf>
    <xf numFmtId="3" fontId="43" fillId="0" borderId="0" xfId="81" applyNumberFormat="1" applyFont="1" applyProtection="1">
      <alignment vertical="center"/>
    </xf>
  </cellXfs>
  <cellStyles count="97">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 name="Normal 3 2" xfId="51"/>
    <cellStyle name="Normal 4" xfId="52"/>
    <cellStyle name="Normal 4 2 3" xfId="53"/>
    <cellStyle name="Normal_FAPEX2004r2_10-25-2005 China 2" xfId="54"/>
    <cellStyle name="S0" xfId="55"/>
    <cellStyle name="S1" xfId="56"/>
    <cellStyle name="S10" xfId="57"/>
    <cellStyle name="S11" xfId="58"/>
    <cellStyle name="S12" xfId="59"/>
    <cellStyle name="S13" xfId="60"/>
    <cellStyle name="S14" xfId="61"/>
    <cellStyle name="S15" xfId="62"/>
    <cellStyle name="S16" xfId="63"/>
    <cellStyle name="S17" xfId="64"/>
    <cellStyle name="S18" xfId="65"/>
    <cellStyle name="S19" xfId="66"/>
    <cellStyle name="S2" xfId="67"/>
    <cellStyle name="S20" xfId="68"/>
    <cellStyle name="S21" xfId="69"/>
    <cellStyle name="S3" xfId="70"/>
    <cellStyle name="S4" xfId="71"/>
    <cellStyle name="S5" xfId="72"/>
    <cellStyle name="S6" xfId="73"/>
    <cellStyle name="S7" xfId="74"/>
    <cellStyle name="S8" xfId="75"/>
    <cellStyle name="S9" xfId="76"/>
    <cellStyle name="百分比 2" xfId="77"/>
    <cellStyle name="常规 12" xfId="78"/>
    <cellStyle name="常规 12 2" xfId="79"/>
    <cellStyle name="常规 14" xfId="80"/>
    <cellStyle name="常规 2" xfId="81"/>
    <cellStyle name="常规 2 2" xfId="82"/>
    <cellStyle name="常规 2 2 2" xfId="83"/>
    <cellStyle name="常规 3" xfId="84"/>
    <cellStyle name="常规 3 2" xfId="85"/>
    <cellStyle name="常规 3 3" xfId="86"/>
    <cellStyle name="常规 4" xfId="87"/>
    <cellStyle name="常规_2002 Cost Analysis" xfId="88"/>
    <cellStyle name="常规_2002 Cost Analysis 2" xfId="89"/>
    <cellStyle name="常规_MSIS Excel Upload v3.34 2" xfId="90"/>
    <cellStyle name="普通_AR" xfId="91"/>
    <cellStyle name="千位分隔_LHI-2003" xfId="92"/>
    <cellStyle name="千位分隔_LHI-2003 2" xfId="93"/>
    <cellStyle name="千位分隔_LHI-2003_Main Store_3" xfId="94"/>
    <cellStyle name="千位分隔_LHI-2003_Main Store_4" xfId="95"/>
    <cellStyle name="千位分隔_LHI-2003_Main Store_5" xfId="96"/>
  </cellStyles>
  <dxfs count="3">
    <dxf>
      <fill>
        <patternFill patternType="solid">
          <fgColor rgb="FFFF0000"/>
          <bgColor rgb="FFFF0000"/>
        </patternFill>
      </fill>
    </dxf>
    <dxf>
      <font>
        <b val="0"/>
        <color indexed="8"/>
      </font>
      <fill>
        <patternFill patternType="solid">
          <bgColor indexed="29"/>
        </patternFill>
      </fill>
    </dxf>
    <dxf>
      <fill>
        <patternFill patternType="solid">
          <fgColor rgb="FFFFC000"/>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tephen/Library/Mobile%20Documents/com~apple~CloudDocs/01_Career/01_YOMY/01_&#21019;&#32789;/1A_&#26131;&#36798;BIM&#36896;&#20215;&#25554;&#20214;/01_BIM&#30740;&#21457;//Users/hp/Desktop/&#22686;&#21152;FA/&#26032;&#24215;&#36164;&#20135;&#39044;&#25552;11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arameters"/>
      <sheetName val="AP Entry with FA"/>
      <sheetName val="工程Sample"/>
      <sheetName val="设备招牌等Sample"/>
      <sheetName val="Project ID in use"/>
      <sheetName val="FA Category"/>
      <sheetName val="公司编码"/>
      <sheetName val="Configuration"/>
      <sheetName val="BarCode File"/>
      <sheetName val="OrderName Data"/>
      <sheetName val="PCC Data"/>
      <sheetName val="Consolidated Bids"/>
      <sheetName val="Lot Summar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N183"/>
  <sheetViews>
    <sheetView zoomScale="85" zoomScaleNormal="85" workbookViewId="0">
      <pane ySplit="9" topLeftCell="A32" activePane="bottomLeft" state="frozen"/>
      <selection/>
      <selection pane="bottomLeft" activeCell="H2" sqref="H2:I2"/>
    </sheetView>
  </sheetViews>
  <sheetFormatPr defaultColWidth="9" defaultRowHeight="15.2"/>
  <cols>
    <col min="1" max="1" width="3.8828125" style="402" customWidth="1"/>
    <col min="2" max="2" width="12.21875" style="402" customWidth="1"/>
    <col min="3" max="3" width="10.6640625" style="402" customWidth="1"/>
    <col min="4" max="4" width="6.109375" style="402" customWidth="1"/>
    <col min="5" max="5" width="5.3359375" style="402" customWidth="1"/>
    <col min="6" max="6" width="56.6640625" style="403" customWidth="1"/>
    <col min="7" max="7" width="16" style="403" customWidth="1"/>
    <col min="8" max="8" width="13.5546875" style="403" customWidth="1"/>
    <col min="9" max="9" width="9.7734375" style="403" customWidth="1"/>
    <col min="10" max="10" width="10.109375" style="403" customWidth="1"/>
    <col min="11" max="12" width="8.109375" style="403" customWidth="1"/>
    <col min="13" max="13" width="12.109375" style="402" customWidth="1"/>
    <col min="14" max="14" width="9" style="402" customWidth="1"/>
    <col min="15" max="15" width="9" style="402"/>
    <col min="16" max="16" width="9.21875" style="402" customWidth="1"/>
    <col min="17" max="16384" width="9" style="402"/>
  </cols>
  <sheetData>
    <row r="1" ht="42" customHeight="1" spans="1:14">
      <c r="A1" s="404" t="s">
        <v>0</v>
      </c>
      <c r="B1" s="405"/>
      <c r="C1" s="405"/>
      <c r="D1" s="405"/>
      <c r="E1" s="405"/>
      <c r="F1" s="405"/>
      <c r="G1" s="405"/>
      <c r="H1" s="405"/>
      <c r="I1" s="405"/>
      <c r="J1" s="405"/>
      <c r="K1" s="405"/>
      <c r="L1" s="405"/>
      <c r="M1" s="405"/>
      <c r="N1" s="406"/>
    </row>
    <row r="2" ht="25.2" customHeight="1" spans="1:14">
      <c r="A2" s="407" t="s">
        <v>1</v>
      </c>
      <c r="B2" s="408"/>
      <c r="C2" s="408"/>
      <c r="D2" s="408"/>
      <c r="E2" s="408"/>
      <c r="F2" s="408"/>
      <c r="G2" s="409" t="s">
        <v>2</v>
      </c>
      <c r="H2" s="410">
        <f ca="1">G179</f>
        <v>603552.92</v>
      </c>
      <c r="I2" s="410"/>
      <c r="J2" s="411" t="s">
        <v>3</v>
      </c>
      <c r="K2" s="412"/>
      <c r="L2" s="412"/>
      <c r="M2" s="413">
        <f ca="1">ROUND(H2*1.09,2)</f>
        <v>657872.68</v>
      </c>
      <c r="N2" s="414"/>
    </row>
    <row r="3" ht="22.95" customHeight="1" spans="1:14">
      <c r="A3" s="415"/>
      <c r="B3" s="416"/>
      <c r="C3" s="416"/>
      <c r="D3" s="416"/>
      <c r="E3" s="416"/>
      <c r="F3" s="416" t="s">
        <v>4</v>
      </c>
      <c r="G3" s="417" t="str">
        <f>'预算书-初步'!J2</f>
        <v>中区</v>
      </c>
      <c r="H3" s="417"/>
      <c r="I3" s="416"/>
      <c r="J3" s="418" t="s">
        <v>5</v>
      </c>
      <c r="K3" s="419" t="str">
        <f>'预算书-初步'!O2</f>
        <v>高虹</v>
      </c>
      <c r="L3" s="420"/>
      <c r="M3" s="420"/>
      <c r="N3" s="421"/>
    </row>
    <row r="4" ht="22.95" customHeight="1" spans="1:14">
      <c r="A4" s="415"/>
      <c r="B4" s="416"/>
      <c r="C4" s="416"/>
      <c r="D4" s="416"/>
      <c r="E4" s="416"/>
      <c r="F4" s="416" t="s">
        <v>6</v>
      </c>
      <c r="G4" s="417" t="str">
        <f>'预算书-初步'!J3</f>
        <v>上海</v>
      </c>
      <c r="H4" s="417"/>
      <c r="I4" s="416"/>
      <c r="J4" s="422" t="s">
        <v>7</v>
      </c>
      <c r="K4" s="423" t="str">
        <f>'预算书-初步'!O3</f>
        <v>新店</v>
      </c>
      <c r="L4" s="424"/>
      <c r="M4" s="424" t="str">
        <f>'预算书-初步'!P3</f>
        <v>Instore</v>
      </c>
      <c r="N4" s="425"/>
    </row>
    <row r="5" ht="22.95" customHeight="1" spans="1:14">
      <c r="A5" s="415"/>
      <c r="B5" s="416"/>
      <c r="C5" s="416"/>
      <c r="D5" s="416"/>
      <c r="E5" s="416"/>
      <c r="F5" s="416" t="s">
        <v>8</v>
      </c>
      <c r="G5" s="417" t="str">
        <f>'预算书-初步'!J5</f>
        <v>浦东张江中科路地铁站餐厅</v>
      </c>
      <c r="H5" s="417"/>
      <c r="I5" s="416"/>
      <c r="J5" s="422" t="s">
        <v>9</v>
      </c>
      <c r="K5" s="426" t="str">
        <f>'预算书-初步'!O4</f>
        <v>集中招标</v>
      </c>
      <c r="L5" s="427"/>
      <c r="M5" s="427"/>
      <c r="N5" s="428"/>
    </row>
    <row r="6" ht="22.95" customHeight="1" spans="1:14">
      <c r="A6" s="415"/>
      <c r="B6" s="416"/>
      <c r="C6" s="416"/>
      <c r="D6" s="416"/>
      <c r="E6" s="416"/>
      <c r="F6" s="416" t="s">
        <v>10</v>
      </c>
      <c r="G6" s="417">
        <f>'预算书-初步'!J7</f>
        <v>185</v>
      </c>
      <c r="H6" s="417"/>
      <c r="I6" s="416"/>
      <c r="J6" s="120" t="s">
        <v>11</v>
      </c>
      <c r="K6" s="426" t="str">
        <f>'预算书-初步'!O5</f>
        <v>上海锦伟</v>
      </c>
      <c r="L6" s="427"/>
      <c r="M6" s="427"/>
      <c r="N6" s="428"/>
    </row>
    <row r="7" ht="22.95" customHeight="1" spans="1:14">
      <c r="A7" s="429"/>
      <c r="B7" s="430"/>
      <c r="C7" s="430"/>
      <c r="D7" s="430"/>
      <c r="E7" s="430"/>
      <c r="F7" s="430" t="s">
        <v>12</v>
      </c>
      <c r="G7" s="427">
        <f>'预算书-初步'!J8</f>
        <v>40</v>
      </c>
      <c r="H7" s="427"/>
      <c r="I7" s="431"/>
      <c r="J7" s="432" t="s">
        <v>13</v>
      </c>
      <c r="K7" s="433">
        <f>'预算书-初步'!O6</f>
        <v>0</v>
      </c>
      <c r="L7" s="434"/>
      <c r="M7" s="434"/>
      <c r="N7" s="435"/>
    </row>
    <row r="8" ht="18" customHeight="1" spans="1:14">
      <c r="A8" s="436"/>
      <c r="B8" s="437"/>
      <c r="C8" s="438"/>
      <c r="D8" s="439"/>
      <c r="E8" s="440" t="s">
        <v>14</v>
      </c>
      <c r="F8" s="441"/>
      <c r="G8" s="441"/>
      <c r="H8" s="442"/>
      <c r="I8" s="443"/>
      <c r="J8" s="444"/>
      <c r="K8" s="444"/>
      <c r="L8" s="444"/>
      <c r="M8" s="445"/>
      <c r="N8" s="446"/>
    </row>
    <row r="9" ht="28.65" customHeight="1" spans="1:14">
      <c r="A9" s="436"/>
      <c r="B9" s="447" t="s">
        <v>15</v>
      </c>
      <c r="C9" s="448" t="s">
        <v>16</v>
      </c>
      <c r="D9" s="449"/>
      <c r="E9" s="449" t="s">
        <v>17</v>
      </c>
      <c r="F9" s="449" t="s">
        <v>18</v>
      </c>
      <c r="G9" s="450" t="s">
        <v>19</v>
      </c>
      <c r="H9" s="451" t="s">
        <v>20</v>
      </c>
      <c r="I9" s="452" t="s">
        <v>21</v>
      </c>
      <c r="J9" s="453" t="s">
        <v>22</v>
      </c>
      <c r="K9" s="454" t="s">
        <v>23</v>
      </c>
      <c r="L9" s="455" t="s">
        <v>24</v>
      </c>
      <c r="M9" s="453" t="s">
        <v>25</v>
      </c>
      <c r="N9" s="456" t="s">
        <v>26</v>
      </c>
    </row>
    <row r="10" ht="14.4" customHeight="1" spans="1:14">
      <c r="A10" s="436"/>
      <c r="B10" s="447"/>
      <c r="C10" s="448"/>
      <c r="D10" s="449"/>
      <c r="E10" s="449"/>
      <c r="F10" s="449"/>
      <c r="G10" s="450"/>
      <c r="H10" s="451"/>
      <c r="I10" s="452">
        <v>80</v>
      </c>
      <c r="J10" s="453">
        <v>70</v>
      </c>
      <c r="K10" s="454">
        <v>60</v>
      </c>
      <c r="L10" s="455">
        <v>90</v>
      </c>
      <c r="M10" s="453">
        <v>75</v>
      </c>
      <c r="N10" s="457"/>
    </row>
    <row r="11" ht="16.8" spans="1:14">
      <c r="A11" s="458"/>
      <c r="B11" s="459"/>
      <c r="C11" s="460"/>
      <c r="D11" s="461"/>
      <c r="E11" s="461"/>
      <c r="F11" s="462"/>
      <c r="G11" s="462"/>
      <c r="H11" s="463"/>
      <c r="I11" s="463"/>
      <c r="J11" s="463"/>
      <c r="K11" s="463"/>
      <c r="L11" s="464"/>
      <c r="M11" s="463"/>
      <c r="N11" s="465"/>
    </row>
    <row r="12" ht="16.8" spans="1:14">
      <c r="A12" s="466"/>
      <c r="B12" s="467"/>
      <c r="C12" s="468">
        <v>1001</v>
      </c>
      <c r="D12" s="469" t="s">
        <v>27</v>
      </c>
      <c r="E12" s="470">
        <v>1</v>
      </c>
      <c r="F12" s="471" t="s">
        <v>28</v>
      </c>
      <c r="G12" s="472">
        <f t="shared" ref="G12:N12" si="0">G13</f>
        <v>0</v>
      </c>
      <c r="H12" s="472">
        <f t="shared" si="0"/>
        <v>0</v>
      </c>
      <c r="I12" s="472">
        <f t="shared" si="0"/>
        <v>0</v>
      </c>
      <c r="J12" s="472">
        <f t="shared" si="0"/>
        <v>0</v>
      </c>
      <c r="K12" s="472">
        <f t="shared" si="0"/>
        <v>0</v>
      </c>
      <c r="L12" s="473">
        <f t="shared" si="0"/>
        <v>0</v>
      </c>
      <c r="M12" s="472">
        <f t="shared" si="0"/>
        <v>0</v>
      </c>
      <c r="N12" s="474">
        <f t="shared" si="0"/>
        <v>0</v>
      </c>
    </row>
    <row r="13" ht="16.8" spans="1:14">
      <c r="A13" s="466"/>
      <c r="B13" s="475"/>
      <c r="C13" s="476">
        <v>1002</v>
      </c>
      <c r="D13" s="477">
        <v>0</v>
      </c>
      <c r="E13" s="478">
        <v>2</v>
      </c>
      <c r="F13" s="479" t="s">
        <v>29</v>
      </c>
      <c r="G13" s="480">
        <f t="shared" ref="G13:N13" si="1">SUM(G14:G15,G19:G26)</f>
        <v>0</v>
      </c>
      <c r="H13" s="480">
        <f t="shared" si="1"/>
        <v>0</v>
      </c>
      <c r="I13" s="480">
        <f t="shared" si="1"/>
        <v>0</v>
      </c>
      <c r="J13" s="480">
        <f t="shared" si="1"/>
        <v>0</v>
      </c>
      <c r="K13" s="480">
        <f t="shared" si="1"/>
        <v>0</v>
      </c>
      <c r="L13" s="481">
        <f t="shared" si="1"/>
        <v>0</v>
      </c>
      <c r="M13" s="480">
        <f t="shared" si="1"/>
        <v>0</v>
      </c>
      <c r="N13" s="482">
        <f t="shared" si="1"/>
        <v>0</v>
      </c>
    </row>
    <row r="14" ht="16.8" spans="1:14">
      <c r="A14" s="436">
        <v>5</v>
      </c>
      <c r="B14" s="483">
        <v>6001</v>
      </c>
      <c r="C14" s="484">
        <v>1003</v>
      </c>
      <c r="D14" s="485">
        <v>0.1</v>
      </c>
      <c r="E14" s="486">
        <v>3</v>
      </c>
      <c r="F14" s="487" t="s">
        <v>30</v>
      </c>
      <c r="G14" s="488"/>
      <c r="H14" s="488"/>
      <c r="I14" s="488"/>
      <c r="J14" s="488"/>
      <c r="K14" s="488"/>
      <c r="L14" s="489"/>
      <c r="M14" s="488"/>
      <c r="N14" s="490"/>
    </row>
    <row r="15" ht="16.8" spans="1:14">
      <c r="A15" s="436">
        <v>6</v>
      </c>
      <c r="B15" s="483">
        <v>6002</v>
      </c>
      <c r="C15" s="484">
        <v>1004</v>
      </c>
      <c r="D15" s="485">
        <v>0.2</v>
      </c>
      <c r="E15" s="486">
        <v>3</v>
      </c>
      <c r="F15" s="487" t="s">
        <v>31</v>
      </c>
      <c r="G15" s="488">
        <f t="shared" ref="G15:N15" si="2">SUM(G16:G18)</f>
        <v>0</v>
      </c>
      <c r="H15" s="488">
        <f t="shared" si="2"/>
        <v>0</v>
      </c>
      <c r="I15" s="488">
        <f t="shared" si="2"/>
        <v>0</v>
      </c>
      <c r="J15" s="488">
        <f t="shared" si="2"/>
        <v>0</v>
      </c>
      <c r="K15" s="488">
        <f t="shared" si="2"/>
        <v>0</v>
      </c>
      <c r="L15" s="489">
        <f t="shared" si="2"/>
        <v>0</v>
      </c>
      <c r="M15" s="488">
        <f t="shared" si="2"/>
        <v>0</v>
      </c>
      <c r="N15" s="490">
        <f t="shared" si="2"/>
        <v>0</v>
      </c>
    </row>
    <row r="16" ht="16.8" spans="1:14">
      <c r="A16" s="436">
        <v>7</v>
      </c>
      <c r="B16" s="483"/>
      <c r="C16" s="484">
        <v>1005</v>
      </c>
      <c r="D16" s="485">
        <v>1</v>
      </c>
      <c r="E16" s="486">
        <v>4</v>
      </c>
      <c r="F16" s="491" t="s">
        <v>32</v>
      </c>
      <c r="G16" s="488">
        <f t="shared" ref="G16:G26" si="3">SUM(H16:N16)</f>
        <v>0</v>
      </c>
      <c r="H16" s="492">
        <f>SUMIF('预算书-初步'!A13:A2600,7,'预算书-初步'!P13:P2600)+SUMIF(其他!B9:B1041,FA!C16,其他!E9:E1041)</f>
        <v>0</v>
      </c>
      <c r="I16" s="492">
        <f>SUMIF(其他!B9:B1041,FA!C16,其他!G9:G1041)</f>
        <v>0</v>
      </c>
      <c r="J16" s="492">
        <f>SUMIF(其他!B9:B1041,FA!C16,其他!I9:I1041)</f>
        <v>0</v>
      </c>
      <c r="K16" s="492">
        <f>SUMIF(其他!B9:B1041,FA!C16,其他!K9:K1041)</f>
        <v>0</v>
      </c>
      <c r="L16" s="493">
        <f>SUMIF(其他!B9:B1041,FA!C16,其他!M9:M1041)</f>
        <v>0</v>
      </c>
      <c r="M16" s="492">
        <f>SUMIF('预算书-初步'!A13:A2600,"大甜7",'预算书-初步'!P13:P2600)+SUMIF(其他!B9:B1041,FA!C16,其他!O9:O1041)</f>
        <v>0</v>
      </c>
      <c r="N16" s="494">
        <f>SUMIF(其他!B9:B65,FA!C16,其他!Q9:Q65)</f>
        <v>0</v>
      </c>
    </row>
    <row r="17" ht="16.8" spans="1:14">
      <c r="A17" s="436">
        <v>8</v>
      </c>
      <c r="B17" s="495"/>
      <c r="C17" s="484">
        <v>1006</v>
      </c>
      <c r="D17" s="485">
        <v>2</v>
      </c>
      <c r="E17" s="486">
        <v>4</v>
      </c>
      <c r="F17" s="491" t="s">
        <v>33</v>
      </c>
      <c r="G17" s="488">
        <f t="shared" si="3"/>
        <v>0</v>
      </c>
      <c r="H17" s="492">
        <f>SUMIF('预算书-初步'!A13:A2600,8,'预算书-初步'!P13:P2600)+SUMIF(其他!B9:B65,FA!C17,其他!E9:E65)</f>
        <v>0</v>
      </c>
      <c r="I17" s="492">
        <f>SUMIF(其他!B9:B65,FA!C17,其他!G9:G65)</f>
        <v>0</v>
      </c>
      <c r="J17" s="492">
        <f>SUMIF(其他!B9:B1041,FA!C17,其他!I9:I1041)</f>
        <v>0</v>
      </c>
      <c r="K17" s="492">
        <f>SUMIF(其他!B9:B65,FA!C17,其他!K9:K65)</f>
        <v>0</v>
      </c>
      <c r="L17" s="493">
        <f>SUMIF(其他!B9:B65,FA!C17,其他!M9:M65)</f>
        <v>0</v>
      </c>
      <c r="M17" s="492">
        <f>SUMIF('预算书-初步'!A13:A2600,"大甜8",'预算书-初步'!P13:P2600)+SUMIF(其他!B9:B65,FA!C17,其他!O9:O65)</f>
        <v>0</v>
      </c>
      <c r="N17" s="494">
        <f>SUMIF(其他!B9:B65,FA!C17,其他!Q9:Q65)</f>
        <v>0</v>
      </c>
    </row>
    <row r="18" ht="16.8" spans="1:14">
      <c r="A18" s="436">
        <v>9</v>
      </c>
      <c r="B18" s="495"/>
      <c r="C18" s="484">
        <v>1007</v>
      </c>
      <c r="D18" s="485">
        <v>3</v>
      </c>
      <c r="E18" s="486">
        <v>4</v>
      </c>
      <c r="F18" s="491" t="s">
        <v>34</v>
      </c>
      <c r="G18" s="488">
        <f t="shared" si="3"/>
        <v>0</v>
      </c>
      <c r="H18" s="492">
        <f>SUMIF('预算书-初步'!A13:A2600,9,'预算书-初步'!P13:P2600)+SUMIF(其他!B9:B65,FA!C18,其他!E9:E65)</f>
        <v>0</v>
      </c>
      <c r="I18" s="492">
        <f>SUMIF(其他!B9:B65,FA!C18,其他!G9:G65)</f>
        <v>0</v>
      </c>
      <c r="J18" s="492">
        <f>SUMIF(其他!B9:B65,FA!C18,其他!I9:I65)</f>
        <v>0</v>
      </c>
      <c r="K18" s="492">
        <f>SUMIF(其他!B9:B65,FA!C18,其他!K9:K65)</f>
        <v>0</v>
      </c>
      <c r="L18" s="493">
        <f>SUMIF(其他!B9:B65,FA!C18,其他!M9:M65)</f>
        <v>0</v>
      </c>
      <c r="M18" s="492">
        <f>SUMIF('预算书-初步'!A13:A2600,"大甜9",'预算书-初步'!P13:P2600)+SUMIF(其他!B9:B65,FA!C18,其他!O9:O65)</f>
        <v>0</v>
      </c>
      <c r="N18" s="494">
        <f>SUMIF(其他!B9:B65,FA!C18,其他!Q9:Q65)</f>
        <v>0</v>
      </c>
    </row>
    <row r="19" ht="16.8" spans="1:14">
      <c r="A19" s="436">
        <v>10</v>
      </c>
      <c r="B19" s="495">
        <v>6003</v>
      </c>
      <c r="C19" s="484">
        <v>1008</v>
      </c>
      <c r="D19" s="485">
        <v>0.3</v>
      </c>
      <c r="E19" s="486">
        <v>3</v>
      </c>
      <c r="F19" s="487" t="s">
        <v>35</v>
      </c>
      <c r="G19" s="488">
        <f t="shared" si="3"/>
        <v>0</v>
      </c>
      <c r="H19" s="488"/>
      <c r="I19" s="488"/>
      <c r="J19" s="488"/>
      <c r="K19" s="488"/>
      <c r="L19" s="489"/>
      <c r="M19" s="488"/>
      <c r="N19" s="490"/>
    </row>
    <row r="20" ht="16.8" spans="1:14">
      <c r="A20" s="436">
        <v>11</v>
      </c>
      <c r="B20" s="495">
        <v>6004</v>
      </c>
      <c r="C20" s="484">
        <v>1009</v>
      </c>
      <c r="D20" s="485">
        <v>0.4</v>
      </c>
      <c r="E20" s="486">
        <v>3</v>
      </c>
      <c r="F20" s="487" t="s">
        <v>36</v>
      </c>
      <c r="G20" s="488">
        <f t="shared" si="3"/>
        <v>0</v>
      </c>
      <c r="H20" s="488"/>
      <c r="I20" s="488"/>
      <c r="J20" s="488"/>
      <c r="K20" s="488"/>
      <c r="L20" s="489"/>
      <c r="M20" s="488"/>
      <c r="N20" s="490"/>
    </row>
    <row r="21" ht="16.8" spans="1:14">
      <c r="A21" s="436">
        <v>12</v>
      </c>
      <c r="B21" s="495">
        <v>6005</v>
      </c>
      <c r="C21" s="484">
        <v>1010</v>
      </c>
      <c r="D21" s="485">
        <v>0.5</v>
      </c>
      <c r="E21" s="486">
        <v>3</v>
      </c>
      <c r="F21" s="487" t="s">
        <v>37</v>
      </c>
      <c r="G21" s="488">
        <f t="shared" si="3"/>
        <v>0</v>
      </c>
      <c r="H21" s="488"/>
      <c r="I21" s="488"/>
      <c r="J21" s="488"/>
      <c r="K21" s="488"/>
      <c r="L21" s="489"/>
      <c r="M21" s="488"/>
      <c r="N21" s="490"/>
    </row>
    <row r="22" ht="16.8" spans="1:14">
      <c r="A22" s="436">
        <v>13</v>
      </c>
      <c r="B22" s="495">
        <v>6006</v>
      </c>
      <c r="C22" s="484">
        <v>1011</v>
      </c>
      <c r="D22" s="485">
        <v>0.6</v>
      </c>
      <c r="E22" s="486">
        <v>3</v>
      </c>
      <c r="F22" s="487" t="s">
        <v>38</v>
      </c>
      <c r="G22" s="488">
        <f t="shared" si="3"/>
        <v>0</v>
      </c>
      <c r="H22" s="488"/>
      <c r="I22" s="488"/>
      <c r="J22" s="488"/>
      <c r="K22" s="488"/>
      <c r="L22" s="489"/>
      <c r="M22" s="488"/>
      <c r="N22" s="490"/>
    </row>
    <row r="23" ht="16.8" spans="1:14">
      <c r="A23" s="436">
        <v>14</v>
      </c>
      <c r="B23" s="495">
        <v>6007</v>
      </c>
      <c r="C23" s="484">
        <v>1012</v>
      </c>
      <c r="D23" s="485">
        <v>0.7</v>
      </c>
      <c r="E23" s="486">
        <v>3</v>
      </c>
      <c r="F23" s="487" t="s">
        <v>39</v>
      </c>
      <c r="G23" s="496">
        <f t="shared" si="3"/>
        <v>0</v>
      </c>
      <c r="H23" s="496"/>
      <c r="I23" s="496"/>
      <c r="J23" s="496"/>
      <c r="K23" s="488"/>
      <c r="L23" s="489"/>
      <c r="M23" s="496"/>
      <c r="N23" s="490"/>
    </row>
    <row r="24" ht="16.8" spans="1:14">
      <c r="A24" s="436">
        <v>15</v>
      </c>
      <c r="B24" s="495">
        <v>9999</v>
      </c>
      <c r="C24" s="484">
        <v>1013</v>
      </c>
      <c r="D24" s="485">
        <v>0.8</v>
      </c>
      <c r="E24" s="486">
        <v>3</v>
      </c>
      <c r="F24" s="497" t="s">
        <v>40</v>
      </c>
      <c r="G24" s="496">
        <f t="shared" si="3"/>
        <v>0</v>
      </c>
      <c r="H24" s="498"/>
      <c r="I24" s="498"/>
      <c r="J24" s="498"/>
      <c r="K24" s="499"/>
      <c r="L24" s="500"/>
      <c r="M24" s="498"/>
      <c r="N24" s="501"/>
    </row>
    <row r="25" ht="16.8" spans="1:14">
      <c r="A25" s="436">
        <v>16</v>
      </c>
      <c r="B25" s="495">
        <v>7001</v>
      </c>
      <c r="C25" s="484">
        <v>1014</v>
      </c>
      <c r="D25" s="485">
        <v>0.9</v>
      </c>
      <c r="E25" s="486">
        <v>3</v>
      </c>
      <c r="F25" s="497" t="s">
        <v>41</v>
      </c>
      <c r="G25" s="488">
        <f t="shared" si="3"/>
        <v>0</v>
      </c>
      <c r="H25" s="499"/>
      <c r="I25" s="499"/>
      <c r="J25" s="499"/>
      <c r="K25" s="499"/>
      <c r="L25" s="500"/>
      <c r="M25" s="499"/>
      <c r="N25" s="501"/>
    </row>
    <row r="26" ht="16.8" spans="1:14">
      <c r="A26" s="436">
        <v>17</v>
      </c>
      <c r="B26" s="495">
        <v>7012</v>
      </c>
      <c r="C26" s="484">
        <v>1015</v>
      </c>
      <c r="D26" s="485">
        <v>0.1</v>
      </c>
      <c r="E26" s="486">
        <v>3</v>
      </c>
      <c r="F26" s="487" t="s">
        <v>42</v>
      </c>
      <c r="G26" s="488">
        <f t="shared" si="3"/>
        <v>0</v>
      </c>
      <c r="H26" s="499"/>
      <c r="I26" s="499"/>
      <c r="J26" s="499"/>
      <c r="K26" s="499"/>
      <c r="L26" s="500"/>
      <c r="M26" s="499"/>
      <c r="N26" s="501"/>
    </row>
    <row r="27" ht="16.8" spans="1:14">
      <c r="A27" s="436">
        <v>18</v>
      </c>
      <c r="B27" s="467"/>
      <c r="C27" s="468">
        <v>1016</v>
      </c>
      <c r="D27" s="469" t="s">
        <v>43</v>
      </c>
      <c r="E27" s="470">
        <v>1</v>
      </c>
      <c r="F27" s="471" t="s">
        <v>44</v>
      </c>
      <c r="G27" s="502">
        <f ca="1" t="shared" ref="G27:N27" si="4">SUM(G28,G34,G37,G48,G52,G61)</f>
        <v>541896.01</v>
      </c>
      <c r="H27" s="502">
        <f t="shared" si="4"/>
        <v>526028.14</v>
      </c>
      <c r="I27" s="502">
        <f t="shared" si="4"/>
        <v>0</v>
      </c>
      <c r="J27" s="502">
        <f t="shared" si="4"/>
        <v>0</v>
      </c>
      <c r="K27" s="502">
        <f t="shared" si="4"/>
        <v>9027.2</v>
      </c>
      <c r="L27" s="503">
        <f ca="1" t="shared" si="4"/>
        <v>6840.67</v>
      </c>
      <c r="M27" s="502">
        <f t="shared" si="4"/>
        <v>0</v>
      </c>
      <c r="N27" s="504">
        <f t="shared" si="4"/>
        <v>0</v>
      </c>
    </row>
    <row r="28" ht="16.8" spans="1:14">
      <c r="A28" s="436">
        <v>19</v>
      </c>
      <c r="B28" s="475"/>
      <c r="C28" s="476">
        <v>1017</v>
      </c>
      <c r="D28" s="477">
        <v>1</v>
      </c>
      <c r="E28" s="478">
        <v>2</v>
      </c>
      <c r="F28" s="479" t="s">
        <v>45</v>
      </c>
      <c r="G28" s="480">
        <f t="shared" ref="G28:N28" si="5">SUM(G29,G32:G33)</f>
        <v>0</v>
      </c>
      <c r="H28" s="480">
        <f t="shared" si="5"/>
        <v>0</v>
      </c>
      <c r="I28" s="480">
        <f t="shared" si="5"/>
        <v>0</v>
      </c>
      <c r="J28" s="480">
        <f t="shared" si="5"/>
        <v>0</v>
      </c>
      <c r="K28" s="480">
        <f t="shared" si="5"/>
        <v>0</v>
      </c>
      <c r="L28" s="481">
        <f t="shared" si="5"/>
        <v>0</v>
      </c>
      <c r="M28" s="480">
        <f t="shared" si="5"/>
        <v>0</v>
      </c>
      <c r="N28" s="482">
        <f t="shared" si="5"/>
        <v>0</v>
      </c>
    </row>
    <row r="29" ht="16.8" spans="1:14">
      <c r="A29" s="436">
        <v>20</v>
      </c>
      <c r="B29" s="483"/>
      <c r="C29" s="484">
        <v>1018</v>
      </c>
      <c r="D29" s="485">
        <v>1.1</v>
      </c>
      <c r="E29" s="486">
        <v>3</v>
      </c>
      <c r="F29" s="487" t="s">
        <v>46</v>
      </c>
      <c r="G29" s="488">
        <f t="shared" ref="G29:N29" si="6">SUM(G30:G31)</f>
        <v>0</v>
      </c>
      <c r="H29" s="499">
        <f t="shared" si="6"/>
        <v>0</v>
      </c>
      <c r="I29" s="499">
        <f t="shared" si="6"/>
        <v>0</v>
      </c>
      <c r="J29" s="499">
        <f t="shared" si="6"/>
        <v>0</v>
      </c>
      <c r="K29" s="499">
        <f t="shared" si="6"/>
        <v>0</v>
      </c>
      <c r="L29" s="500">
        <f t="shared" si="6"/>
        <v>0</v>
      </c>
      <c r="M29" s="499">
        <f t="shared" si="6"/>
        <v>0</v>
      </c>
      <c r="N29" s="501">
        <f t="shared" si="6"/>
        <v>0</v>
      </c>
    </row>
    <row r="30" ht="16.8" spans="1:14">
      <c r="A30" s="436">
        <v>21</v>
      </c>
      <c r="B30" s="483">
        <v>1110</v>
      </c>
      <c r="C30" s="484">
        <v>1019</v>
      </c>
      <c r="D30" s="485" t="s">
        <v>47</v>
      </c>
      <c r="E30" s="486">
        <v>4</v>
      </c>
      <c r="F30" s="487" t="s">
        <v>48</v>
      </c>
      <c r="G30" s="488">
        <f>SUM(H30:N30)</f>
        <v>0</v>
      </c>
      <c r="H30" s="492">
        <f>SUMIF(其他!B9:B65,FA!C30,其他!E9:E65)</f>
        <v>0</v>
      </c>
      <c r="I30" s="492">
        <f>SUMIF(其他!B9:B65,FA!C30,其他!G9:G65)</f>
        <v>0</v>
      </c>
      <c r="J30" s="492">
        <f>SUMIF(其他!B9:B65,FA!C30,其他!I9:I65)</f>
        <v>0</v>
      </c>
      <c r="K30" s="492">
        <f>SUMIF(其他!B9:B65,FA!C30,其他!K9:K65)</f>
        <v>0</v>
      </c>
      <c r="L30" s="493">
        <f>SUMIF(其他!B9:B65,FA!C30,其他!M9:M65)</f>
        <v>0</v>
      </c>
      <c r="M30" s="492">
        <f>SUMIF(其他!B9:B65,FA!C30,其他!O9:O65)</f>
        <v>0</v>
      </c>
      <c r="N30" s="494">
        <f>SUMIF(其他!B9:B65,FA!C30,其他!Q9:Q65)</f>
        <v>0</v>
      </c>
    </row>
    <row r="31" ht="16.8" spans="1:14">
      <c r="A31" s="436">
        <v>22</v>
      </c>
      <c r="B31" s="483">
        <v>1110</v>
      </c>
      <c r="C31" s="484">
        <v>1020</v>
      </c>
      <c r="D31" s="485" t="s">
        <v>49</v>
      </c>
      <c r="E31" s="486">
        <v>4</v>
      </c>
      <c r="F31" s="487" t="s">
        <v>50</v>
      </c>
      <c r="G31" s="488">
        <f>SUM(H31:N31)</f>
        <v>0</v>
      </c>
      <c r="H31" s="492">
        <f>SUMIF(其他!B10:B66,FA!C31,其他!E10:E66)</f>
        <v>0</v>
      </c>
      <c r="I31" s="492">
        <f>SUMIF(其他!B9:B65,FA!C31,其他!G9:G65)</f>
        <v>0</v>
      </c>
      <c r="J31" s="492">
        <f>SUMIF(其他!B9:B65,FA!C31,其他!I9:I65)</f>
        <v>0</v>
      </c>
      <c r="K31" s="492">
        <f>SUMIF(其他!B9:B65,FA!C31,其他!K9:K65)</f>
        <v>0</v>
      </c>
      <c r="L31" s="492">
        <f>SUMIF(其他!B9:B65,FA!C31,其他!M9:M65)</f>
        <v>0</v>
      </c>
      <c r="M31" s="492">
        <f>SUMIF(其他!B9:B65,FA!C31,其他!O9:O65)</f>
        <v>0</v>
      </c>
      <c r="N31" s="494">
        <f>SUMIF(其他!B9:B65,FA!C31,其他!Q9:Q65)</f>
        <v>0</v>
      </c>
    </row>
    <row r="32" ht="16.8" spans="1:14">
      <c r="A32" s="436">
        <v>23</v>
      </c>
      <c r="B32" s="483">
        <v>1120</v>
      </c>
      <c r="C32" s="484">
        <v>1021</v>
      </c>
      <c r="D32" s="485">
        <v>1.2</v>
      </c>
      <c r="E32" s="486">
        <v>3</v>
      </c>
      <c r="F32" s="487" t="s">
        <v>51</v>
      </c>
      <c r="G32" s="488">
        <f>SUM(H32:N32)</f>
        <v>0</v>
      </c>
      <c r="H32" s="492">
        <f>SUMIF(其他!B9:B65,FA!C32,其他!E9:E65)</f>
        <v>0</v>
      </c>
      <c r="I32" s="492">
        <f>SUMIF(其他!B9:B65,FA!C32,其他!G9:G65)</f>
        <v>0</v>
      </c>
      <c r="J32" s="492">
        <f>SUMIF(其他!B9:B65,FA!C32,其他!I9:I65)</f>
        <v>0</v>
      </c>
      <c r="K32" s="492">
        <f>SUMIF(其他!B9:B65,FA!C32,其他!K9:K65)</f>
        <v>0</v>
      </c>
      <c r="L32" s="492">
        <f>SUMIF(其他!B9:B65,FA!C32,其他!M9:M65)</f>
        <v>0</v>
      </c>
      <c r="M32" s="492">
        <f>SUMIF(其他!B9:B65,FA!C32,其他!O9:O65)</f>
        <v>0</v>
      </c>
      <c r="N32" s="494">
        <f>SUMIF(其他!B9:B65,FA!C32,其他!Q9:Q65)</f>
        <v>0</v>
      </c>
    </row>
    <row r="33" ht="16.8" spans="1:14">
      <c r="A33" s="436">
        <v>24</v>
      </c>
      <c r="B33" s="483">
        <v>1130</v>
      </c>
      <c r="C33" s="484">
        <v>1022</v>
      </c>
      <c r="D33" s="485">
        <v>1.3</v>
      </c>
      <c r="E33" s="486">
        <v>3</v>
      </c>
      <c r="F33" s="487" t="s">
        <v>52</v>
      </c>
      <c r="G33" s="488">
        <f>SUM(H33:N33)</f>
        <v>0</v>
      </c>
      <c r="H33" s="492">
        <f>SUMIF(其他!B9:B65,FA!C33,其他!E9:E65)</f>
        <v>0</v>
      </c>
      <c r="I33" s="492">
        <f>SUMIF(其他!B9:B65,FA!C33,其他!G9:G65)</f>
        <v>0</v>
      </c>
      <c r="J33" s="492">
        <f>SUMIF(其他!B9:B65,FA!C33,其他!I9:I65)</f>
        <v>0</v>
      </c>
      <c r="K33" s="492">
        <f>SUMIF(其他!B9:B65,FA!C33,其他!K9:K65)</f>
        <v>0</v>
      </c>
      <c r="L33" s="492">
        <f>SUMIF(其他!B9:B65,FA!C33,其他!M9:M65)</f>
        <v>0</v>
      </c>
      <c r="M33" s="492">
        <f>SUMIF(其他!B9:B65,FA!C33,其他!O9:O65)</f>
        <v>0</v>
      </c>
      <c r="N33" s="494">
        <f>SUMIF(其他!B9:B65,FA!C33,其他!Q9:Q65)</f>
        <v>0</v>
      </c>
    </row>
    <row r="34" ht="16.8" spans="1:14">
      <c r="A34" s="436">
        <v>25</v>
      </c>
      <c r="B34" s="475"/>
      <c r="C34" s="476">
        <v>1023</v>
      </c>
      <c r="D34" s="477">
        <v>2</v>
      </c>
      <c r="E34" s="478">
        <v>2</v>
      </c>
      <c r="F34" s="479" t="s">
        <v>53</v>
      </c>
      <c r="G34" s="480">
        <f ca="1" t="shared" ref="G34:N34" si="7">SUM(G35:G36)</f>
        <v>0</v>
      </c>
      <c r="H34" s="480">
        <f t="shared" si="7"/>
        <v>0</v>
      </c>
      <c r="I34" s="480">
        <f t="shared" si="7"/>
        <v>0</v>
      </c>
      <c r="J34" s="480">
        <f t="shared" si="7"/>
        <v>0</v>
      </c>
      <c r="K34" s="480">
        <f t="shared" si="7"/>
        <v>0</v>
      </c>
      <c r="L34" s="481">
        <f ca="1" t="shared" si="7"/>
        <v>0</v>
      </c>
      <c r="M34" s="480">
        <f t="shared" si="7"/>
        <v>0</v>
      </c>
      <c r="N34" s="482">
        <f t="shared" si="7"/>
        <v>0</v>
      </c>
    </row>
    <row r="35" ht="16.8" spans="1:14">
      <c r="A35" s="436">
        <v>26</v>
      </c>
      <c r="B35" s="483">
        <v>1210</v>
      </c>
      <c r="C35" s="484">
        <v>1024</v>
      </c>
      <c r="D35" s="485">
        <v>2.1</v>
      </c>
      <c r="E35" s="486">
        <v>3</v>
      </c>
      <c r="F35" s="487" t="s">
        <v>54</v>
      </c>
      <c r="G35" s="488">
        <f>SUM(H35:N35)</f>
        <v>0</v>
      </c>
      <c r="H35" s="492">
        <f>SUMIF(其他!B9:B65,FA!C35,其他!E9:E65)</f>
        <v>0</v>
      </c>
      <c r="I35" s="492">
        <f>SUMIF(其他!B9:B65,FA!C35,其他!G9:G65)</f>
        <v>0</v>
      </c>
      <c r="J35" s="492">
        <f>SUMIF(其他!B9:B65,FA!C35,其他!I9:I65)</f>
        <v>0</v>
      </c>
      <c r="K35" s="492">
        <f>SUMIF(其他!B9:B65,FA!C35,其他!K9:K65)</f>
        <v>0</v>
      </c>
      <c r="L35" s="493">
        <f>SUMIF(其他!B9:B65,FA!C35,其他!M9:M65)</f>
        <v>0</v>
      </c>
      <c r="M35" s="492">
        <f>SUMIF(其他!B9:B65,FA!C35,其他!O9:O65)</f>
        <v>0</v>
      </c>
      <c r="N35" s="494">
        <f>SUMIF(其他!B9:B65,FA!C35,其他!Q9:Q65)</f>
        <v>0</v>
      </c>
    </row>
    <row r="36" ht="16.8" spans="1:14">
      <c r="A36" s="436">
        <v>27</v>
      </c>
      <c r="B36" s="483">
        <v>1220</v>
      </c>
      <c r="C36" s="484">
        <v>1025</v>
      </c>
      <c r="D36" s="485">
        <v>2.2</v>
      </c>
      <c r="E36" s="486">
        <v>3</v>
      </c>
      <c r="F36" s="487" t="s">
        <v>55</v>
      </c>
      <c r="G36" s="488">
        <f ca="1">SUM(H36:N36)</f>
        <v>0</v>
      </c>
      <c r="H36" s="492">
        <f>SUMIF('预算书-初步'!A13:A2600,27,'预算书-初步'!P13:P2600)+SUMIF(其他!B9:B65,FA!C36,其他!E9:E65)</f>
        <v>0</v>
      </c>
      <c r="I36" s="492">
        <f>SUMIF(其他!B9:B65,FA!C36,其他!G9:G65)</f>
        <v>0</v>
      </c>
      <c r="J36" s="492">
        <f>SUMIF(其他!B9:B65,FA!C36,其他!I9:I65)</f>
        <v>0</v>
      </c>
      <c r="K36" s="492">
        <f>SUMIF(其他!B9:B65,FA!C36,其他!K9:K65)</f>
        <v>0</v>
      </c>
      <c r="L36" s="492">
        <f ca="1">SUMIF(其他!B9:C65,C36,其他!M9:M65)</f>
        <v>0</v>
      </c>
      <c r="M36" s="492">
        <f>SUMIF('预算书-初步'!A13:A2600,"大甜27",'预算书-初步'!P13:P2600)+SUMIF(其他!B9:B65,FA!C36,其他!O9:O65)</f>
        <v>0</v>
      </c>
      <c r="N36" s="494">
        <f>SUMIF(其他!B9:B65,FA!C36,其他!Q9:Q65)</f>
        <v>0</v>
      </c>
    </row>
    <row r="37" ht="16.8" spans="1:14">
      <c r="A37" s="436">
        <v>28</v>
      </c>
      <c r="B37" s="475"/>
      <c r="C37" s="476">
        <v>1026</v>
      </c>
      <c r="D37" s="477">
        <v>3</v>
      </c>
      <c r="E37" s="478">
        <v>2</v>
      </c>
      <c r="F37" s="479" t="s">
        <v>56</v>
      </c>
      <c r="G37" s="480">
        <f t="shared" ref="G37:N37" si="8">SUM(G38,G43:G47)</f>
        <v>41284.4</v>
      </c>
      <c r="H37" s="480">
        <f t="shared" si="8"/>
        <v>41284.4</v>
      </c>
      <c r="I37" s="480">
        <f t="shared" si="8"/>
        <v>0</v>
      </c>
      <c r="J37" s="480">
        <f t="shared" si="8"/>
        <v>0</v>
      </c>
      <c r="K37" s="480">
        <f t="shared" si="8"/>
        <v>0</v>
      </c>
      <c r="L37" s="481">
        <f t="shared" si="8"/>
        <v>0</v>
      </c>
      <c r="M37" s="480">
        <f t="shared" si="8"/>
        <v>0</v>
      </c>
      <c r="N37" s="482">
        <f t="shared" si="8"/>
        <v>0</v>
      </c>
    </row>
    <row r="38" ht="16.8" spans="1:14">
      <c r="A38" s="436">
        <v>29</v>
      </c>
      <c r="B38" s="483"/>
      <c r="C38" s="484">
        <v>1027</v>
      </c>
      <c r="D38" s="485">
        <v>3.1</v>
      </c>
      <c r="E38" s="486">
        <v>3</v>
      </c>
      <c r="F38" s="487" t="s">
        <v>57</v>
      </c>
      <c r="G38" s="499">
        <f t="shared" ref="G38:N38" si="9">SUM(G39:G42)</f>
        <v>0</v>
      </c>
      <c r="H38" s="499">
        <f t="shared" si="9"/>
        <v>0</v>
      </c>
      <c r="I38" s="499">
        <f t="shared" si="9"/>
        <v>0</v>
      </c>
      <c r="J38" s="499">
        <f t="shared" si="9"/>
        <v>0</v>
      </c>
      <c r="K38" s="499">
        <f t="shared" si="9"/>
        <v>0</v>
      </c>
      <c r="L38" s="500">
        <f t="shared" si="9"/>
        <v>0</v>
      </c>
      <c r="M38" s="499">
        <f t="shared" si="9"/>
        <v>0</v>
      </c>
      <c r="N38" s="501">
        <f t="shared" si="9"/>
        <v>0</v>
      </c>
    </row>
    <row r="39" ht="16.8" spans="1:14">
      <c r="A39" s="436">
        <v>30</v>
      </c>
      <c r="B39" s="483">
        <v>1311</v>
      </c>
      <c r="C39" s="484">
        <v>1028</v>
      </c>
      <c r="D39" s="485" t="s">
        <v>58</v>
      </c>
      <c r="E39" s="486">
        <v>4</v>
      </c>
      <c r="F39" s="491" t="s">
        <v>59</v>
      </c>
      <c r="G39" s="488">
        <f t="shared" ref="G39:G47" si="10">SUM(H39:N39)</f>
        <v>0</v>
      </c>
      <c r="H39" s="492">
        <f>SUMIF(其他!B9:B65,FA!C39,其他!E9:E65)</f>
        <v>0</v>
      </c>
      <c r="I39" s="492">
        <f>SUMIF(其他!B9:B65,FA!C39,其他!G9:G65)</f>
        <v>0</v>
      </c>
      <c r="J39" s="492">
        <f>SUMIF(其他!B9:B65,FA!C39,其他!I9:I65)</f>
        <v>0</v>
      </c>
      <c r="K39" s="492">
        <f>SUMIF(其他!B9:B65,FA!C39,其他!K9:K65)</f>
        <v>0</v>
      </c>
      <c r="L39" s="492">
        <f>SUMIF(其他!B9:B65,FA!C39,其他!M9:M65)</f>
        <v>0</v>
      </c>
      <c r="M39" s="492">
        <f>SUMIF(其他!B9:B65,FA!C39,其他!O9:O65)</f>
        <v>0</v>
      </c>
      <c r="N39" s="494">
        <f>SUMIF(其他!B9:B65,FA!C39,其他!Q9:Q65)</f>
        <v>0</v>
      </c>
    </row>
    <row r="40" ht="16.8" spans="1:14">
      <c r="A40" s="436">
        <v>31</v>
      </c>
      <c r="B40" s="483">
        <v>1312</v>
      </c>
      <c r="C40" s="484">
        <v>1029</v>
      </c>
      <c r="D40" s="485" t="s">
        <v>60</v>
      </c>
      <c r="E40" s="486">
        <v>4</v>
      </c>
      <c r="F40" s="491" t="s">
        <v>61</v>
      </c>
      <c r="G40" s="488">
        <f t="shared" si="10"/>
        <v>0</v>
      </c>
      <c r="H40" s="492">
        <f>SUMIF(其他!B9:B65,FA!C40,其他!E9:E65)</f>
        <v>0</v>
      </c>
      <c r="I40" s="492">
        <f>SUMIF(其他!B9:B65,FA!C40,其他!G9:G65)</f>
        <v>0</v>
      </c>
      <c r="J40" s="492">
        <f>SUMIF(其他!B9:B65,FA!C40,其他!I9:I65)</f>
        <v>0</v>
      </c>
      <c r="K40" s="492">
        <f>SUMIF(其他!B9:B65,FA!C40,其他!K9:K65)</f>
        <v>0</v>
      </c>
      <c r="L40" s="493">
        <f>SUMIF(其他!B9:B65,FA!C40,其他!M9:M65)</f>
        <v>0</v>
      </c>
      <c r="M40" s="492">
        <f>SUMIF(其他!B9:B65,FA!C40,其他!O9:O65)</f>
        <v>0</v>
      </c>
      <c r="N40" s="494">
        <f>SUMIF(其他!B9:B65,FA!C40,其他!Q9:Q65)</f>
        <v>0</v>
      </c>
    </row>
    <row r="41" ht="16.8" spans="1:14">
      <c r="A41" s="436">
        <v>32</v>
      </c>
      <c r="B41" s="483">
        <v>1313</v>
      </c>
      <c r="C41" s="484">
        <v>1030</v>
      </c>
      <c r="D41" s="485" t="s">
        <v>62</v>
      </c>
      <c r="E41" s="486">
        <v>4</v>
      </c>
      <c r="F41" s="491" t="s">
        <v>63</v>
      </c>
      <c r="G41" s="488">
        <f t="shared" si="10"/>
        <v>0</v>
      </c>
      <c r="H41" s="492">
        <f>SUMIF(其他!B9:B65,FA!C41,其他!E9:E65)</f>
        <v>0</v>
      </c>
      <c r="I41" s="492">
        <f>SUMIF(其他!B9:B65,FA!C41,其他!G9:G65)</f>
        <v>0</v>
      </c>
      <c r="J41" s="492">
        <f>SUMIF(其他!B9:B65,FA!C41,其他!I9:I65)</f>
        <v>0</v>
      </c>
      <c r="K41" s="492">
        <f>SUMIF(其他!B9:B65,FA!C41,其他!K9:K65)</f>
        <v>0</v>
      </c>
      <c r="L41" s="493">
        <f>SUMIF(其他!B9:B65,FA!C41,其他!M9:M65)</f>
        <v>0</v>
      </c>
      <c r="M41" s="492">
        <f>SUMIF(其他!B9:B65,FA!C41,其他!O9:O65)</f>
        <v>0</v>
      </c>
      <c r="N41" s="494">
        <f>SUMIF(其他!B9:B65,FA!C41,其他!Q9:Q65)</f>
        <v>0</v>
      </c>
    </row>
    <row r="42" ht="16.8" spans="1:14">
      <c r="A42" s="436">
        <v>33</v>
      </c>
      <c r="B42" s="483">
        <v>1314</v>
      </c>
      <c r="C42" s="484">
        <v>1031</v>
      </c>
      <c r="D42" s="485" t="s">
        <v>64</v>
      </c>
      <c r="E42" s="486">
        <v>4</v>
      </c>
      <c r="F42" s="491" t="s">
        <v>65</v>
      </c>
      <c r="G42" s="488">
        <f t="shared" si="10"/>
        <v>0</v>
      </c>
      <c r="H42" s="492">
        <f>SUMIF('预算书-初步'!A13:A2600,33,'预算书-初步'!P13:P2600)+SUMIF(其他!B9:B65,FA!C42,其他!E9:E65)</f>
        <v>0</v>
      </c>
      <c r="I42" s="492">
        <f>SUMIF(其他!B9:B65,FA!C42,其他!G9:G65)</f>
        <v>0</v>
      </c>
      <c r="J42" s="492">
        <f>SUMIF(其他!B9:B65,FA!C42,其他!I9:I65)</f>
        <v>0</v>
      </c>
      <c r="K42" s="492">
        <f>SUMIF(其他!B9:B65,FA!C42,其他!K9:K65)</f>
        <v>0</v>
      </c>
      <c r="L42" s="493">
        <f>SUMIF(其他!B9:B65,FA!C42,其他!M9:M65)</f>
        <v>0</v>
      </c>
      <c r="M42" s="492">
        <f>SUMIF('预算书-初步'!A13:A2600,"大甜33",'预算书-初步'!P13:P2600)+SUMIF(其他!B9:B65,FA!C42,其他!O9:O65)</f>
        <v>0</v>
      </c>
      <c r="N42" s="494">
        <f>SUMIF(其他!B9:B65,FA!C42,其他!Q9:Q65)</f>
        <v>0</v>
      </c>
    </row>
    <row r="43" ht="16.8" spans="1:14">
      <c r="A43" s="436">
        <v>34</v>
      </c>
      <c r="B43" s="495">
        <v>1320</v>
      </c>
      <c r="C43" s="484">
        <v>1032</v>
      </c>
      <c r="D43" s="485">
        <v>3.2</v>
      </c>
      <c r="E43" s="486">
        <v>3</v>
      </c>
      <c r="F43" s="487" t="s">
        <v>66</v>
      </c>
      <c r="G43" s="488">
        <f t="shared" si="10"/>
        <v>0</v>
      </c>
      <c r="H43" s="492">
        <f>SUMIF('预算书-初步'!A13:A2600,34,'预算书-初步'!P13:P2600)+SUMIF(其他!B9:B65,FA!C43,其他!E9:E65)</f>
        <v>0</v>
      </c>
      <c r="I43" s="492">
        <f>SUMIF(其他!B9:B65,FA!C43,其他!G9:G65)</f>
        <v>0</v>
      </c>
      <c r="J43" s="492">
        <f>SUMIF(其他!B9:B65,FA!C43,其他!I9:I65)</f>
        <v>0</v>
      </c>
      <c r="K43" s="492">
        <f>SUMIF(其他!B9:B65,FA!C43,其他!K9:K65)</f>
        <v>0</v>
      </c>
      <c r="L43" s="493">
        <f>SUMIF(其他!B9:B65,FA!C43,其他!M9:M65)</f>
        <v>0</v>
      </c>
      <c r="M43" s="492">
        <f>SUMIF('预算书-初步'!A13:A2600,"大甜34",'预算书-初步'!P13:P2600)+SUMIF(其他!B9:B65,FA!C43,其他!O9:O65)</f>
        <v>0</v>
      </c>
      <c r="N43" s="494">
        <f>SUMIF(其他!B9:B65,FA!C43,其他!Q9:Q65)</f>
        <v>0</v>
      </c>
    </row>
    <row r="44" ht="16.8" spans="1:14">
      <c r="A44" s="436">
        <v>35</v>
      </c>
      <c r="B44" s="495">
        <v>1330</v>
      </c>
      <c r="C44" s="484">
        <v>1033</v>
      </c>
      <c r="D44" s="485">
        <v>3.3</v>
      </c>
      <c r="E44" s="486">
        <v>3</v>
      </c>
      <c r="F44" s="487" t="s">
        <v>67</v>
      </c>
      <c r="G44" s="488">
        <f t="shared" si="10"/>
        <v>0</v>
      </c>
      <c r="H44" s="492">
        <f>SUMIF(其他!B9:B65,FA!C44,其他!E9:E65)</f>
        <v>0</v>
      </c>
      <c r="I44" s="492">
        <f>SUMIF(其他!B9:B65,FA!C44,其他!G9:G65)</f>
        <v>0</v>
      </c>
      <c r="J44" s="492">
        <f>SUMIF(其他!B9:B65,FA!C44,其他!I9:I65)</f>
        <v>0</v>
      </c>
      <c r="K44" s="492">
        <f>SUMIF(其他!B9:B65,FA!C44,其他!K9:K65)</f>
        <v>0</v>
      </c>
      <c r="L44" s="493">
        <f>SUMIF(其他!B9:B65,FA!C44,其他!K9:K65)</f>
        <v>0</v>
      </c>
      <c r="M44" s="492">
        <f>SUMIF(其他!B9:B65,FA!C44,其他!O9:O65)</f>
        <v>0</v>
      </c>
      <c r="N44" s="494">
        <f>SUMIF(其他!B9:B65,FA!C44,其他!Q9:Q65)</f>
        <v>0</v>
      </c>
    </row>
    <row r="45" ht="16.8" spans="1:14">
      <c r="A45" s="436">
        <v>36</v>
      </c>
      <c r="B45" s="495">
        <v>1340</v>
      </c>
      <c r="C45" s="484">
        <v>1034</v>
      </c>
      <c r="D45" s="485">
        <v>3.4</v>
      </c>
      <c r="E45" s="486">
        <v>3</v>
      </c>
      <c r="F45" s="487" t="s">
        <v>68</v>
      </c>
      <c r="G45" s="488">
        <f t="shared" si="10"/>
        <v>0</v>
      </c>
      <c r="H45" s="492">
        <f>SUMIF(其他!B9:B65,FA!C45,其他!E9:E65)</f>
        <v>0</v>
      </c>
      <c r="I45" s="492">
        <f>SUMIF(其他!B9:B65,FA!C45,其他!G9:G65)</f>
        <v>0</v>
      </c>
      <c r="J45" s="492">
        <f>SUMIF(其他!B9:B65,FA!C45,其他!I9:I65)</f>
        <v>0</v>
      </c>
      <c r="K45" s="492">
        <f>SUMIF(其他!B9:B65,FA!C45,其他!K9:K65)</f>
        <v>0</v>
      </c>
      <c r="L45" s="493">
        <f>SUMIF(其他!B9:B65,FA!C45,其他!M9:M65)</f>
        <v>0</v>
      </c>
      <c r="M45" s="492">
        <f>SUMIF(其他!B9:B65,FA!C45,其他!O9:O65)</f>
        <v>0</v>
      </c>
      <c r="N45" s="494">
        <f>SUMIF(其他!B9:B65,FA!C45,其他!Q9:Q65)</f>
        <v>0</v>
      </c>
    </row>
    <row r="46" ht="16.8" spans="1:14">
      <c r="A46" s="436">
        <v>37</v>
      </c>
      <c r="B46" s="495">
        <v>1350</v>
      </c>
      <c r="C46" s="484">
        <v>1035</v>
      </c>
      <c r="D46" s="485">
        <v>3.5</v>
      </c>
      <c r="E46" s="486">
        <v>3</v>
      </c>
      <c r="F46" s="487" t="s">
        <v>69</v>
      </c>
      <c r="G46" s="488">
        <f t="shared" si="10"/>
        <v>0</v>
      </c>
      <c r="H46" s="492">
        <f>SUMIF('预算书-初步'!A13:A2600,37,'预算书-初步'!P13:P2600)+SUMIF(其他!B9:B65,FA!C46,其他!E9:E65)</f>
        <v>0</v>
      </c>
      <c r="I46" s="492">
        <f>SUMIF(其他!B9:B65,FA!C46,其他!G9:G65)</f>
        <v>0</v>
      </c>
      <c r="J46" s="492">
        <f>SUMIF(其他!B9:B65,FA!C46,其他!I9:I65)</f>
        <v>0</v>
      </c>
      <c r="K46" s="492">
        <f>SUMIF(其他!B9:B65,FA!C46,其他!K9:K65)</f>
        <v>0</v>
      </c>
      <c r="L46" s="493">
        <f>SUMIF(其他!B9:B65,FA!C46,其他!M9:M65)</f>
        <v>0</v>
      </c>
      <c r="M46" s="492">
        <f>SUMIF('预算书-初步'!A13:A2600,"大甜37",'预算书-初步'!P13:P2600)+SUMIF(其他!B9:B65,FA!C46,其他!O9:O65)</f>
        <v>0</v>
      </c>
      <c r="N46" s="494">
        <f>SUMIF(其他!B9:B65,FA!C46,其他!Q9:Q65)</f>
        <v>0</v>
      </c>
    </row>
    <row r="47" ht="16.8" spans="1:14">
      <c r="A47" s="436">
        <v>38</v>
      </c>
      <c r="B47" s="495">
        <v>1360</v>
      </c>
      <c r="C47" s="484">
        <v>1036</v>
      </c>
      <c r="D47" s="485">
        <v>3.6</v>
      </c>
      <c r="E47" s="486">
        <v>3</v>
      </c>
      <c r="F47" s="487" t="s">
        <v>70</v>
      </c>
      <c r="G47" s="488">
        <f t="shared" si="10"/>
        <v>41284.4</v>
      </c>
      <c r="H47" s="492">
        <f>SUMIF('预算书-初步'!A13:A2600,38,'预算书-初步'!P13:P2600)+SUMIF(其他!B9:B65,FA!C47,其他!E9:E65)</f>
        <v>41284.4</v>
      </c>
      <c r="I47" s="492">
        <f>SUMIF(其他!B9:B65,FA!C47,其他!G9:G65)</f>
        <v>0</v>
      </c>
      <c r="J47" s="492">
        <f>SUMIF(其他!B9:B65,FA!C47,其他!K9:K65)</f>
        <v>0</v>
      </c>
      <c r="K47" s="492">
        <f>SUMIF(其他!B9:B65,FA!C47,其他!K9:K65)</f>
        <v>0</v>
      </c>
      <c r="L47" s="493">
        <f>SUMIF(其他!B9:B65,FA!C47,其他!M9:M65)</f>
        <v>0</v>
      </c>
      <c r="M47" s="492">
        <f>SUMIF('预算书-初步'!A13:A2600,"大甜38",'预算书-初步'!P13:P2600)+SUMIF(其他!B9:B65,FA!C47,其他!O9:O65)</f>
        <v>0</v>
      </c>
      <c r="N47" s="494">
        <f>SUMIF(其他!B9:B65,FA!C47,其他!Q9:Q65)</f>
        <v>0</v>
      </c>
    </row>
    <row r="48" ht="16.8" spans="1:14">
      <c r="A48" s="436">
        <v>39</v>
      </c>
      <c r="B48" s="475"/>
      <c r="C48" s="476" t="s">
        <v>71</v>
      </c>
      <c r="D48" s="477">
        <v>4</v>
      </c>
      <c r="E48" s="478">
        <v>2</v>
      </c>
      <c r="F48" s="479" t="s">
        <v>72</v>
      </c>
      <c r="G48" s="480">
        <f t="shared" ref="G48:N48" si="11">SUM(G49:G51)</f>
        <v>11678.15</v>
      </c>
      <c r="H48" s="480">
        <f t="shared" si="11"/>
        <v>11678.15</v>
      </c>
      <c r="I48" s="480">
        <f t="shared" si="11"/>
        <v>0</v>
      </c>
      <c r="J48" s="480">
        <f t="shared" si="11"/>
        <v>0</v>
      </c>
      <c r="K48" s="480">
        <f t="shared" si="11"/>
        <v>0</v>
      </c>
      <c r="L48" s="481">
        <f t="shared" si="11"/>
        <v>0</v>
      </c>
      <c r="M48" s="480">
        <f t="shared" si="11"/>
        <v>0</v>
      </c>
      <c r="N48" s="482">
        <f t="shared" si="11"/>
        <v>0</v>
      </c>
    </row>
    <row r="49" ht="16.8" spans="1:14">
      <c r="A49" s="436">
        <v>40</v>
      </c>
      <c r="B49" s="483">
        <v>1410</v>
      </c>
      <c r="C49" s="484" t="s">
        <v>73</v>
      </c>
      <c r="D49" s="485">
        <v>4.1</v>
      </c>
      <c r="E49" s="486">
        <v>3</v>
      </c>
      <c r="F49" s="487" t="s">
        <v>74</v>
      </c>
      <c r="G49" s="488">
        <f>SUM(H49:N49)</f>
        <v>8732</v>
      </c>
      <c r="H49" s="492">
        <f>SUMIF('预算书-初步'!A13:A2600,40,'预算书-初步'!P13:P2600)+SUMIF(其他!B9:B65,FA!C49,其他!E9:E65)</f>
        <v>8732</v>
      </c>
      <c r="I49" s="492">
        <f>SUMIF(其他!B9:B65,FA!C49,其他!G9:G65)</f>
        <v>0</v>
      </c>
      <c r="J49" s="492">
        <f>SUMIF(其他!B9:B65,FA!C49,其他!I9:I65)</f>
        <v>0</v>
      </c>
      <c r="K49" s="492">
        <f>SUMIF(其他!B9:B65,FA!C49,其他!K9:K65)</f>
        <v>0</v>
      </c>
      <c r="L49" s="493">
        <f>SUMIF(其他!B9:B65,FA!C49,其他!M9:M65)</f>
        <v>0</v>
      </c>
      <c r="M49" s="492">
        <f>SUMIF('预算书-初步'!A13:A2600,"大甜40",'预算书-初步'!P13:P2600)+SUMIF(其他!B9:B65,FA!C49,其他!O9:O65)</f>
        <v>0</v>
      </c>
      <c r="N49" s="494">
        <f>SUMIF(其他!B9:B65,FA!C49,其他!Q9:Q65)</f>
        <v>0</v>
      </c>
    </row>
    <row r="50" ht="16.8" spans="1:14">
      <c r="A50" s="436">
        <v>41</v>
      </c>
      <c r="B50" s="483">
        <v>1420</v>
      </c>
      <c r="C50" s="484" t="s">
        <v>75</v>
      </c>
      <c r="D50" s="485">
        <v>4.2</v>
      </c>
      <c r="E50" s="486">
        <v>3</v>
      </c>
      <c r="F50" s="487" t="s">
        <v>76</v>
      </c>
      <c r="G50" s="488">
        <f>SUM(H50:N50)</f>
        <v>2946.15</v>
      </c>
      <c r="H50" s="492">
        <f>SUMIF('预算书-初步'!A13:A2600,41,'预算书-初步'!P13:P2600)+SUMIF(其他!B9:B65,FA!C50,其他!E9:E65)</f>
        <v>2946.15</v>
      </c>
      <c r="I50" s="492">
        <f>SUMIF(其他!B9:B65,FA!C50,其他!G9:G65)</f>
        <v>0</v>
      </c>
      <c r="J50" s="492">
        <f>SUMIF(其他!B9:B65,FA!C50,其他!I9:I65)</f>
        <v>0</v>
      </c>
      <c r="K50" s="492">
        <f>SUMIF(其他!B9:B65,FA!C50,其他!K9:K65)</f>
        <v>0</v>
      </c>
      <c r="L50" s="493">
        <f>SUMIF(其他!B9:B65,FA!C50,其他!M9:M65)</f>
        <v>0</v>
      </c>
      <c r="M50" s="492">
        <f>SUMIF('预算书-初步'!A13:A2600,"大甜41",'预算书-初步'!P13:P2600)+SUMIF(其他!B9:B65,FA!C50,其他!O9:O65)</f>
        <v>0</v>
      </c>
      <c r="N50" s="494">
        <f>SUMIF(其他!B9:B65,FA!C50,其他!Q9:Q65)</f>
        <v>0</v>
      </c>
    </row>
    <row r="51" ht="16.8" spans="1:14">
      <c r="A51" s="436">
        <v>42</v>
      </c>
      <c r="B51" s="483">
        <v>1430</v>
      </c>
      <c r="C51" s="484" t="s">
        <v>77</v>
      </c>
      <c r="D51" s="485">
        <v>4.3</v>
      </c>
      <c r="E51" s="486">
        <v>3</v>
      </c>
      <c r="F51" s="487" t="s">
        <v>78</v>
      </c>
      <c r="G51" s="488">
        <f>SUM(H51:N51)</f>
        <v>0</v>
      </c>
      <c r="H51" s="492">
        <f>SUMIF(其他!B9:B65,FA!C51,其他!E9:E65)</f>
        <v>0</v>
      </c>
      <c r="I51" s="492">
        <f>SUMIF(其他!B9:B65,FA!C51,其他!G9:G65)</f>
        <v>0</v>
      </c>
      <c r="J51" s="492">
        <f>SUMIF(其他!B9:B65,FA!C51,其他!I9:I65)</f>
        <v>0</v>
      </c>
      <c r="K51" s="492">
        <f>SUMIF(其他!B9:B65,FA!C51,其他!K9:K65)</f>
        <v>0</v>
      </c>
      <c r="L51" s="493">
        <f>SUMIF(其他!B9:B65,FA!C51,其他!M9:M65)</f>
        <v>0</v>
      </c>
      <c r="M51" s="492">
        <f>SUMIF(其他!B9:B65,FA!C51,其他!O9:O65)</f>
        <v>0</v>
      </c>
      <c r="N51" s="494">
        <f>SUMIF(其他!B9:B65,FA!C51,其他!Q9:Q65)</f>
        <v>0</v>
      </c>
    </row>
    <row r="52" ht="16.8" spans="1:14">
      <c r="A52" s="436">
        <v>43</v>
      </c>
      <c r="B52" s="475"/>
      <c r="C52" s="476" t="s">
        <v>79</v>
      </c>
      <c r="D52" s="477">
        <v>5</v>
      </c>
      <c r="E52" s="478">
        <v>2</v>
      </c>
      <c r="F52" s="479" t="s">
        <v>80</v>
      </c>
      <c r="G52" s="480">
        <f t="shared" ref="G52:N52" si="12">SUM(G53:G60)</f>
        <v>21203.91</v>
      </c>
      <c r="H52" s="480">
        <f t="shared" si="12"/>
        <v>21203.91</v>
      </c>
      <c r="I52" s="480">
        <f t="shared" si="12"/>
        <v>0</v>
      </c>
      <c r="J52" s="480">
        <f t="shared" si="12"/>
        <v>0</v>
      </c>
      <c r="K52" s="480">
        <f t="shared" si="12"/>
        <v>0</v>
      </c>
      <c r="L52" s="481">
        <f t="shared" si="12"/>
        <v>0</v>
      </c>
      <c r="M52" s="480">
        <f t="shared" si="12"/>
        <v>0</v>
      </c>
      <c r="N52" s="482">
        <f t="shared" si="12"/>
        <v>0</v>
      </c>
    </row>
    <row r="53" ht="16.8" spans="1:14">
      <c r="A53" s="436">
        <v>44</v>
      </c>
      <c r="B53" s="483">
        <v>1510</v>
      </c>
      <c r="C53" s="484" t="s">
        <v>81</v>
      </c>
      <c r="D53" s="485">
        <v>5.1</v>
      </c>
      <c r="E53" s="486">
        <v>3</v>
      </c>
      <c r="F53" s="487" t="s">
        <v>82</v>
      </c>
      <c r="G53" s="488">
        <f t="shared" ref="G53:G60" si="13">SUM(H53:N53)</f>
        <v>21203.91</v>
      </c>
      <c r="H53" s="492">
        <f>SUMIF('预算书-初步'!A13:A2600,44,'预算书-初步'!P13:P2600)+SUMIF(其他!B9:B65,FA!C53,其他!E9:E65)</f>
        <v>21203.91</v>
      </c>
      <c r="I53" s="492">
        <f>SUMIF(其他!B9:B65,FA!C53,其他!G9:G65)</f>
        <v>0</v>
      </c>
      <c r="J53" s="492">
        <f>SUMIF(其他!B9:B65,FA!C53,其他!I9:I65)</f>
        <v>0</v>
      </c>
      <c r="K53" s="492">
        <f>SUMIF(其他!B9:B65,FA!C53,其他!K9:K65)</f>
        <v>0</v>
      </c>
      <c r="L53" s="493">
        <f>SUMIF(其他!B9:B65,FA!C53,其他!M9:M65)</f>
        <v>0</v>
      </c>
      <c r="M53" s="492">
        <f>SUMIF('预算书-初步'!A13:A2600,"大甜44",'预算书-初步'!P13:P2600)+SUMIF(其他!B9:B65,FA!C53,其他!O9:O65)</f>
        <v>0</v>
      </c>
      <c r="N53" s="494">
        <f>SUMIF(其他!B9:B65,FA!C53,其他!Q9:Q65)</f>
        <v>0</v>
      </c>
    </row>
    <row r="54" ht="16.8" spans="1:14">
      <c r="A54" s="436">
        <v>45</v>
      </c>
      <c r="B54" s="483">
        <v>1520</v>
      </c>
      <c r="C54" s="484" t="s">
        <v>83</v>
      </c>
      <c r="D54" s="485">
        <v>5.2</v>
      </c>
      <c r="E54" s="486">
        <v>3</v>
      </c>
      <c r="F54" s="487" t="s">
        <v>84</v>
      </c>
      <c r="G54" s="488">
        <f t="shared" si="13"/>
        <v>0</v>
      </c>
      <c r="H54" s="492">
        <f>SUMIF('预算书-初步'!A13:A2600,45,'预算书-初步'!P13:P2600)+SUMIF(其他!B9:B65,FA!C54,其他!E9:E65)</f>
        <v>0</v>
      </c>
      <c r="I54" s="492">
        <f>SUMIF(其他!B9:B65,FA!C54,其他!G9:G65)</f>
        <v>0</v>
      </c>
      <c r="J54" s="492">
        <f>SUMIF(其他!B9:B65,FA!C54,其他!I9:I65)</f>
        <v>0</v>
      </c>
      <c r="K54" s="492">
        <f>SUMIF(其他!B9:B65,FA!C54,其他!K9:K65)</f>
        <v>0</v>
      </c>
      <c r="L54" s="493">
        <f>SUMIF(其他!B9:B65,FA!C54,其他!M9:M65)</f>
        <v>0</v>
      </c>
      <c r="M54" s="492">
        <f>SUMIF('预算书-初步'!A13:A2600,"大甜45",'预算书-初步'!P13:P2600)+SUMIF(其他!B9:B65,FA!C54,其他!O9:O65)</f>
        <v>0</v>
      </c>
      <c r="N54" s="494">
        <f>SUMIF(其他!B9:B65,FA!C54,其他!Q9:Q65)</f>
        <v>0</v>
      </c>
    </row>
    <row r="55" ht="16.8" spans="1:14">
      <c r="A55" s="436">
        <v>46</v>
      </c>
      <c r="B55" s="483">
        <v>1530</v>
      </c>
      <c r="C55" s="484" t="s">
        <v>85</v>
      </c>
      <c r="D55" s="485">
        <v>5.3</v>
      </c>
      <c r="E55" s="486">
        <v>3</v>
      </c>
      <c r="F55" s="487" t="s">
        <v>86</v>
      </c>
      <c r="G55" s="488">
        <f t="shared" si="13"/>
        <v>0</v>
      </c>
      <c r="H55" s="492">
        <f>SUMIF('预算书-初步'!A13:A2600,46,'预算书-初步'!P13:P2600)+SUMIF(其他!B9:B65,FA!C55,其他!E9:E65)</f>
        <v>0</v>
      </c>
      <c r="I55" s="492">
        <f>SUMIF(其他!B9:B65,FA!C55,其他!G9:G65)</f>
        <v>0</v>
      </c>
      <c r="J55" s="492">
        <f>SUMIF(其他!B9:B65,FA!C55,其他!I9:I65)</f>
        <v>0</v>
      </c>
      <c r="K55" s="492">
        <f>SUMIF(其他!B9:B65,FA!C55,其他!K9:K65)</f>
        <v>0</v>
      </c>
      <c r="L55" s="493">
        <f>SUMIF(其他!B9:B65,FA!C55,其他!M9:M65)</f>
        <v>0</v>
      </c>
      <c r="M55" s="492">
        <f>SUMIF('预算书-初步'!A13:A2600,"大甜46",'预算书-初步'!P13:P2600)+SUMIF(其他!B9:B65,FA!C55,其他!O9:O65)</f>
        <v>0</v>
      </c>
      <c r="N55" s="494">
        <f>SUMIF(其他!B9:B65,FA!C55,其他!Q9:Q65)</f>
        <v>0</v>
      </c>
    </row>
    <row r="56" ht="16.8" spans="1:14">
      <c r="A56" s="436">
        <v>47</v>
      </c>
      <c r="B56" s="483" t="s">
        <v>87</v>
      </c>
      <c r="C56" s="484" t="s">
        <v>88</v>
      </c>
      <c r="D56" s="485">
        <v>5.4</v>
      </c>
      <c r="E56" s="486">
        <v>3</v>
      </c>
      <c r="F56" s="487" t="s">
        <v>89</v>
      </c>
      <c r="G56" s="488">
        <f t="shared" si="13"/>
        <v>0</v>
      </c>
      <c r="H56" s="492">
        <f>SUMIF('预算书-初步'!A13:A2600,47,'预算书-初步'!P13:P2600)+SUMIF(其他!B9:B65,FA!C56,其他!E9:E65)</f>
        <v>0</v>
      </c>
      <c r="I56" s="492">
        <f>SUMIF(其他!B9:B65,FA!C56,其他!G9:G65)</f>
        <v>0</v>
      </c>
      <c r="J56" s="492">
        <f>SUMIF(其他!B9:B65,FA!C56,其他!I9:I65)</f>
        <v>0</v>
      </c>
      <c r="K56" s="492">
        <f>SUMIF(其他!B9:B65,FA!C56,其他!K9:K65)</f>
        <v>0</v>
      </c>
      <c r="L56" s="493">
        <f>SUMIF(其他!B9:B65,FA!C56,其他!M9:M65)</f>
        <v>0</v>
      </c>
      <c r="M56" s="492">
        <f>SUMIF('预算书-初步'!A13:A2600,"大甜47",'预算书-初步'!P13:P2600)+SUMIF(其他!B9:B65,FA!C56,其他!O9:O65)</f>
        <v>0</v>
      </c>
      <c r="N56" s="494">
        <f>SUMIF(其他!B9:B65,FA!C56,其他!Q9:Q65)</f>
        <v>0</v>
      </c>
    </row>
    <row r="57" ht="16.8" spans="1:14">
      <c r="A57" s="436">
        <v>48</v>
      </c>
      <c r="B57" s="483" t="s">
        <v>90</v>
      </c>
      <c r="C57" s="484" t="s">
        <v>91</v>
      </c>
      <c r="D57" s="485">
        <v>5.5</v>
      </c>
      <c r="E57" s="486">
        <v>3</v>
      </c>
      <c r="F57" s="487" t="s">
        <v>92</v>
      </c>
      <c r="G57" s="488">
        <f t="shared" si="13"/>
        <v>0</v>
      </c>
      <c r="H57" s="492">
        <f>SUMIF('预算书-初步'!A13:A2600,48,'预算书-初步'!P13:P2600)+SUMIF(其他!B9:B65,FA!C57,其他!E9:E65)</f>
        <v>0</v>
      </c>
      <c r="I57" s="492">
        <f>SUMIF(其他!B9:B65,FA!C57,其他!G9:G65)</f>
        <v>0</v>
      </c>
      <c r="J57" s="492">
        <f>SUMIF(其他!B9:B65,FA!C57,其他!I9:I65)</f>
        <v>0</v>
      </c>
      <c r="K57" s="492">
        <f>SUMIF(其他!B9:B65,FA!C57,其他!K9:K65)</f>
        <v>0</v>
      </c>
      <c r="L57" s="493">
        <f>SUMIF(其他!B9:B65,FA!C57,其他!M9:M65)</f>
        <v>0</v>
      </c>
      <c r="M57" s="492">
        <f>SUMIF('预算书-初步'!A13:A2600,"大甜48",'预算书-初步'!P13:P2600)+SUMIF(其他!B9:B65,FA!C57,其他!O9:O65)</f>
        <v>0</v>
      </c>
      <c r="N57" s="494">
        <f>SUMIF(其他!B9:B65,FA!C57,其他!Q9:Q65)</f>
        <v>0</v>
      </c>
    </row>
    <row r="58" ht="16.8" spans="1:14">
      <c r="A58" s="436">
        <v>49</v>
      </c>
      <c r="B58" s="483" t="s">
        <v>93</v>
      </c>
      <c r="C58" s="484" t="s">
        <v>94</v>
      </c>
      <c r="D58" s="485">
        <v>5.6</v>
      </c>
      <c r="E58" s="486">
        <v>3</v>
      </c>
      <c r="F58" s="487" t="s">
        <v>95</v>
      </c>
      <c r="G58" s="488">
        <f t="shared" si="13"/>
        <v>0</v>
      </c>
      <c r="H58" s="492">
        <f>SUMIF('预算书-初步'!A13:A2600,49,'预算书-初步'!P13:P2600)+SUMIF(其他!B9:B65,FA!C58,其他!E9:E65)</f>
        <v>0</v>
      </c>
      <c r="I58" s="492">
        <f>SUMIF(其他!B9:B65,FA!C58,其他!G9:G65)</f>
        <v>0</v>
      </c>
      <c r="J58" s="492">
        <f>SUMIF(其他!B9:B65,FA!C58,其他!I9:I65)</f>
        <v>0</v>
      </c>
      <c r="K58" s="492">
        <f>SUMIF(其他!B9:B65,FA!C58,其他!K9:K65)</f>
        <v>0</v>
      </c>
      <c r="L58" s="493">
        <f>SUMIF(其他!B9:B65,FA!C58,其他!M9:M65)</f>
        <v>0</v>
      </c>
      <c r="M58" s="492">
        <f>SUMIF('预算书-初步'!A13:A2600,"大甜49",'预算书-初步'!P13:P2600)+SUMIF(其他!B9:B65,FA!C58,其他!O9:O65)</f>
        <v>0</v>
      </c>
      <c r="N58" s="494">
        <f>SUMIF(其他!B9:B65,FA!C58,其他!Q9:Q65)</f>
        <v>0</v>
      </c>
    </row>
    <row r="59" ht="16.8" spans="1:14">
      <c r="A59" s="436">
        <v>50</v>
      </c>
      <c r="B59" s="483" t="s">
        <v>96</v>
      </c>
      <c r="C59" s="484" t="s">
        <v>97</v>
      </c>
      <c r="D59" s="485">
        <v>5.7</v>
      </c>
      <c r="E59" s="486">
        <v>3</v>
      </c>
      <c r="F59" s="487" t="s">
        <v>98</v>
      </c>
      <c r="G59" s="488">
        <f t="shared" si="13"/>
        <v>0</v>
      </c>
      <c r="H59" s="492">
        <f>SUMIF('预算书-初步'!A13:A2600,50,'预算书-初步'!P13:P2600)+SUMIF(其他!B9:B65,FA!C59,其他!E9:E65)</f>
        <v>0</v>
      </c>
      <c r="I59" s="492">
        <f>SUMIF(其他!B9:B65,FA!C59,其他!G9:G65)</f>
        <v>0</v>
      </c>
      <c r="J59" s="492">
        <f>SUMIF(其他!B9:B65,FA!C59,其他!I9:I65)</f>
        <v>0</v>
      </c>
      <c r="K59" s="492">
        <f>SUMIF(其他!B9:B65,FA!C59,其他!K9:K65)</f>
        <v>0</v>
      </c>
      <c r="L59" s="493">
        <f>SUMIF(其他!B9:B65,FA!C59,其他!M9:M65)</f>
        <v>0</v>
      </c>
      <c r="M59" s="492">
        <f>SUMIF('预算书-初步'!A13:A2600,"大甜50",'预算书-初步'!P13:P2600)+SUMIF(其他!B9:B65,FA!C59,其他!O9:O65)</f>
        <v>0</v>
      </c>
      <c r="N59" s="494">
        <f>SUMIF(其他!B9:B65,FA!C59,其他!Q9:Q65)</f>
        <v>0</v>
      </c>
    </row>
    <row r="60" ht="16.8" spans="1:14">
      <c r="A60" s="436">
        <v>51</v>
      </c>
      <c r="B60" s="495">
        <v>1540</v>
      </c>
      <c r="C60" s="484" t="s">
        <v>99</v>
      </c>
      <c r="D60" s="485">
        <v>5.8</v>
      </c>
      <c r="E60" s="486">
        <v>3</v>
      </c>
      <c r="F60" s="487" t="s">
        <v>100</v>
      </c>
      <c r="G60" s="488">
        <f t="shared" si="13"/>
        <v>0</v>
      </c>
      <c r="H60" s="492">
        <f>SUMIF('预算书-初步'!A13:A2600,51,'预算书-初步'!P13:P2600)+SUMIF(其他!B9:B65,FA!C60,其他!E9:E65)</f>
        <v>0</v>
      </c>
      <c r="I60" s="492">
        <f>SUMIF(其他!B9:B65,FA!C60,其他!G9:G65)</f>
        <v>0</v>
      </c>
      <c r="J60" s="492">
        <f>SUMIF(其他!B9:B65,FA!C60,其他!I9:I65)</f>
        <v>0</v>
      </c>
      <c r="K60" s="492">
        <f>SUMIF(其他!B9:B65,FA!C60,其他!K9:K65)</f>
        <v>0</v>
      </c>
      <c r="L60" s="493">
        <f>SUMIF(其他!B9:B65,FA!C60,其他!M9:M65)</f>
        <v>0</v>
      </c>
      <c r="M60" s="492">
        <f>SUMIF('预算书-初步'!A13:A2600,"大甜51",'预算书-初步'!P13:P2600)+SUMIF(其他!B9:B65,FA!C60,其他!O9:O65)</f>
        <v>0</v>
      </c>
      <c r="N60" s="494">
        <f>SUMIF(其他!B9:B65,FA!C60,其他!Q9:Q65)</f>
        <v>0</v>
      </c>
    </row>
    <row r="61" ht="16.8" spans="1:14">
      <c r="A61" s="436">
        <v>52</v>
      </c>
      <c r="B61" s="475"/>
      <c r="C61" s="476" t="s">
        <v>101</v>
      </c>
      <c r="D61" s="477">
        <v>6</v>
      </c>
      <c r="E61" s="478">
        <v>2</v>
      </c>
      <c r="F61" s="479" t="s">
        <v>102</v>
      </c>
      <c r="G61" s="480">
        <f t="shared" ref="G61:N61" si="14">SUM(G62,G83,G88:G90)</f>
        <v>467729.55</v>
      </c>
      <c r="H61" s="480">
        <f t="shared" si="14"/>
        <v>451861.68</v>
      </c>
      <c r="I61" s="480">
        <f t="shared" si="14"/>
        <v>0</v>
      </c>
      <c r="J61" s="480">
        <f t="shared" si="14"/>
        <v>0</v>
      </c>
      <c r="K61" s="480">
        <f t="shared" si="14"/>
        <v>9027.2</v>
      </c>
      <c r="L61" s="481">
        <f t="shared" si="14"/>
        <v>6840.67</v>
      </c>
      <c r="M61" s="480">
        <f t="shared" si="14"/>
        <v>0</v>
      </c>
      <c r="N61" s="482">
        <f t="shared" si="14"/>
        <v>0</v>
      </c>
    </row>
    <row r="62" ht="16.8" spans="1:14">
      <c r="A62" s="436">
        <v>53</v>
      </c>
      <c r="B62" s="483"/>
      <c r="C62" s="484" t="s">
        <v>103</v>
      </c>
      <c r="D62" s="485">
        <v>6.1</v>
      </c>
      <c r="E62" s="486">
        <v>3</v>
      </c>
      <c r="F62" s="487" t="s">
        <v>104</v>
      </c>
      <c r="G62" s="499">
        <f t="shared" ref="G62:N62" si="15">SUM(G63,G74:G78,G81:G82)</f>
        <v>466157.35</v>
      </c>
      <c r="H62" s="499">
        <f t="shared" si="15"/>
        <v>450289.48</v>
      </c>
      <c r="I62" s="499">
        <f t="shared" si="15"/>
        <v>0</v>
      </c>
      <c r="J62" s="499">
        <f t="shared" si="15"/>
        <v>0</v>
      </c>
      <c r="K62" s="499">
        <f t="shared" si="15"/>
        <v>9027.2</v>
      </c>
      <c r="L62" s="500">
        <f t="shared" si="15"/>
        <v>6840.67</v>
      </c>
      <c r="M62" s="499">
        <f t="shared" si="15"/>
        <v>0</v>
      </c>
      <c r="N62" s="501">
        <f t="shared" si="15"/>
        <v>0</v>
      </c>
    </row>
    <row r="63" ht="16.8" spans="1:14">
      <c r="A63" s="436">
        <v>54</v>
      </c>
      <c r="B63" s="505" t="s">
        <v>105</v>
      </c>
      <c r="C63" s="506" t="s">
        <v>106</v>
      </c>
      <c r="D63" s="507" t="s">
        <v>107</v>
      </c>
      <c r="E63" s="508">
        <v>4</v>
      </c>
      <c r="F63" s="509" t="s">
        <v>108</v>
      </c>
      <c r="G63" s="499">
        <f t="shared" ref="G63:N63" si="16">SUM(G64:G73)</f>
        <v>176513.77</v>
      </c>
      <c r="H63" s="499">
        <f t="shared" si="16"/>
        <v>167483.83</v>
      </c>
      <c r="I63" s="499">
        <f t="shared" si="16"/>
        <v>0</v>
      </c>
      <c r="J63" s="499">
        <f t="shared" si="16"/>
        <v>0</v>
      </c>
      <c r="K63" s="499">
        <f t="shared" si="16"/>
        <v>4454.49</v>
      </c>
      <c r="L63" s="500">
        <f t="shared" si="16"/>
        <v>4575.45</v>
      </c>
      <c r="M63" s="499">
        <f t="shared" si="16"/>
        <v>0</v>
      </c>
      <c r="N63" s="501">
        <f t="shared" si="16"/>
        <v>0</v>
      </c>
    </row>
    <row r="64" ht="16.8" spans="1:14">
      <c r="A64" s="436">
        <v>55</v>
      </c>
      <c r="B64" s="483"/>
      <c r="C64" s="484" t="s">
        <v>109</v>
      </c>
      <c r="D64" s="485">
        <v>0</v>
      </c>
      <c r="E64" s="486">
        <v>5</v>
      </c>
      <c r="F64" s="510" t="s">
        <v>110</v>
      </c>
      <c r="G64" s="488">
        <f t="shared" ref="G64:G77" si="17">SUM(H64:N64)</f>
        <v>47306.12</v>
      </c>
      <c r="H64" s="492">
        <f>SUMIF('预算书-初步'!A13:A2600,55,'预算书-初步'!P13:P2600)+SUMIF(其他!B9:B65,FA!C64,其他!E9:E65)</f>
        <v>47306.12</v>
      </c>
      <c r="I64" s="492">
        <f>SUMIF(其他!B9:B65,FA!C64,其他!G9:G65)</f>
        <v>0</v>
      </c>
      <c r="J64" s="492">
        <f>SUMIF(其他!B9:B65,FA!C64,其他!I9:I65)</f>
        <v>0</v>
      </c>
      <c r="K64" s="492">
        <f>SUMIF(其他!B9:B65,FA!C64,其他!K9:K65)</f>
        <v>0</v>
      </c>
      <c r="L64" s="493">
        <f>SUMIF(其他!B9:B65,FA!C64,其他!M9:M65)</f>
        <v>0</v>
      </c>
      <c r="M64" s="492">
        <f>SUMIF('预算书-初步'!A13:A2600,"大甜55",'预算书-初步'!P13:P2600)+SUMIF(其他!B9:B65,FA!C64,其他!O9:O65)</f>
        <v>0</v>
      </c>
      <c r="N64" s="494">
        <f>SUMIF(其他!B9:B65,FA!C64,其他!Q9:Q65)</f>
        <v>0</v>
      </c>
    </row>
    <row r="65" ht="16.8" spans="1:14">
      <c r="A65" s="436">
        <v>56</v>
      </c>
      <c r="B65" s="483"/>
      <c r="C65" s="484" t="s">
        <v>111</v>
      </c>
      <c r="D65" s="485">
        <v>1</v>
      </c>
      <c r="E65" s="486">
        <v>5</v>
      </c>
      <c r="F65" s="510" t="s">
        <v>112</v>
      </c>
      <c r="G65" s="488">
        <f t="shared" si="17"/>
        <v>22412.42</v>
      </c>
      <c r="H65" s="492">
        <f>SUMIF('预算书-初步'!A13:A2600,56,'预算书-初步'!P13:P2600)+SUMIF(其他!B9:B65,FA!C65,其他!E9:E65)</f>
        <v>21078.96</v>
      </c>
      <c r="I65" s="492">
        <f>SUMIF('预算书-初步'!A13:A2600,8056,'预算书-初步'!P13:P2600)+SUMIF(其他!B9:B65,FA!C65,其他!G9:G65)</f>
        <v>0</v>
      </c>
      <c r="J65" s="492">
        <f>SUMIF('预算书-初步'!A13:A2600,7056,'预算书-初步'!P13:P2600)+SUMIF(其他!B9:B65,FA!C65,其他!I9:I65)</f>
        <v>0</v>
      </c>
      <c r="K65" s="492">
        <f>SUMIF(其他!B9:B65,FA!C65,其他!K9:K65)+SUMIF('预算书-初步'!A13:A2600,6056,'预算书-初步'!P13:P2600)</f>
        <v>577.54</v>
      </c>
      <c r="L65" s="493">
        <f>SUMIF(其他!B9:B65,FA!C65,其他!M9:M65)+SUMIF('预算书-初步'!A13:A2600,9056,'预算书-初步'!P13:P2600)</f>
        <v>755.92</v>
      </c>
      <c r="M65" s="492">
        <f>SUMIF('预算书-初步'!A13:A2600,"大甜56",'预算书-初步'!P13:P2600)+SUMIF(其他!B9:B65,FA!C65,其他!O9:O65)</f>
        <v>0</v>
      </c>
      <c r="N65" s="494">
        <f>SUMIF(其他!B9:B65,FA!C65,其他!Q9:Q65)</f>
        <v>0</v>
      </c>
    </row>
    <row r="66" ht="16.8" spans="1:14">
      <c r="A66" s="436">
        <v>57</v>
      </c>
      <c r="B66" s="483"/>
      <c r="C66" s="484" t="s">
        <v>113</v>
      </c>
      <c r="D66" s="485">
        <v>2</v>
      </c>
      <c r="E66" s="486">
        <v>5</v>
      </c>
      <c r="F66" s="510" t="s">
        <v>114</v>
      </c>
      <c r="G66" s="488">
        <f t="shared" si="17"/>
        <v>46323.3</v>
      </c>
      <c r="H66" s="492">
        <f>SUMIF('预算书-初步'!A13:A2600,57,'预算书-初步'!P13:P2600)+SUMIF(其他!B9:B65,FA!C66,其他!E9:E65)</f>
        <v>42248.99</v>
      </c>
      <c r="I66" s="492">
        <f>SUMIF('预算书-初步'!A13:A2600,8057,'预算书-初步'!P13:P2600)+SUMIF(其他!B9:B65,FA!C66,其他!G9:G65)</f>
        <v>0</v>
      </c>
      <c r="J66" s="492">
        <f>SUMIF('预算书-初步'!A13:A2600,7057,'预算书-初步'!P13:P2600)+SUMIF(其他!B9:B65,FA!C66,其他!I9:I65)</f>
        <v>0</v>
      </c>
      <c r="K66" s="492">
        <f>SUMIF(其他!B9:B65,FA!C66,其他!K9:K65)+SUMIF('预算书-初步'!A13:A2600,6057,'预算书-初步'!P13:P2600)</f>
        <v>254.78</v>
      </c>
      <c r="L66" s="493">
        <f>SUMIF('预算书-初步'!A13:A2600,9057,'预算书-初步'!P13:P2600)+SUMIF(其他!B9:B65,FA!C66,其他!M9:M65)</f>
        <v>3819.53</v>
      </c>
      <c r="M66" s="492">
        <f>SUMIF('预算书-初步'!A13:A2600,"大甜57",'预算书-初步'!P13:P2600)+SUMIF(其他!B9:B65,FA!C66,其他!O9:O65)</f>
        <v>0</v>
      </c>
      <c r="N66" s="494">
        <f>SUMIF(其他!B9:B65,FA!C66,其他!Q9:Q65)</f>
        <v>0</v>
      </c>
    </row>
    <row r="67" ht="16.8" spans="1:14">
      <c r="A67" s="436">
        <v>58</v>
      </c>
      <c r="B67" s="483"/>
      <c r="C67" s="484" t="s">
        <v>115</v>
      </c>
      <c r="D67" s="485">
        <v>3</v>
      </c>
      <c r="E67" s="486">
        <v>5</v>
      </c>
      <c r="F67" s="510" t="s">
        <v>116</v>
      </c>
      <c r="G67" s="488">
        <f t="shared" si="17"/>
        <v>19460.54</v>
      </c>
      <c r="H67" s="492">
        <f>SUMIF('预算书-初步'!A13:A2600,58,'预算书-初步'!P13:P2600)+SUMIF(其他!B9:B65,FA!C67,其他!E9:E65)</f>
        <v>18578.17</v>
      </c>
      <c r="I67" s="492">
        <f>SUMIF('预算书-初步'!A13:A2600,8058,'预算书-初步'!P13:P2600)+SUMIF(其他!B9:B65,FA!C67,其他!G9:G65)</f>
        <v>0</v>
      </c>
      <c r="J67" s="492">
        <f>SUMIF('预算书-初步'!A13:A2600,7058,'预算书-初步'!P13:P2600)+SUMIF(其他!B9:B65,FA!C67,其他!I9:I65)</f>
        <v>0</v>
      </c>
      <c r="K67" s="492">
        <f>SUMIF(其他!B9:B65,FA!C67,其他!K9:K65)+SUMIF('预算书-初步'!A13:A2600,6058,'预算书-初步'!P13:P2600)</f>
        <v>882.37</v>
      </c>
      <c r="L67" s="493">
        <f>SUMIF(其他!B9:B65,FA!C67,其他!M9:M65)+SUMIF('预算书-初步'!A13:A2600,9058,'预算书-初步'!P13:P2600)</f>
        <v>0</v>
      </c>
      <c r="M67" s="492">
        <f>SUMIF('预算书-初步'!A13:A2600,"大甜58",'预算书-初步'!P13:P2600)+SUMIF(其他!B9:B65,FA!C67,其他!O9:O65)</f>
        <v>0</v>
      </c>
      <c r="N67" s="494">
        <f>SUMIF(其他!B9:B65,FA!C67,其他!Q9:Q65)</f>
        <v>0</v>
      </c>
    </row>
    <row r="68" ht="16.8" spans="1:14">
      <c r="A68" s="436">
        <v>59</v>
      </c>
      <c r="B68" s="483"/>
      <c r="C68" s="484" t="s">
        <v>117</v>
      </c>
      <c r="D68" s="485">
        <v>4</v>
      </c>
      <c r="E68" s="486">
        <v>5</v>
      </c>
      <c r="F68" s="510" t="s">
        <v>118</v>
      </c>
      <c r="G68" s="488">
        <f t="shared" si="17"/>
        <v>11760.55</v>
      </c>
      <c r="H68" s="492">
        <f>SUMIF('预算书-初步'!A13:A2600,59,'预算书-初步'!P13:P2600)+SUMIF(其他!B9:B65,FA!C68,其他!E9:E65)</f>
        <v>11760.55</v>
      </c>
      <c r="I68" s="492">
        <f>SUMIF('预算书-初步'!A13:A2600,8059,'预算书-初步'!P13:P2600)+SUMIF(其他!B9:B65,FA!C68,其他!G9:G65)</f>
        <v>0</v>
      </c>
      <c r="J68" s="492">
        <f>SUMIF('预算书-初步'!A13:A2600,7059,'预算书-初步'!P13:P2600)+SUMIF(其他!B9:B65,FA!C68,其他!I9:I65)</f>
        <v>0</v>
      </c>
      <c r="K68" s="492">
        <f>SUMIF(其他!B9:B65,FA!C68,其他!K9:K65)</f>
        <v>0</v>
      </c>
      <c r="L68" s="493">
        <f>SUMIF(其他!B9:B65,FA!C68,其他!M9:M65)</f>
        <v>0</v>
      </c>
      <c r="M68" s="492">
        <f>SUMIF('预算书-初步'!A13:A2600,"大甜59",'预算书-初步'!P13:P2600)+SUMIF(其他!B9:B65,FA!C68,其他!O9:O65)</f>
        <v>0</v>
      </c>
      <c r="N68" s="494">
        <f>SUMIF(其他!B9:B65,FA!C68,其他!Q9:Q65)</f>
        <v>0</v>
      </c>
    </row>
    <row r="69" ht="16.8" spans="1:14">
      <c r="A69" s="436">
        <v>60</v>
      </c>
      <c r="B69" s="483"/>
      <c r="C69" s="484" t="s">
        <v>119</v>
      </c>
      <c r="D69" s="485">
        <v>5</v>
      </c>
      <c r="E69" s="486">
        <v>5</v>
      </c>
      <c r="F69" s="510" t="s">
        <v>120</v>
      </c>
      <c r="G69" s="488">
        <f t="shared" si="17"/>
        <v>3869.8</v>
      </c>
      <c r="H69" s="492">
        <f>SUMIF('预算书-初步'!A13:A2600,60,'预算书-初步'!P13:P2600)+SUMIF(其他!B9:B65,FA!C69,其他!E9:E65)</f>
        <v>1130</v>
      </c>
      <c r="I69" s="492">
        <f>SUMIF('预算书-初步'!A13:A2600,8060,'预算书-初步'!P13:P2600)+SUMIF(其他!B9:B65,FA!C69,其他!G9:G65)</f>
        <v>0</v>
      </c>
      <c r="J69" s="492">
        <f>SUMIF('预算书-初步'!A13:A2600,7060,'预算书-初步'!P13:P2600)+SUMIF(其他!B9:B65,FA!C69,其他!I9:I65)</f>
        <v>0</v>
      </c>
      <c r="K69" s="492">
        <f>SUMIF('预算书-初步'!A13:A2600,6060,'预算书-初步'!P13:P2600)+SUMIF(其他!B9:B65,FA!C69,其他!K9:K65)</f>
        <v>2739.8</v>
      </c>
      <c r="L69" s="493">
        <f>SUMIF(其他!B9:B65,FA!C69,其他!M9:M65)</f>
        <v>0</v>
      </c>
      <c r="M69" s="492">
        <f>SUMIF('预算书-初步'!A13:A2600,"大甜60",'预算书-初步'!P13:P2600)+SUMIF(其他!B9:B65,FA!C69,其他!O9:O65)</f>
        <v>0</v>
      </c>
      <c r="N69" s="494">
        <f>SUMIF('预算书-初步'!A13:A2600,"甜吧60",'预算书-初步'!P13:P2600)+SUMIF(其他!B9:B65,FA!C69,其他!Q9:Q65)</f>
        <v>0</v>
      </c>
    </row>
    <row r="70" ht="16.8" spans="1:14">
      <c r="A70" s="436">
        <v>61</v>
      </c>
      <c r="B70" s="483"/>
      <c r="C70" s="484" t="s">
        <v>121</v>
      </c>
      <c r="D70" s="485">
        <v>6</v>
      </c>
      <c r="E70" s="486">
        <v>5</v>
      </c>
      <c r="F70" s="510" t="s">
        <v>122</v>
      </c>
      <c r="G70" s="488">
        <f t="shared" si="17"/>
        <v>1991.08</v>
      </c>
      <c r="H70" s="492">
        <f>SUMIF('预算书-初步'!A13:A2600,61,'预算书-初步'!P13:P2600)+SUMIF(其他!B9:B65,FA!C70,其他!E9:E65)</f>
        <v>1991.08</v>
      </c>
      <c r="I70" s="492">
        <f>SUMIF(其他!B9:B65,FA!C70,其他!G9:G65)</f>
        <v>0</v>
      </c>
      <c r="J70" s="492">
        <f>SUMIF(其他!B9:B65,FA!C70,其他!I9:I65)</f>
        <v>0</v>
      </c>
      <c r="K70" s="492">
        <f>SUMIF(其他!B9:B65,FA!C70,其他!K9:K65)</f>
        <v>0</v>
      </c>
      <c r="L70" s="493">
        <f>SUMIF(其他!B9:B65,FA!C70,其他!M9:M65)</f>
        <v>0</v>
      </c>
      <c r="M70" s="492">
        <f>SUMIF('预算书-初步'!A13:A2600,"大甜61",'预算书-初步'!P13:P2600)+SUMIF(其他!B9:B65,FA!C70,其他!O9:O65)</f>
        <v>0</v>
      </c>
      <c r="N70" s="494">
        <f>SUMIF(其他!B9:B65,FA!C70,其他!Q9:Q65)</f>
        <v>0</v>
      </c>
    </row>
    <row r="71" ht="16.8" spans="1:14">
      <c r="A71" s="436">
        <v>62</v>
      </c>
      <c r="B71" s="511"/>
      <c r="C71" s="484" t="s">
        <v>123</v>
      </c>
      <c r="D71" s="485">
        <v>7</v>
      </c>
      <c r="E71" s="486">
        <v>5</v>
      </c>
      <c r="F71" s="510" t="s">
        <v>124</v>
      </c>
      <c r="G71" s="488">
        <f t="shared" si="17"/>
        <v>0</v>
      </c>
      <c r="H71" s="492">
        <f>SUMIF('预算书-初步'!A13:A2600,62,'预算书-初步'!P13:P2600)+SUMIF(其他!B9:B65,FA!C71,其他!E9:E65)</f>
        <v>0</v>
      </c>
      <c r="I71" s="492">
        <f>SUMIF(其他!B9:B65,FA!C71,其他!G9:G65)</f>
        <v>0</v>
      </c>
      <c r="J71" s="492">
        <f>SUMIF(其他!B9:B65,FA!C71,其他!I9:I65)</f>
        <v>0</v>
      </c>
      <c r="K71" s="492">
        <f>SUMIF(其他!B9:B65,FA!C71,其他!K9:K65)</f>
        <v>0</v>
      </c>
      <c r="L71" s="493">
        <f>SUMIF(其他!B9:B65,FA!C71,其他!M9:M65)</f>
        <v>0</v>
      </c>
      <c r="M71" s="492">
        <f>SUMIF('预算书-初步'!A13:A2600,"大甜62",'预算书-初步'!P13:P2600)+SUMIF(其他!B9:B65,FA!C71,其他!O9:O65)</f>
        <v>0</v>
      </c>
      <c r="N71" s="494">
        <f>SUMIF(其他!B9:B65,FA!C71,其他!Q9:Q65)</f>
        <v>0</v>
      </c>
    </row>
    <row r="72" ht="16.8" spans="1:14">
      <c r="A72" s="436">
        <v>63</v>
      </c>
      <c r="B72" s="511"/>
      <c r="C72" s="484" t="s">
        <v>125</v>
      </c>
      <c r="D72" s="485">
        <v>8</v>
      </c>
      <c r="E72" s="486">
        <v>5</v>
      </c>
      <c r="F72" s="510" t="s">
        <v>126</v>
      </c>
      <c r="G72" s="488">
        <f t="shared" si="17"/>
        <v>5899.43</v>
      </c>
      <c r="H72" s="492">
        <f>SUMIF('预算书-初步'!A13:A2600,63,'预算书-初步'!P13:P2600)+SUMIF(其他!B9:B65,FA!C72,其他!E9:E65)</f>
        <v>5899.43</v>
      </c>
      <c r="I72" s="492">
        <f>SUMIF(其他!B9:B65,FA!C72,其他!G9:G65)</f>
        <v>0</v>
      </c>
      <c r="J72" s="492">
        <f>SUMIF(其他!B9:B65,FA!C72,其他!I9:I65)</f>
        <v>0</v>
      </c>
      <c r="K72" s="492">
        <f>SUMIF(其他!B9:B65,FA!C72,其他!K9:K65)</f>
        <v>0</v>
      </c>
      <c r="L72" s="493">
        <f>SUMIF(其他!B9:B65,FA!C72,其他!M9:M65)</f>
        <v>0</v>
      </c>
      <c r="M72" s="492">
        <f>SUMIF('预算书-初步'!A13:A2600,"大甜63",'预算书-初步'!P13:P2600)+SUMIF(其他!B9:B65,FA!C72,其他!O9:O65)</f>
        <v>0</v>
      </c>
      <c r="N72" s="494">
        <f>SUMIF(其他!B9:B65,FA!C72,其他!Q9:Q65)</f>
        <v>0</v>
      </c>
    </row>
    <row r="73" ht="16.8" spans="1:14">
      <c r="A73" s="436">
        <v>64</v>
      </c>
      <c r="B73" s="511"/>
      <c r="C73" s="484" t="s">
        <v>127</v>
      </c>
      <c r="D73" s="485">
        <v>9</v>
      </c>
      <c r="E73" s="486">
        <v>5</v>
      </c>
      <c r="F73" s="510" t="s">
        <v>128</v>
      </c>
      <c r="G73" s="488">
        <f t="shared" si="17"/>
        <v>17490.53</v>
      </c>
      <c r="H73" s="492">
        <f>SUMIF('预算书-初步'!A13:A2600,64,'预算书-初步'!P13:P2600)+SUMIF(其他!B9:B65,FA!C73,其他!E9:E65)</f>
        <v>17490.53</v>
      </c>
      <c r="I73" s="492">
        <f>SUMIF('预算书-初步'!A13:A2600,8064,'预算书-初步'!P13:P2600)+SUMIF(其他!B9:B65,FA!C73,其他!G9:G65)</f>
        <v>0</v>
      </c>
      <c r="J73" s="492">
        <f>SUMIF('预算书-初步'!A13:A2600,7064,'预算书-初步'!P13:P2600)+SUMIF(其他!B9:B65,FA!C73,其他!I9:I65)</f>
        <v>0</v>
      </c>
      <c r="K73" s="492">
        <f>SUMIF('预算书-初步'!A13:A2600,6064,'预算书-初步'!P13:P2600)+SUMIF(其他!B9:B65,FA!C73,其他!K9:K65)</f>
        <v>0</v>
      </c>
      <c r="L73" s="493">
        <f>SUMIF(其他!B9:B65,FA!C73,其他!M9:M65)</f>
        <v>0</v>
      </c>
      <c r="M73" s="492">
        <f>SUMIF('预算书-初步'!A13:A2600,"大甜64",'预算书-初步'!P13:P2600)+SUMIF(其他!B9:B65,FA!C73,其他!O9:O65)</f>
        <v>0</v>
      </c>
      <c r="N73" s="494">
        <f>SUMIF('预算书-初步'!A15:A1669,"甜吧64",'预算书-初步'!P15:P1674)+SUMIF(其他!B9:B65,FA!C73,其他!Q9:Q65)</f>
        <v>0</v>
      </c>
    </row>
    <row r="74" ht="16.8" spans="1:14">
      <c r="A74" s="436">
        <v>65</v>
      </c>
      <c r="B74" s="505" t="s">
        <v>129</v>
      </c>
      <c r="C74" s="506" t="s">
        <v>130</v>
      </c>
      <c r="D74" s="507" t="s">
        <v>131</v>
      </c>
      <c r="E74" s="508">
        <v>4</v>
      </c>
      <c r="F74" s="509" t="s">
        <v>132</v>
      </c>
      <c r="G74" s="488">
        <f t="shared" si="17"/>
        <v>32249.61</v>
      </c>
      <c r="H74" s="492">
        <f>SUMIF('预算书-初步'!A13:A2600,65,'预算书-初步'!P13:P2600)+SUMIF(其他!B9:B65,FA!C74,其他!E9:E65)</f>
        <v>32249.61</v>
      </c>
      <c r="I74" s="492">
        <f>SUMIF(其他!B9:B65,FA!C74,其他!G9:G65)</f>
        <v>0</v>
      </c>
      <c r="J74" s="492">
        <f>SUMIF(其他!B9:B65,FA!C74,其他!I9:I65)</f>
        <v>0</v>
      </c>
      <c r="K74" s="492">
        <f>SUMIF(其他!B9:B65,FA!C74,其他!K9:K65)</f>
        <v>0</v>
      </c>
      <c r="L74" s="493">
        <f>SUMIF(其他!B9:B65,FA!C74,其他!M9:M65)</f>
        <v>0</v>
      </c>
      <c r="M74" s="492">
        <f>SUMIF('预算书-初步'!A13:A2600,"大甜65",'预算书-初步'!P13:P2600)+SUMIF(其他!B9:B65,FA!C74,其他!O9:O65)</f>
        <v>0</v>
      </c>
      <c r="N74" s="494">
        <f>SUMIF(其他!B9:B65,FA!C74,其他!Q9:Q65)</f>
        <v>0</v>
      </c>
    </row>
    <row r="75" ht="16.8" spans="1:14">
      <c r="A75" s="436">
        <v>66</v>
      </c>
      <c r="B75" s="511">
        <v>1644</v>
      </c>
      <c r="C75" s="484" t="s">
        <v>133</v>
      </c>
      <c r="D75" s="485" t="s">
        <v>134</v>
      </c>
      <c r="E75" s="486">
        <v>4</v>
      </c>
      <c r="F75" s="491" t="s">
        <v>135</v>
      </c>
      <c r="G75" s="488">
        <f t="shared" si="17"/>
        <v>0</v>
      </c>
      <c r="H75" s="492">
        <f>SUMIF('预算书-初步'!A13:A2600,66,'预算书-初步'!P13:P2600)+SUMIF(其他!B9:B65,FA!C75,其他!E9:E65)</f>
        <v>0</v>
      </c>
      <c r="I75" s="492">
        <f>SUMIF('预算书-初步'!A13:A2600,8066,'预算书-初步'!P13:P2600)+SUMIF(其他!B9:B65,FA!C75,其他!G9:G65)</f>
        <v>0</v>
      </c>
      <c r="J75" s="492">
        <f>SUMIF('预算书-初步'!A13:A2600,7066,'预算书-初步'!P13:P2600)+SUMIF(其他!B9:B65,FA!C75,其他!I9:I65)</f>
        <v>0</v>
      </c>
      <c r="K75" s="492">
        <f>SUMIF(其他!B9:B65,FA!C75,其他!K9:K65)</f>
        <v>0</v>
      </c>
      <c r="L75" s="493">
        <f>SUMIF(其他!B9:B65,FA!C75,其他!M9:M65)</f>
        <v>0</v>
      </c>
      <c r="M75" s="492">
        <f>SUMIF('预算书-初步'!A13:A2600,"大甜66",'预算书-初步'!P13:P2600)+SUMIF(其他!B9:B65,FA!C75,其他!O9:O65)</f>
        <v>0</v>
      </c>
      <c r="N75" s="494">
        <f>SUMIF(其他!B9:B65,FA!C75,其他!Q9:Q65)</f>
        <v>0</v>
      </c>
    </row>
    <row r="76" ht="16.8" spans="1:14">
      <c r="A76" s="436">
        <v>67</v>
      </c>
      <c r="B76" s="511">
        <v>1645</v>
      </c>
      <c r="C76" s="484" t="s">
        <v>136</v>
      </c>
      <c r="D76" s="485" t="s">
        <v>137</v>
      </c>
      <c r="E76" s="486">
        <v>4</v>
      </c>
      <c r="F76" s="491" t="s">
        <v>138</v>
      </c>
      <c r="G76" s="488">
        <f t="shared" si="17"/>
        <v>2120.68</v>
      </c>
      <c r="H76" s="492">
        <f>SUMIF('预算书-初步'!A13:A2600,67,'预算书-初步'!P13:P2600)+SUMIF(其他!B9:B65,FA!C76,其他!E9:E65)</f>
        <v>2120.68</v>
      </c>
      <c r="I76" s="512">
        <f>SUMIF(其他!B9:B65,FA!C76,其他!G9:G65)</f>
        <v>0</v>
      </c>
      <c r="J76" s="512">
        <f>SUMIF(其他!B9:B65,FA!C76,其他!I9:I65)</f>
        <v>0</v>
      </c>
      <c r="K76" s="512">
        <f>SUMIF(其他!B9:B65,FA!C76,其他!K9:K65)</f>
        <v>0</v>
      </c>
      <c r="L76" s="513">
        <f>SUMIF(其他!B9:B65,FA!C76,其他!M9:M65)</f>
        <v>0</v>
      </c>
      <c r="M76" s="492">
        <f>SUMIF('预算书-初步'!A13:A2600,"大甜67",'预算书-初步'!P13:P2600)+SUMIF(其他!B9:B65,FA!C76,其他!O9:O65)</f>
        <v>0</v>
      </c>
      <c r="N76" s="514">
        <f>SUMIF(其他!B9:B65,FA!C76,其他!Q9:Q65)</f>
        <v>0</v>
      </c>
    </row>
    <row r="77" ht="16.8" spans="1:14">
      <c r="A77" s="436">
        <v>68</v>
      </c>
      <c r="B77" s="495">
        <v>1612</v>
      </c>
      <c r="C77" s="484" t="s">
        <v>139</v>
      </c>
      <c r="D77" s="485" t="s">
        <v>140</v>
      </c>
      <c r="E77" s="486">
        <v>4</v>
      </c>
      <c r="F77" s="491" t="s">
        <v>141</v>
      </c>
      <c r="G77" s="488">
        <f t="shared" si="17"/>
        <v>114957.94</v>
      </c>
      <c r="H77" s="492">
        <f>SUMIF('预算书-初步'!A13:A2600,68,'预算书-初步'!P13:P2600)+SUMIF(其他!B9:B65,FA!C77,其他!E9:E65)</f>
        <v>108120.01</v>
      </c>
      <c r="I77" s="492">
        <f>SUMIF('预算书-初步'!A13:A2600,8068,'预算书-初步'!P13:P2600)+SUMIF(其他!B9:B65,FA!C77,其他!G9:G65)</f>
        <v>0</v>
      </c>
      <c r="J77" s="492">
        <f>SUMIF('预算书-初步'!A13:A2600,7068,'预算书-初步'!P13:P2600)+SUMIF(其他!B9:B65,FA!C77,其他!I9:I65)</f>
        <v>0</v>
      </c>
      <c r="K77" s="492">
        <f>SUMIF('预算书-初步'!A13:A2600,6068,'预算书-初步'!P13:P2600)+SUMIF(其他!B9:B65,FA!C77,其他!K9:K65)</f>
        <v>4572.71</v>
      </c>
      <c r="L77" s="493">
        <f>SUMIF('预算书-初步'!A13:A2600,9068,'预算书-初步'!P13:P2600)+SUMIF(其他!B9:B65,FA!C77,其他!M9:M65)</f>
        <v>2265.22</v>
      </c>
      <c r="M77" s="492">
        <f>SUMIF('预算书-初步'!A13:A2600,"大甜68",'预算书-初步'!P13:P2600)+SUMIF(其他!B9:B65,FA!C77,其他!O9:O65)</f>
        <v>0</v>
      </c>
      <c r="N77" s="494">
        <f>SUMIF('预算书-初步'!A19:A1673,"甜吧68",'预算书-初步'!P19:P1678)+SUMIF(其他!B9:B65,FA!C77,其他!Q9:Q65)</f>
        <v>0</v>
      </c>
    </row>
    <row r="78" ht="16.8" spans="1:14">
      <c r="A78" s="436">
        <v>69</v>
      </c>
      <c r="B78" s="495">
        <v>1646</v>
      </c>
      <c r="C78" s="484" t="s">
        <v>142</v>
      </c>
      <c r="D78" s="485" t="s">
        <v>143</v>
      </c>
      <c r="E78" s="486">
        <v>4</v>
      </c>
      <c r="F78" s="491" t="s">
        <v>144</v>
      </c>
      <c r="G78" s="488">
        <f t="shared" ref="G78:N78" si="18">SUM(G79:G80)</f>
        <v>17831.82</v>
      </c>
      <c r="H78" s="488">
        <f t="shared" si="18"/>
        <v>17831.82</v>
      </c>
      <c r="I78" s="488">
        <f t="shared" si="18"/>
        <v>0</v>
      </c>
      <c r="J78" s="488">
        <f t="shared" si="18"/>
        <v>0</v>
      </c>
      <c r="K78" s="488">
        <f t="shared" si="18"/>
        <v>0</v>
      </c>
      <c r="L78" s="489">
        <f t="shared" si="18"/>
        <v>0</v>
      </c>
      <c r="M78" s="488">
        <f t="shared" si="18"/>
        <v>0</v>
      </c>
      <c r="N78" s="490">
        <f t="shared" si="18"/>
        <v>0</v>
      </c>
    </row>
    <row r="79" ht="16.8" spans="1:14">
      <c r="A79" s="436">
        <v>70</v>
      </c>
      <c r="B79" s="495"/>
      <c r="C79" s="484" t="s">
        <v>145</v>
      </c>
      <c r="D79" s="485">
        <v>1</v>
      </c>
      <c r="E79" s="486">
        <v>5</v>
      </c>
      <c r="F79" s="510" t="s">
        <v>146</v>
      </c>
      <c r="G79" s="488">
        <f>SUM(H79:N79)</f>
        <v>14410.2</v>
      </c>
      <c r="H79" s="492">
        <f>SUMIF('预算书-初步'!A13:A2600,70,'预算书-初步'!P13:P2600)+SUMIF(其他!B9:B65,FA!C79,其他!E9:E65)</f>
        <v>14410.2</v>
      </c>
      <c r="I79" s="492">
        <f>SUMIF('预算书-初步'!A13:A2600,8070,'预算书-初步'!P13:P2600)+SUMIF(其他!B9:B65,FA!C79,其他!G9:G65)</f>
        <v>0</v>
      </c>
      <c r="J79" s="492">
        <f>SUMIF(其他!B9:B65,FA!C79,其他!I9:I65)</f>
        <v>0</v>
      </c>
      <c r="K79" s="492">
        <f>SUMIF(其他!B9:B65,FA!C79,其他!K9:K65)</f>
        <v>0</v>
      </c>
      <c r="L79" s="493">
        <f>SUMIF(其他!B9:B65,FA!C79,其他!M9:M65)</f>
        <v>0</v>
      </c>
      <c r="M79" s="492">
        <f>SUMIF('预算书-初步'!A13:A2600,"大甜70",'预算书-初步'!P13:P2600)+SUMIF(其他!B9:B65,FA!C79,其他!O9:O65)</f>
        <v>0</v>
      </c>
      <c r="N79" s="494">
        <f>SUMIF(其他!B9:B65,FA!C79,其他!Q9:Q65)</f>
        <v>0</v>
      </c>
    </row>
    <row r="80" ht="16.8" spans="1:14">
      <c r="A80" s="436">
        <v>71</v>
      </c>
      <c r="B80" s="495"/>
      <c r="C80" s="484" t="s">
        <v>147</v>
      </c>
      <c r="D80" s="485">
        <v>2</v>
      </c>
      <c r="E80" s="486">
        <v>5</v>
      </c>
      <c r="F80" s="510" t="s">
        <v>148</v>
      </c>
      <c r="G80" s="488">
        <f>SUM(H80:N80)</f>
        <v>3421.62</v>
      </c>
      <c r="H80" s="492">
        <f>SUMIF('预算书-初步'!A13:A2600,71,'预算书-初步'!P13:P2600)+SUMIF(其他!B9:B65,FA!C80,其他!E9:E65)</f>
        <v>3421.62</v>
      </c>
      <c r="I80" s="492">
        <f>SUMIF(其他!B9:B65,FA!C80,其他!G9:G65)</f>
        <v>0</v>
      </c>
      <c r="J80" s="492">
        <f>SUMIF(其他!B9:B65,FA!C80,其他!I9:I65)</f>
        <v>0</v>
      </c>
      <c r="K80" s="492">
        <f>SUMIF(其他!B9:B65,FA!C80,其他!K9:K65)</f>
        <v>0</v>
      </c>
      <c r="L80" s="493">
        <f>SUMIF(其他!B9:B65,FA!C80,其他!M9:M65)</f>
        <v>0</v>
      </c>
      <c r="M80" s="492">
        <f>SUMIF('预算书-初步'!A13:A2600,"大甜71",'预算书-初步'!P13:P2600)+SUMIF(其他!B9:B65,FA!C80,其他!O9:O65)</f>
        <v>0</v>
      </c>
      <c r="N80" s="494">
        <f>SUMIF(其他!B9:B65,FA!C80,其他!Q9:Q65)</f>
        <v>0</v>
      </c>
    </row>
    <row r="81" ht="16.8" spans="1:14">
      <c r="A81" s="436">
        <v>72</v>
      </c>
      <c r="B81" s="495">
        <v>1613</v>
      </c>
      <c r="C81" s="484" t="s">
        <v>149</v>
      </c>
      <c r="D81" s="485" t="s">
        <v>150</v>
      </c>
      <c r="E81" s="486">
        <v>4</v>
      </c>
      <c r="F81" s="491" t="s">
        <v>151</v>
      </c>
      <c r="G81" s="488">
        <f>SUM(H81:N81)</f>
        <v>27735.24</v>
      </c>
      <c r="H81" s="492">
        <f>SUMIF('预算书-初步'!A13:A2600,72,'预算书-初步'!P13:P2600)+SUMIF(其他!B9:B65,FA!C81,其他!E9:E65)</f>
        <v>27735.24</v>
      </c>
      <c r="I81" s="492">
        <f>SUMIF('预算书-初步'!A13:A2600,8072,'预算书-初步'!P13:P2600)+SUMIF(其他!B9:B65,FA!C81,其他!G9:G65)</f>
        <v>0</v>
      </c>
      <c r="J81" s="515">
        <f>SUMIF(其他!B9:B65,FA!C81,其他!I9:I65)</f>
        <v>0</v>
      </c>
      <c r="K81" s="515">
        <f>SUMIF(其他!B9:B65,FA!C81,其他!K9:K65)</f>
        <v>0</v>
      </c>
      <c r="L81" s="493">
        <f>SUMIF(其他!B9:B65,FA!C81,其他!M9:M65)</f>
        <v>0</v>
      </c>
      <c r="M81" s="492">
        <f>SUMIF('预算书-初步'!A13:A2600,"大甜72",'预算书-初步'!P13:P2600)+SUMIF(其他!B9:B65,FA!C81,其他!O9:O65)</f>
        <v>0</v>
      </c>
      <c r="N81" s="516">
        <f>SUMIF(其他!B9:B65,FA!C81,其他!Q9:Q65)</f>
        <v>0</v>
      </c>
    </row>
    <row r="82" ht="16.8" spans="1:14">
      <c r="A82" s="436">
        <v>73</v>
      </c>
      <c r="B82" s="505" t="s">
        <v>152</v>
      </c>
      <c r="C82" s="506" t="s">
        <v>153</v>
      </c>
      <c r="D82" s="507" t="s">
        <v>154</v>
      </c>
      <c r="E82" s="508">
        <v>4</v>
      </c>
      <c r="F82" s="509" t="s">
        <v>155</v>
      </c>
      <c r="G82" s="488">
        <f>SUM(H82:N82)</f>
        <v>94748.29</v>
      </c>
      <c r="H82" s="492">
        <f>SUMIF('预算书-初步'!A13:A2600,73,'预算书-初步'!P13:P2600)+SUMIF(其他!B9:B65,FA!C82,其他!E9:E65)</f>
        <v>94748.29</v>
      </c>
      <c r="I82" s="492">
        <f>SUMIF('预算书-初步'!A13:A2600,8073,'预算书-初步'!P13:P2600)+SUMIF(其他!B9:B65,FA!C82,其他!G9:G65)</f>
        <v>0</v>
      </c>
      <c r="J82" s="515">
        <f>SUMIF(其他!B9:B65,FA!C82,其他!I9:I65)</f>
        <v>0</v>
      </c>
      <c r="K82" s="515">
        <f>SUMIF(其他!B9:B65,FA!C82,其他!K9:K65)</f>
        <v>0</v>
      </c>
      <c r="L82" s="493">
        <f>SUMIF(其他!B9:B65,FA!C82,其他!M9:M65)</f>
        <v>0</v>
      </c>
      <c r="M82" s="492">
        <f>SUMIF('预算书-初步'!A13:A2600,"大甜73",'预算书-初步'!P13:P2600)+SUMIF(其他!B9:B65,FA!C82,其他!O9:O65)</f>
        <v>0</v>
      </c>
      <c r="N82" s="516">
        <f>SUMIF(其他!B9:B65,FA!C82,其他!Q9:Q65)</f>
        <v>0</v>
      </c>
    </row>
    <row r="83" ht="16.8" spans="1:14">
      <c r="A83" s="436">
        <v>74</v>
      </c>
      <c r="B83" s="495"/>
      <c r="C83" s="484" t="s">
        <v>156</v>
      </c>
      <c r="D83" s="485">
        <v>6.2</v>
      </c>
      <c r="E83" s="486">
        <v>3</v>
      </c>
      <c r="F83" s="487" t="s">
        <v>157</v>
      </c>
      <c r="G83" s="488">
        <f t="shared" ref="G83:N83" si="19">SUM(G84:G87)</f>
        <v>0</v>
      </c>
      <c r="H83" s="488">
        <f t="shared" si="19"/>
        <v>0</v>
      </c>
      <c r="I83" s="488">
        <f t="shared" si="19"/>
        <v>0</v>
      </c>
      <c r="J83" s="488">
        <f t="shared" si="19"/>
        <v>0</v>
      </c>
      <c r="K83" s="488">
        <f t="shared" si="19"/>
        <v>0</v>
      </c>
      <c r="L83" s="489">
        <f t="shared" si="19"/>
        <v>0</v>
      </c>
      <c r="M83" s="488">
        <f t="shared" si="19"/>
        <v>0</v>
      </c>
      <c r="N83" s="490">
        <f t="shared" si="19"/>
        <v>0</v>
      </c>
    </row>
    <row r="84" ht="16.8" spans="1:14">
      <c r="A84" s="436">
        <v>75</v>
      </c>
      <c r="B84" s="495">
        <v>1621</v>
      </c>
      <c r="C84" s="484" t="s">
        <v>158</v>
      </c>
      <c r="D84" s="485" t="s">
        <v>159</v>
      </c>
      <c r="E84" s="486">
        <v>4</v>
      </c>
      <c r="F84" s="491" t="s">
        <v>160</v>
      </c>
      <c r="G84" s="488">
        <f t="shared" ref="G84:G90" si="20">SUM(H84:N84)</f>
        <v>0</v>
      </c>
      <c r="H84" s="492">
        <f>SUMIF('预算书-初步'!A13:A2600,75,'预算书-初步'!P13:P2600)+SUMIF(其他!B9:B65,FA!C84,其他!E9:E65)</f>
        <v>0</v>
      </c>
      <c r="I84" s="492">
        <f>SUMIF(其他!B9:B65,FA!C84,其他!G9:G65)</f>
        <v>0</v>
      </c>
      <c r="J84" s="492">
        <f>SUMIF(其他!B9:B65,FA!C84,其他!I9:I65)</f>
        <v>0</v>
      </c>
      <c r="K84" s="492">
        <f>SUMIF(其他!B9:B65,FA!C84,其他!K9:K65)</f>
        <v>0</v>
      </c>
      <c r="L84" s="493">
        <f>SUMIF(其他!B9:B65,FA!C84,其他!M9:M65)</f>
        <v>0</v>
      </c>
      <c r="M84" s="492">
        <f>SUMIF('预算书-初步'!A13:A2600,"大甜75",'预算书-初步'!P13:P2600)+SUMIF(其他!B9:B65,FA!C84,其他!O9:O65)</f>
        <v>0</v>
      </c>
      <c r="N84" s="494">
        <f>SUMIF(其他!B9:B65,FA!C84,其他!Q9:Q65)</f>
        <v>0</v>
      </c>
    </row>
    <row r="85" ht="16.8" spans="1:14">
      <c r="A85" s="436">
        <v>76</v>
      </c>
      <c r="B85" s="495">
        <v>1622</v>
      </c>
      <c r="C85" s="484" t="s">
        <v>161</v>
      </c>
      <c r="D85" s="485" t="s">
        <v>162</v>
      </c>
      <c r="E85" s="486">
        <v>4</v>
      </c>
      <c r="F85" s="491" t="s">
        <v>163</v>
      </c>
      <c r="G85" s="488">
        <f t="shared" si="20"/>
        <v>0</v>
      </c>
      <c r="H85" s="492">
        <f>SUMIF('预算书-初步'!A13:A2600,76,'预算书-初步'!P13:P2600)+SUMIF(其他!B9:B65,FA!C85,其他!E9:E65)</f>
        <v>0</v>
      </c>
      <c r="I85" s="517">
        <f>SUMIF(其他!B9:B65,FA!C85,其他!G9:G65)</f>
        <v>0</v>
      </c>
      <c r="J85" s="517">
        <f>SUMIF(其他!B9:B65,FA!C85,其他!I9:I65)</f>
        <v>0</v>
      </c>
      <c r="K85" s="517">
        <f>SUMIF(其他!B9:B65,FA!C85,其他!K9:K65)</f>
        <v>0</v>
      </c>
      <c r="L85" s="518">
        <f>SUMIF(其他!B9:B65,FA!C85,其他!M9:M65)</f>
        <v>0</v>
      </c>
      <c r="M85" s="492">
        <f>SUMIF('预算书-初步'!A13:A2600,"大甜76",'预算书-初步'!P13:P2600)+SUMIF(其他!B9:B65,FA!C85,其他!O9:O65)</f>
        <v>0</v>
      </c>
      <c r="N85" s="519">
        <f>SUMIF(其他!B9:B65,FA!C85,其他!Q9:Q65)</f>
        <v>0</v>
      </c>
    </row>
    <row r="86" ht="16.8" spans="1:14">
      <c r="A86" s="436">
        <v>77</v>
      </c>
      <c r="B86" s="495">
        <v>1623</v>
      </c>
      <c r="C86" s="484" t="s">
        <v>164</v>
      </c>
      <c r="D86" s="485" t="s">
        <v>165</v>
      </c>
      <c r="E86" s="486">
        <v>4</v>
      </c>
      <c r="F86" s="491" t="s">
        <v>166</v>
      </c>
      <c r="G86" s="488">
        <f t="shared" si="20"/>
        <v>0</v>
      </c>
      <c r="H86" s="492">
        <f>SUMIF('预算书-初步'!A13:A2600,77,'预算书-初步'!P13:P2600)+SUMIF(其他!B9:B65,FA!C86,其他!E9:E65)</f>
        <v>0</v>
      </c>
      <c r="I86" s="492">
        <f>SUMIF(其他!B9:B65,FA!C86,其他!G9:G65)</f>
        <v>0</v>
      </c>
      <c r="J86" s="492">
        <f>SUMIF(其他!B9:B65,FA!C86,其他!I9:I65)</f>
        <v>0</v>
      </c>
      <c r="K86" s="492">
        <f>SUMIF(其他!B9:B65,FA!C86,其他!K9:K65)</f>
        <v>0</v>
      </c>
      <c r="L86" s="493">
        <f>SUMIF(其他!B9:B65,FA!C86,其他!M9:M65)</f>
        <v>0</v>
      </c>
      <c r="M86" s="492">
        <f>SUMIF(其他!B9:B65,FA!C86,其他!O9:O65)+SUMIF('预算书-初步'!A13:A2600,"大甜77",'预算书-初步'!P13:P2600)</f>
        <v>0</v>
      </c>
      <c r="N86" s="494">
        <f>SUMIF(其他!B9:B65,FA!C86,其他!Q9:Q65)</f>
        <v>0</v>
      </c>
    </row>
    <row r="87" ht="16.8" spans="1:14">
      <c r="A87" s="436">
        <v>78</v>
      </c>
      <c r="B87" s="495">
        <v>1624</v>
      </c>
      <c r="C87" s="484" t="s">
        <v>167</v>
      </c>
      <c r="D87" s="485" t="s">
        <v>168</v>
      </c>
      <c r="E87" s="486">
        <v>4</v>
      </c>
      <c r="F87" s="491" t="s">
        <v>169</v>
      </c>
      <c r="G87" s="488">
        <f t="shared" si="20"/>
        <v>0</v>
      </c>
      <c r="H87" s="492">
        <f>SUMIF(其他!B9:B65,FA!C87,其他!E9:E65)</f>
        <v>0</v>
      </c>
      <c r="I87" s="492">
        <f>SUMIF(其他!B9:B65,FA!C87,其他!G9:G65)</f>
        <v>0</v>
      </c>
      <c r="J87" s="492">
        <f>SUMIF(其他!B9:B65,FA!C87,其他!I9:I65)</f>
        <v>0</v>
      </c>
      <c r="K87" s="492">
        <f>SUMIF(其他!B9:B65,FA!C87,其他!K9:K65)</f>
        <v>0</v>
      </c>
      <c r="L87" s="493">
        <f>SUMIF(其他!B9:B65,FA!C87,其他!M9:M65)</f>
        <v>0</v>
      </c>
      <c r="M87" s="492">
        <f>SUMIF(其他!B9:B65,FA!C87,其他!O9:O65)</f>
        <v>0</v>
      </c>
      <c r="N87" s="494">
        <f>SUMIF(其他!B9:B65,FA!C87,其他!Q9:Q65)</f>
        <v>0</v>
      </c>
    </row>
    <row r="88" ht="16.8" spans="1:14">
      <c r="A88" s="436">
        <v>79</v>
      </c>
      <c r="B88" s="495">
        <v>1630</v>
      </c>
      <c r="C88" s="484" t="s">
        <v>170</v>
      </c>
      <c r="D88" s="485">
        <v>6.3</v>
      </c>
      <c r="E88" s="486">
        <v>3</v>
      </c>
      <c r="F88" s="487" t="s">
        <v>171</v>
      </c>
      <c r="G88" s="488">
        <f t="shared" si="20"/>
        <v>1572.2</v>
      </c>
      <c r="H88" s="492">
        <f>SUMIF('预算书-初步'!A13:A2600,79,'预算书-初步'!P13:P2600)+SUMIF(其他!B9:B65,FA!C88,其他!E9:E65)</f>
        <v>1572.2</v>
      </c>
      <c r="I88" s="492">
        <f>SUMIF(其他!B9:B65,FA!C88,其他!G9:G65)</f>
        <v>0</v>
      </c>
      <c r="J88" s="492">
        <f>SUMIF(其他!B9:B65,FA!C88,其他!I9:I65)</f>
        <v>0</v>
      </c>
      <c r="K88" s="492">
        <f>SUMIF(其他!B9:B65,FA!C88,其他!K9:K65)</f>
        <v>0</v>
      </c>
      <c r="L88" s="493">
        <f>SUMIF(其他!B9:B65,FA!C88,其他!M9:M65)</f>
        <v>0</v>
      </c>
      <c r="M88" s="492">
        <f>SUMIF('预算书-初步'!A13:A2600,"大甜79",'预算书-初步'!P13:P2600)+SUMIF(其他!B9:B65,FA!C88,其他!O9:O65)</f>
        <v>0</v>
      </c>
      <c r="N88" s="494">
        <f>SUMIF(其他!B9:B65,FA!C88,其他!Q9:Q65)</f>
        <v>0</v>
      </c>
    </row>
    <row r="89" ht="16.8" spans="1:14">
      <c r="A89" s="436">
        <v>80</v>
      </c>
      <c r="B89" s="520" t="s">
        <v>172</v>
      </c>
      <c r="C89" s="506" t="s">
        <v>173</v>
      </c>
      <c r="D89" s="507">
        <v>6.5</v>
      </c>
      <c r="E89" s="508">
        <v>3</v>
      </c>
      <c r="F89" s="521" t="s">
        <v>174</v>
      </c>
      <c r="G89" s="488">
        <f t="shared" si="20"/>
        <v>0</v>
      </c>
      <c r="H89" s="492">
        <f>SUMIF(其他!B9:B65,FA!C89,其他!E9:E65)</f>
        <v>0</v>
      </c>
      <c r="I89" s="492">
        <f>SUMIF(其他!B9:B65,FA!C89,其他!G9:G65)</f>
        <v>0</v>
      </c>
      <c r="J89" s="492">
        <f>SUMIF(其他!B9:B65,FA!C89,其他!I9:I65)</f>
        <v>0</v>
      </c>
      <c r="K89" s="492">
        <f>SUMIF(其他!B9:B65,FA!C89,其他!K9:K65)</f>
        <v>0</v>
      </c>
      <c r="L89" s="493">
        <f>SUMIF(其他!B9:B65,FA!C89,其他!M9:M65)</f>
        <v>0</v>
      </c>
      <c r="M89" s="492">
        <f>SUMIF(其他!B9:B65,FA!C89,其他!O9:O65)</f>
        <v>0</v>
      </c>
      <c r="N89" s="494">
        <f>SUMIF(其他!B9:B65,FA!C89,其他!Q9:Q65)</f>
        <v>0</v>
      </c>
    </row>
    <row r="90" ht="16.8" spans="1:14">
      <c r="A90" s="436">
        <v>81</v>
      </c>
      <c r="B90" s="495" t="s">
        <v>175</v>
      </c>
      <c r="C90" s="484" t="s">
        <v>176</v>
      </c>
      <c r="D90" s="485">
        <v>6.6</v>
      </c>
      <c r="E90" s="486">
        <v>3</v>
      </c>
      <c r="F90" s="487" t="s">
        <v>177</v>
      </c>
      <c r="G90" s="488">
        <f t="shared" si="20"/>
        <v>0</v>
      </c>
      <c r="H90" s="499"/>
      <c r="I90" s="499"/>
      <c r="J90" s="499"/>
      <c r="K90" s="499"/>
      <c r="L90" s="500"/>
      <c r="M90" s="499"/>
      <c r="N90" s="501"/>
    </row>
    <row r="91" ht="16.8" spans="1:14">
      <c r="A91" s="436">
        <v>82</v>
      </c>
      <c r="B91" s="467"/>
      <c r="C91" s="468" t="s">
        <v>178</v>
      </c>
      <c r="D91" s="469" t="s">
        <v>179</v>
      </c>
      <c r="E91" s="470">
        <v>1</v>
      </c>
      <c r="F91" s="471" t="s">
        <v>180</v>
      </c>
      <c r="G91" s="472">
        <f t="shared" ref="G91:N91" si="21">SUM(G92,G97,G162,G167,G178)</f>
        <v>61656.91</v>
      </c>
      <c r="H91" s="472">
        <f t="shared" si="21"/>
        <v>61206.46</v>
      </c>
      <c r="I91" s="472">
        <f t="shared" si="21"/>
        <v>0</v>
      </c>
      <c r="J91" s="472">
        <f t="shared" si="21"/>
        <v>0</v>
      </c>
      <c r="K91" s="472">
        <f t="shared" si="21"/>
        <v>450.45</v>
      </c>
      <c r="L91" s="473">
        <f t="shared" si="21"/>
        <v>0</v>
      </c>
      <c r="M91" s="472">
        <f t="shared" si="21"/>
        <v>0</v>
      </c>
      <c r="N91" s="474">
        <f t="shared" si="21"/>
        <v>0</v>
      </c>
    </row>
    <row r="92" ht="16.8" spans="1:14">
      <c r="A92" s="436">
        <v>83</v>
      </c>
      <c r="B92" s="475"/>
      <c r="C92" s="476" t="s">
        <v>181</v>
      </c>
      <c r="D92" s="477">
        <v>7</v>
      </c>
      <c r="E92" s="478">
        <v>2</v>
      </c>
      <c r="F92" s="479" t="s">
        <v>182</v>
      </c>
      <c r="G92" s="480">
        <f t="shared" ref="G92:N92" si="22">SUM(G93:G96)</f>
        <v>4724.71</v>
      </c>
      <c r="H92" s="480">
        <f t="shared" si="22"/>
        <v>4274.26</v>
      </c>
      <c r="I92" s="480">
        <f t="shared" si="22"/>
        <v>0</v>
      </c>
      <c r="J92" s="480">
        <f t="shared" si="22"/>
        <v>0</v>
      </c>
      <c r="K92" s="480">
        <f t="shared" si="22"/>
        <v>450.45</v>
      </c>
      <c r="L92" s="481">
        <f t="shared" si="22"/>
        <v>0</v>
      </c>
      <c r="M92" s="480">
        <f t="shared" si="22"/>
        <v>0</v>
      </c>
      <c r="N92" s="482">
        <f t="shared" si="22"/>
        <v>0</v>
      </c>
    </row>
    <row r="93" ht="16.8" spans="1:14">
      <c r="A93" s="436">
        <v>84</v>
      </c>
      <c r="B93" s="483" t="s">
        <v>183</v>
      </c>
      <c r="C93" s="484" t="s">
        <v>184</v>
      </c>
      <c r="D93" s="485">
        <v>7.1</v>
      </c>
      <c r="E93" s="486">
        <v>3</v>
      </c>
      <c r="F93" s="487" t="s">
        <v>185</v>
      </c>
      <c r="G93" s="488">
        <f>SUM(H93:N93)</f>
        <v>0</v>
      </c>
      <c r="H93" s="492">
        <f>SUMIF(其他!B9:B65,FA!C93,其他!E9:E65)</f>
        <v>0</v>
      </c>
      <c r="I93" s="492">
        <f>SUMIF(其他!B9:B65,FA!C93,其他!G9:G65)</f>
        <v>0</v>
      </c>
      <c r="J93" s="492">
        <f>SUMIF(其他!B9:B65,FA!C93,其他!I9:I65)</f>
        <v>0</v>
      </c>
      <c r="K93" s="492">
        <f>SUMIF(其他!B9:B65,FA!C93,其他!K9:K65)</f>
        <v>0</v>
      </c>
      <c r="L93" s="493">
        <f>SUMIF(其他!B9:B65,FA!C93,其他!M9:M65)</f>
        <v>0</v>
      </c>
      <c r="M93" s="492">
        <f>SUMIF(其他!B9:B65,FA!C93,其他!O9:O65)</f>
        <v>0</v>
      </c>
      <c r="N93" s="494">
        <f>SUMIF(其他!B9:B65,FA!C93,其他!Q9:Q65)</f>
        <v>0</v>
      </c>
    </row>
    <row r="94" ht="16.8" spans="1:14">
      <c r="A94" s="436">
        <v>85</v>
      </c>
      <c r="B94" s="483">
        <v>3718</v>
      </c>
      <c r="C94" s="484" t="s">
        <v>186</v>
      </c>
      <c r="D94" s="485">
        <v>7.2</v>
      </c>
      <c r="E94" s="486">
        <v>3</v>
      </c>
      <c r="F94" s="487" t="s">
        <v>187</v>
      </c>
      <c r="G94" s="488">
        <f>SUM(H94:N94)</f>
        <v>0</v>
      </c>
      <c r="H94" s="492">
        <f>SUMIF(其他!B9:B65,FA!C94,其他!E9:E65)</f>
        <v>0</v>
      </c>
      <c r="I94" s="492">
        <f>SUMIF(其他!B9:B65,FA!C94,其他!G9:G65)</f>
        <v>0</v>
      </c>
      <c r="J94" s="492">
        <f>SUMIF(其他!B9:B65,FA!C94,其他!I9:I65)</f>
        <v>0</v>
      </c>
      <c r="K94" s="492">
        <f>SUMIF(其他!B9:B65,FA!C94,其他!K9:K65)</f>
        <v>0</v>
      </c>
      <c r="L94" s="493">
        <f>SUMIF(其他!B9:B65,FA!C94,其他!M9:M65)</f>
        <v>0</v>
      </c>
      <c r="M94" s="492">
        <f>SUMIF(其他!B9:B65,FA!C94,其他!O9:O65)</f>
        <v>0</v>
      </c>
      <c r="N94" s="494">
        <f>SUMIF(其他!B9:B65,FA!C94,其他!Q9:Q65)</f>
        <v>0</v>
      </c>
    </row>
    <row r="95" ht="16.8" spans="1:14">
      <c r="A95" s="436">
        <v>86</v>
      </c>
      <c r="B95" s="483">
        <v>3791</v>
      </c>
      <c r="C95" s="484" t="s">
        <v>188</v>
      </c>
      <c r="D95" s="485">
        <v>7.3</v>
      </c>
      <c r="E95" s="486">
        <v>3</v>
      </c>
      <c r="F95" s="487" t="s">
        <v>189</v>
      </c>
      <c r="G95" s="488">
        <f>SUM(H95:N95)</f>
        <v>4724.71</v>
      </c>
      <c r="H95" s="492">
        <f>SUMIF('预算书-初步'!A13:A2600,86,'预算书-初步'!P13:P2600)+SUMIF(其他!B9:B65,FA!C95,其他!E9:E65)</f>
        <v>4274.26</v>
      </c>
      <c r="I95" s="492">
        <f>SUMIF('预算书-初步'!A13:A2600,8086,'预算书-初步'!P13:P2600)+SUMIF(其他!B9:B65,FA!C95,其他!G9:G65)</f>
        <v>0</v>
      </c>
      <c r="J95" s="492">
        <f>SUMIF('预算书-初步'!A13:A2600,7086,'预算书-初步'!P13:P2600)+SUMIF(其他!B9:B65,FA!C95,其他!I9:I65)</f>
        <v>0</v>
      </c>
      <c r="K95" s="492">
        <f>SUMIF('预算书-初步'!A13:A2600,6086,'预算书-初步'!P13:P2600)+SUMIF(其他!B9:B65,FA!C95,其他!K9:K65)</f>
        <v>450.45</v>
      </c>
      <c r="L95" s="493">
        <f>SUMIF(其他!B9:B65,FA!C95,其他!M9:M65)</f>
        <v>0</v>
      </c>
      <c r="M95" s="492">
        <f>SUMIF('预算书-初步'!A13:A2600,"大甜86",'预算书-初步'!P13:P2600)+SUMIF(其他!B9:B65,FA!C95,其他!O9:O65)</f>
        <v>0</v>
      </c>
      <c r="N95" s="494">
        <f>SUMIF('预算书-初步'!A38:A1691,"甜吧86",'预算书-初步'!P38:P1696)+SUMIF(其他!B9:B65,FA!C95,其他!Q9:Q65)</f>
        <v>0</v>
      </c>
    </row>
    <row r="96" ht="16.8" spans="1:14">
      <c r="A96" s="436">
        <v>87</v>
      </c>
      <c r="B96" s="483" t="s">
        <v>190</v>
      </c>
      <c r="C96" s="484" t="s">
        <v>191</v>
      </c>
      <c r="D96" s="485">
        <v>7.4</v>
      </c>
      <c r="E96" s="486">
        <v>3</v>
      </c>
      <c r="F96" s="487" t="s">
        <v>192</v>
      </c>
      <c r="G96" s="488">
        <f>SUM(H96:N96)</f>
        <v>0</v>
      </c>
      <c r="H96" s="492">
        <f>SUMIF(其他!B9:B65,FA!C96,其他!E9:E65)</f>
        <v>0</v>
      </c>
      <c r="I96" s="492">
        <f>SUMIF(其他!B9:B65,FA!C96,其他!G9:G65)</f>
        <v>0</v>
      </c>
      <c r="J96" s="492">
        <f>SUMIF(其他!B9:B65,FA!C96,其他!I9:I65)</f>
        <v>0</v>
      </c>
      <c r="K96" s="492">
        <f>SUMIF(其他!B9:B65,FA!C96,其他!K9:K65)</f>
        <v>0</v>
      </c>
      <c r="L96" s="493">
        <f>SUMIF(其他!B9:B65,FA!C96,其他!M9:M65)</f>
        <v>0</v>
      </c>
      <c r="M96" s="492">
        <f>SUMIF(其他!B9:B65,FA!C96,其他!O9:O65)</f>
        <v>0</v>
      </c>
      <c r="N96" s="494">
        <f>SUMIF(其他!B9:B65,FA!C96,其他!Q9:Q65)</f>
        <v>0</v>
      </c>
    </row>
    <row r="97" ht="16.8" spans="1:14">
      <c r="A97" s="436">
        <v>88</v>
      </c>
      <c r="B97" s="475"/>
      <c r="C97" s="476" t="s">
        <v>193</v>
      </c>
      <c r="D97" s="477">
        <v>8</v>
      </c>
      <c r="E97" s="478">
        <v>2</v>
      </c>
      <c r="F97" s="479" t="s">
        <v>194</v>
      </c>
      <c r="G97" s="480">
        <f t="shared" ref="G97:N97" si="23">SUM(G98,G108,G115,G139,G152,G160:G161)</f>
        <v>52905.72</v>
      </c>
      <c r="H97" s="480">
        <f t="shared" si="23"/>
        <v>52905.72</v>
      </c>
      <c r="I97" s="480">
        <f t="shared" si="23"/>
        <v>0</v>
      </c>
      <c r="J97" s="480">
        <f t="shared" si="23"/>
        <v>0</v>
      </c>
      <c r="K97" s="480">
        <f t="shared" si="23"/>
        <v>0</v>
      </c>
      <c r="L97" s="481">
        <f t="shared" si="23"/>
        <v>0</v>
      </c>
      <c r="M97" s="480">
        <f t="shared" si="23"/>
        <v>0</v>
      </c>
      <c r="N97" s="482">
        <f t="shared" si="23"/>
        <v>0</v>
      </c>
    </row>
    <row r="98" ht="16.8" spans="1:14">
      <c r="A98" s="436">
        <v>89</v>
      </c>
      <c r="B98" s="483"/>
      <c r="C98" s="484" t="s">
        <v>195</v>
      </c>
      <c r="D98" s="485">
        <v>8.1</v>
      </c>
      <c r="E98" s="486">
        <v>3</v>
      </c>
      <c r="F98" s="487" t="s">
        <v>196</v>
      </c>
      <c r="G98" s="499">
        <f t="shared" ref="G98:N98" si="24">SUM(G99:G107)</f>
        <v>0</v>
      </c>
      <c r="H98" s="499">
        <f t="shared" si="24"/>
        <v>0</v>
      </c>
      <c r="I98" s="499">
        <f t="shared" si="24"/>
        <v>0</v>
      </c>
      <c r="J98" s="499">
        <f t="shared" si="24"/>
        <v>0</v>
      </c>
      <c r="K98" s="499">
        <f t="shared" si="24"/>
        <v>0</v>
      </c>
      <c r="L98" s="500">
        <f t="shared" si="24"/>
        <v>0</v>
      </c>
      <c r="M98" s="499">
        <f t="shared" si="24"/>
        <v>0</v>
      </c>
      <c r="N98" s="501">
        <f t="shared" si="24"/>
        <v>0</v>
      </c>
    </row>
    <row r="99" ht="16.8" spans="1:14">
      <c r="A99" s="436">
        <v>90</v>
      </c>
      <c r="B99" s="483">
        <v>8110</v>
      </c>
      <c r="C99" s="484" t="s">
        <v>197</v>
      </c>
      <c r="D99" s="485" t="s">
        <v>198</v>
      </c>
      <c r="E99" s="486">
        <v>4</v>
      </c>
      <c r="F99" s="491" t="s">
        <v>199</v>
      </c>
      <c r="G99" s="488">
        <f t="shared" ref="G99:G107" si="25">SUM(H99:N99)</f>
        <v>0</v>
      </c>
      <c r="H99" s="492">
        <f>SUMIF(其他!B9:B65,FA!C99,其他!E9:E65)</f>
        <v>0</v>
      </c>
      <c r="I99" s="492">
        <f>SUMIF(其他!B9:B65,FA!C99,其他!G9:G65)</f>
        <v>0</v>
      </c>
      <c r="J99" s="492">
        <f>SUMIF(其他!B9:B65,FA!C99,其他!I9:I65)</f>
        <v>0</v>
      </c>
      <c r="K99" s="492">
        <f>SUMIF(其他!B9:B65,FA!C99,其他!K9:K65)</f>
        <v>0</v>
      </c>
      <c r="L99" s="492">
        <f>SUMIF(其他!B9:B65,FA!C99,其他!M9:M65)</f>
        <v>0</v>
      </c>
      <c r="M99" s="492">
        <f>SUMIF(其他!B9:B65,FA!C99,其他!O9:O65)</f>
        <v>0</v>
      </c>
      <c r="N99" s="494">
        <f>SUMIF(其他!B9:B65,FA!C99,其他!Q9:Q65)</f>
        <v>0</v>
      </c>
    </row>
    <row r="100" ht="16.8" spans="1:14">
      <c r="A100" s="436">
        <v>91</v>
      </c>
      <c r="B100" s="483" t="s">
        <v>200</v>
      </c>
      <c r="C100" s="484" t="s">
        <v>201</v>
      </c>
      <c r="D100" s="485" t="s">
        <v>202</v>
      </c>
      <c r="E100" s="486">
        <v>4</v>
      </c>
      <c r="F100" s="491" t="s">
        <v>203</v>
      </c>
      <c r="G100" s="488">
        <f t="shared" si="25"/>
        <v>0</v>
      </c>
      <c r="H100" s="492">
        <f>SUMIF(其他!B9:B65,FA!C100,其他!E9:E65)</f>
        <v>0</v>
      </c>
      <c r="I100" s="492">
        <f>SUMIF(其他!B9:B65,FA!C100,其他!G9:G65)</f>
        <v>0</v>
      </c>
      <c r="J100" s="492">
        <f>SUMIF(其他!B9:B65,FA!C100,其他!I9:I65)</f>
        <v>0</v>
      </c>
      <c r="K100" s="492">
        <f>SUMIF(其他!B9:B65,FA!C100,其他!K9:K65)</f>
        <v>0</v>
      </c>
      <c r="L100" s="492">
        <f>SUMIF(其他!B9:B65,FA!C100,其他!M9:M65)</f>
        <v>0</v>
      </c>
      <c r="M100" s="492">
        <f>SUMIF(其他!B9:B65,FA!C100,其他!O9:O65)</f>
        <v>0</v>
      </c>
      <c r="N100" s="494">
        <f>SUMIF(其他!B9:B65,FA!C100,其他!Q9:Q65)</f>
        <v>0</v>
      </c>
    </row>
    <row r="101" ht="16.8" spans="1:14">
      <c r="A101" s="436">
        <v>92</v>
      </c>
      <c r="B101" s="483" t="s">
        <v>204</v>
      </c>
      <c r="C101" s="484" t="s">
        <v>205</v>
      </c>
      <c r="D101" s="485" t="s">
        <v>206</v>
      </c>
      <c r="E101" s="486">
        <v>4</v>
      </c>
      <c r="F101" s="491" t="s">
        <v>207</v>
      </c>
      <c r="G101" s="488">
        <f t="shared" si="25"/>
        <v>0</v>
      </c>
      <c r="H101" s="492">
        <f>SUMIF(其他!B9:B65,FA!C101,其他!E9:E65)</f>
        <v>0</v>
      </c>
      <c r="I101" s="492">
        <f>SUMIF(其他!B9:B65,FA!C101,其他!G9:G65)</f>
        <v>0</v>
      </c>
      <c r="J101" s="492">
        <f>SUMIF(其他!B9:B65,FA!C101,其他!I9:I65)</f>
        <v>0</v>
      </c>
      <c r="K101" s="492">
        <f>SUMIF(其他!B9:B65,FA!C101,其他!K9:K65)</f>
        <v>0</v>
      </c>
      <c r="L101" s="492">
        <f>SUMIF(其他!B9:B65,FA!C101,其他!M9:M65)</f>
        <v>0</v>
      </c>
      <c r="M101" s="492">
        <f>SUMIF(其他!B9:B65,FA!C101,其他!O9:O65)</f>
        <v>0</v>
      </c>
      <c r="N101" s="494">
        <f>SUMIF(其他!B9:B65,FA!C101,其他!Q9:Q65)</f>
        <v>0</v>
      </c>
    </row>
    <row r="102" ht="16.8" spans="1:14">
      <c r="A102" s="436">
        <v>93</v>
      </c>
      <c r="B102" s="483" t="s">
        <v>208</v>
      </c>
      <c r="C102" s="484" t="s">
        <v>209</v>
      </c>
      <c r="D102" s="485" t="s">
        <v>210</v>
      </c>
      <c r="E102" s="486">
        <v>4</v>
      </c>
      <c r="F102" s="491" t="s">
        <v>211</v>
      </c>
      <c r="G102" s="488">
        <f t="shared" si="25"/>
        <v>0</v>
      </c>
      <c r="H102" s="492">
        <f>SUMIF(其他!B9:B65,FA!C102,其他!E9:E65)</f>
        <v>0</v>
      </c>
      <c r="I102" s="492">
        <f>SUMIF(其他!B9:B65,FA!C102,其他!G9:G65)</f>
        <v>0</v>
      </c>
      <c r="J102" s="492">
        <f>SUMIF(其他!B9:B65,FA!C102,其他!I9:I65)</f>
        <v>0</v>
      </c>
      <c r="K102" s="492">
        <f>SUMIF(其他!B9:B65,FA!C102,其他!K9:K65)</f>
        <v>0</v>
      </c>
      <c r="L102" s="492">
        <f>SUMIF(其他!B9:B65,FA!C102,其他!M9:M65)</f>
        <v>0</v>
      </c>
      <c r="M102" s="492">
        <f>SUMIF(其他!B9:B65,FA!C102,其他!O9:O65)</f>
        <v>0</v>
      </c>
      <c r="N102" s="494">
        <f>SUMIF(其他!B9:B65,FA!C102,其他!Q9:Q65)</f>
        <v>0</v>
      </c>
    </row>
    <row r="103" ht="16.8" spans="1:14">
      <c r="A103" s="436">
        <v>94</v>
      </c>
      <c r="B103" s="483" t="s">
        <v>212</v>
      </c>
      <c r="C103" s="484" t="s">
        <v>213</v>
      </c>
      <c r="D103" s="485" t="s">
        <v>214</v>
      </c>
      <c r="E103" s="486">
        <v>4</v>
      </c>
      <c r="F103" s="491" t="s">
        <v>215</v>
      </c>
      <c r="G103" s="488">
        <f t="shared" si="25"/>
        <v>0</v>
      </c>
      <c r="H103" s="492">
        <f>SUMIF(其他!B9:B65,FA!C103,其他!E9:E65)</f>
        <v>0</v>
      </c>
      <c r="I103" s="492">
        <f>SUMIF(其他!B9:B65,FA!C103,其他!G9:G65)</f>
        <v>0</v>
      </c>
      <c r="J103" s="492">
        <f>SUMIF(其他!B9:B65,FA!C103,其他!I9:I65)</f>
        <v>0</v>
      </c>
      <c r="K103" s="492">
        <f>SUMIF(其他!B9:B65,FA!C103,其他!K9:K65)</f>
        <v>0</v>
      </c>
      <c r="L103" s="492">
        <f>SUMIF(其他!B9:B65,FA!C103,其他!M9:M65)</f>
        <v>0</v>
      </c>
      <c r="M103" s="492">
        <f>SUMIF(其他!B9:B65,FA!C103,其他!O9:O65)</f>
        <v>0</v>
      </c>
      <c r="N103" s="494">
        <f>SUMIF(其他!B9:B65,FA!C103,其他!Q9:Q65)</f>
        <v>0</v>
      </c>
    </row>
    <row r="104" ht="16.8" spans="1:14">
      <c r="A104" s="436">
        <v>95</v>
      </c>
      <c r="B104" s="483" t="s">
        <v>216</v>
      </c>
      <c r="C104" s="484" t="s">
        <v>217</v>
      </c>
      <c r="D104" s="485" t="s">
        <v>218</v>
      </c>
      <c r="E104" s="486">
        <v>4</v>
      </c>
      <c r="F104" s="491" t="s">
        <v>219</v>
      </c>
      <c r="G104" s="488">
        <f t="shared" si="25"/>
        <v>0</v>
      </c>
      <c r="H104" s="492">
        <f>SUMIF(其他!B9:B65,FA!C104,其他!E9:E65)</f>
        <v>0</v>
      </c>
      <c r="I104" s="492">
        <f>SUMIF(其他!B9:B65,FA!C104,其他!G9:G65)</f>
        <v>0</v>
      </c>
      <c r="J104" s="492">
        <f>SUMIF(其他!B9:B65,FA!C104,其他!I9:I65)</f>
        <v>0</v>
      </c>
      <c r="K104" s="492">
        <f>SUMIF(其他!B9:B65,FA!C104,其他!K9:K65)</f>
        <v>0</v>
      </c>
      <c r="L104" s="492">
        <f>SUMIF(其他!B9:B65,FA!C104,其他!M9:M65)</f>
        <v>0</v>
      </c>
      <c r="M104" s="492">
        <f>SUMIF(其他!B9:B65,FA!C104,其他!O9:O65)</f>
        <v>0</v>
      </c>
      <c r="N104" s="494">
        <f>SUMIF(其他!B9:B65,FA!C104,其他!Q9:Q65)</f>
        <v>0</v>
      </c>
    </row>
    <row r="105" ht="16.8" spans="1:14">
      <c r="A105" s="436">
        <v>96</v>
      </c>
      <c r="B105" s="483" t="s">
        <v>220</v>
      </c>
      <c r="C105" s="484" t="s">
        <v>221</v>
      </c>
      <c r="D105" s="485" t="s">
        <v>222</v>
      </c>
      <c r="E105" s="486">
        <v>4</v>
      </c>
      <c r="F105" s="491" t="s">
        <v>223</v>
      </c>
      <c r="G105" s="488">
        <f t="shared" si="25"/>
        <v>0</v>
      </c>
      <c r="H105" s="492">
        <f>SUMIF(其他!B9:B65,FA!C105,其他!E9:E65)</f>
        <v>0</v>
      </c>
      <c r="I105" s="492">
        <f>SUMIF(其他!B9:B65,FA!C105,其他!G9:G65)</f>
        <v>0</v>
      </c>
      <c r="J105" s="492">
        <f>SUMIF(其他!B9:B65,FA!C105,其他!I9:I65)</f>
        <v>0</v>
      </c>
      <c r="K105" s="492">
        <f>SUMIF(其他!B9:B65,FA!C105,其他!K9:K65)</f>
        <v>0</v>
      </c>
      <c r="L105" s="492">
        <f>SUMIF(其他!B9:B65,FA!C105,其他!M9:M65)</f>
        <v>0</v>
      </c>
      <c r="M105" s="492">
        <f>SUMIF(其他!B9:B65,FA!C105,其他!O9:O65)</f>
        <v>0</v>
      </c>
      <c r="N105" s="494">
        <f>SUMIF(其他!B9:B65,FA!C105,其他!Q9:Q65)</f>
        <v>0</v>
      </c>
    </row>
    <row r="106" ht="16.8" spans="1:14">
      <c r="A106" s="436">
        <v>97</v>
      </c>
      <c r="B106" s="483" t="s">
        <v>224</v>
      </c>
      <c r="C106" s="484" t="s">
        <v>225</v>
      </c>
      <c r="D106" s="485" t="s">
        <v>226</v>
      </c>
      <c r="E106" s="486">
        <v>4</v>
      </c>
      <c r="F106" s="491" t="s">
        <v>227</v>
      </c>
      <c r="G106" s="488">
        <f t="shared" si="25"/>
        <v>0</v>
      </c>
      <c r="H106" s="492">
        <f>SUMIF(其他!B9:B65,FA!C106,其他!E9:E65)</f>
        <v>0</v>
      </c>
      <c r="I106" s="492">
        <f>SUMIF(其他!B9:B65,FA!C106,其他!G9:G65)</f>
        <v>0</v>
      </c>
      <c r="J106" s="492">
        <f>SUMIF(其他!B9:B65,FA!C106,其他!I9:I65)</f>
        <v>0</v>
      </c>
      <c r="K106" s="492">
        <f>SUMIF(其他!B9:B65,FA!C106,其他!K9:K65)</f>
        <v>0</v>
      </c>
      <c r="L106" s="492">
        <f>SUMIF(其他!B9:B65,FA!C106,其他!M9:M65)</f>
        <v>0</v>
      </c>
      <c r="M106" s="492">
        <f>SUMIF(其他!B9:B65,FA!C106,其他!O9:O65)</f>
        <v>0</v>
      </c>
      <c r="N106" s="494">
        <f>SUMIF(其他!B9:B65,FA!C106,其他!Q9:Q65)</f>
        <v>0</v>
      </c>
    </row>
    <row r="107" ht="17.55" spans="1:14">
      <c r="A107" s="436">
        <v>98</v>
      </c>
      <c r="B107" s="483" t="s">
        <v>228</v>
      </c>
      <c r="C107" s="484" t="s">
        <v>229</v>
      </c>
      <c r="D107" s="485" t="s">
        <v>230</v>
      </c>
      <c r="E107" s="486">
        <v>4</v>
      </c>
      <c r="F107" s="522" t="s">
        <v>231</v>
      </c>
      <c r="G107" s="488">
        <f t="shared" si="25"/>
        <v>0</v>
      </c>
      <c r="H107" s="492">
        <f>SUMIF(其他!B9:B65,FA!C107,其他!E9:E65)</f>
        <v>0</v>
      </c>
      <c r="I107" s="492">
        <f>SUMIF(其他!B9:B65,FA!C107,其他!G9:G65)</f>
        <v>0</v>
      </c>
      <c r="J107" s="492">
        <f>SUMIF(其他!B9:B65,FA!C107,其他!I9:I65)</f>
        <v>0</v>
      </c>
      <c r="K107" s="492">
        <f>SUMIF(其他!B9:B65,FA!C107,其他!K9:K65)</f>
        <v>0</v>
      </c>
      <c r="L107" s="492">
        <f>SUMIF(其他!B9:B65,FA!C107,其他!M9:M65)</f>
        <v>0</v>
      </c>
      <c r="M107" s="492">
        <f>SUMIF(其他!B9:B65,FA!C107,其他!O9:O65)</f>
        <v>0</v>
      </c>
      <c r="N107" s="494">
        <f>SUMIF(其他!B9:B65,FA!C107,其他!Q9:Q65)</f>
        <v>0</v>
      </c>
    </row>
    <row r="108" ht="16.8" spans="1:14">
      <c r="A108" s="436">
        <v>99</v>
      </c>
      <c r="B108" s="495"/>
      <c r="C108" s="484" t="s">
        <v>232</v>
      </c>
      <c r="D108" s="485">
        <v>8.2</v>
      </c>
      <c r="E108" s="523">
        <v>3</v>
      </c>
      <c r="F108" s="524" t="s">
        <v>233</v>
      </c>
      <c r="G108" s="488">
        <f t="shared" ref="G108:N108" si="26">SUM(G109:G114)</f>
        <v>0</v>
      </c>
      <c r="H108" s="488">
        <f t="shared" si="26"/>
        <v>0</v>
      </c>
      <c r="I108" s="488">
        <f t="shared" si="26"/>
        <v>0</v>
      </c>
      <c r="J108" s="488">
        <f t="shared" si="26"/>
        <v>0</v>
      </c>
      <c r="K108" s="488">
        <f t="shared" si="26"/>
        <v>0</v>
      </c>
      <c r="L108" s="489">
        <f t="shared" si="26"/>
        <v>0</v>
      </c>
      <c r="M108" s="488">
        <f t="shared" si="26"/>
        <v>0</v>
      </c>
      <c r="N108" s="490">
        <f t="shared" si="26"/>
        <v>0</v>
      </c>
    </row>
    <row r="109" ht="16.8" spans="1:14">
      <c r="A109" s="436">
        <v>100</v>
      </c>
      <c r="B109" s="495" t="s">
        <v>234</v>
      </c>
      <c r="C109" s="484" t="s">
        <v>235</v>
      </c>
      <c r="D109" s="485" t="s">
        <v>236</v>
      </c>
      <c r="E109" s="523">
        <v>4</v>
      </c>
      <c r="F109" s="525" t="s">
        <v>237</v>
      </c>
      <c r="G109" s="488">
        <f t="shared" ref="G109:G114" si="27">SUM(H109:N109)</f>
        <v>0</v>
      </c>
      <c r="H109" s="492">
        <f>SUMIF(其他!B9:B65,FA!C109,其他!E9:E65)</f>
        <v>0</v>
      </c>
      <c r="I109" s="492">
        <f>SUMIF(其他!B9:B65,FA!C109,其他!G9:G65)</f>
        <v>0</v>
      </c>
      <c r="J109" s="492">
        <f>SUMIF(其他!B9:B65,FA!C109,其他!I9:I65)</f>
        <v>0</v>
      </c>
      <c r="K109" s="492">
        <f>SUMIF(其他!B9:B65,FA!C109,其他!K9:K65)</f>
        <v>0</v>
      </c>
      <c r="L109" s="493">
        <f>SUMIF(其他!B9:B65,FA!C109,其他!M9:M65)</f>
        <v>0</v>
      </c>
      <c r="M109" s="492">
        <f>SUMIF(其他!B9:B65,FA!C109,其他!O9:O65)</f>
        <v>0</v>
      </c>
      <c r="N109" s="494">
        <f>SUMIF(其他!B9:B65,FA!C109,其他!Q9:Q65)</f>
        <v>0</v>
      </c>
    </row>
    <row r="110" ht="16.8" spans="1:14">
      <c r="A110" s="436">
        <v>101</v>
      </c>
      <c r="B110" s="495">
        <v>8240</v>
      </c>
      <c r="C110" s="484" t="s">
        <v>238</v>
      </c>
      <c r="D110" s="485" t="s">
        <v>239</v>
      </c>
      <c r="E110" s="523">
        <v>4</v>
      </c>
      <c r="F110" s="525" t="s">
        <v>240</v>
      </c>
      <c r="G110" s="488">
        <f t="shared" si="27"/>
        <v>0</v>
      </c>
      <c r="H110" s="492">
        <f>SUMIF(其他!B9:B65,FA!C110,其他!E9:E65)</f>
        <v>0</v>
      </c>
      <c r="I110" s="492">
        <f>SUMIF(其他!B9:B65,FA!C110,其他!G9:G65)</f>
        <v>0</v>
      </c>
      <c r="J110" s="492">
        <f>SUMIF(其他!B9:B65,FA!C110,其他!I9:I65)</f>
        <v>0</v>
      </c>
      <c r="K110" s="492">
        <f>SUMIF(其他!B9:B65,FA!C110,其他!K9:K65)</f>
        <v>0</v>
      </c>
      <c r="L110" s="493">
        <f>SUMIF(其他!B9:B65,FA!C110,其他!M9:M65)</f>
        <v>0</v>
      </c>
      <c r="M110" s="492">
        <f>SUMIF(其他!B9:B65,FA!C110,其他!O9:O65)</f>
        <v>0</v>
      </c>
      <c r="N110" s="494">
        <f>SUMIF(其他!B9:B65,FA!C110,其他!Q9:Q65)</f>
        <v>0</v>
      </c>
    </row>
    <row r="111" ht="16.8" spans="1:14">
      <c r="A111" s="436">
        <v>102</v>
      </c>
      <c r="B111" s="495" t="s">
        <v>241</v>
      </c>
      <c r="C111" s="484" t="s">
        <v>242</v>
      </c>
      <c r="D111" s="485" t="s">
        <v>243</v>
      </c>
      <c r="E111" s="523">
        <v>4</v>
      </c>
      <c r="F111" s="526" t="s">
        <v>244</v>
      </c>
      <c r="G111" s="488">
        <f t="shared" si="27"/>
        <v>0</v>
      </c>
      <c r="H111" s="492">
        <f>SUMIF(其他!B9:B65,FA!C111,其他!E9:E65)</f>
        <v>0</v>
      </c>
      <c r="I111" s="492">
        <f>SUMIF(其他!B9:B65,FA!C111,其他!G9:G65)</f>
        <v>0</v>
      </c>
      <c r="J111" s="492">
        <f>SUMIF(其他!B9:B65,FA!C111,其他!I9:I65)</f>
        <v>0</v>
      </c>
      <c r="K111" s="492">
        <f>SUMIF(其他!B9:B65,FA!C111,其他!K9:K65)</f>
        <v>0</v>
      </c>
      <c r="L111" s="493">
        <f>SUMIF(其他!B9:B65,FA!C111,其他!M9:M65)</f>
        <v>0</v>
      </c>
      <c r="M111" s="492">
        <f>SUMIF(其他!B9:B65,FA!C111,其他!O9:O65)</f>
        <v>0</v>
      </c>
      <c r="N111" s="494">
        <f>SUMIF(其他!B9:B65,FA!C111,其他!Q9:Q65)</f>
        <v>0</v>
      </c>
    </row>
    <row r="112" ht="16.8" spans="1:14">
      <c r="A112" s="436">
        <v>103</v>
      </c>
      <c r="B112" s="505" t="s">
        <v>245</v>
      </c>
      <c r="C112" s="506" t="s">
        <v>246</v>
      </c>
      <c r="D112" s="507" t="s">
        <v>247</v>
      </c>
      <c r="E112" s="527">
        <v>4</v>
      </c>
      <c r="F112" s="528" t="s">
        <v>248</v>
      </c>
      <c r="G112" s="488">
        <f t="shared" si="27"/>
        <v>0</v>
      </c>
      <c r="H112" s="492">
        <f>SUMIF(其他!B9:B65,FA!C112,其他!E9:E65)</f>
        <v>0</v>
      </c>
      <c r="I112" s="492">
        <f>SUMIF(其他!B9:B65,FA!C112,其他!G9:G65)</f>
        <v>0</v>
      </c>
      <c r="J112" s="492">
        <f>SUMIF(其他!B9:B65,FA!C112,其他!I9:I65)</f>
        <v>0</v>
      </c>
      <c r="K112" s="492">
        <f>SUMIF(其他!B9:B65,FA!C112,其他!K9:K65)</f>
        <v>0</v>
      </c>
      <c r="L112" s="493">
        <f>SUMIF(其他!B9:B65,FA!C112,其他!M9:M65)</f>
        <v>0</v>
      </c>
      <c r="M112" s="492">
        <f>SUMIF(其他!B9:B65,FA!C112,其他!O9:O65)</f>
        <v>0</v>
      </c>
      <c r="N112" s="494">
        <f>SUMIF(其他!B9:B65,FA!C112,其他!Q9:Q65)</f>
        <v>0</v>
      </c>
    </row>
    <row r="113" ht="16.8" spans="1:14">
      <c r="A113" s="436">
        <v>104</v>
      </c>
      <c r="B113" s="483" t="s">
        <v>249</v>
      </c>
      <c r="C113" s="484" t="s">
        <v>250</v>
      </c>
      <c r="D113" s="485" t="s">
        <v>251</v>
      </c>
      <c r="E113" s="523">
        <v>4</v>
      </c>
      <c r="F113" s="526" t="s">
        <v>252</v>
      </c>
      <c r="G113" s="488">
        <f t="shared" si="27"/>
        <v>0</v>
      </c>
      <c r="H113" s="492">
        <f>SUMIF(其他!B9:B65,FA!C113,其他!E9:E65)</f>
        <v>0</v>
      </c>
      <c r="I113" s="492">
        <f>SUMIF(其他!B9:B65,FA!C113,其他!G9:G65)</f>
        <v>0</v>
      </c>
      <c r="J113" s="492">
        <f>SUMIF(其他!B9:B65,FA!C113,其他!I9:I65)</f>
        <v>0</v>
      </c>
      <c r="K113" s="492">
        <f>SUMIF(其他!B9:B65,FA!C113,其他!K9:K65)</f>
        <v>0</v>
      </c>
      <c r="L113" s="493">
        <f>SUMIF(其他!B9:B65,FA!C113,其他!M9:M65)</f>
        <v>0</v>
      </c>
      <c r="M113" s="492">
        <f>SUMIF(其他!B9:B65,FA!C113,其他!O9:O65)</f>
        <v>0</v>
      </c>
      <c r="N113" s="494">
        <f>SUMIF(其他!B9:B65,FA!C113,其他!Q9:Q65)</f>
        <v>0</v>
      </c>
    </row>
    <row r="114" ht="17.55" spans="1:14">
      <c r="A114" s="436">
        <v>105</v>
      </c>
      <c r="B114" s="483" t="s">
        <v>253</v>
      </c>
      <c r="C114" s="484" t="s">
        <v>254</v>
      </c>
      <c r="D114" s="485" t="s">
        <v>255</v>
      </c>
      <c r="E114" s="523">
        <v>4</v>
      </c>
      <c r="F114" s="529" t="s">
        <v>256</v>
      </c>
      <c r="G114" s="488">
        <f t="shared" si="27"/>
        <v>0</v>
      </c>
      <c r="H114" s="492">
        <f>SUMIF(其他!B9:B65,FA!C114,其他!E9:E65)</f>
        <v>0</v>
      </c>
      <c r="I114" s="492">
        <f>SUMIF(其他!B9:B65,FA!C114,其他!G9:G65)</f>
        <v>0</v>
      </c>
      <c r="J114" s="492">
        <f>SUMIF(其他!B9:B65,FA!C114,其他!I9:I65)</f>
        <v>0</v>
      </c>
      <c r="K114" s="492">
        <f>SUMIF(其他!B9:B65,FA!C114,其他!K9:K65)</f>
        <v>0</v>
      </c>
      <c r="L114" s="493">
        <f>SUMIF(其他!B9:B65,FA!C114,其他!M9:M65)</f>
        <v>0</v>
      </c>
      <c r="M114" s="492">
        <f>SUMIF(其他!B9:B65,FA!C114,其他!O9:O65)</f>
        <v>0</v>
      </c>
      <c r="N114" s="494">
        <f>SUMIF(其他!B9:B65,FA!C114,其他!Q9:Q65)</f>
        <v>0</v>
      </c>
    </row>
    <row r="115" ht="17.55" spans="1:14">
      <c r="A115" s="436">
        <v>106</v>
      </c>
      <c r="B115" s="483"/>
      <c r="C115" s="484" t="s">
        <v>257</v>
      </c>
      <c r="D115" s="485">
        <v>8.3</v>
      </c>
      <c r="E115" s="486">
        <v>3</v>
      </c>
      <c r="F115" s="530" t="s">
        <v>258</v>
      </c>
      <c r="G115" s="488">
        <f t="shared" ref="G115:N115" si="28">SUM(G116:G138)</f>
        <v>881</v>
      </c>
      <c r="H115" s="488">
        <f t="shared" si="28"/>
        <v>881</v>
      </c>
      <c r="I115" s="488">
        <f t="shared" si="28"/>
        <v>0</v>
      </c>
      <c r="J115" s="488">
        <f t="shared" si="28"/>
        <v>0</v>
      </c>
      <c r="K115" s="488">
        <f t="shared" si="28"/>
        <v>0</v>
      </c>
      <c r="L115" s="489">
        <f t="shared" si="28"/>
        <v>0</v>
      </c>
      <c r="M115" s="488">
        <f t="shared" si="28"/>
        <v>0</v>
      </c>
      <c r="N115" s="490">
        <f t="shared" si="28"/>
        <v>0</v>
      </c>
    </row>
    <row r="116" ht="17.55" spans="1:14">
      <c r="A116" s="436">
        <v>107</v>
      </c>
      <c r="B116" s="505">
        <v>8310</v>
      </c>
      <c r="C116" s="506" t="s">
        <v>259</v>
      </c>
      <c r="D116" s="507" t="s">
        <v>260</v>
      </c>
      <c r="E116" s="527">
        <v>4</v>
      </c>
      <c r="F116" s="531" t="s">
        <v>261</v>
      </c>
      <c r="G116" s="488">
        <f t="shared" ref="G116:G138" si="29">SUM(H116:N116)</f>
        <v>0</v>
      </c>
      <c r="H116" s="492">
        <f>SUMIF(其他!B9:B65,FA!C116,其他!E9:E65)</f>
        <v>0</v>
      </c>
      <c r="I116" s="492">
        <f>SUMIF(其他!B9:B65,FA!C116,其他!G9:G65)</f>
        <v>0</v>
      </c>
      <c r="J116" s="492">
        <f>SUMIF(其他!B9:B65,FA!C116,其他!I9:I65)</f>
        <v>0</v>
      </c>
      <c r="K116" s="492">
        <f>SUMIF(其他!B9:B65,FA!C116,其他!K9:K65)</f>
        <v>0</v>
      </c>
      <c r="L116" s="493">
        <f>SUMIF(其他!B9:B65,FA!C116,其他!M9:M65)</f>
        <v>0</v>
      </c>
      <c r="M116" s="492">
        <f>SUMIF(其他!B9:B65,FA!C116,其他!O9:O65)</f>
        <v>0</v>
      </c>
      <c r="N116" s="494">
        <f>SUMIF(其他!B9:B65,FA!C116,其他!Q9:Q65)</f>
        <v>0</v>
      </c>
    </row>
    <row r="117" ht="16.8" spans="1:14">
      <c r="A117" s="436">
        <v>108</v>
      </c>
      <c r="B117" s="483" t="s">
        <v>262</v>
      </c>
      <c r="C117" s="484" t="s">
        <v>263</v>
      </c>
      <c r="D117" s="485" t="s">
        <v>264</v>
      </c>
      <c r="E117" s="486">
        <v>4</v>
      </c>
      <c r="F117" s="532" t="s">
        <v>265</v>
      </c>
      <c r="G117" s="488">
        <f t="shared" si="29"/>
        <v>0</v>
      </c>
      <c r="H117" s="492">
        <f>SUMIF(其他!B9:B65,FA!C117,其他!E9:E65)</f>
        <v>0</v>
      </c>
      <c r="I117" s="492">
        <f>SUMIF(其他!B9:B65,FA!C117,其他!G9:G65)</f>
        <v>0</v>
      </c>
      <c r="J117" s="492">
        <f>SUMIF(其他!B9:B65,FA!C117,其他!I9:I65)</f>
        <v>0</v>
      </c>
      <c r="K117" s="492">
        <f>SUMIF(其他!B9:B65,FA!C117,其他!K9:K65)</f>
        <v>0</v>
      </c>
      <c r="L117" s="493">
        <f>SUMIF(其他!B9:B65,FA!C117,其他!M9:M65)</f>
        <v>0</v>
      </c>
      <c r="M117" s="492">
        <f>SUMIF(其他!B9:B65,FA!C117,其他!O9:O65)</f>
        <v>0</v>
      </c>
      <c r="N117" s="494">
        <f>SUMIF(其他!B9:B65,FA!C117,其他!Q9:Q65)</f>
        <v>0</v>
      </c>
    </row>
    <row r="118" ht="16.8" spans="1:14">
      <c r="A118" s="436">
        <v>109</v>
      </c>
      <c r="B118" s="483" t="s">
        <v>266</v>
      </c>
      <c r="C118" s="484" t="s">
        <v>267</v>
      </c>
      <c r="D118" s="485" t="s">
        <v>268</v>
      </c>
      <c r="E118" s="486">
        <v>4</v>
      </c>
      <c r="F118" s="491" t="s">
        <v>269</v>
      </c>
      <c r="G118" s="488">
        <f t="shared" si="29"/>
        <v>0</v>
      </c>
      <c r="H118" s="492">
        <f>SUMIF(其他!B9:B65,FA!C118,其他!E9:E65)</f>
        <v>0</v>
      </c>
      <c r="I118" s="492">
        <f>SUMIF(其他!B9:B65,FA!C118,其他!G9:G65)</f>
        <v>0</v>
      </c>
      <c r="J118" s="492">
        <f>SUMIF(其他!B9:B65,FA!C118,其他!I9:I65)</f>
        <v>0</v>
      </c>
      <c r="K118" s="492">
        <f>SUMIF(其他!B9:B65,FA!C118,其他!K9:K65)</f>
        <v>0</v>
      </c>
      <c r="L118" s="493">
        <f>SUMIF(其他!B9:B65,FA!C118,其他!M9:M65)</f>
        <v>0</v>
      </c>
      <c r="M118" s="492">
        <f>SUMIF(其他!B9:B65,FA!C118,其他!O9:O65)</f>
        <v>0</v>
      </c>
      <c r="N118" s="494">
        <f>SUMIF(其他!B9:B65,FA!C118,其他!Q9:Q65)</f>
        <v>0</v>
      </c>
    </row>
    <row r="119" ht="16.8" spans="1:14">
      <c r="A119" s="436">
        <v>110</v>
      </c>
      <c r="B119" s="483" t="s">
        <v>270</v>
      </c>
      <c r="C119" s="484" t="s">
        <v>271</v>
      </c>
      <c r="D119" s="485" t="s">
        <v>272</v>
      </c>
      <c r="E119" s="486">
        <v>4</v>
      </c>
      <c r="F119" s="491" t="s">
        <v>273</v>
      </c>
      <c r="G119" s="488">
        <f t="shared" si="29"/>
        <v>0</v>
      </c>
      <c r="H119" s="492">
        <f>SUMIF(其他!B9:B65,FA!C119,其他!E9:E65)</f>
        <v>0</v>
      </c>
      <c r="I119" s="492">
        <f>SUMIF(其他!B9:B65,FA!C119,其他!G9:G65)</f>
        <v>0</v>
      </c>
      <c r="J119" s="492">
        <f>SUMIF(其他!B9:B65,FA!C119,其他!I9:I65)</f>
        <v>0</v>
      </c>
      <c r="K119" s="492">
        <f>SUMIF(其他!B9:B65,FA!C119,其他!K9:K65)</f>
        <v>0</v>
      </c>
      <c r="L119" s="493">
        <f>SUMIF(其他!B9:B65,FA!C119,其他!M9:M65)</f>
        <v>0</v>
      </c>
      <c r="M119" s="492">
        <f>SUMIF(其他!B9:B65,FA!C119,其他!O9:O65)</f>
        <v>0</v>
      </c>
      <c r="N119" s="494">
        <f>SUMIF(其他!B9:B65,FA!C119,其他!Q9:Q65)</f>
        <v>0</v>
      </c>
    </row>
    <row r="120" ht="16.8" spans="1:14">
      <c r="A120" s="436">
        <v>111</v>
      </c>
      <c r="B120" s="483" t="s">
        <v>274</v>
      </c>
      <c r="C120" s="484" t="s">
        <v>275</v>
      </c>
      <c r="D120" s="485" t="s">
        <v>276</v>
      </c>
      <c r="E120" s="486">
        <v>4</v>
      </c>
      <c r="F120" s="491" t="s">
        <v>277</v>
      </c>
      <c r="G120" s="488">
        <f t="shared" si="29"/>
        <v>0</v>
      </c>
      <c r="H120" s="492">
        <f>SUMIF(其他!B9:B65,FA!C120,其他!E9:E65)</f>
        <v>0</v>
      </c>
      <c r="I120" s="492">
        <f>SUMIF(其他!B9:B65,FA!C120,其他!G9:G65)</f>
        <v>0</v>
      </c>
      <c r="J120" s="492">
        <f>SUMIF(其他!B9:B65,FA!C120,其他!I9:I65)</f>
        <v>0</v>
      </c>
      <c r="K120" s="492">
        <f>SUMIF(其他!B9:B65,FA!C120,其他!K9:K65)</f>
        <v>0</v>
      </c>
      <c r="L120" s="493">
        <f>SUMIF(其他!B9:B65,FA!C120,其他!M9:M65)</f>
        <v>0</v>
      </c>
      <c r="M120" s="492">
        <f>SUMIF(其他!B9:B65,FA!C120,其他!O9:O65)</f>
        <v>0</v>
      </c>
      <c r="N120" s="494">
        <f>SUMIF(其他!B9:B65,FA!C120,其他!Q9:Q65)</f>
        <v>0</v>
      </c>
    </row>
    <row r="121" ht="16.8" spans="1:14">
      <c r="A121" s="436">
        <v>112</v>
      </c>
      <c r="B121" s="483" t="s">
        <v>278</v>
      </c>
      <c r="C121" s="484" t="s">
        <v>279</v>
      </c>
      <c r="D121" s="485" t="s">
        <v>280</v>
      </c>
      <c r="E121" s="486">
        <v>4</v>
      </c>
      <c r="F121" s="491" t="s">
        <v>281</v>
      </c>
      <c r="G121" s="488">
        <f t="shared" si="29"/>
        <v>0</v>
      </c>
      <c r="H121" s="492">
        <f>SUMIF(其他!B9:B65,FA!C121,其他!E9:E65)</f>
        <v>0</v>
      </c>
      <c r="I121" s="492">
        <f>SUMIF(其他!B9:B65,FA!C121,其他!G9:G65)</f>
        <v>0</v>
      </c>
      <c r="J121" s="492">
        <f>SUMIF(其他!B9:B65,FA!C121,其他!I9:I65)</f>
        <v>0</v>
      </c>
      <c r="K121" s="492">
        <f>SUMIF(其他!B9:B65,FA!C121,其他!K9:K65)</f>
        <v>0</v>
      </c>
      <c r="L121" s="493">
        <f>SUMIF(其他!B9:B65,FA!C121,其他!M9:M65)</f>
        <v>0</v>
      </c>
      <c r="M121" s="492">
        <f>SUMIF(其他!B9:B65,FA!C121,其他!O9:O65)</f>
        <v>0</v>
      </c>
      <c r="N121" s="494">
        <f>SUMIF(其他!B9:B65,FA!C121,其他!Q9:Q65)</f>
        <v>0</v>
      </c>
    </row>
    <row r="122" ht="16.8" spans="1:14">
      <c r="A122" s="436">
        <v>113</v>
      </c>
      <c r="B122" s="483" t="s">
        <v>282</v>
      </c>
      <c r="C122" s="484" t="s">
        <v>283</v>
      </c>
      <c r="D122" s="485" t="s">
        <v>284</v>
      </c>
      <c r="E122" s="486">
        <v>4</v>
      </c>
      <c r="F122" s="491" t="s">
        <v>285</v>
      </c>
      <c r="G122" s="488">
        <f t="shared" si="29"/>
        <v>0</v>
      </c>
      <c r="H122" s="492">
        <f>SUMIF(其他!B9:B65,FA!C122,其他!E9:E65)</f>
        <v>0</v>
      </c>
      <c r="I122" s="492">
        <f>SUMIF(其他!B9:B65,FA!C122,其他!G9:G65)</f>
        <v>0</v>
      </c>
      <c r="J122" s="492">
        <f>SUMIF(其他!B9:B65,FA!C122,其他!I9:I65)</f>
        <v>0</v>
      </c>
      <c r="K122" s="492">
        <f>SUMIF(其他!B9:B65,FA!C122,其他!K9:K65)</f>
        <v>0</v>
      </c>
      <c r="L122" s="493">
        <f>SUMIF(其他!B9:B65,FA!C122,其他!M9:M65)</f>
        <v>0</v>
      </c>
      <c r="M122" s="492">
        <f>SUMIF(其他!B9:B65,FA!C122,其他!O9:O65)</f>
        <v>0</v>
      </c>
      <c r="N122" s="494">
        <f>SUMIF(其他!B9:B65,FA!C122,其他!Q9:Q65)</f>
        <v>0</v>
      </c>
    </row>
    <row r="123" ht="16.8" spans="1:14">
      <c r="A123" s="436">
        <v>114</v>
      </c>
      <c r="B123" s="483" t="s">
        <v>286</v>
      </c>
      <c r="C123" s="484" t="s">
        <v>287</v>
      </c>
      <c r="D123" s="485" t="s">
        <v>288</v>
      </c>
      <c r="E123" s="486">
        <v>4</v>
      </c>
      <c r="F123" s="491" t="s">
        <v>289</v>
      </c>
      <c r="G123" s="488">
        <f t="shared" si="29"/>
        <v>0</v>
      </c>
      <c r="H123" s="492">
        <f>SUMIF(其他!B9:B65,FA!C123,其他!E9:E65)</f>
        <v>0</v>
      </c>
      <c r="I123" s="492">
        <f>SUMIF(其他!B9:B65,FA!C123,其他!G9:G65)</f>
        <v>0</v>
      </c>
      <c r="J123" s="492">
        <f>SUMIF(其他!B9:B65,FA!C123,其他!I9:I65)</f>
        <v>0</v>
      </c>
      <c r="K123" s="492">
        <f>SUMIF(其他!B9:B65,FA!C123,其他!K9:K65)</f>
        <v>0</v>
      </c>
      <c r="L123" s="493">
        <f>SUMIF(其他!B9:B65,FA!C123,其他!M9:M65)</f>
        <v>0</v>
      </c>
      <c r="M123" s="492">
        <f>SUMIF(其他!B9:B65,FA!C123,其他!O9:O65)</f>
        <v>0</v>
      </c>
      <c r="N123" s="494">
        <f>SUMIF(其他!B9:B65,FA!C123,其他!Q9:Q65)</f>
        <v>0</v>
      </c>
    </row>
    <row r="124" ht="16.8" spans="1:14">
      <c r="A124" s="436">
        <v>115</v>
      </c>
      <c r="B124" s="483" t="s">
        <v>290</v>
      </c>
      <c r="C124" s="484" t="s">
        <v>291</v>
      </c>
      <c r="D124" s="485" t="s">
        <v>292</v>
      </c>
      <c r="E124" s="486">
        <v>4</v>
      </c>
      <c r="F124" s="491" t="s">
        <v>293</v>
      </c>
      <c r="G124" s="488">
        <f t="shared" si="29"/>
        <v>0</v>
      </c>
      <c r="H124" s="492">
        <f>SUMIF(其他!B9:B65,FA!C124,其他!E9:E65)</f>
        <v>0</v>
      </c>
      <c r="I124" s="492">
        <f>SUMIF(其他!B9:B65,FA!C124,其他!G9:G65)</f>
        <v>0</v>
      </c>
      <c r="J124" s="492">
        <f>SUMIF(其他!B9:B65,FA!C124,其他!I9:I65)</f>
        <v>0</v>
      </c>
      <c r="K124" s="492">
        <f>SUMIF(其他!B9:B65,FA!C124,其他!K9:K65)</f>
        <v>0</v>
      </c>
      <c r="L124" s="493">
        <f>SUMIF(其他!B9:B65,FA!C124,其他!M9:M65)</f>
        <v>0</v>
      </c>
      <c r="M124" s="492">
        <f>SUMIF(其他!B9:B65,FA!C124,其他!O9:O65)</f>
        <v>0</v>
      </c>
      <c r="N124" s="494">
        <f>SUMIF(其他!B9:B65,FA!C124,其他!Q9:Q65)</f>
        <v>0</v>
      </c>
    </row>
    <row r="125" ht="16.8" spans="1:14">
      <c r="A125" s="436">
        <v>116</v>
      </c>
      <c r="B125" s="483" t="s">
        <v>294</v>
      </c>
      <c r="C125" s="484" t="s">
        <v>295</v>
      </c>
      <c r="D125" s="485" t="s">
        <v>296</v>
      </c>
      <c r="E125" s="486">
        <v>4</v>
      </c>
      <c r="F125" s="491" t="s">
        <v>297</v>
      </c>
      <c r="G125" s="488">
        <f t="shared" si="29"/>
        <v>0</v>
      </c>
      <c r="H125" s="492">
        <f>SUMIF(其他!B9:B65,FA!C125,其他!E9:E65)</f>
        <v>0</v>
      </c>
      <c r="I125" s="492">
        <f>SUMIF(其他!B9:B65,FA!C125,其他!G9:G65)</f>
        <v>0</v>
      </c>
      <c r="J125" s="492">
        <f>SUMIF(其他!B9:B65,FA!C125,其他!I9:I65)</f>
        <v>0</v>
      </c>
      <c r="K125" s="492">
        <f>SUMIF(其他!B9:B65,FA!C114,其他!K9:K65)</f>
        <v>0</v>
      </c>
      <c r="L125" s="493">
        <f>SUMIF(其他!B9:B65,FA!C125,其他!M9:M65)</f>
        <v>0</v>
      </c>
      <c r="M125" s="492">
        <f>SUMIF(其他!B9:B65,FA!C125,其他!O9:O65)</f>
        <v>0</v>
      </c>
      <c r="N125" s="494">
        <f>SUMIF(其他!B9:B65,FA!C125,其他!Q9:Q65)</f>
        <v>0</v>
      </c>
    </row>
    <row r="126" ht="16.8" spans="1:14">
      <c r="A126" s="436">
        <v>117</v>
      </c>
      <c r="B126" s="483" t="s">
        <v>298</v>
      </c>
      <c r="C126" s="484" t="s">
        <v>299</v>
      </c>
      <c r="D126" s="485" t="s">
        <v>300</v>
      </c>
      <c r="E126" s="486">
        <v>4</v>
      </c>
      <c r="F126" s="491" t="s">
        <v>301</v>
      </c>
      <c r="G126" s="488">
        <f t="shared" si="29"/>
        <v>0</v>
      </c>
      <c r="H126" s="492">
        <f>SUMIF(其他!B9:B65,FA!C126,其他!E9:E65)</f>
        <v>0</v>
      </c>
      <c r="I126" s="492">
        <f>SUMIF(其他!B9:B65,FA!C126,其他!G9:G65)</f>
        <v>0</v>
      </c>
      <c r="J126" s="492">
        <f>SUMIF(其他!B9:B65,FA!C126,其他!I9:I65)</f>
        <v>0</v>
      </c>
      <c r="K126" s="492">
        <f>SUMIF(其他!B9:B65,FA!C126,其他!K9:K65)</f>
        <v>0</v>
      </c>
      <c r="L126" s="493">
        <f>SUMIF(其他!B9:B65,FA!C126,其他!M9:M65)</f>
        <v>0</v>
      </c>
      <c r="M126" s="492">
        <f>SUMIF(其他!B9:B65,FA!C126,其他!O9:O65)</f>
        <v>0</v>
      </c>
      <c r="N126" s="494">
        <f>SUMIF(其他!B9:B65,FA!C126,其他!Q9:Q65)</f>
        <v>0</v>
      </c>
    </row>
    <row r="127" ht="16.8" spans="1:14">
      <c r="A127" s="436">
        <v>118</v>
      </c>
      <c r="B127" s="483" t="s">
        <v>302</v>
      </c>
      <c r="C127" s="484" t="s">
        <v>303</v>
      </c>
      <c r="D127" s="485" t="s">
        <v>304</v>
      </c>
      <c r="E127" s="486">
        <v>4</v>
      </c>
      <c r="F127" s="491" t="s">
        <v>305</v>
      </c>
      <c r="G127" s="488">
        <f t="shared" si="29"/>
        <v>0</v>
      </c>
      <c r="H127" s="492">
        <f>SUMIF(其他!B9:B65,FA!C127,其他!E9:E65)</f>
        <v>0</v>
      </c>
      <c r="I127" s="492">
        <f>SUMIF(其他!B9:B65,FA!C127,其他!G9:G65)</f>
        <v>0</v>
      </c>
      <c r="J127" s="492">
        <f>SUMIF(其他!B9:B65,FA!C127,其他!I9:I65)</f>
        <v>0</v>
      </c>
      <c r="K127" s="492">
        <f>SUMIF(其他!B9:B65,FA!C127,其他!K9:K65)</f>
        <v>0</v>
      </c>
      <c r="L127" s="493">
        <f>SUMIF(其他!B9:B65,FA!C127,其他!M9:M65)</f>
        <v>0</v>
      </c>
      <c r="M127" s="492">
        <f>SUMIF(其他!B9:B65,FA!C127,其他!O9:O65)</f>
        <v>0</v>
      </c>
      <c r="N127" s="494">
        <f>SUMIF(其他!B9:B65,FA!C127,其他!Q9:Q65)</f>
        <v>0</v>
      </c>
    </row>
    <row r="128" ht="16.8" spans="1:14">
      <c r="A128" s="436">
        <v>119</v>
      </c>
      <c r="B128" s="483" t="s">
        <v>306</v>
      </c>
      <c r="C128" s="484" t="s">
        <v>307</v>
      </c>
      <c r="D128" s="485" t="s">
        <v>308</v>
      </c>
      <c r="E128" s="486">
        <v>4</v>
      </c>
      <c r="F128" s="491" t="s">
        <v>309</v>
      </c>
      <c r="G128" s="488">
        <f t="shared" si="29"/>
        <v>0</v>
      </c>
      <c r="H128" s="492">
        <f>SUMIF(其他!B9:B65,FA!C128,其他!E9:E65)</f>
        <v>0</v>
      </c>
      <c r="I128" s="492">
        <f>SUMIF(其他!B9:B65,FA!C128,其他!G9:G65)</f>
        <v>0</v>
      </c>
      <c r="J128" s="492">
        <f>SUMIF(其他!B9:B65,FA!C128,其他!I9:I65)</f>
        <v>0</v>
      </c>
      <c r="K128" s="492">
        <f>SUMIF(其他!B9:B65,FA!C128,其他!K9:K65)</f>
        <v>0</v>
      </c>
      <c r="L128" s="493">
        <f>SUMIF(其他!B9:B65,FA!C128,其他!M9:M65)</f>
        <v>0</v>
      </c>
      <c r="M128" s="492">
        <f>SUMIF(其他!B9:B65,FA!C128,其他!O9:O65)</f>
        <v>0</v>
      </c>
      <c r="N128" s="494">
        <f>SUMIF(其他!B9:B65,FA!C128,其他!Q9:Q65)</f>
        <v>0</v>
      </c>
    </row>
    <row r="129" ht="16.8" spans="1:14">
      <c r="A129" s="436">
        <v>120</v>
      </c>
      <c r="B129" s="483" t="s">
        <v>310</v>
      </c>
      <c r="C129" s="484" t="s">
        <v>311</v>
      </c>
      <c r="D129" s="485" t="s">
        <v>312</v>
      </c>
      <c r="E129" s="486">
        <v>4</v>
      </c>
      <c r="F129" s="491" t="s">
        <v>313</v>
      </c>
      <c r="G129" s="488">
        <f t="shared" si="29"/>
        <v>0</v>
      </c>
      <c r="H129" s="492">
        <f>SUMIF(其他!B9:B65,FA!C129,其他!E9:E65)</f>
        <v>0</v>
      </c>
      <c r="I129" s="492">
        <f>SUMIF(其他!B9:B65,FA!C129,其他!G9:G65)</f>
        <v>0</v>
      </c>
      <c r="J129" s="492">
        <f>SUMIF(其他!B9:B65,FA!C129,其他!I9:I65)</f>
        <v>0</v>
      </c>
      <c r="K129" s="492">
        <f>SUMIF(其他!B9:B65,FA!C129,其他!K9:K65)</f>
        <v>0</v>
      </c>
      <c r="L129" s="493">
        <f>SUMIF(其他!B9:B65,FA!C129,其他!M9:M65)</f>
        <v>0</v>
      </c>
      <c r="M129" s="492">
        <f>SUMIF(其他!B9:B65,FA!C129,其他!O9:O65)</f>
        <v>0</v>
      </c>
      <c r="N129" s="494">
        <f>SUMIF(其他!B9:B65,FA!C129,其他!Q9:Q65)</f>
        <v>0</v>
      </c>
    </row>
    <row r="130" ht="16.8" spans="1:14">
      <c r="A130" s="436">
        <v>121</v>
      </c>
      <c r="B130" s="483" t="s">
        <v>314</v>
      </c>
      <c r="C130" s="484" t="s">
        <v>315</v>
      </c>
      <c r="D130" s="485" t="s">
        <v>316</v>
      </c>
      <c r="E130" s="486">
        <v>4</v>
      </c>
      <c r="F130" s="491" t="s">
        <v>317</v>
      </c>
      <c r="G130" s="488">
        <f t="shared" si="29"/>
        <v>0</v>
      </c>
      <c r="H130" s="492">
        <f>SUMIF(其他!B9:B65,FA!C130,其他!E9:E65)</f>
        <v>0</v>
      </c>
      <c r="I130" s="492">
        <f>SUMIF(其他!B9:B65,FA!C130,其他!G9:G65)</f>
        <v>0</v>
      </c>
      <c r="J130" s="492">
        <f>SUMIF(其他!B9:B65,FA!C130,其他!I9:I65)</f>
        <v>0</v>
      </c>
      <c r="K130" s="492">
        <f>SUMIF(其他!B9:B65,FA!C130,其他!K9:K65)</f>
        <v>0</v>
      </c>
      <c r="L130" s="493">
        <f>SUMIF(其他!B9:B65,FA!C130,其他!M9:M65)</f>
        <v>0</v>
      </c>
      <c r="M130" s="492">
        <f>SUMIF(其他!B9:B65,FA!C130,其他!O9:O65)</f>
        <v>0</v>
      </c>
      <c r="N130" s="494">
        <f>SUMIF(其他!B9:B65,FA!C130,其他!Q9:Q65)</f>
        <v>0</v>
      </c>
    </row>
    <row r="131" ht="16.8" spans="1:14">
      <c r="A131" s="436">
        <v>122</v>
      </c>
      <c r="B131" s="483" t="s">
        <v>318</v>
      </c>
      <c r="C131" s="484" t="s">
        <v>319</v>
      </c>
      <c r="D131" s="485" t="s">
        <v>320</v>
      </c>
      <c r="E131" s="486">
        <v>4</v>
      </c>
      <c r="F131" s="491" t="s">
        <v>321</v>
      </c>
      <c r="G131" s="488">
        <f t="shared" si="29"/>
        <v>0</v>
      </c>
      <c r="H131" s="492">
        <f>SUMIF(其他!B9:B65,FA!C131,其他!E9:E65)</f>
        <v>0</v>
      </c>
      <c r="I131" s="492">
        <f>SUMIF(其他!B9:B65,FA!C131,其他!G9:G65)</f>
        <v>0</v>
      </c>
      <c r="J131" s="492">
        <f>SUMIF(其他!B9:B65,FA!C131,其他!I9:I65)</f>
        <v>0</v>
      </c>
      <c r="K131" s="492">
        <f>SUMIF(其他!B9:B65,FA!C131,其他!K9:K65)</f>
        <v>0</v>
      </c>
      <c r="L131" s="493">
        <f>SUMIF(其他!B9:B65,FA!C131,其他!M9:M65)</f>
        <v>0</v>
      </c>
      <c r="M131" s="492">
        <f>SUMIF(其他!B9:B65,FA!C131,其他!O9:O65)</f>
        <v>0</v>
      </c>
      <c r="N131" s="494">
        <f>SUMIF(其他!B9:B65,FA!C131,其他!Q9:Q65)</f>
        <v>0</v>
      </c>
    </row>
    <row r="132" ht="16.8" spans="1:14">
      <c r="A132" s="436">
        <v>123</v>
      </c>
      <c r="B132" s="483" t="s">
        <v>322</v>
      </c>
      <c r="C132" s="484" t="s">
        <v>323</v>
      </c>
      <c r="D132" s="485" t="s">
        <v>324</v>
      </c>
      <c r="E132" s="486">
        <v>4</v>
      </c>
      <c r="F132" s="491" t="s">
        <v>325</v>
      </c>
      <c r="G132" s="488">
        <f t="shared" si="29"/>
        <v>881</v>
      </c>
      <c r="H132" s="533">
        <f>SUMIF(其他!B9:B65,FA!C132,其他!E9:E65)+SUMIF('预算书-初步'!A13:A2600,123,'预算书-初步'!P13:P2600)</f>
        <v>881</v>
      </c>
      <c r="I132" s="492">
        <f>SUMIF(其他!B9:B65,FA!C132,其他!G9:G65)</f>
        <v>0</v>
      </c>
      <c r="J132" s="492">
        <f>SUMIF(其他!B9:B65,FA!C132,其他!I9:I65)</f>
        <v>0</v>
      </c>
      <c r="K132" s="492">
        <f>SUMIF(其他!B9:B65,FA!C132,其他!K9:K65)</f>
        <v>0</v>
      </c>
      <c r="L132" s="493">
        <f>SUMIF(其他!B9:B65,FA!C132,其他!M9:M65)</f>
        <v>0</v>
      </c>
      <c r="M132" s="533">
        <f>SUMIF(其他!B9:B65,FA!C132,其他!O9:O65)+SUMIF('预算书-初步'!A13:A2600,"大甜123",'预算书-初步'!P13:P2600)</f>
        <v>0</v>
      </c>
      <c r="N132" s="494">
        <f>SUMIF(其他!B9:B65,FA!C132,其他!Q9:Q65)</f>
        <v>0</v>
      </c>
    </row>
    <row r="133" ht="16.8" spans="1:14">
      <c r="A133" s="436">
        <v>124</v>
      </c>
      <c r="B133" s="483" t="s">
        <v>326</v>
      </c>
      <c r="C133" s="484" t="s">
        <v>327</v>
      </c>
      <c r="D133" s="485" t="s">
        <v>328</v>
      </c>
      <c r="E133" s="486">
        <v>4</v>
      </c>
      <c r="F133" s="491" t="s">
        <v>329</v>
      </c>
      <c r="G133" s="488">
        <f t="shared" si="29"/>
        <v>0</v>
      </c>
      <c r="H133" s="492">
        <f>SUMIF(其他!B9:B65,FA!C133,其他!E9:E65)</f>
        <v>0</v>
      </c>
      <c r="I133" s="492">
        <f>SUMIF(其他!B9:B65,FA!C133,其他!G9:G65)</f>
        <v>0</v>
      </c>
      <c r="J133" s="492">
        <f>SUMIF(其他!B9:B65,FA!C133,其他!I9:I65)</f>
        <v>0</v>
      </c>
      <c r="K133" s="492">
        <f>SUMIF(其他!B9:B65,FA!C133,其他!K9:K65)</f>
        <v>0</v>
      </c>
      <c r="L133" s="493">
        <f>SUMIF(其他!B9:B65,FA!C133,其他!M9:M65)</f>
        <v>0</v>
      </c>
      <c r="M133" s="492">
        <f>SUMIF(其他!B9:B65,FA!C133,其他!O9:O65)</f>
        <v>0</v>
      </c>
      <c r="N133" s="494">
        <f>SUMIF(其他!B9:B65,FA!C133,其他!Q9:Q65)</f>
        <v>0</v>
      </c>
    </row>
    <row r="134" ht="16.8" spans="1:14">
      <c r="A134" s="436">
        <v>125</v>
      </c>
      <c r="B134" s="495" t="s">
        <v>330</v>
      </c>
      <c r="C134" s="484" t="s">
        <v>331</v>
      </c>
      <c r="D134" s="485" t="s">
        <v>332</v>
      </c>
      <c r="E134" s="486">
        <v>4</v>
      </c>
      <c r="F134" s="491" t="s">
        <v>333</v>
      </c>
      <c r="G134" s="488">
        <f t="shared" si="29"/>
        <v>0</v>
      </c>
      <c r="H134" s="492">
        <f>SUMIF(其他!B9:B65,FA!C134,其他!E9:E65)</f>
        <v>0</v>
      </c>
      <c r="I134" s="492">
        <f>SUMIF(其他!B9:B65,FA!C134,其他!G9:G65)</f>
        <v>0</v>
      </c>
      <c r="J134" s="492">
        <f>SUMIF(其他!B9:B65,FA!C134,其他!I9:I65)</f>
        <v>0</v>
      </c>
      <c r="K134" s="492">
        <f>SUMIF(其他!B9:B65,FA!C134,其他!K9:K65)</f>
        <v>0</v>
      </c>
      <c r="L134" s="493">
        <f>SUMIF(其他!B9:B65,FA!C134,其他!M9:M65)</f>
        <v>0</v>
      </c>
      <c r="M134" s="492">
        <f>SUMIF(其他!B9:B65,FA!C134,其他!O9:O65)</f>
        <v>0</v>
      </c>
      <c r="N134" s="494">
        <f>SUMIF(其他!B9:B65,FA!C134,其他!Q9:Q65)</f>
        <v>0</v>
      </c>
    </row>
    <row r="135" ht="16.8" spans="1:14">
      <c r="A135" s="436">
        <v>126</v>
      </c>
      <c r="B135" s="495">
        <v>8391</v>
      </c>
      <c r="C135" s="484" t="s">
        <v>334</v>
      </c>
      <c r="D135" s="485" t="s">
        <v>335</v>
      </c>
      <c r="E135" s="486">
        <v>4</v>
      </c>
      <c r="F135" s="491" t="s">
        <v>336</v>
      </c>
      <c r="G135" s="488">
        <f t="shared" si="29"/>
        <v>0</v>
      </c>
      <c r="H135" s="492">
        <f>SUMIF(其他!B9:B65,FA!C135,其他!E9:E65)</f>
        <v>0</v>
      </c>
      <c r="I135" s="492">
        <f>SUMIF(其他!B9:B65,FA!C135,其他!G9:G65)</f>
        <v>0</v>
      </c>
      <c r="J135" s="492">
        <f>SUMIF(其他!B9:B65,FA!C135,其他!I9:I65)</f>
        <v>0</v>
      </c>
      <c r="K135" s="492">
        <f>SUMIF(其他!B9:B65,FA!C135,其他!K9:K65)</f>
        <v>0</v>
      </c>
      <c r="L135" s="493">
        <f>SUMIF(其他!B9:B65,FA!C135,其他!M9:M65)</f>
        <v>0</v>
      </c>
      <c r="M135" s="492">
        <f>SUMIF(其他!B9:B65,FA!C135,其他!O9:O65)</f>
        <v>0</v>
      </c>
      <c r="N135" s="494">
        <f>SUMIF(其他!B9:B65,FA!C135,其他!Q9:Q65)</f>
        <v>0</v>
      </c>
    </row>
    <row r="136" ht="16.8" spans="1:14">
      <c r="A136" s="436">
        <v>127</v>
      </c>
      <c r="B136" s="495" t="s">
        <v>337</v>
      </c>
      <c r="C136" s="484" t="s">
        <v>338</v>
      </c>
      <c r="D136" s="485" t="s">
        <v>339</v>
      </c>
      <c r="E136" s="486">
        <v>4</v>
      </c>
      <c r="F136" s="491" t="s">
        <v>340</v>
      </c>
      <c r="G136" s="488">
        <f t="shared" si="29"/>
        <v>0</v>
      </c>
      <c r="H136" s="492">
        <f>SUMIF(其他!B9:B65,FA!C136,其他!E9:E65)</f>
        <v>0</v>
      </c>
      <c r="I136" s="492">
        <f>SUMIF(其他!B9:B65,FA!C136,其他!G9:G65)</f>
        <v>0</v>
      </c>
      <c r="J136" s="492">
        <f>SUMIF(其他!B9:B65,FA!C136,其他!I9:I65)</f>
        <v>0</v>
      </c>
      <c r="K136" s="492">
        <f>SUMIF(其他!B9:B65,FA!C136,其他!K9:K65)</f>
        <v>0</v>
      </c>
      <c r="L136" s="493">
        <f>SUMIF(其他!B9:B65,FA!C136,其他!M9:M65)</f>
        <v>0</v>
      </c>
      <c r="M136" s="492">
        <f>SUMIF(其他!B9:B65,FA!C136,其他!O9:O65)</f>
        <v>0</v>
      </c>
      <c r="N136" s="494">
        <f>SUMIF(其他!B9:B65,FA!C136,其他!Q9:Q65)</f>
        <v>0</v>
      </c>
    </row>
    <row r="137" ht="16.8" spans="1:14">
      <c r="A137" s="436">
        <v>128</v>
      </c>
      <c r="B137" s="495" t="s">
        <v>341</v>
      </c>
      <c r="C137" s="484" t="s">
        <v>342</v>
      </c>
      <c r="D137" s="485" t="s">
        <v>343</v>
      </c>
      <c r="E137" s="486">
        <v>4</v>
      </c>
      <c r="F137" s="491" t="s">
        <v>344</v>
      </c>
      <c r="G137" s="488">
        <f t="shared" si="29"/>
        <v>0</v>
      </c>
      <c r="H137" s="492">
        <f>SUMIF(其他!B9:B65,FA!C137,其他!E9:E65)</f>
        <v>0</v>
      </c>
      <c r="I137" s="492">
        <f>SUMIF(其他!B9:B65,FA!C137,其他!G9:G65)</f>
        <v>0</v>
      </c>
      <c r="J137" s="492">
        <f>SUMIF(其他!B9:B65,FA!C137,其他!I9:I65)</f>
        <v>0</v>
      </c>
      <c r="K137" s="492">
        <f>SUMIF(其他!B9:B65,FA!C137,其他!K9:K65)</f>
        <v>0</v>
      </c>
      <c r="L137" s="493">
        <f>SUMIF(其他!B9:B65,FA!C137,其他!M9:M65)</f>
        <v>0</v>
      </c>
      <c r="M137" s="492">
        <f>SUMIF(其他!B9:B65,FA!C137,其他!O9:O65)</f>
        <v>0</v>
      </c>
      <c r="N137" s="494">
        <f>SUMIF(其他!B9:B65,FA!C137,其他!Q9:Q65)</f>
        <v>0</v>
      </c>
    </row>
    <row r="138" ht="16.8" spans="1:14">
      <c r="A138" s="436">
        <v>129</v>
      </c>
      <c r="B138" s="495" t="s">
        <v>345</v>
      </c>
      <c r="C138" s="484" t="s">
        <v>346</v>
      </c>
      <c r="D138" s="485" t="s">
        <v>347</v>
      </c>
      <c r="E138" s="486">
        <v>4</v>
      </c>
      <c r="F138" s="491" t="s">
        <v>348</v>
      </c>
      <c r="G138" s="488">
        <f t="shared" si="29"/>
        <v>0</v>
      </c>
      <c r="H138" s="492">
        <f>SUMIF(其他!B9:B65,FA!C138,其他!E9:E65)</f>
        <v>0</v>
      </c>
      <c r="I138" s="492">
        <f>SUMIF(其他!B9:B65,FA!C138,其他!G9:G65)</f>
        <v>0</v>
      </c>
      <c r="J138" s="492">
        <f>SUMIF(其他!B9:B65,FA!C138,其他!I9:I65)</f>
        <v>0</v>
      </c>
      <c r="K138" s="492">
        <f>SUMIF(其他!B9:B65,FA!C138,其他!K9:K65)</f>
        <v>0</v>
      </c>
      <c r="L138" s="493">
        <f>SUMIF(其他!B9:B65,FA!C138,其他!M9:M65)</f>
        <v>0</v>
      </c>
      <c r="M138" s="492">
        <f>SUMIF(其他!B9:B65,FA!C138,其他!O9:O65)</f>
        <v>0</v>
      </c>
      <c r="N138" s="494">
        <f>SUMIF(其他!B9:B65,FA!C138,其他!Q9:Q65)</f>
        <v>0</v>
      </c>
    </row>
    <row r="139" ht="17.55" spans="1:14">
      <c r="A139" s="436">
        <v>130</v>
      </c>
      <c r="B139" s="495"/>
      <c r="C139" s="484" t="s">
        <v>349</v>
      </c>
      <c r="D139" s="485">
        <v>8.4</v>
      </c>
      <c r="E139" s="486">
        <v>3</v>
      </c>
      <c r="F139" s="534" t="s">
        <v>350</v>
      </c>
      <c r="G139" s="488">
        <f t="shared" ref="G139:N139" si="30">SUM(G140:G151)</f>
        <v>23740.48</v>
      </c>
      <c r="H139" s="488">
        <f t="shared" si="30"/>
        <v>23740.48</v>
      </c>
      <c r="I139" s="488">
        <f t="shared" si="30"/>
        <v>0</v>
      </c>
      <c r="J139" s="488">
        <f t="shared" si="30"/>
        <v>0</v>
      </c>
      <c r="K139" s="488">
        <f t="shared" si="30"/>
        <v>0</v>
      </c>
      <c r="L139" s="489">
        <f t="shared" si="30"/>
        <v>0</v>
      </c>
      <c r="M139" s="488">
        <f t="shared" si="30"/>
        <v>0</v>
      </c>
      <c r="N139" s="490">
        <f t="shared" si="30"/>
        <v>0</v>
      </c>
    </row>
    <row r="140" ht="16.8" spans="1:14">
      <c r="A140" s="436">
        <v>131</v>
      </c>
      <c r="B140" s="535">
        <v>8410</v>
      </c>
      <c r="C140" s="536" t="s">
        <v>351</v>
      </c>
      <c r="D140" s="537" t="s">
        <v>352</v>
      </c>
      <c r="E140" s="538">
        <v>4</v>
      </c>
      <c r="F140" s="539" t="s">
        <v>353</v>
      </c>
      <c r="G140" s="488">
        <f t="shared" ref="G140:G151" si="31">SUM(H140:N140)</f>
        <v>2676.15</v>
      </c>
      <c r="H140" s="492">
        <f>SUMIF('预算书-初步'!A13:A2600,131,'预算书-初步'!P13:P2600)+SUMIF(其他!B9:B65,FA!C140,其他!E9:E65)</f>
        <v>2676.15</v>
      </c>
      <c r="I140" s="492">
        <f>SUMIF(其他!B9:B65,FA!C140,其他!G9:G65)</f>
        <v>0</v>
      </c>
      <c r="J140" s="492">
        <f>SUMIF(其他!B9:B65,FA!C140,其他!I9:I65)</f>
        <v>0</v>
      </c>
      <c r="K140" s="492">
        <f>SUMIF(其他!B9:B65,FA!C140,其他!K9:K65)</f>
        <v>0</v>
      </c>
      <c r="L140" s="493">
        <f>SUMIF(其他!B9:B65,FA!C140,其他!M9:M65)</f>
        <v>0</v>
      </c>
      <c r="M140" s="492">
        <f>SUMIF('预算书-初步'!A13:A2600,"大甜131",'预算书-初步'!P13:P2600)+SUMIF(其他!B9:B65,FA!C140,其他!O9:O65)</f>
        <v>0</v>
      </c>
      <c r="N140" s="494">
        <f>SUMIF(其他!B9:B65,FA!C140,其他!Q9:Q65)</f>
        <v>0</v>
      </c>
    </row>
    <row r="141" ht="16.8" spans="1:14">
      <c r="A141" s="436">
        <v>132</v>
      </c>
      <c r="B141" s="535" t="s">
        <v>354</v>
      </c>
      <c r="C141" s="536" t="s">
        <v>355</v>
      </c>
      <c r="D141" s="537" t="s">
        <v>356</v>
      </c>
      <c r="E141" s="538">
        <v>4</v>
      </c>
      <c r="F141" s="540" t="s">
        <v>357</v>
      </c>
      <c r="G141" s="488">
        <f t="shared" si="31"/>
        <v>8944.69</v>
      </c>
      <c r="H141" s="492">
        <f>SUMIF('预算书-初步'!A13:A2600,132,'预算书-初步'!P13:P2600)+SUMIF(其他!B9:B65,FA!C141,其他!E9:E65)</f>
        <v>8944.69</v>
      </c>
      <c r="I141" s="492">
        <f>SUMIF('预算书-初步'!A13:A2600,8132,'预算书-初步'!P13:P2600)+SUMIF(其他!B9:B65,FA!C141,其他!G9:G65)</f>
        <v>0</v>
      </c>
      <c r="J141" s="492">
        <f>SUMIF('预算书-初步'!A13:A2600,7132,'预算书-初步'!P13:P2600)+SUMIF(其他!B9:B65,FA!C141,其他!I9:I65)</f>
        <v>0</v>
      </c>
      <c r="K141" s="492">
        <f>SUMIF(其他!B9:B65,FA!C141,其他!K9:K65)</f>
        <v>0</v>
      </c>
      <c r="L141" s="493">
        <f>SUMIF(其他!B9:B65,FA!C141,其他!M9:M65)</f>
        <v>0</v>
      </c>
      <c r="M141" s="492">
        <f>SUMIF('预算书-初步'!A13:A2600,"大甜132",'预算书-初步'!P13:P2600)+SUMIF(其他!B9:B65,FA!C141,其他!O9:O65)</f>
        <v>0</v>
      </c>
      <c r="N141" s="494">
        <f>SUMIF(其他!B9:B65,FA!C141,其他!Q9:Q65)</f>
        <v>0</v>
      </c>
    </row>
    <row r="142" ht="16.8" spans="1:14">
      <c r="A142" s="436">
        <v>133</v>
      </c>
      <c r="B142" s="541" t="s">
        <v>358</v>
      </c>
      <c r="C142" s="542" t="s">
        <v>359</v>
      </c>
      <c r="D142" s="543" t="s">
        <v>360</v>
      </c>
      <c r="E142" s="527">
        <v>4</v>
      </c>
      <c r="F142" s="544" t="s">
        <v>361</v>
      </c>
      <c r="G142" s="488">
        <f t="shared" si="31"/>
        <v>9009.01</v>
      </c>
      <c r="H142" s="492">
        <f>SUMIF('预算书-初步'!A13:A2600,133,'预算书-初步'!P13:P2600)+SUMIF(其他!B9:B65,FA!C142,其他!E9:E65)</f>
        <v>9009.01</v>
      </c>
      <c r="I142" s="492">
        <f>SUMIF('预算书-初步'!A13:A2600,8133,'预算书-初步'!P13:P2600)+SUMIF(其他!B9:B65,FA!C142,其他!G9:G65)</f>
        <v>0</v>
      </c>
      <c r="J142" s="492">
        <f>SUMIF(其他!B9:B65,FA!C142,其他!I9:I65)</f>
        <v>0</v>
      </c>
      <c r="K142" s="492">
        <f>SUMIF(其他!B9:B65,FA!C142,其他!K9:K65)</f>
        <v>0</v>
      </c>
      <c r="L142" s="493">
        <f>SUMIF(其他!B9:B65,FA!C142,其他!M9:M65)</f>
        <v>0</v>
      </c>
      <c r="M142" s="492">
        <f>SUMIF('预算书-初步'!A13:A2600,"大甜133",'预算书-初步'!P13:P2600)+SUMIF(其他!B9:B65,FA!C142,其他!O9:O65)</f>
        <v>0</v>
      </c>
      <c r="N142" s="494">
        <f>SUMIF(其他!B9:B65,FA!C142,其他!Q9:Q65)</f>
        <v>0</v>
      </c>
    </row>
    <row r="143" ht="17.55" spans="1:14">
      <c r="A143" s="436">
        <v>134</v>
      </c>
      <c r="B143" s="545" t="s">
        <v>362</v>
      </c>
      <c r="C143" s="546" t="s">
        <v>363</v>
      </c>
      <c r="D143" s="547" t="s">
        <v>364</v>
      </c>
      <c r="E143" s="538">
        <v>4</v>
      </c>
      <c r="F143" s="548" t="s">
        <v>365</v>
      </c>
      <c r="G143" s="488">
        <f t="shared" si="31"/>
        <v>0</v>
      </c>
      <c r="H143" s="492">
        <f>SUMIF('预算书-初步'!A13:A2600,134,'预算书-初步'!P13:P2600)+SUMIF(其他!B9:B65,FA!C143,其他!E9:E65)</f>
        <v>0</v>
      </c>
      <c r="I143" s="492">
        <f>SUMIF(其他!B9:B65,FA!C143,其他!G9:G65)</f>
        <v>0</v>
      </c>
      <c r="J143" s="492">
        <f>SUMIF(其他!B9:B65,FA!C143,其他!I9:I65)</f>
        <v>0</v>
      </c>
      <c r="K143" s="492">
        <f>SUMIF(其他!B9:B65,FA!C143,其他!K9:K65)</f>
        <v>0</v>
      </c>
      <c r="L143" s="493">
        <f>SUMIF(其他!B9:B65,FA!C143,其他!M9:M65)</f>
        <v>0</v>
      </c>
      <c r="M143" s="492">
        <f>SUMIF('预算书-初步'!A13:A2600,"大甜134",'预算书-初步'!P13:P2600)+SUMIF(其他!B9:B65,FA!C143,其他!O9:O65)</f>
        <v>0</v>
      </c>
      <c r="N143" s="494">
        <f>SUMIF(其他!B9:B65,FA!C143,其他!Q9:Q65)</f>
        <v>0</v>
      </c>
    </row>
    <row r="144" ht="16.8" spans="1:14">
      <c r="A144" s="436">
        <v>135</v>
      </c>
      <c r="B144" s="549">
        <v>8440</v>
      </c>
      <c r="C144" s="546" t="s">
        <v>366</v>
      </c>
      <c r="D144" s="547" t="s">
        <v>367</v>
      </c>
      <c r="E144" s="550">
        <v>4</v>
      </c>
      <c r="F144" s="551" t="s">
        <v>368</v>
      </c>
      <c r="G144" s="488">
        <f t="shared" si="31"/>
        <v>0</v>
      </c>
      <c r="H144" s="492">
        <f>SUMIF(其他!B9:B65,FA!C144,其他!E9:E65)</f>
        <v>0</v>
      </c>
      <c r="I144" s="492">
        <f>SUMIF(其他!B9:B65,FA!C144,其他!G9:G65)</f>
        <v>0</v>
      </c>
      <c r="J144" s="492">
        <f>SUMIF(其他!B9:B65,FA!C144,其他!I9:I65)</f>
        <v>0</v>
      </c>
      <c r="K144" s="492">
        <f>SUMIF(其他!B9:B65,FA!C144,其他!K9:K65)</f>
        <v>0</v>
      </c>
      <c r="L144" s="493">
        <f>SUMIF(其他!B9:B65,FA!C144,其他!M9:M65)</f>
        <v>0</v>
      </c>
      <c r="M144" s="492">
        <f>SUMIF(其他!B9:B65,FA!C144,其他!O9:O65)</f>
        <v>0</v>
      </c>
      <c r="N144" s="494">
        <f>SUMIF(其他!B9:B65,FA!C144,其他!Q9:Q65)</f>
        <v>0</v>
      </c>
    </row>
    <row r="145" ht="16.8" spans="1:14">
      <c r="A145" s="436">
        <v>136</v>
      </c>
      <c r="B145" s="549" t="s">
        <v>369</v>
      </c>
      <c r="C145" s="546" t="s">
        <v>370</v>
      </c>
      <c r="D145" s="547" t="s">
        <v>371</v>
      </c>
      <c r="E145" s="550">
        <v>4</v>
      </c>
      <c r="F145" s="551" t="s">
        <v>372</v>
      </c>
      <c r="G145" s="488">
        <f t="shared" si="31"/>
        <v>0</v>
      </c>
      <c r="H145" s="492">
        <f>SUMIF(其他!B9:B65,FA!C145,其他!E9:E65)</f>
        <v>0</v>
      </c>
      <c r="I145" s="492">
        <f>SUMIF(其他!B9:B65,FA!C145,其他!G9:G65)</f>
        <v>0</v>
      </c>
      <c r="J145" s="492">
        <f>SUMIF(其他!B9:B65,FA!C145,其他!I9:I65)</f>
        <v>0</v>
      </c>
      <c r="K145" s="492">
        <f>SUMIF(其他!B9:B65,FA!C145,其他!K9:K65)</f>
        <v>0</v>
      </c>
      <c r="L145" s="493">
        <f>SUMIF(其他!B9:B65,FA!C145,其他!M9:M65)</f>
        <v>0</v>
      </c>
      <c r="M145" s="492">
        <f>SUMIF(其他!B9:B65,FA!C145,其他!O9:O65)</f>
        <v>0</v>
      </c>
      <c r="N145" s="494">
        <f>SUMIF(其他!B9:B65,FA!C145,其他!Q9:Q65)</f>
        <v>0</v>
      </c>
    </row>
    <row r="146" ht="17.55" spans="1:14">
      <c r="A146" s="436">
        <v>137</v>
      </c>
      <c r="B146" s="549" t="s">
        <v>373</v>
      </c>
      <c r="C146" s="546" t="s">
        <v>374</v>
      </c>
      <c r="D146" s="547" t="s">
        <v>375</v>
      </c>
      <c r="E146" s="550">
        <v>4</v>
      </c>
      <c r="F146" s="551" t="s">
        <v>376</v>
      </c>
      <c r="G146" s="488">
        <f t="shared" si="31"/>
        <v>0</v>
      </c>
      <c r="H146" s="492">
        <f>SUMIF(其他!B9:B65,FA!C146,其他!E9:E65)</f>
        <v>0</v>
      </c>
      <c r="I146" s="492">
        <f>SUMIF(其他!B9:B65,FA!C146,其他!G9:G65)</f>
        <v>0</v>
      </c>
      <c r="J146" s="492">
        <f>SUMIF(其他!B9:B65,FA!C146,其他!I9:I65)</f>
        <v>0</v>
      </c>
      <c r="K146" s="492">
        <f>SUMIF(其他!B9:B65,FA!C146,其他!K9:K65)</f>
        <v>0</v>
      </c>
      <c r="L146" s="493">
        <f>SUMIF(其他!B9:B65,FA!C146,其他!M9:M65)</f>
        <v>0</v>
      </c>
      <c r="M146" s="492">
        <f>SUMIF(其他!B9:B65,FA!C146,其他!O9:O65)</f>
        <v>0</v>
      </c>
      <c r="N146" s="494">
        <f>SUMIF(其他!B9:B65,FA!C146,其他!Q9:Q65)</f>
        <v>0</v>
      </c>
    </row>
    <row r="147" ht="17.55" spans="1:14">
      <c r="A147" s="436">
        <v>138</v>
      </c>
      <c r="B147" s="552" t="s">
        <v>377</v>
      </c>
      <c r="C147" s="542" t="s">
        <v>378</v>
      </c>
      <c r="D147" s="543" t="s">
        <v>379</v>
      </c>
      <c r="E147" s="553">
        <v>4</v>
      </c>
      <c r="F147" s="554" t="s">
        <v>380</v>
      </c>
      <c r="G147" s="488">
        <f t="shared" si="31"/>
        <v>2708.63</v>
      </c>
      <c r="H147" s="492">
        <f>SUMIF('预算书-初步'!A13:A2600,138,'预算书-初步'!P13:P2600)+SUMIF(其他!B9:B65,FA!C147,其他!E9:E65)</f>
        <v>2708.63</v>
      </c>
      <c r="I147" s="492">
        <f>SUMIF('预算书-初步'!A13:A2600,8138,'预算书-初步'!P13:P2600)+SUMIF(其他!B9:B65,FA!C147,其他!G9:G65)</f>
        <v>0</v>
      </c>
      <c r="J147" s="492">
        <f>SUMIF(其他!B9:B65,FA!C147,其他!I9:I65)</f>
        <v>0</v>
      </c>
      <c r="K147" s="492">
        <f>SUMIF(其他!B9:B65,FA!C147,其他!K9:K65)</f>
        <v>0</v>
      </c>
      <c r="L147" s="493">
        <f>SUMIF(其他!B9:B65,FA!C147,其他!M9:M65)</f>
        <v>0</v>
      </c>
      <c r="M147" s="492">
        <f>SUMIF('预算书-初步'!A13:A2600,"大甜138",'预算书-初步'!P13:P2600)+SUMIF(其他!B9:B65,FA!C147,其他!O9:O65)</f>
        <v>0</v>
      </c>
      <c r="N147" s="494">
        <f>SUMIF(其他!B9:B65,FA!C147,其他!Q9:Q65)</f>
        <v>0</v>
      </c>
    </row>
    <row r="148" ht="16.8" spans="1:14">
      <c r="A148" s="436">
        <v>139</v>
      </c>
      <c r="B148" s="555" t="s">
        <v>381</v>
      </c>
      <c r="C148" s="556" t="s">
        <v>382</v>
      </c>
      <c r="D148" s="557" t="s">
        <v>383</v>
      </c>
      <c r="E148" s="558">
        <v>4</v>
      </c>
      <c r="F148" s="559" t="s">
        <v>384</v>
      </c>
      <c r="G148" s="488">
        <f t="shared" si="31"/>
        <v>0</v>
      </c>
      <c r="H148" s="492">
        <f>SUMIF(其他!B9:B65,FA!C148,其他!E9:E65)</f>
        <v>0</v>
      </c>
      <c r="I148" s="492">
        <f>SUMIF(其他!B9:B65,FA!C148,其他!G9:G65)</f>
        <v>0</v>
      </c>
      <c r="J148" s="492">
        <f>SUMIF(其他!B9:B65,FA!C148,其他!I9:I65)</f>
        <v>0</v>
      </c>
      <c r="K148" s="492">
        <f>SUMIF(其他!B9:B65,FA!C148,其他!K9:K65)</f>
        <v>0</v>
      </c>
      <c r="L148" s="493">
        <f>SUMIF(其他!B9:B65,FA!C148,其他!M9:M65)</f>
        <v>0</v>
      </c>
      <c r="M148" s="492">
        <f>SUMIF(其他!B9:B65,FA!C148,其他!O9:O65)</f>
        <v>0</v>
      </c>
      <c r="N148" s="494">
        <f>SUMIF(其他!B9:B65,FA!C148,其他!Q9:Q65)</f>
        <v>0</v>
      </c>
    </row>
    <row r="149" ht="16.8" spans="1:14">
      <c r="A149" s="436">
        <v>140</v>
      </c>
      <c r="B149" s="555" t="s">
        <v>385</v>
      </c>
      <c r="C149" s="556" t="s">
        <v>386</v>
      </c>
      <c r="D149" s="557" t="s">
        <v>387</v>
      </c>
      <c r="E149" s="558">
        <v>4</v>
      </c>
      <c r="F149" s="559" t="s">
        <v>388</v>
      </c>
      <c r="G149" s="488">
        <f t="shared" si="31"/>
        <v>0</v>
      </c>
      <c r="H149" s="492">
        <f>SUMIF(其他!B9:B65,FA!C149,其他!E9:E65)</f>
        <v>0</v>
      </c>
      <c r="I149" s="492">
        <f>SUMIF(其他!B9:B65,FA!C149,其他!G9:G65)</f>
        <v>0</v>
      </c>
      <c r="J149" s="492">
        <f>SUMIF(其他!B9:B65,FA!C149,其他!I9:I65)</f>
        <v>0</v>
      </c>
      <c r="K149" s="492">
        <f>SUMIF(其他!B9:B65,FA!C149,其他!K9:K65)</f>
        <v>0</v>
      </c>
      <c r="L149" s="493">
        <f>SUMIF(其他!B9:B65,FA!C149,其他!M9:M65)</f>
        <v>0</v>
      </c>
      <c r="M149" s="492">
        <f>SUMIF(其他!B9:B65,FA!C149,其他!O9:O65)</f>
        <v>0</v>
      </c>
      <c r="N149" s="494">
        <f>SUMIF(其他!B9:B65,FA!C149,其他!Q9:Q65)</f>
        <v>0</v>
      </c>
    </row>
    <row r="150" ht="16.8" spans="1:14">
      <c r="A150" s="436">
        <v>141</v>
      </c>
      <c r="B150" s="555" t="s">
        <v>389</v>
      </c>
      <c r="C150" s="556" t="s">
        <v>390</v>
      </c>
      <c r="D150" s="557" t="s">
        <v>391</v>
      </c>
      <c r="E150" s="558">
        <v>4</v>
      </c>
      <c r="F150" s="559" t="s">
        <v>392</v>
      </c>
      <c r="G150" s="488">
        <f t="shared" si="31"/>
        <v>0</v>
      </c>
      <c r="H150" s="492">
        <f>SUMIF(其他!B9:B65,FA!C150,其他!E9:E65)</f>
        <v>0</v>
      </c>
      <c r="I150" s="492">
        <f>SUMIF(其他!B9:B65,FA!C150,其他!G9:G65)</f>
        <v>0</v>
      </c>
      <c r="J150" s="492">
        <f>SUMIF(其他!B9:B65,FA!C150,其他!I9:I65)</f>
        <v>0</v>
      </c>
      <c r="K150" s="492">
        <f>SUMIF(其他!B9:B65,FA!C150,其他!K9:K65)</f>
        <v>0</v>
      </c>
      <c r="L150" s="493">
        <f>SUMIF(其他!B9:B65,FA!C150,其他!M9:M65)</f>
        <v>0</v>
      </c>
      <c r="M150" s="492">
        <f>SUMIF(其他!B9:B65,FA!C150,其他!O9:O65)</f>
        <v>0</v>
      </c>
      <c r="N150" s="494">
        <f>SUMIF(其他!B9:B65,FA!C150,其他!Q9:Q65)</f>
        <v>0</v>
      </c>
    </row>
    <row r="151" ht="16.8" spans="1:14">
      <c r="A151" s="436">
        <v>142</v>
      </c>
      <c r="B151" s="555" t="s">
        <v>393</v>
      </c>
      <c r="C151" s="556" t="s">
        <v>394</v>
      </c>
      <c r="D151" s="557" t="s">
        <v>395</v>
      </c>
      <c r="E151" s="558">
        <v>4</v>
      </c>
      <c r="F151" s="559" t="s">
        <v>396</v>
      </c>
      <c r="G151" s="488">
        <f t="shared" si="31"/>
        <v>402</v>
      </c>
      <c r="H151" s="533">
        <f>SUMIF(其他!B9:B65,FA!C151,其他!E9:E65)+SUMIF('预算书-初步'!A13:A2600,142,'预算书-初步'!P13:P2600)</f>
        <v>402</v>
      </c>
      <c r="I151" s="492">
        <f>SUMIF(其他!B9:B65,FA!C151,其他!G9:G65)</f>
        <v>0</v>
      </c>
      <c r="J151" s="492">
        <f>SUMIF(其他!B9:B65,FA!C151,其他!I9:I65)</f>
        <v>0</v>
      </c>
      <c r="K151" s="492">
        <f>SUMIF(其他!B9:B65,FA!C151,其他!K9:K65)</f>
        <v>0</v>
      </c>
      <c r="L151" s="493">
        <f>SUMIF(其他!B9:B65,FA!C151,其他!M9:M65)</f>
        <v>0</v>
      </c>
      <c r="M151" s="533">
        <f>SUMIF(其他!B9:B65,FA!C151,其他!O9:O65)+SUMIF('预算书-初步'!A13:A2600,"大甜142",'预算书-初步'!P13:P2600)</f>
        <v>0</v>
      </c>
      <c r="N151" s="494">
        <f>SUMIF(其他!B9:B65,FA!C151,其他!Q9:Q65)</f>
        <v>0</v>
      </c>
    </row>
    <row r="152" ht="17.55" spans="1:14">
      <c r="A152" s="436">
        <v>143</v>
      </c>
      <c r="B152" s="555"/>
      <c r="C152" s="556" t="s">
        <v>397</v>
      </c>
      <c r="D152" s="557" t="s">
        <v>398</v>
      </c>
      <c r="E152" s="558">
        <v>3</v>
      </c>
      <c r="F152" s="560" t="s">
        <v>399</v>
      </c>
      <c r="G152" s="488">
        <f t="shared" ref="G152:N152" si="32">SUM(G153:G159)</f>
        <v>28263.24</v>
      </c>
      <c r="H152" s="488">
        <f t="shared" si="32"/>
        <v>28263.24</v>
      </c>
      <c r="I152" s="488">
        <f t="shared" si="32"/>
        <v>0</v>
      </c>
      <c r="J152" s="488">
        <f t="shared" si="32"/>
        <v>0</v>
      </c>
      <c r="K152" s="488">
        <f t="shared" si="32"/>
        <v>0</v>
      </c>
      <c r="L152" s="489">
        <f t="shared" si="32"/>
        <v>0</v>
      </c>
      <c r="M152" s="488">
        <f t="shared" si="32"/>
        <v>0</v>
      </c>
      <c r="N152" s="490">
        <f t="shared" si="32"/>
        <v>0</v>
      </c>
    </row>
    <row r="153" ht="16.8" spans="1:14">
      <c r="A153" s="436">
        <v>144</v>
      </c>
      <c r="B153" s="552" t="s">
        <v>400</v>
      </c>
      <c r="C153" s="542" t="s">
        <v>401</v>
      </c>
      <c r="D153" s="543" t="s">
        <v>402</v>
      </c>
      <c r="E153" s="553">
        <v>4</v>
      </c>
      <c r="F153" s="561" t="s">
        <v>403</v>
      </c>
      <c r="G153" s="488">
        <f t="shared" ref="G153:G161" si="33">SUM(H153:N153)</f>
        <v>13993.68</v>
      </c>
      <c r="H153" s="492">
        <f>SUMIF('预算书-初步'!A13:A2600,144,'预算书-初步'!P13:P2600)+SUMIF(其他!B9:B65,FA!C153,其他!E9:E65)</f>
        <v>13993.68</v>
      </c>
      <c r="I153" s="492">
        <f>SUMIF('预算书-初步'!A13:A2600,8144,'预算书-初步'!P13:P2600)+SUMIF(其他!B9:B65,FA!C153,其他!G9:G65)</f>
        <v>0</v>
      </c>
      <c r="J153" s="492">
        <f>SUMIF(其他!B9:B65,FA!C153,其他!I9:I65)</f>
        <v>0</v>
      </c>
      <c r="K153" s="492">
        <f>SUMIF(其他!B9:B65,FA!C153,其他!K9:K65)</f>
        <v>0</v>
      </c>
      <c r="L153" s="493">
        <f>SUMIF(其他!B9:B65,FA!C153,其他!M9:M65)</f>
        <v>0</v>
      </c>
      <c r="M153" s="492">
        <f>SUMIF('预算书-初步'!A13:A2600,"大甜144",'预算书-初步'!P13:P2600)+SUMIF(其他!B9:B65,FA!C153,其他!O9:O65)</f>
        <v>0</v>
      </c>
      <c r="N153" s="494">
        <f>SUMIF(其他!B9:B65,FA!C153,其他!Q9:Q65)</f>
        <v>0</v>
      </c>
    </row>
    <row r="154" ht="17.55" spans="1:14">
      <c r="A154" s="436">
        <v>145</v>
      </c>
      <c r="B154" s="555" t="s">
        <v>404</v>
      </c>
      <c r="C154" s="556" t="s">
        <v>405</v>
      </c>
      <c r="D154" s="557" t="s">
        <v>406</v>
      </c>
      <c r="E154" s="558">
        <v>4</v>
      </c>
      <c r="F154" s="562" t="s">
        <v>407</v>
      </c>
      <c r="G154" s="488">
        <f t="shared" si="33"/>
        <v>6891.91</v>
      </c>
      <c r="H154" s="492">
        <f>SUMIF('预算书-初步'!A13:A2600,145,'预算书-初步'!P13:P2600)+SUMIF(其他!B9:B65,FA!C154,其他!E9:E65)</f>
        <v>6891.91</v>
      </c>
      <c r="I154" s="492">
        <f>SUMIF('预算书-初步'!A13:A2600,8145,'预算书-初步'!P13:P2600)+SUMIF(其他!B9:B65,FA!C154,其他!G9:G65)</f>
        <v>0</v>
      </c>
      <c r="J154" s="492">
        <f>SUMIF(其他!B9:B65,FA!C154,其他!I9:I65)</f>
        <v>0</v>
      </c>
      <c r="K154" s="492">
        <f>SUMIF(其他!B9:B65,FA!C154,其他!K9:K65)</f>
        <v>0</v>
      </c>
      <c r="L154" s="493">
        <f>SUMIF(其他!B9:B65,FA!C154,其他!M9:M65)</f>
        <v>0</v>
      </c>
      <c r="M154" s="492">
        <f>SUMIF('预算书-初步'!A13:A2600,"大甜145",'预算书-初步'!P13:P2600)+SUMIF(其他!B9:B65,FA!C154,其他!O9:O65)</f>
        <v>0</v>
      </c>
      <c r="N154" s="494">
        <f>SUMIF(其他!B9:B65,FA!C154,其他!Q9:Q65)</f>
        <v>0</v>
      </c>
    </row>
    <row r="155" ht="17.55" spans="1:14">
      <c r="A155" s="436">
        <v>146</v>
      </c>
      <c r="B155" s="555" t="s">
        <v>408</v>
      </c>
      <c r="C155" s="556" t="s">
        <v>409</v>
      </c>
      <c r="D155" s="557" t="s">
        <v>410</v>
      </c>
      <c r="E155" s="558">
        <v>4</v>
      </c>
      <c r="F155" s="563" t="s">
        <v>411</v>
      </c>
      <c r="G155" s="488">
        <f t="shared" si="33"/>
        <v>0</v>
      </c>
      <c r="H155" s="492">
        <f>SUMIF(其他!B9:B65,FA!C155,其他!E9:E65)</f>
        <v>0</v>
      </c>
      <c r="I155" s="492">
        <f>SUMIF(其他!B9:B65,FA!C155,其他!G9:G65)</f>
        <v>0</v>
      </c>
      <c r="J155" s="492">
        <f>SUMIF(其他!B9:B65,FA!C155,其他!I9:I65)</f>
        <v>0</v>
      </c>
      <c r="K155" s="492">
        <f>SUMIF(其他!B9:B65,FA!C155,其他!K9:K65)</f>
        <v>0</v>
      </c>
      <c r="L155" s="493">
        <f>SUMIF(其他!B9:B65,FA!C155,其他!M9:M65)</f>
        <v>0</v>
      </c>
      <c r="M155" s="492">
        <f>SUMIF(其他!B9:B65,FA!C155,其他!O9:O65)</f>
        <v>0</v>
      </c>
      <c r="N155" s="494">
        <f>SUMIF(其他!B9:B65,FA!C155,其他!Q9:Q65)</f>
        <v>0</v>
      </c>
    </row>
    <row r="156" ht="16.8" spans="1:14">
      <c r="A156" s="436">
        <v>147</v>
      </c>
      <c r="B156" s="555" t="s">
        <v>412</v>
      </c>
      <c r="C156" s="556" t="s">
        <v>413</v>
      </c>
      <c r="D156" s="557" t="s">
        <v>414</v>
      </c>
      <c r="E156" s="558">
        <v>4</v>
      </c>
      <c r="F156" s="564" t="s">
        <v>415</v>
      </c>
      <c r="G156" s="488">
        <f t="shared" si="33"/>
        <v>0</v>
      </c>
      <c r="H156" s="492">
        <f>SUMIF(其他!B9:B65,FA!C156,其他!E9:E65)</f>
        <v>0</v>
      </c>
      <c r="I156" s="492">
        <f>SUMIF(其他!B9:B65,FA!C156,其他!G9:G65)</f>
        <v>0</v>
      </c>
      <c r="J156" s="492">
        <f>SUMIF(其他!B9:B65,FA!C156,其他!I9:I65)</f>
        <v>0</v>
      </c>
      <c r="K156" s="492">
        <f>SUMIF(其他!B9:B65,FA!C156,其他!K9:K65)</f>
        <v>0</v>
      </c>
      <c r="L156" s="493">
        <f>SUMIF(其他!B9:B65,FA!C156,其他!M9:M65)</f>
        <v>0</v>
      </c>
      <c r="M156" s="492">
        <f>SUMIF(其他!B9:B65,FA!C156,其他!O9:O65)</f>
        <v>0</v>
      </c>
      <c r="N156" s="494">
        <f>SUMIF(其他!B9:B65,FA!C156,其他!Q9:Q65)</f>
        <v>0</v>
      </c>
    </row>
    <row r="157" ht="16.8" spans="1:14">
      <c r="A157" s="565">
        <v>148</v>
      </c>
      <c r="B157" s="545" t="s">
        <v>416</v>
      </c>
      <c r="C157" s="546" t="s">
        <v>417</v>
      </c>
      <c r="D157" s="547" t="s">
        <v>418</v>
      </c>
      <c r="E157" s="558">
        <v>4</v>
      </c>
      <c r="F157" s="566" t="s">
        <v>419</v>
      </c>
      <c r="G157" s="488">
        <f t="shared" si="33"/>
        <v>7377.65</v>
      </c>
      <c r="H157" s="492">
        <f>SUMIF('预算书-初步'!A13:A2600,148,'预算书-初步'!P13:P2600)+SUMIF(其他!B9:B65,FA!C157,其他!E9:E65)</f>
        <v>7377.65</v>
      </c>
      <c r="I157" s="492">
        <f>SUMIF('预算书-初步'!A13:A2600,8148,'预算书-初步'!P13:P2600)+SUMIF(其他!B9:B65,FA!C157,其他!G9:G65)</f>
        <v>0</v>
      </c>
      <c r="J157" s="492">
        <f>SUMIF(其他!B9:B65,FA!C157,其他!I9:I65)</f>
        <v>0</v>
      </c>
      <c r="K157" s="492">
        <f>SUMIF(其他!B9:B65,FA!C157,其他!K9:K65)</f>
        <v>0</v>
      </c>
      <c r="L157" s="493">
        <f>SUMIF(其他!B9:B65,FA!C157,其他!M9:M65)</f>
        <v>0</v>
      </c>
      <c r="M157" s="492">
        <f>SUMIF('预算书-初步'!A13:A2600,"大甜148",'预算书-初步'!P13:P2600)+SUMIF(其他!B9:B65,FA!C157,其他!O9:O65)</f>
        <v>0</v>
      </c>
      <c r="N157" s="494">
        <f>SUMIF(其他!B9:B65,FA!C157,其他!Q9:Q65)</f>
        <v>0</v>
      </c>
    </row>
    <row r="158" ht="16.8" spans="1:14">
      <c r="A158" s="436">
        <v>149</v>
      </c>
      <c r="B158" s="520" t="s">
        <v>420</v>
      </c>
      <c r="C158" s="506" t="s">
        <v>421</v>
      </c>
      <c r="D158" s="507" t="s">
        <v>422</v>
      </c>
      <c r="E158" s="527">
        <v>4</v>
      </c>
      <c r="F158" s="567" t="s">
        <v>423</v>
      </c>
      <c r="G158" s="488">
        <f t="shared" si="33"/>
        <v>0</v>
      </c>
      <c r="H158" s="492">
        <f>SUMIF('预算书-初步'!A13:A2600,149,'预算书-初步'!P13:P2600)+SUMIF(其他!B9:B65,FA!C158,其他!E9:E65)</f>
        <v>0</v>
      </c>
      <c r="I158" s="492">
        <f>SUMIF(其他!B9:B65,FA!C158,其他!G9:G65)</f>
        <v>0</v>
      </c>
      <c r="J158" s="492">
        <f>SUMIF(其他!B9:B65,FA!C158,其他!I9:I65)</f>
        <v>0</v>
      </c>
      <c r="K158" s="492">
        <f>SUMIF(其他!B9:B65,FA!C158,其他!K9:K65)</f>
        <v>0</v>
      </c>
      <c r="L158" s="493">
        <f>SUMIF(其他!B9:B65,FA!C158,其他!M9:M65)</f>
        <v>0</v>
      </c>
      <c r="M158" s="492">
        <f>SUMIF('预算书-初步'!A13:A2600,"大甜149",'预算书-初步'!P13:P2600)+SUMIF(其他!B9:B65,FA!C158,其他!O9:O65)</f>
        <v>0</v>
      </c>
      <c r="N158" s="494">
        <f>SUMIF(其他!B9:B65,FA!C158,其他!Q9:Q65)</f>
        <v>0</v>
      </c>
    </row>
    <row r="159" ht="16.8" spans="1:14">
      <c r="A159" s="436">
        <v>150</v>
      </c>
      <c r="B159" s="495" t="s">
        <v>424</v>
      </c>
      <c r="C159" s="484" t="s">
        <v>425</v>
      </c>
      <c r="D159" s="485" t="s">
        <v>426</v>
      </c>
      <c r="E159" s="523">
        <v>4</v>
      </c>
      <c r="F159" s="568" t="s">
        <v>427</v>
      </c>
      <c r="G159" s="488">
        <f t="shared" si="33"/>
        <v>0</v>
      </c>
      <c r="H159" s="492">
        <f>SUMIF('预算书-初步'!A13:A2600,150,'预算书-初步'!P13:P2600)+SUMIF(其他!B9:B65,FA!C159,其他!E9:E65)</f>
        <v>0</v>
      </c>
      <c r="I159" s="492">
        <f>+SUMIF(其他!B9:B65,FA!C159,其他!G9:G65)+SUMIF('预算书-初步'!A13:A2600,8150,'预算书-初步'!P13:P2600)</f>
        <v>0</v>
      </c>
      <c r="J159" s="492">
        <f>SUMIF(其他!B9:B65,FA!C159,其他!I9:I65)</f>
        <v>0</v>
      </c>
      <c r="K159" s="492">
        <f>SUMIF(其他!B9:B65,FA!C159,其他!K9:K65)</f>
        <v>0</v>
      </c>
      <c r="L159" s="493">
        <f>SUMIF(其他!B9:B65,FA!C159,其他!M9:M65)</f>
        <v>0</v>
      </c>
      <c r="M159" s="492">
        <f>SUMIF('预算书-初步'!A13:A2600,"大甜150",'预算书-初步'!P13:P2600)+SUMIF(其他!B9:B65,FA!C159,其他!O9:O65)</f>
        <v>0</v>
      </c>
      <c r="N159" s="494">
        <f>SUMIF(其他!B9:B65,FA!C159,其他!Q9:Q65)</f>
        <v>0</v>
      </c>
    </row>
    <row r="160" ht="16.8" spans="1:14">
      <c r="A160" s="436">
        <v>151</v>
      </c>
      <c r="B160" s="495">
        <v>8500</v>
      </c>
      <c r="C160" s="484" t="s">
        <v>428</v>
      </c>
      <c r="D160" s="485">
        <v>8.6</v>
      </c>
      <c r="E160" s="523">
        <v>3</v>
      </c>
      <c r="F160" s="569" t="s">
        <v>429</v>
      </c>
      <c r="G160" s="488">
        <f t="shared" si="33"/>
        <v>0</v>
      </c>
      <c r="H160" s="492">
        <f>SUMIF(其他!B9:B65,FA!C160,其他!E9:E65)</f>
        <v>0</v>
      </c>
      <c r="I160" s="492">
        <f>SUMIF(其他!B9:B65,FA!C160,其他!G9:G65)</f>
        <v>0</v>
      </c>
      <c r="J160" s="492">
        <f>SUMIF(其他!B9:B65,FA!C160,其他!I9:I65)</f>
        <v>0</v>
      </c>
      <c r="K160" s="492">
        <f>SUMIF(其他!B9:B65,FA!C160,其他!K9:K65)</f>
        <v>0</v>
      </c>
      <c r="L160" s="493">
        <f>SUMIF(其他!B9:B65,FA!C160,其他!M9:M65)</f>
        <v>0</v>
      </c>
      <c r="M160" s="492">
        <f>SUMIF(其他!B9:B65,FA!C160,其他!O9:O65)</f>
        <v>0</v>
      </c>
      <c r="N160" s="494">
        <f>SUMIF(其他!B9:B65,FA!C160,其他!Q9:Q65)</f>
        <v>0</v>
      </c>
    </row>
    <row r="161" ht="17.55" spans="1:14">
      <c r="A161" s="436">
        <v>152</v>
      </c>
      <c r="B161" s="520">
        <v>8900</v>
      </c>
      <c r="C161" s="506" t="s">
        <v>430</v>
      </c>
      <c r="D161" s="507">
        <v>8.7</v>
      </c>
      <c r="E161" s="527">
        <v>3</v>
      </c>
      <c r="F161" s="570" t="s">
        <v>431</v>
      </c>
      <c r="G161" s="488">
        <f t="shared" si="33"/>
        <v>21</v>
      </c>
      <c r="H161" s="492">
        <f>SUMIF('预算书-初步'!A13:A2600,152,'预算书-初步'!P13:P2600)+SUMIF(其他!B9:B65,FA!C161,其他!E9:E65)</f>
        <v>21</v>
      </c>
      <c r="I161" s="492">
        <f>SUMIF('预算书-初步'!A13:A2600,8152,'预算书-初步'!P13:P2600)+SUMIF(其他!B9:B65,FA!C161,其他!G9:G65)</f>
        <v>0</v>
      </c>
      <c r="J161" s="492">
        <f>SUMIF(其他!B9:B65,FA!C161,其他!I9:I65)</f>
        <v>0</v>
      </c>
      <c r="K161" s="492">
        <f>SUMIF(其他!B9:B65,FA!C161,其他!K9:K65)</f>
        <v>0</v>
      </c>
      <c r="L161" s="493">
        <f>SUMIF(其他!B9:B65,FA!C161,其他!M9:M65)</f>
        <v>0</v>
      </c>
      <c r="M161" s="492">
        <f>SUMIF('预算书-初步'!A13:A2600,"大甜152",'预算书-初步'!P13:P2600)+SUMIF(其他!B9:B65,FA!C161,其他!O9:O65)</f>
        <v>0</v>
      </c>
      <c r="N161" s="494">
        <f>SUMIF(其他!B9:B65,FA!C161,其他!Q9:Q65)</f>
        <v>0</v>
      </c>
    </row>
    <row r="162" ht="16.8" spans="1:14">
      <c r="A162" s="436">
        <v>153</v>
      </c>
      <c r="B162" s="475"/>
      <c r="C162" s="476" t="s">
        <v>432</v>
      </c>
      <c r="D162" s="477">
        <v>9</v>
      </c>
      <c r="E162" s="478">
        <v>2</v>
      </c>
      <c r="F162" s="571" t="s">
        <v>433</v>
      </c>
      <c r="G162" s="480">
        <f t="shared" ref="G162:N162" si="34">SUM(G163:G166)</f>
        <v>3735</v>
      </c>
      <c r="H162" s="480">
        <f t="shared" si="34"/>
        <v>3735</v>
      </c>
      <c r="I162" s="480">
        <f t="shared" si="34"/>
        <v>0</v>
      </c>
      <c r="J162" s="480">
        <f t="shared" si="34"/>
        <v>0</v>
      </c>
      <c r="K162" s="480">
        <f t="shared" si="34"/>
        <v>0</v>
      </c>
      <c r="L162" s="481">
        <f t="shared" si="34"/>
        <v>0</v>
      </c>
      <c r="M162" s="480">
        <f t="shared" si="34"/>
        <v>0</v>
      </c>
      <c r="N162" s="482">
        <f t="shared" si="34"/>
        <v>0</v>
      </c>
    </row>
    <row r="163" ht="16.8" spans="1:14">
      <c r="A163" s="436">
        <v>154</v>
      </c>
      <c r="B163" s="483" t="s">
        <v>434</v>
      </c>
      <c r="C163" s="484" t="s">
        <v>435</v>
      </c>
      <c r="D163" s="485">
        <v>9.1</v>
      </c>
      <c r="E163" s="486">
        <v>3</v>
      </c>
      <c r="F163" s="487" t="s">
        <v>436</v>
      </c>
      <c r="G163" s="488">
        <f>SUM(H163:N163)</f>
        <v>0</v>
      </c>
      <c r="H163" s="492">
        <f>SUMIF('预算书-初步'!A13:A2600,154,'预算书-初步'!P13:P2600)+SUMIF(其他!B9:B65,FA!C163,其他!E9:E65)</f>
        <v>0</v>
      </c>
      <c r="I163" s="492">
        <f>SUMIF(其他!B9:B65,FA!C163,其他!G9:G65)</f>
        <v>0</v>
      </c>
      <c r="J163" s="492">
        <f>SUMIF(其他!B9:B65,FA!C163,其他!I9:I65)</f>
        <v>0</v>
      </c>
      <c r="K163" s="492">
        <f>SUMIF(其他!B9:B65,FA!C163,其他!K9:K65)</f>
        <v>0</v>
      </c>
      <c r="L163" s="493">
        <f>SUMIF(其他!B9:B65,FA!C163,其他!M9:M65)</f>
        <v>0</v>
      </c>
      <c r="M163" s="492">
        <f>SUMIF('预算书-初步'!A13:A2600,"大甜154",'预算书-初步'!P13:P2600)+SUMIF(其他!B9:B65,FA!C163,其他!O9:O65)</f>
        <v>0</v>
      </c>
      <c r="N163" s="494">
        <f>SUMIF(其他!B9:B65,FA!C163,其他!Q9:Q65)</f>
        <v>0</v>
      </c>
    </row>
    <row r="164" ht="16.8" spans="1:14">
      <c r="A164" s="436">
        <v>155</v>
      </c>
      <c r="B164" s="505">
        <v>2960</v>
      </c>
      <c r="C164" s="506" t="s">
        <v>437</v>
      </c>
      <c r="D164" s="507">
        <v>9.2</v>
      </c>
      <c r="E164" s="508">
        <v>3</v>
      </c>
      <c r="F164" s="521" t="s">
        <v>438</v>
      </c>
      <c r="G164" s="488">
        <f>SUM(H164:N164)</f>
        <v>0</v>
      </c>
      <c r="H164" s="492">
        <f>SUMIF(其他!B9:B65,FA!C164,其他!E9:E65)</f>
        <v>0</v>
      </c>
      <c r="I164" s="492">
        <f>SUMIF(其他!B9:B65,FA!C164,其他!G9:G65)</f>
        <v>0</v>
      </c>
      <c r="J164" s="492">
        <f>SUMIF(其他!B9:B65,FA!C164,其他!I9:I65)</f>
        <v>0</v>
      </c>
      <c r="K164" s="492">
        <f>SUMIF(其他!B9:B65,FA!C164,其他!K9:K65)</f>
        <v>0</v>
      </c>
      <c r="L164" s="493">
        <f>SUMIF(其他!B9:B65,FA!C164,其他!M9:M65)</f>
        <v>0</v>
      </c>
      <c r="M164" s="492">
        <f>SUMIF(其他!B9:B65,FA!C164,其他!O9:O65)</f>
        <v>0</v>
      </c>
      <c r="N164" s="494">
        <f>SUMIF(其他!B9:B65,FA!C164,其他!Q9:Q65)</f>
        <v>0</v>
      </c>
    </row>
    <row r="165" ht="16.8" spans="1:14">
      <c r="A165" s="436">
        <v>156</v>
      </c>
      <c r="B165" s="483">
        <v>2991</v>
      </c>
      <c r="C165" s="484" t="s">
        <v>439</v>
      </c>
      <c r="D165" s="485">
        <v>9.3</v>
      </c>
      <c r="E165" s="486">
        <v>3</v>
      </c>
      <c r="F165" s="487" t="s">
        <v>440</v>
      </c>
      <c r="G165" s="488">
        <f>SUM(H165:N165)</f>
        <v>3735</v>
      </c>
      <c r="H165" s="492">
        <f>SUMIF('预算书-初步'!A13:A2600,156,'预算书-初步'!P13:P2600)+SUMIF(其他!B9:B65,FA!C165,其他!E9:E65)</f>
        <v>3735</v>
      </c>
      <c r="I165" s="492">
        <f>SUMIF(其他!B9:B65,FA!C165,其他!G9:G65)</f>
        <v>0</v>
      </c>
      <c r="J165" s="492">
        <f>SUMIF(其他!B9:B65,FA!C165,其他!I9:I65)</f>
        <v>0</v>
      </c>
      <c r="K165" s="492">
        <f>SUMIF(其他!B9:B65,FA!C165,其他!K9:K65)</f>
        <v>0</v>
      </c>
      <c r="L165" s="493">
        <f>SUMIF(其他!B9:B65,FA!C165,其他!M9:M65)</f>
        <v>0</v>
      </c>
      <c r="M165" s="492">
        <f>SUMIF('预算书-初步'!A13:A2600,"大甜156",'预算书-初步'!P13:P2600)+SUMIF(其他!B9:B65,FA!C165,其他!O9:O65)</f>
        <v>0</v>
      </c>
      <c r="N165" s="494">
        <f>SUMIF(其他!B9:B65,FA!C165,其他!Q9:Q65)</f>
        <v>0</v>
      </c>
    </row>
    <row r="166" ht="16.8" spans="1:14">
      <c r="A166" s="436">
        <v>157</v>
      </c>
      <c r="B166" s="483" t="s">
        <v>441</v>
      </c>
      <c r="C166" s="484" t="s">
        <v>442</v>
      </c>
      <c r="D166" s="485">
        <v>9.4</v>
      </c>
      <c r="E166" s="486">
        <v>3</v>
      </c>
      <c r="F166" s="487" t="s">
        <v>340</v>
      </c>
      <c r="G166" s="488">
        <f>SUM(H166:N166)</f>
        <v>0</v>
      </c>
      <c r="H166" s="492">
        <f>SUMIF(其他!B9:B65,FA!C166,其他!E9:E65)</f>
        <v>0</v>
      </c>
      <c r="I166" s="492">
        <f>SUMIF(其他!B9:B65,FA!C166,其他!G9:G65)</f>
        <v>0</v>
      </c>
      <c r="J166" s="492">
        <f>SUMIF(其他!B9:B65,FA!C166,其他!I9:I65)</f>
        <v>0</v>
      </c>
      <c r="K166" s="492">
        <f>SUMIF(其他!B9:B65,FA!C166,其他!K9:K65)</f>
        <v>0</v>
      </c>
      <c r="L166" s="493">
        <f>SUMIF(其他!B9:B65,FA!C166,其他!M9:M65)</f>
        <v>0</v>
      </c>
      <c r="M166" s="492">
        <f>SUMIF(其他!B9:B65,FA!C166,其他!O9:O65)</f>
        <v>0</v>
      </c>
      <c r="N166" s="494">
        <f>SUMIF(其他!B9:B65,FA!C166,其他!Q9:Q65)</f>
        <v>0</v>
      </c>
    </row>
    <row r="167" ht="16.8" spans="1:14">
      <c r="A167" s="436">
        <v>158</v>
      </c>
      <c r="B167" s="475"/>
      <c r="C167" s="476" t="s">
        <v>443</v>
      </c>
      <c r="D167" s="477">
        <v>10</v>
      </c>
      <c r="E167" s="478">
        <v>2</v>
      </c>
      <c r="F167" s="479" t="s">
        <v>444</v>
      </c>
      <c r="G167" s="480">
        <f t="shared" ref="G167:N167" si="35">SUM(G168:G177)</f>
        <v>291.48</v>
      </c>
      <c r="H167" s="480">
        <f t="shared" si="35"/>
        <v>291.48</v>
      </c>
      <c r="I167" s="480">
        <f t="shared" si="35"/>
        <v>0</v>
      </c>
      <c r="J167" s="480">
        <f t="shared" si="35"/>
        <v>0</v>
      </c>
      <c r="K167" s="480">
        <f t="shared" si="35"/>
        <v>0</v>
      </c>
      <c r="L167" s="481">
        <f t="shared" si="35"/>
        <v>0</v>
      </c>
      <c r="M167" s="480">
        <f t="shared" si="35"/>
        <v>0</v>
      </c>
      <c r="N167" s="482">
        <f t="shared" si="35"/>
        <v>0</v>
      </c>
    </row>
    <row r="168" ht="16.8" spans="1:14">
      <c r="A168" s="436">
        <v>159</v>
      </c>
      <c r="B168" s="483">
        <v>4001</v>
      </c>
      <c r="C168" s="484" t="s">
        <v>445</v>
      </c>
      <c r="D168" s="485">
        <v>10.01</v>
      </c>
      <c r="E168" s="486">
        <v>3</v>
      </c>
      <c r="F168" s="487" t="s">
        <v>446</v>
      </c>
      <c r="G168" s="488">
        <f t="shared" ref="G168:G178" si="36">SUM(H168:N168)</f>
        <v>0</v>
      </c>
      <c r="H168" s="492">
        <f>SUMIF(其他!B9:B65,FA!C168,其他!E9:E65)</f>
        <v>0</v>
      </c>
      <c r="I168" s="492">
        <f>SUMIF(其他!B9:B65,FA!C168,其他!G9:G65)</f>
        <v>0</v>
      </c>
      <c r="J168" s="492">
        <f>SUMIF(其他!B9:B65,FA!C168,其他!I9:I65)</f>
        <v>0</v>
      </c>
      <c r="K168" s="492">
        <f>SUMIF(其他!B9:B65,FA!C168,其他!K9:K65)</f>
        <v>0</v>
      </c>
      <c r="L168" s="492">
        <f>SUMIF(其他!B9:B65,FA!C168,其他!M9:M65)</f>
        <v>0</v>
      </c>
      <c r="M168" s="492">
        <f>SUMIF(其他!B9:B65,FA!C168,其他!O9:O65)</f>
        <v>0</v>
      </c>
      <c r="N168" s="494">
        <f>SUMIF(其他!B9:B65,FA!C168,其他!Q9:Q65)</f>
        <v>0</v>
      </c>
    </row>
    <row r="169" ht="16.8" spans="1:14">
      <c r="A169" s="436">
        <v>160</v>
      </c>
      <c r="B169" s="483">
        <v>4002</v>
      </c>
      <c r="C169" s="484" t="s">
        <v>447</v>
      </c>
      <c r="D169" s="485">
        <v>10.02</v>
      </c>
      <c r="E169" s="486">
        <v>3</v>
      </c>
      <c r="F169" s="487" t="s">
        <v>448</v>
      </c>
      <c r="G169" s="488">
        <f t="shared" si="36"/>
        <v>0</v>
      </c>
      <c r="H169" s="492">
        <f>SUMIF(其他!B9:B65,FA!C169,其他!E9:E65)</f>
        <v>0</v>
      </c>
      <c r="I169" s="492">
        <f>SUMIF(其他!B9:B65,FA!C169,其他!G9:G65)</f>
        <v>0</v>
      </c>
      <c r="J169" s="492">
        <f>SUMIF(其他!B9:B65,FA!C169,其他!I9:I65)</f>
        <v>0</v>
      </c>
      <c r="K169" s="492">
        <f>SUMIF(其他!B9:B65,FA!C169,其他!K9:K65)</f>
        <v>0</v>
      </c>
      <c r="L169" s="492">
        <f>SUMIF(其他!B9:B65,FA!C169,其他!M9:M65)</f>
        <v>0</v>
      </c>
      <c r="M169" s="492">
        <f>SUMIF(其他!B9:B65,FA!C169,其他!O9:O65)</f>
        <v>0</v>
      </c>
      <c r="N169" s="494">
        <f>SUMIF(其他!B9:B65,FA!C169,其他!Q9:Q65)</f>
        <v>0</v>
      </c>
    </row>
    <row r="170" ht="16.8" spans="1:14">
      <c r="A170" s="436">
        <v>161</v>
      </c>
      <c r="B170" s="483">
        <v>4003</v>
      </c>
      <c r="C170" s="484" t="s">
        <v>449</v>
      </c>
      <c r="D170" s="485">
        <v>10.03</v>
      </c>
      <c r="E170" s="486">
        <v>3</v>
      </c>
      <c r="F170" s="487" t="s">
        <v>450</v>
      </c>
      <c r="G170" s="488">
        <f t="shared" si="36"/>
        <v>0</v>
      </c>
      <c r="H170" s="492">
        <f>SUMIF(其他!B9:B65,FA!C170,其他!E9:E65)</f>
        <v>0</v>
      </c>
      <c r="I170" s="492">
        <f>SUMIF(其他!B9:B65,FA!C170,其他!G9:G65)</f>
        <v>0</v>
      </c>
      <c r="J170" s="492">
        <f>SUMIF(其他!B9:B65,FA!C170,其他!I9:I65)</f>
        <v>0</v>
      </c>
      <c r="K170" s="492">
        <f>SUMIF(其他!B9:B65,FA!C170,其他!K9:K65)</f>
        <v>0</v>
      </c>
      <c r="L170" s="492">
        <f>SUMIF(其他!B9:B65,FA!C170,其他!M9:M65)</f>
        <v>0</v>
      </c>
      <c r="M170" s="492">
        <f>SUMIF(其他!B9:B65,FA!C170,其他!O9:O65)</f>
        <v>0</v>
      </c>
      <c r="N170" s="494">
        <f>SUMIF(其他!B9:B65,FA!C170,其他!Q9:Q65)</f>
        <v>0</v>
      </c>
    </row>
    <row r="171" ht="16.8" spans="1:14">
      <c r="A171" s="436">
        <v>162</v>
      </c>
      <c r="B171" s="483">
        <v>4004</v>
      </c>
      <c r="C171" s="484" t="s">
        <v>451</v>
      </c>
      <c r="D171" s="485">
        <v>10.04</v>
      </c>
      <c r="E171" s="486">
        <v>3</v>
      </c>
      <c r="F171" s="487" t="s">
        <v>452</v>
      </c>
      <c r="G171" s="488">
        <f t="shared" si="36"/>
        <v>0</v>
      </c>
      <c r="H171" s="492">
        <f>SUMIF(其他!B9:B65,FA!C171,其他!E9:E65)</f>
        <v>0</v>
      </c>
      <c r="I171" s="492">
        <f>SUMIF(其他!B9:B65,FA!C171,其他!G9:G65)</f>
        <v>0</v>
      </c>
      <c r="J171" s="492">
        <f>SUMIF(其他!B9:B65,FA!C171,其他!I9:I65)</f>
        <v>0</v>
      </c>
      <c r="K171" s="492">
        <f>SUMIF(其他!B9:B65,FA!C171,其他!K9:K65)</f>
        <v>0</v>
      </c>
      <c r="L171" s="492">
        <f>SUMIF(其他!B9:B65,FA!C171,其他!M9:M65)</f>
        <v>0</v>
      </c>
      <c r="M171" s="492">
        <f>SUMIF(其他!B9:B65,FA!C171,其他!O9:O65)</f>
        <v>0</v>
      </c>
      <c r="N171" s="494">
        <f>SUMIF(其他!B9:B65,FA!C171,其他!Q9:Q65)</f>
        <v>0</v>
      </c>
    </row>
    <row r="172" ht="16.8" spans="1:14">
      <c r="A172" s="436">
        <v>163</v>
      </c>
      <c r="B172" s="483">
        <v>4005</v>
      </c>
      <c r="C172" s="484" t="s">
        <v>453</v>
      </c>
      <c r="D172" s="485">
        <v>10.05</v>
      </c>
      <c r="E172" s="486">
        <v>3</v>
      </c>
      <c r="F172" s="487" t="s">
        <v>454</v>
      </c>
      <c r="G172" s="488">
        <f t="shared" si="36"/>
        <v>0</v>
      </c>
      <c r="H172" s="492">
        <f>SUMIF(其他!B9:B65,FA!C172,其他!E9:E65)</f>
        <v>0</v>
      </c>
      <c r="I172" s="492">
        <f>SUMIF(其他!B9:B65,FA!C172,其他!G9:G65)</f>
        <v>0</v>
      </c>
      <c r="J172" s="492">
        <f>SUMIF(其他!B9:B65,FA!C172,其他!I9:I65)</f>
        <v>0</v>
      </c>
      <c r="K172" s="492">
        <f>SUMIF(其他!B9:B65,FA!C172,其他!K9:K65)</f>
        <v>0</v>
      </c>
      <c r="L172" s="492">
        <f>SUMIF(其他!B9:B65,FA!C172,其他!M9:M65)</f>
        <v>0</v>
      </c>
      <c r="M172" s="492">
        <f>SUMIF(其他!B9:B65,FA!C172,其他!O9:O65)</f>
        <v>0</v>
      </c>
      <c r="N172" s="494">
        <f>SUMIF(其他!B9:B65,FA!C172,其他!Q9:Q65)</f>
        <v>0</v>
      </c>
    </row>
    <row r="173" ht="16.8" spans="1:14">
      <c r="A173" s="436">
        <v>164</v>
      </c>
      <c r="B173" s="483">
        <v>4006</v>
      </c>
      <c r="C173" s="484" t="s">
        <v>455</v>
      </c>
      <c r="D173" s="485">
        <v>10.06</v>
      </c>
      <c r="E173" s="486">
        <v>3</v>
      </c>
      <c r="F173" s="487" t="s">
        <v>456</v>
      </c>
      <c r="G173" s="488">
        <f t="shared" si="36"/>
        <v>0</v>
      </c>
      <c r="H173" s="492">
        <f>SUMIF(其他!B9:B65,FA!C173,其他!E9:E65)</f>
        <v>0</v>
      </c>
      <c r="I173" s="492">
        <f>SUMIF(其他!B9:B65,FA!C173,其他!G9:G65)</f>
        <v>0</v>
      </c>
      <c r="J173" s="492">
        <f>SUMIF(其他!B9:B65,FA!C173,其他!I9:I65)</f>
        <v>0</v>
      </c>
      <c r="K173" s="492">
        <f>SUMIF(其他!B9:B65,FA!C173,其他!K9:K65)</f>
        <v>0</v>
      </c>
      <c r="L173" s="492">
        <f>SUMIF(其他!B9:B65,FA!C173,其他!M9:M65)</f>
        <v>0</v>
      </c>
      <c r="M173" s="492">
        <f>SUMIF(其他!B9:B65,FA!C173,其他!O9:O65)</f>
        <v>0</v>
      </c>
      <c r="N173" s="494">
        <f>SUMIF(其他!B9:B65,FA!C173,其他!Q9:Q65)</f>
        <v>0</v>
      </c>
    </row>
    <row r="174" ht="16.8" spans="1:14">
      <c r="A174" s="436">
        <v>165</v>
      </c>
      <c r="B174" s="483">
        <v>4007</v>
      </c>
      <c r="C174" s="484" t="s">
        <v>457</v>
      </c>
      <c r="D174" s="485">
        <v>10.07</v>
      </c>
      <c r="E174" s="486">
        <v>3</v>
      </c>
      <c r="F174" s="487" t="s">
        <v>458</v>
      </c>
      <c r="G174" s="488">
        <f t="shared" si="36"/>
        <v>0</v>
      </c>
      <c r="H174" s="492">
        <f>SUMIF('预算书-初步'!A13:A2600,165,'预算书-初步'!P13:P2600)+SUMIF(其他!B9:B65,FA!C174,其他!E9:E65)</f>
        <v>0</v>
      </c>
      <c r="I174" s="572">
        <f>SUMIF(其他!B9:B65,FA!C174,其他!G9:G65)</f>
        <v>0</v>
      </c>
      <c r="J174" s="492">
        <f>SUMIF(其他!B9:B65,FA!C174,其他!I9:I65)</f>
        <v>0</v>
      </c>
      <c r="K174" s="492">
        <f>SUMIF(其他!B9:B65,FA!C174,其他!K9:K65)</f>
        <v>0</v>
      </c>
      <c r="L174" s="492">
        <f>SUMIF(其他!B9:B65,FA!C174,其他!M9:M65)</f>
        <v>0</v>
      </c>
      <c r="M174" s="492">
        <f>SUMIF('预算书-初步'!A13:A2600,"大甜165",'预算书-初步'!P13:P2600)+SUMIF(其他!B9:B65,FA!C174,其他!O9:O65)</f>
        <v>0</v>
      </c>
      <c r="N174" s="494">
        <f>SUMIF(其他!B9:B65,FA!C174,其他!Q9:Q65)</f>
        <v>0</v>
      </c>
    </row>
    <row r="175" ht="16.8" spans="1:14">
      <c r="A175" s="436">
        <v>166</v>
      </c>
      <c r="B175" s="483">
        <v>4081</v>
      </c>
      <c r="C175" s="484" t="s">
        <v>459</v>
      </c>
      <c r="D175" s="485">
        <v>10.08</v>
      </c>
      <c r="E175" s="486">
        <v>3</v>
      </c>
      <c r="F175" s="487" t="s">
        <v>460</v>
      </c>
      <c r="G175" s="488">
        <f t="shared" si="36"/>
        <v>0</v>
      </c>
      <c r="H175" s="492">
        <f>SUMIF('预算书-初步'!A13:A2600,166,'预算书-初步'!P13:P2600)+SUMIF(其他!B9:B65,FA!C175,其他!E9:E65)</f>
        <v>0</v>
      </c>
      <c r="I175" s="492">
        <f>SUMIF(其他!B9:B65,FA!C175,其他!G9:G65)</f>
        <v>0</v>
      </c>
      <c r="J175" s="492">
        <f>SUMIF(其他!B9:B65,FA!C175,其他!I9:I65)</f>
        <v>0</v>
      </c>
      <c r="K175" s="492">
        <f>SUMIF(其他!B9:B65,FA!C175,其他!K9:K65)</f>
        <v>0</v>
      </c>
      <c r="L175" s="492">
        <f>SUMIF(其他!B9:B65,FA!C175,其他!M9:M65)</f>
        <v>0</v>
      </c>
      <c r="M175" s="492">
        <f>SUMIF('预算书-初步'!A13:A2600,"大甜166",'预算书-初步'!P13:P2600)+SUMIF(其他!B9:B65,FA!C175,其他!O9:O65)</f>
        <v>0</v>
      </c>
      <c r="N175" s="494">
        <f>SUMIF(其他!B9:B65,FA!C175,其他!Q9:Q65)</f>
        <v>0</v>
      </c>
    </row>
    <row r="176" ht="16.8" spans="1:14">
      <c r="A176" s="436">
        <v>167</v>
      </c>
      <c r="B176" s="483">
        <v>4991</v>
      </c>
      <c r="C176" s="484" t="s">
        <v>461</v>
      </c>
      <c r="D176" s="485">
        <v>10.09</v>
      </c>
      <c r="E176" s="486">
        <v>3</v>
      </c>
      <c r="F176" s="487" t="s">
        <v>462</v>
      </c>
      <c r="G176" s="488">
        <f t="shared" si="36"/>
        <v>291.48</v>
      </c>
      <c r="H176" s="492">
        <f>SUMIF('预算书-初步'!A13:A2600,167,'预算书-初步'!P13:P2600)+SUMIF(其他!B9:B65,FA!C176,其他!E9:E65)</f>
        <v>291.48</v>
      </c>
      <c r="I176" s="572">
        <f>SUMIF(其他!B9:B65,FA!C176,其他!G9:G65)</f>
        <v>0</v>
      </c>
      <c r="J176" s="492">
        <f>SUMIF(其他!B9:B65,FA!C176,其他!I9:I65)</f>
        <v>0</v>
      </c>
      <c r="K176" s="492">
        <f>SUMIF(其他!B9:B65,FA!C176,其他!K9:K65)</f>
        <v>0</v>
      </c>
      <c r="L176" s="492">
        <f>SUMIF(其他!B9:B65,FA!C176,其他!M9:M65)</f>
        <v>0</v>
      </c>
      <c r="M176" s="492">
        <f>SUMIF('预算书-初步'!A13:A2600,"大甜167",'预算书-初步'!P13:P2600)+SUMIF(其他!B9:B65,FA!C176,其他!O9:O65)</f>
        <v>0</v>
      </c>
      <c r="N176" s="494">
        <f>SUMIF(其他!B9:B65,FA!C176,其他!Q9:Q65)</f>
        <v>0</v>
      </c>
    </row>
    <row r="177" ht="16.8" spans="1:14">
      <c r="A177" s="436">
        <v>168</v>
      </c>
      <c r="B177" s="483" t="s">
        <v>463</v>
      </c>
      <c r="C177" s="484" t="s">
        <v>464</v>
      </c>
      <c r="D177" s="485">
        <v>10.1</v>
      </c>
      <c r="E177" s="486">
        <v>3</v>
      </c>
      <c r="F177" s="487" t="s">
        <v>340</v>
      </c>
      <c r="G177" s="488">
        <f t="shared" si="36"/>
        <v>0</v>
      </c>
      <c r="H177" s="492">
        <f>SUMIF(其他!B9:B65,FA!C177,其他!E9:E65)</f>
        <v>0</v>
      </c>
      <c r="I177" s="492">
        <f>SUMIF(其他!B9:B65,FA!C177,其他!G9:G65)</f>
        <v>0</v>
      </c>
      <c r="J177" s="492">
        <f>SUMIF(其他!B9:B65,FA!C177,其他!I9:I65)</f>
        <v>0</v>
      </c>
      <c r="K177" s="492">
        <f>SUMIF(其他!B9:B65,FA!C177,其他!K9:K65)</f>
        <v>0</v>
      </c>
      <c r="L177" s="492">
        <f>SUMIF(其他!B9:B65,FA!C177,其他!M9:M65)</f>
        <v>0</v>
      </c>
      <c r="M177" s="492">
        <f>SUMIF(其他!B9:B65,FA!C177,其他!O9:O65)</f>
        <v>0</v>
      </c>
      <c r="N177" s="494">
        <f>SUMIF(其他!B9:B65,FA!C177,其他!Q9:Q65)</f>
        <v>0</v>
      </c>
    </row>
    <row r="178" ht="16.8" spans="1:14">
      <c r="A178" s="436">
        <v>169</v>
      </c>
      <c r="B178" s="495" t="s">
        <v>465</v>
      </c>
      <c r="C178" s="484" t="s">
        <v>466</v>
      </c>
      <c r="D178" s="485">
        <v>10.11</v>
      </c>
      <c r="E178" s="486">
        <v>3</v>
      </c>
      <c r="F178" s="487" t="s">
        <v>467</v>
      </c>
      <c r="G178" s="488">
        <f t="shared" si="36"/>
        <v>0</v>
      </c>
      <c r="H178" s="488"/>
      <c r="I178" s="488"/>
      <c r="J178" s="488"/>
      <c r="K178" s="488"/>
      <c r="L178" s="488"/>
      <c r="M178" s="488"/>
      <c r="N178" s="490"/>
    </row>
    <row r="179" ht="17.55" spans="1:14">
      <c r="A179" s="573"/>
      <c r="B179" s="574"/>
      <c r="C179" s="574" t="s">
        <v>468</v>
      </c>
      <c r="D179" s="575"/>
      <c r="E179" s="576"/>
      <c r="F179" s="577" t="s">
        <v>469</v>
      </c>
      <c r="G179" s="578">
        <f ca="1">SUM(G91,G27,G12)</f>
        <v>603552.92</v>
      </c>
      <c r="H179" s="578">
        <f t="shared" ref="H179:N179" si="37">SUM(H91,H27,H12)</f>
        <v>587234.6</v>
      </c>
      <c r="I179" s="578">
        <f t="shared" si="37"/>
        <v>0</v>
      </c>
      <c r="J179" s="578">
        <f t="shared" si="37"/>
        <v>0</v>
      </c>
      <c r="K179" s="578">
        <f t="shared" si="37"/>
        <v>9477.65</v>
      </c>
      <c r="L179" s="578">
        <f ca="1" t="shared" si="37"/>
        <v>6840.67</v>
      </c>
      <c r="M179" s="578">
        <f t="shared" si="37"/>
        <v>0</v>
      </c>
      <c r="N179" s="579">
        <f t="shared" si="37"/>
        <v>0</v>
      </c>
    </row>
    <row r="182" spans="1:14">
      <c r="G182" s="580"/>
      <c r="H182" s="580"/>
      <c r="I182" s="580"/>
      <c r="J182" s="580"/>
      <c r="K182" s="580"/>
      <c r="L182" s="580"/>
    </row>
    <row r="183" spans="1:14">
      <c r="G183" s="580"/>
      <c r="H183" s="580"/>
      <c r="I183" s="580"/>
      <c r="J183" s="580"/>
      <c r="K183" s="580"/>
      <c r="L183" s="580"/>
    </row>
  </sheetData>
  <mergeCells count="21">
    <mergeCell ref="A1:N1"/>
    <mergeCell ref="A2:F2"/>
    <mergeCell ref="H2:I2"/>
    <mergeCell ref="J2:L2"/>
    <mergeCell ref="M2:N2"/>
    <mergeCell ref="G3:H3"/>
    <mergeCell ref="K3:N3"/>
    <mergeCell ref="G4:H4"/>
    <mergeCell ref="K4:L4"/>
    <mergeCell ref="M4:N4"/>
    <mergeCell ref="G5:H5"/>
    <mergeCell ref="K5:N5"/>
    <mergeCell ref="G6:H6"/>
    <mergeCell ref="K6:N6"/>
    <mergeCell ref="G7:H7"/>
    <mergeCell ref="K7:N7"/>
    <mergeCell ref="B9:B10"/>
    <mergeCell ref="C9:C10"/>
    <mergeCell ref="E9:E10"/>
    <mergeCell ref="F9:F10"/>
    <mergeCell ref="G9:G10"/>
  </mergeCells>
  <pageMargins left="0.16" right="0.16" top="0.54" bottom="0.59" header="0.2" footer="0.39"/>
  <pageSetup paperSize="9" scale="56" orientation="portrait"/>
  <headerFooter/>
  <ignoredErrors>
    <ignoredError sqref="G162 G152 G139 G115 G108 G83 G78"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IT1245"/>
  <sheetViews>
    <sheetView zoomScale="80" zoomScaleNormal="80" topLeftCell="P3" workbookViewId="0">
      <pane ySplit="2" topLeftCell="A663" activePane="bottomLeft" state="frozen"/>
      <selection/>
      <selection pane="bottomLeft" activeCell="Y669" sqref="Y669"/>
    </sheetView>
  </sheetViews>
  <sheetFormatPr defaultColWidth="2.8828125" defaultRowHeight="15.2"/>
  <cols>
    <col min="1" max="1" width="2.8828125" style="226" hidden="1" customWidth="1"/>
    <col min="2" max="2" width="18" style="227" hidden="1" customWidth="1"/>
    <col min="3" max="3" width="10.109375" style="228" hidden="1" customWidth="1"/>
    <col min="4" max="4" width="12.6640625" style="227" hidden="1" customWidth="1"/>
    <col min="5" max="5" width="0.109375" style="227" hidden="1" customWidth="1"/>
    <col min="6" max="6" width="18.109375" style="229" hidden="1" customWidth="1"/>
    <col min="7" max="8" width="8.8828125" style="227" hidden="1" customWidth="1"/>
    <col min="9" max="9" width="15.109375" style="227" hidden="1" customWidth="1"/>
    <col min="10" max="10" width="8.8828125" style="227" hidden="1" customWidth="1"/>
    <col min="11" max="11" width="8.8828125" style="228" hidden="1" customWidth="1"/>
    <col min="12" max="13" width="8.8828125" style="227" hidden="1" customWidth="1"/>
    <col min="14" max="14" width="9.8828125" style="227" hidden="1" customWidth="1"/>
    <col min="15" max="15" width="8" style="227" hidden="1" customWidth="1"/>
    <col min="16" max="16" width="10.8828125" style="227" customWidth="1"/>
    <col min="17" max="17" width="14.3359375" style="230" customWidth="1"/>
    <col min="18" max="18" width="14.3359375" style="231" customWidth="1"/>
    <col min="19" max="19" width="11.109375" style="230" customWidth="1"/>
    <col min="20" max="20" width="5.3359375" style="226" customWidth="1"/>
    <col min="21" max="21" width="13.8828125" style="232" customWidth="1"/>
    <col min="22" max="22" width="6.3359375" style="227" customWidth="1"/>
    <col min="23" max="23" width="9.8828125" style="226" customWidth="1"/>
    <col min="24" max="24" width="5.3359375" style="226" customWidth="1"/>
    <col min="25" max="25" width="65.109375" style="233" customWidth="1"/>
    <col min="26" max="26" width="5.8828125" style="234" hidden="1" customWidth="1"/>
    <col min="27" max="27" width="5" style="234" hidden="1" customWidth="1"/>
    <col min="28" max="28" width="18.7734375" style="235" customWidth="1"/>
    <col min="29" max="29" width="7.109375" style="234" hidden="1" customWidth="1"/>
    <col min="30" max="31" width="3.3359375" style="234" hidden="1" customWidth="1"/>
    <col min="32" max="32" width="2.8828125" style="236" hidden="1" customWidth="1"/>
    <col min="33" max="33" width="2.3359375" style="236" hidden="1" customWidth="1"/>
    <col min="34" max="34" width="5.109375" style="236" hidden="1" customWidth="1"/>
    <col min="35" max="35" width="3.8828125" style="236" hidden="1" customWidth="1"/>
    <col min="36" max="36" width="7.3359375" style="234" hidden="1" customWidth="1"/>
    <col min="37" max="37" width="4.3359375" style="234" hidden="1" customWidth="1"/>
    <col min="38" max="38" width="11.3359375" style="234" hidden="1" customWidth="1"/>
    <col min="39" max="39" width="11.8828125" style="234" hidden="1" customWidth="1"/>
    <col min="40" max="40" width="12.3359375" style="234" hidden="1" customWidth="1"/>
    <col min="41" max="41" width="14.8828125" style="234" hidden="1" customWidth="1"/>
    <col min="42" max="42" width="6.109375" style="234" hidden="1" customWidth="1"/>
    <col min="43" max="43" width="8" style="237" hidden="1" customWidth="1"/>
    <col min="44" max="44" width="9.6640625" style="238" customWidth="1"/>
    <col min="45" max="45" width="1.3359375" style="239" hidden="1" customWidth="1"/>
    <col min="46" max="46" width="3.3359375" style="240" hidden="1" customWidth="1"/>
    <col min="47" max="48" width="1.6640625" style="239" hidden="1" customWidth="1"/>
    <col min="49" max="49" width="1.8828125" style="239" hidden="1" customWidth="1"/>
    <col min="50" max="50" width="1.6640625" style="239" hidden="1" customWidth="1"/>
    <col min="51" max="51" width="2.109375" style="239" hidden="1" customWidth="1"/>
    <col min="52" max="52" width="2.6640625" style="239" hidden="1" customWidth="1"/>
    <col min="53" max="53" width="2.3359375" style="239" hidden="1" customWidth="1"/>
    <col min="54" max="54" width="2.6640625" style="239" hidden="1" customWidth="1"/>
    <col min="55" max="55" width="13" style="239" customWidth="1"/>
    <col min="56" max="56" width="19.3359375" style="223" customWidth="1"/>
    <col min="57" max="57" width="8.3359375" style="239" customWidth="1"/>
    <col min="58" max="58" width="2.109375" style="239" customWidth="1"/>
    <col min="59" max="59" width="2.8828125" style="239" customWidth="1"/>
    <col min="60" max="60" width="2.6640625" style="239" customWidth="1"/>
    <col min="61" max="61" width="3.109375" style="239" customWidth="1"/>
    <col min="62" max="62" width="2.3359375" style="239" customWidth="1"/>
    <col min="63" max="64" width="3.3359375" style="239" customWidth="1"/>
    <col min="65" max="65" width="2.3359375" style="239" customWidth="1"/>
    <col min="66" max="66" width="3.3359375" style="239" customWidth="1"/>
    <col min="67" max="253" width="3" style="239" customWidth="1"/>
    <col min="254" max="16384" width="2.8828125" style="239"/>
  </cols>
  <sheetData>
    <row r="1" s="223" customFormat="1" hidden="1" spans="1:254">
      <c r="A1" s="241"/>
      <c r="B1" s="242"/>
      <c r="C1" s="243"/>
      <c r="F1" s="244"/>
      <c r="K1" s="245"/>
      <c r="L1" s="246"/>
      <c r="M1" s="246"/>
      <c r="N1" s="246"/>
      <c r="O1" s="246"/>
      <c r="P1" s="246"/>
      <c r="Q1" s="247"/>
      <c r="R1" s="248"/>
      <c r="S1" s="247"/>
      <c r="U1" s="249"/>
      <c r="V1" s="242"/>
      <c r="Y1" s="250"/>
      <c r="AB1" s="251"/>
      <c r="AD1" s="252"/>
      <c r="AF1" s="241"/>
      <c r="AG1" s="241"/>
      <c r="AH1" s="242"/>
      <c r="AI1" s="242"/>
      <c r="AJ1" s="252"/>
      <c r="AK1" s="234"/>
      <c r="AL1" s="234"/>
      <c r="AM1" s="234"/>
      <c r="AN1" s="234"/>
      <c r="AO1" s="234"/>
      <c r="AP1" s="234"/>
      <c r="AQ1" s="234"/>
      <c r="AR1" s="253"/>
      <c r="AT1" s="252"/>
    </row>
    <row r="2" s="223" customFormat="1" hidden="1" spans="1:254">
      <c r="A2" s="254"/>
      <c r="B2" s="255"/>
      <c r="C2" s="256"/>
      <c r="D2" s="257"/>
      <c r="E2" s="258"/>
      <c r="F2" s="259"/>
      <c r="G2" s="257"/>
      <c r="H2" s="260"/>
      <c r="I2" s="259"/>
      <c r="J2" s="259"/>
      <c r="K2" s="261"/>
      <c r="L2" s="262"/>
      <c r="M2" s="262"/>
      <c r="N2" s="262"/>
      <c r="O2" s="262"/>
      <c r="P2" s="262"/>
      <c r="Q2" s="263"/>
      <c r="R2" s="263"/>
      <c r="S2" s="264"/>
      <c r="T2" s="265"/>
      <c r="U2" s="266"/>
      <c r="V2" s="267"/>
      <c r="W2" s="268"/>
      <c r="X2" s="266"/>
      <c r="Y2" s="269"/>
      <c r="Z2" s="239"/>
      <c r="AA2" s="240"/>
      <c r="AB2" s="270"/>
      <c r="AC2" s="271"/>
      <c r="AD2" s="272"/>
      <c r="AE2" s="273"/>
      <c r="AF2" s="273"/>
      <c r="AG2" s="274"/>
      <c r="AH2" s="275"/>
      <c r="AI2" s="272"/>
      <c r="AJ2" s="276"/>
      <c r="AK2" s="277"/>
      <c r="AL2" s="278"/>
      <c r="AM2" s="277"/>
      <c r="AN2" s="279"/>
      <c r="AO2" s="279"/>
      <c r="AP2" s="279"/>
      <c r="AQ2" s="279"/>
      <c r="AR2" s="253"/>
      <c r="AT2" s="252"/>
      <c r="IT2" s="223" t="s">
        <v>470</v>
      </c>
    </row>
    <row r="3" s="52" customFormat="1" ht="33" customHeight="1" spans="1:254">
      <c r="A3" s="280"/>
      <c r="B3" s="281" t="s">
        <v>471</v>
      </c>
      <c r="C3" s="282" t="s">
        <v>472</v>
      </c>
      <c r="D3" s="283">
        <v>6</v>
      </c>
      <c r="E3" s="284" t="s">
        <v>473</v>
      </c>
      <c r="F3" s="284"/>
      <c r="G3" s="285"/>
      <c r="H3" s="285">
        <v>100</v>
      </c>
      <c r="I3" s="286"/>
      <c r="J3" s="286"/>
      <c r="K3" s="287">
        <f>SUM(K5:K68)</f>
        <v>0</v>
      </c>
      <c r="L3" s="288">
        <f>K3-P3</f>
        <v>0</v>
      </c>
      <c r="M3" s="289"/>
      <c r="N3" s="289"/>
      <c r="O3" s="289"/>
      <c r="P3" s="289">
        <f>SUM(O18:O1245)</f>
        <v>0</v>
      </c>
      <c r="Q3" s="290">
        <f ca="1">TotFAInvAmt-TotFAInputAmt</f>
        <v>-603552.92</v>
      </c>
      <c r="R3" s="291"/>
      <c r="S3" s="292"/>
      <c r="T3" s="293"/>
      <c r="U3" s="294">
        <f ca="1">SUBTOTAL(9,U5:U1245)</f>
        <v>603552.92</v>
      </c>
      <c r="V3" s="27"/>
      <c r="W3" s="293"/>
      <c r="X3" s="295"/>
      <c r="Y3" s="296"/>
      <c r="Z3" s="297"/>
      <c r="AA3" s="298"/>
      <c r="AB3" s="299"/>
      <c r="AC3" s="298"/>
      <c r="AD3" s="300"/>
      <c r="AE3" s="298"/>
      <c r="AF3" s="301"/>
      <c r="AG3" s="301"/>
      <c r="AH3" s="302"/>
      <c r="AI3" s="302"/>
      <c r="AJ3" s="303"/>
      <c r="AK3" s="304"/>
      <c r="AL3" s="304"/>
      <c r="AM3" s="304"/>
      <c r="AN3" s="304"/>
      <c r="AO3" s="304"/>
      <c r="AP3" s="304"/>
      <c r="AQ3" s="304"/>
      <c r="AR3" s="305"/>
      <c r="AT3" s="272"/>
      <c r="BD3" s="241"/>
    </row>
    <row r="4" s="224" customFormat="1" ht="55.5" customHeight="1" spans="1:254">
      <c r="A4" s="306"/>
      <c r="B4" s="307" t="s">
        <v>474</v>
      </c>
      <c r="C4" s="307" t="s">
        <v>475</v>
      </c>
      <c r="D4" s="307" t="s">
        <v>476</v>
      </c>
      <c r="E4" s="308" t="s">
        <v>477</v>
      </c>
      <c r="F4" s="307" t="s">
        <v>478</v>
      </c>
      <c r="G4" s="309" t="s">
        <v>479</v>
      </c>
      <c r="H4" s="309" t="s">
        <v>480</v>
      </c>
      <c r="I4" s="310" t="s">
        <v>481</v>
      </c>
      <c r="J4" s="311" t="s">
        <v>482</v>
      </c>
      <c r="K4" s="312" t="s">
        <v>483</v>
      </c>
      <c r="L4" s="313" t="s">
        <v>484</v>
      </c>
      <c r="M4" s="313" t="s">
        <v>485</v>
      </c>
      <c r="N4" s="313" t="s">
        <v>486</v>
      </c>
      <c r="O4" s="313" t="s">
        <v>487</v>
      </c>
      <c r="P4" s="313" t="s">
        <v>488</v>
      </c>
      <c r="Q4" s="314" t="s">
        <v>489</v>
      </c>
      <c r="R4" s="315" t="s">
        <v>490</v>
      </c>
      <c r="S4" s="314" t="s">
        <v>491</v>
      </c>
      <c r="T4" s="316" t="s">
        <v>492</v>
      </c>
      <c r="U4" s="317" t="s">
        <v>493</v>
      </c>
      <c r="V4" s="318" t="s">
        <v>494</v>
      </c>
      <c r="W4" s="319" t="s">
        <v>495</v>
      </c>
      <c r="X4" s="320" t="s">
        <v>496</v>
      </c>
      <c r="Y4" s="321" t="s">
        <v>497</v>
      </c>
      <c r="Z4" s="322" t="s">
        <v>498</v>
      </c>
      <c r="AA4" s="319" t="s">
        <v>499</v>
      </c>
      <c r="AB4" s="314" t="s">
        <v>500</v>
      </c>
      <c r="AC4" s="320" t="s">
        <v>501</v>
      </c>
      <c r="AD4" s="323" t="s">
        <v>502</v>
      </c>
      <c r="AE4" s="320" t="s">
        <v>503</v>
      </c>
      <c r="AF4" s="320" t="s">
        <v>504</v>
      </c>
      <c r="AG4" s="320" t="s">
        <v>505</v>
      </c>
      <c r="AH4" s="323" t="s">
        <v>506</v>
      </c>
      <c r="AI4" s="323" t="s">
        <v>507</v>
      </c>
      <c r="AJ4" s="323" t="s">
        <v>508</v>
      </c>
      <c r="AK4" s="324" t="s">
        <v>509</v>
      </c>
      <c r="AL4" s="325" t="s">
        <v>510</v>
      </c>
      <c r="AM4" s="325" t="s">
        <v>511</v>
      </c>
      <c r="AN4" s="326" t="s">
        <v>512</v>
      </c>
      <c r="AO4" s="325" t="s">
        <v>513</v>
      </c>
      <c r="AP4" s="326" t="s">
        <v>514</v>
      </c>
      <c r="AQ4" s="327" t="s">
        <v>515</v>
      </c>
      <c r="AR4" s="328" t="s">
        <v>516</v>
      </c>
      <c r="AT4" s="27" t="s">
        <v>517</v>
      </c>
      <c r="BC4" s="329" t="s">
        <v>518</v>
      </c>
      <c r="BD4" s="330" t="s">
        <v>16</v>
      </c>
      <c r="BE4" s="331" t="s">
        <v>519</v>
      </c>
    </row>
    <row r="5" s="52" customFormat="1" ht="15.75" customHeight="1" spans="1:254">
      <c r="A5" s="227"/>
      <c r="B5" s="332"/>
      <c r="C5" s="228"/>
      <c r="D5" s="333"/>
      <c r="E5" s="334"/>
      <c r="F5" s="229"/>
      <c r="G5" s="333"/>
      <c r="H5" s="335"/>
      <c r="I5" s="229"/>
      <c r="J5" s="229"/>
      <c r="K5" s="336"/>
      <c r="L5" s="337"/>
      <c r="M5" s="337"/>
      <c r="N5" s="337"/>
      <c r="O5" s="337"/>
      <c r="P5" s="337"/>
      <c r="Q5" s="338">
        <v>6002</v>
      </c>
      <c r="R5" s="271">
        <f>ROUND(U5*(1+AR5),0)</f>
        <v>0</v>
      </c>
      <c r="S5" s="339">
        <v>0</v>
      </c>
      <c r="T5" s="340"/>
      <c r="U5" s="341">
        <f>FA!H$16</f>
        <v>0</v>
      </c>
      <c r="V5" s="274"/>
      <c r="W5" s="342"/>
      <c r="X5" s="343"/>
      <c r="Y5" s="6" t="s">
        <v>520</v>
      </c>
      <c r="Z5" s="344"/>
      <c r="AA5" s="240"/>
      <c r="AB5" s="345">
        <v>1</v>
      </c>
      <c r="AC5" s="271"/>
      <c r="AD5" s="272"/>
      <c r="AE5" s="273"/>
      <c r="AF5" s="273"/>
      <c r="AG5" s="274"/>
      <c r="AH5" s="275"/>
      <c r="AI5" s="272"/>
      <c r="AJ5" s="276"/>
      <c r="AK5" s="277"/>
      <c r="AL5" s="278"/>
      <c r="AM5" s="277"/>
      <c r="AN5" s="279"/>
      <c r="AO5" s="279"/>
      <c r="AP5" s="279"/>
      <c r="AQ5" s="279"/>
      <c r="AR5" s="305">
        <f>'预算书-初步'!$F$10</f>
        <v>0.09</v>
      </c>
      <c r="AT5" s="272">
        <v>12</v>
      </c>
      <c r="BC5" s="272" t="s">
        <v>521</v>
      </c>
      <c r="BD5" s="346">
        <v>1005</v>
      </c>
      <c r="BE5" s="347" t="s">
        <v>522</v>
      </c>
    </row>
    <row r="6" s="52" customFormat="1" ht="15.75" customHeight="1" spans="1:254">
      <c r="A6" s="227"/>
      <c r="B6" s="332"/>
      <c r="C6" s="228"/>
      <c r="D6" s="333"/>
      <c r="E6" s="334"/>
      <c r="F6" s="229"/>
      <c r="G6" s="333"/>
      <c r="H6" s="335"/>
      <c r="I6" s="229"/>
      <c r="J6" s="229"/>
      <c r="K6" s="336"/>
      <c r="L6" s="337"/>
      <c r="M6" s="337"/>
      <c r="N6" s="337"/>
      <c r="O6" s="337"/>
      <c r="P6" s="337"/>
      <c r="Q6" s="338">
        <v>6002</v>
      </c>
      <c r="R6" s="271">
        <f t="shared" ref="R6:R69" si="0">ROUND(U6*(1+AR6),0)</f>
        <v>0</v>
      </c>
      <c r="S6" s="339">
        <f>$S$5</f>
        <v>0</v>
      </c>
      <c r="T6" s="340"/>
      <c r="U6" s="341">
        <f>FA!H$17</f>
        <v>0</v>
      </c>
      <c r="V6" s="274"/>
      <c r="W6" s="342"/>
      <c r="X6" s="343"/>
      <c r="Y6" s="6" t="s">
        <v>523</v>
      </c>
      <c r="Z6" s="344"/>
      <c r="AA6" s="240"/>
      <c r="AB6" s="345">
        <v>1</v>
      </c>
      <c r="AC6" s="271"/>
      <c r="AD6" s="272"/>
      <c r="AE6" s="273"/>
      <c r="AF6" s="273"/>
      <c r="AG6" s="274"/>
      <c r="AH6" s="275"/>
      <c r="AI6" s="272"/>
      <c r="AJ6" s="276"/>
      <c r="AK6" s="277"/>
      <c r="AL6" s="278"/>
      <c r="AM6" s="277"/>
      <c r="AN6" s="279" t="str">
        <f>IF(AK6&lt;&gt;0,"N","")</f>
        <v/>
      </c>
      <c r="AO6" s="279"/>
      <c r="AP6" s="279" t="str">
        <f>IF(F6&lt;&gt;0,"Y","")</f>
        <v/>
      </c>
      <c r="AQ6" s="279"/>
      <c r="AR6" s="305">
        <f>'预算书-初步'!$F$10</f>
        <v>0.09</v>
      </c>
      <c r="AT6" s="272">
        <v>20</v>
      </c>
      <c r="BC6" s="272" t="s">
        <v>521</v>
      </c>
      <c r="BD6" s="346">
        <v>1006</v>
      </c>
      <c r="BE6" s="347" t="s">
        <v>522</v>
      </c>
    </row>
    <row r="7" s="52" customFormat="1" ht="15.75" customHeight="1" spans="1:254">
      <c r="A7" s="227"/>
      <c r="B7" s="332"/>
      <c r="C7" s="228"/>
      <c r="D7" s="333"/>
      <c r="E7" s="334"/>
      <c r="F7" s="229"/>
      <c r="G7" s="333"/>
      <c r="H7" s="335"/>
      <c r="I7" s="229"/>
      <c r="J7" s="229"/>
      <c r="K7" s="336"/>
      <c r="L7" s="337"/>
      <c r="M7" s="337"/>
      <c r="N7" s="337"/>
      <c r="O7" s="337"/>
      <c r="P7" s="337"/>
      <c r="Q7" s="338">
        <v>6002</v>
      </c>
      <c r="R7" s="271">
        <f t="shared" si="0"/>
        <v>0</v>
      </c>
      <c r="S7" s="339">
        <f t="shared" ref="S7:S75" si="1">$S$5</f>
        <v>0</v>
      </c>
      <c r="T7" s="340"/>
      <c r="U7" s="341">
        <f>FA!H$18</f>
        <v>0</v>
      </c>
      <c r="V7" s="274"/>
      <c r="W7" s="342"/>
      <c r="X7" s="343"/>
      <c r="Y7" s="6" t="s">
        <v>524</v>
      </c>
      <c r="Z7" s="344"/>
      <c r="AA7" s="240"/>
      <c r="AB7" s="345">
        <v>1</v>
      </c>
      <c r="AC7" s="271"/>
      <c r="AD7" s="272"/>
      <c r="AE7" s="273"/>
      <c r="AF7" s="273"/>
      <c r="AG7" s="274"/>
      <c r="AH7" s="275"/>
      <c r="AI7" s="272"/>
      <c r="AJ7" s="276"/>
      <c r="AK7" s="277"/>
      <c r="AL7" s="278"/>
      <c r="AM7" s="277"/>
      <c r="AN7" s="279" t="str">
        <f>IF(AK7&lt;&gt;0,"N","")</f>
        <v/>
      </c>
      <c r="AO7" s="279"/>
      <c r="AP7" s="279" t="str">
        <f>IF(F7&lt;&gt;0,"Y","")</f>
        <v/>
      </c>
      <c r="AQ7" s="279"/>
      <c r="AR7" s="305">
        <f>'预算书-初步'!$F$10</f>
        <v>0.09</v>
      </c>
      <c r="AT7" s="272">
        <v>23</v>
      </c>
      <c r="BC7" s="272" t="s">
        <v>521</v>
      </c>
      <c r="BD7" s="346">
        <v>1007</v>
      </c>
      <c r="BE7" s="347" t="s">
        <v>522</v>
      </c>
    </row>
    <row r="8" s="52" customFormat="1" ht="15.75" customHeight="1" spans="1:254">
      <c r="A8" s="227"/>
      <c r="B8" s="332"/>
      <c r="C8" s="228"/>
      <c r="D8" s="333"/>
      <c r="E8" s="334"/>
      <c r="F8" s="229"/>
      <c r="G8" s="333"/>
      <c r="H8" s="335"/>
      <c r="I8" s="229"/>
      <c r="J8" s="229"/>
      <c r="K8" s="336"/>
      <c r="L8" s="337"/>
      <c r="M8" s="337"/>
      <c r="N8" s="337"/>
      <c r="O8" s="337"/>
      <c r="P8" s="337"/>
      <c r="Q8" s="338">
        <v>1220</v>
      </c>
      <c r="R8" s="271">
        <f t="shared" si="0"/>
        <v>0</v>
      </c>
      <c r="S8" s="339">
        <f t="shared" si="1"/>
        <v>0</v>
      </c>
      <c r="T8" s="340"/>
      <c r="U8" s="341">
        <f>FA!H$36</f>
        <v>0</v>
      </c>
      <c r="V8" s="274"/>
      <c r="W8" s="342"/>
      <c r="X8" s="343"/>
      <c r="Y8" s="6" t="s">
        <v>525</v>
      </c>
      <c r="Z8" s="344"/>
      <c r="AA8" s="240"/>
      <c r="AB8" s="345">
        <v>1</v>
      </c>
      <c r="AC8" s="271"/>
      <c r="AD8" s="272"/>
      <c r="AE8" s="273"/>
      <c r="AF8" s="273"/>
      <c r="AG8" s="274"/>
      <c r="AH8" s="275"/>
      <c r="AI8" s="272"/>
      <c r="AJ8" s="276"/>
      <c r="AK8" s="277"/>
      <c r="AL8" s="278"/>
      <c r="AM8" s="277"/>
      <c r="AN8" s="279"/>
      <c r="AO8" s="279"/>
      <c r="AP8" s="279"/>
      <c r="AQ8" s="279"/>
      <c r="AR8" s="305">
        <f>'预算书-初步'!$F$10</f>
        <v>0.09</v>
      </c>
      <c r="AT8" s="272"/>
      <c r="BC8" s="272" t="s">
        <v>521</v>
      </c>
      <c r="BD8" s="346">
        <v>1025</v>
      </c>
      <c r="BE8" s="347" t="s">
        <v>522</v>
      </c>
    </row>
    <row r="9" s="52" customFormat="1" ht="15.75" customHeight="1" spans="1:254">
      <c r="A9" s="227"/>
      <c r="B9" s="332"/>
      <c r="C9" s="228"/>
      <c r="D9" s="333"/>
      <c r="E9" s="334"/>
      <c r="F9" s="229"/>
      <c r="G9" s="333"/>
      <c r="H9" s="335"/>
      <c r="I9" s="229"/>
      <c r="J9" s="229"/>
      <c r="K9" s="336"/>
      <c r="L9" s="337"/>
      <c r="M9" s="337"/>
      <c r="N9" s="337"/>
      <c r="O9" s="337"/>
      <c r="P9" s="337"/>
      <c r="Q9" s="338">
        <v>1314</v>
      </c>
      <c r="R9" s="271">
        <f t="shared" si="0"/>
        <v>0</v>
      </c>
      <c r="S9" s="339">
        <f t="shared" si="1"/>
        <v>0</v>
      </c>
      <c r="T9" s="340"/>
      <c r="U9" s="341">
        <f>FA!H$42</f>
        <v>0</v>
      </c>
      <c r="V9" s="274"/>
      <c r="W9" s="342"/>
      <c r="X9" s="343"/>
      <c r="Y9" s="6" t="s">
        <v>526</v>
      </c>
      <c r="Z9" s="344"/>
      <c r="AA9" s="240"/>
      <c r="AB9" s="345">
        <v>1</v>
      </c>
      <c r="AC9" s="271"/>
      <c r="AD9" s="272"/>
      <c r="AE9" s="273"/>
      <c r="AF9" s="273"/>
      <c r="AG9" s="274"/>
      <c r="AH9" s="275"/>
      <c r="AI9" s="272"/>
      <c r="AJ9" s="276"/>
      <c r="AK9" s="277"/>
      <c r="AL9" s="278"/>
      <c r="AM9" s="277"/>
      <c r="AN9" s="279"/>
      <c r="AO9" s="279"/>
      <c r="AP9" s="279"/>
      <c r="AQ9" s="279"/>
      <c r="AR9" s="305">
        <f>'预算书-初步'!$F$10</f>
        <v>0.09</v>
      </c>
      <c r="AT9" s="272"/>
      <c r="BC9" s="272" t="s">
        <v>521</v>
      </c>
      <c r="BD9" s="348">
        <v>1031</v>
      </c>
      <c r="BE9" s="347" t="s">
        <v>522</v>
      </c>
    </row>
    <row r="10" s="52" customFormat="1" ht="15.75" customHeight="1" spans="1:254">
      <c r="A10" s="227"/>
      <c r="B10" s="332"/>
      <c r="C10" s="228"/>
      <c r="D10" s="333"/>
      <c r="E10" s="334"/>
      <c r="F10" s="229"/>
      <c r="G10" s="333"/>
      <c r="H10" s="335"/>
      <c r="I10" s="229"/>
      <c r="J10" s="229"/>
      <c r="K10" s="336"/>
      <c r="L10" s="337"/>
      <c r="M10" s="337"/>
      <c r="N10" s="337"/>
      <c r="O10" s="337"/>
      <c r="P10" s="337"/>
      <c r="Q10" s="338">
        <v>1320</v>
      </c>
      <c r="R10" s="271">
        <f t="shared" si="0"/>
        <v>0</v>
      </c>
      <c r="S10" s="339">
        <f t="shared" si="1"/>
        <v>0</v>
      </c>
      <c r="T10" s="340"/>
      <c r="U10" s="341">
        <f>FA!H$43</f>
        <v>0</v>
      </c>
      <c r="V10" s="274"/>
      <c r="W10" s="342"/>
      <c r="X10" s="343"/>
      <c r="Y10" s="6" t="s">
        <v>527</v>
      </c>
      <c r="Z10" s="344"/>
      <c r="AA10" s="240"/>
      <c r="AB10" s="345">
        <v>1</v>
      </c>
      <c r="AC10" s="271"/>
      <c r="AD10" s="272"/>
      <c r="AE10" s="273"/>
      <c r="AF10" s="273"/>
      <c r="AG10" s="274"/>
      <c r="AH10" s="275"/>
      <c r="AI10" s="272"/>
      <c r="AJ10" s="276"/>
      <c r="AK10" s="277"/>
      <c r="AL10" s="278"/>
      <c r="AM10" s="277"/>
      <c r="AN10" s="279"/>
      <c r="AO10" s="279"/>
      <c r="AP10" s="279"/>
      <c r="AQ10" s="279"/>
      <c r="AR10" s="305">
        <f>'预算书-初步'!$F$10</f>
        <v>0.09</v>
      </c>
      <c r="AT10" s="272"/>
      <c r="BC10" s="272" t="s">
        <v>521</v>
      </c>
      <c r="BD10" s="348">
        <v>1032</v>
      </c>
      <c r="BE10" s="347" t="s">
        <v>522</v>
      </c>
    </row>
    <row r="11" s="52" customFormat="1" ht="15.75" customHeight="1" spans="1:254">
      <c r="A11" s="227"/>
      <c r="B11" s="332"/>
      <c r="C11" s="228"/>
      <c r="D11" s="333"/>
      <c r="E11" s="334"/>
      <c r="F11" s="229"/>
      <c r="G11" s="333"/>
      <c r="H11" s="335"/>
      <c r="I11" s="229"/>
      <c r="J11" s="229"/>
      <c r="K11" s="336"/>
      <c r="L11" s="337"/>
      <c r="M11" s="337"/>
      <c r="N11" s="337"/>
      <c r="O11" s="337"/>
      <c r="P11" s="337"/>
      <c r="Q11" s="338">
        <v>1350</v>
      </c>
      <c r="R11" s="271">
        <f t="shared" si="0"/>
        <v>0</v>
      </c>
      <c r="S11" s="339">
        <f t="shared" si="1"/>
        <v>0</v>
      </c>
      <c r="T11" s="340"/>
      <c r="U11" s="341">
        <f>FA!H$46</f>
        <v>0</v>
      </c>
      <c r="V11" s="274"/>
      <c r="W11" s="342"/>
      <c r="X11" s="343"/>
      <c r="Y11" s="6" t="s">
        <v>528</v>
      </c>
      <c r="Z11" s="344"/>
      <c r="AA11" s="240"/>
      <c r="AB11" s="345">
        <v>1</v>
      </c>
      <c r="AC11" s="271"/>
      <c r="AD11" s="272"/>
      <c r="AE11" s="273"/>
      <c r="AF11" s="273"/>
      <c r="AG11" s="274"/>
      <c r="AH11" s="275"/>
      <c r="AI11" s="272"/>
      <c r="AJ11" s="276"/>
      <c r="AK11" s="277"/>
      <c r="AL11" s="278"/>
      <c r="AM11" s="277"/>
      <c r="AN11" s="279"/>
      <c r="AO11" s="279"/>
      <c r="AP11" s="279"/>
      <c r="AQ11" s="279"/>
      <c r="AR11" s="305">
        <f>'预算书-初步'!$F$10</f>
        <v>0.09</v>
      </c>
      <c r="AT11" s="272"/>
      <c r="BC11" s="272" t="s">
        <v>521</v>
      </c>
      <c r="BD11" s="348">
        <v>1035</v>
      </c>
      <c r="BE11" s="347" t="s">
        <v>522</v>
      </c>
    </row>
    <row r="12" s="52" customFormat="1" ht="15.75" customHeight="1" spans="1:254">
      <c r="A12" s="227"/>
      <c r="B12" s="332"/>
      <c r="C12" s="228"/>
      <c r="D12" s="333"/>
      <c r="E12" s="334"/>
      <c r="F12" s="229"/>
      <c r="G12" s="333"/>
      <c r="H12" s="335"/>
      <c r="I12" s="229"/>
      <c r="J12" s="229"/>
      <c r="K12" s="336"/>
      <c r="L12" s="337"/>
      <c r="M12" s="337"/>
      <c r="N12" s="337"/>
      <c r="O12" s="337"/>
      <c r="P12" s="337"/>
      <c r="Q12" s="338">
        <v>1360</v>
      </c>
      <c r="R12" s="271">
        <f t="shared" si="0"/>
        <v>45000</v>
      </c>
      <c r="S12" s="339">
        <f t="shared" si="1"/>
        <v>0</v>
      </c>
      <c r="T12" s="340"/>
      <c r="U12" s="341">
        <f>FA!H$47</f>
        <v>41284.4</v>
      </c>
      <c r="V12" s="274"/>
      <c r="W12" s="342"/>
      <c r="X12" s="343"/>
      <c r="Y12" s="6" t="s">
        <v>529</v>
      </c>
      <c r="Z12" s="344"/>
      <c r="AA12" s="240"/>
      <c r="AB12" s="345">
        <v>1</v>
      </c>
      <c r="AC12" s="271"/>
      <c r="AD12" s="272"/>
      <c r="AE12" s="273"/>
      <c r="AF12" s="273"/>
      <c r="AG12" s="274"/>
      <c r="AH12" s="275"/>
      <c r="AI12" s="272"/>
      <c r="AJ12" s="276"/>
      <c r="AK12" s="277"/>
      <c r="AL12" s="278"/>
      <c r="AM12" s="277"/>
      <c r="AN12" s="279"/>
      <c r="AO12" s="279"/>
      <c r="AP12" s="279"/>
      <c r="AQ12" s="279"/>
      <c r="AR12" s="305">
        <f>'预算书-初步'!$F$10</f>
        <v>0.09</v>
      </c>
      <c r="AT12" s="272"/>
      <c r="BC12" s="272" t="s">
        <v>521</v>
      </c>
      <c r="BD12" s="348">
        <v>1036</v>
      </c>
      <c r="BE12" s="347" t="s">
        <v>522</v>
      </c>
    </row>
    <row r="13" s="52" customFormat="1" ht="15.75" customHeight="1" spans="1:254">
      <c r="A13" s="227"/>
      <c r="B13" s="332"/>
      <c r="C13" s="228"/>
      <c r="D13" s="333"/>
      <c r="E13" s="334"/>
      <c r="F13" s="229"/>
      <c r="G13" s="333"/>
      <c r="H13" s="335"/>
      <c r="I13" s="229"/>
      <c r="J13" s="229"/>
      <c r="K13" s="336"/>
      <c r="L13" s="337"/>
      <c r="M13" s="337"/>
      <c r="N13" s="337"/>
      <c r="O13" s="337"/>
      <c r="P13" s="337"/>
      <c r="Q13" s="338">
        <v>1410</v>
      </c>
      <c r="R13" s="271">
        <f t="shared" si="0"/>
        <v>9518</v>
      </c>
      <c r="S13" s="339">
        <f t="shared" si="1"/>
        <v>0</v>
      </c>
      <c r="T13" s="340"/>
      <c r="U13" s="341">
        <f>FA!H$49</f>
        <v>8732</v>
      </c>
      <c r="V13" s="274"/>
      <c r="W13" s="342"/>
      <c r="X13" s="343"/>
      <c r="Y13" s="6" t="s">
        <v>530</v>
      </c>
      <c r="Z13" s="344"/>
      <c r="AA13" s="240"/>
      <c r="AB13" s="345">
        <v>1</v>
      </c>
      <c r="AC13" s="271"/>
      <c r="AD13" s="272"/>
      <c r="AE13" s="273"/>
      <c r="AF13" s="273"/>
      <c r="AG13" s="274"/>
      <c r="AH13" s="275"/>
      <c r="AI13" s="272"/>
      <c r="AJ13" s="276"/>
      <c r="AK13" s="277"/>
      <c r="AL13" s="278"/>
      <c r="AM13" s="277"/>
      <c r="AN13" s="279"/>
      <c r="AO13" s="279"/>
      <c r="AP13" s="279"/>
      <c r="AQ13" s="279"/>
      <c r="AR13" s="305">
        <f>'预算书-初步'!$F$10</f>
        <v>0.09</v>
      </c>
      <c r="AT13" s="272"/>
      <c r="BC13" s="272" t="s">
        <v>521</v>
      </c>
      <c r="BD13" s="348">
        <v>1038</v>
      </c>
      <c r="BE13" s="347" t="s">
        <v>522</v>
      </c>
    </row>
    <row r="14" s="52" customFormat="1" ht="15.75" customHeight="1" spans="1:254">
      <c r="A14" s="227"/>
      <c r="B14" s="332"/>
      <c r="C14" s="228"/>
      <c r="D14" s="333"/>
      <c r="E14" s="334"/>
      <c r="F14" s="229"/>
      <c r="G14" s="333"/>
      <c r="H14" s="335"/>
      <c r="I14" s="229"/>
      <c r="J14" s="229"/>
      <c r="K14" s="336"/>
      <c r="L14" s="337"/>
      <c r="M14" s="337"/>
      <c r="N14" s="337"/>
      <c r="O14" s="337"/>
      <c r="P14" s="337"/>
      <c r="Q14" s="338">
        <v>1420</v>
      </c>
      <c r="R14" s="271">
        <f t="shared" si="0"/>
        <v>3211</v>
      </c>
      <c r="S14" s="339">
        <f t="shared" si="1"/>
        <v>0</v>
      </c>
      <c r="T14" s="340"/>
      <c r="U14" s="341">
        <f>FA!H$50</f>
        <v>2946.15</v>
      </c>
      <c r="V14" s="274"/>
      <c r="W14" s="342"/>
      <c r="X14" s="343"/>
      <c r="Y14" s="6" t="s">
        <v>531</v>
      </c>
      <c r="Z14" s="344"/>
      <c r="AA14" s="240"/>
      <c r="AB14" s="345">
        <v>1</v>
      </c>
      <c r="AC14" s="271"/>
      <c r="AD14" s="272"/>
      <c r="AE14" s="273"/>
      <c r="AF14" s="273"/>
      <c r="AG14" s="274"/>
      <c r="AH14" s="275"/>
      <c r="AI14" s="272"/>
      <c r="AJ14" s="276"/>
      <c r="AK14" s="277"/>
      <c r="AL14" s="278"/>
      <c r="AM14" s="277"/>
      <c r="AN14" s="279"/>
      <c r="AO14" s="279"/>
      <c r="AP14" s="279"/>
      <c r="AQ14" s="279"/>
      <c r="AR14" s="305">
        <f>'预算书-初步'!$F$10</f>
        <v>0.09</v>
      </c>
      <c r="AT14" s="272"/>
      <c r="BC14" s="272" t="s">
        <v>521</v>
      </c>
      <c r="BD14" s="348">
        <v>1039</v>
      </c>
      <c r="BE14" s="347" t="s">
        <v>522</v>
      </c>
    </row>
    <row r="15" s="52" customFormat="1" ht="15.75" customHeight="1" spans="1:254">
      <c r="A15" s="227"/>
      <c r="B15" s="332"/>
      <c r="C15" s="228"/>
      <c r="D15" s="333"/>
      <c r="E15" s="334"/>
      <c r="F15" s="229"/>
      <c r="G15" s="333"/>
      <c r="H15" s="335"/>
      <c r="I15" s="229"/>
      <c r="J15" s="229"/>
      <c r="K15" s="336"/>
      <c r="L15" s="337"/>
      <c r="M15" s="337"/>
      <c r="N15" s="337"/>
      <c r="O15" s="337"/>
      <c r="P15" s="337"/>
      <c r="Q15" s="338">
        <v>1510</v>
      </c>
      <c r="R15" s="271">
        <f t="shared" si="0"/>
        <v>23112</v>
      </c>
      <c r="S15" s="339">
        <f t="shared" si="1"/>
        <v>0</v>
      </c>
      <c r="T15" s="340"/>
      <c r="U15" s="341">
        <f>FA!H$53</f>
        <v>21203.91</v>
      </c>
      <c r="V15" s="274"/>
      <c r="W15" s="342"/>
      <c r="X15" s="343"/>
      <c r="Y15" s="6" t="s">
        <v>532</v>
      </c>
      <c r="Z15" s="344"/>
      <c r="AA15" s="240"/>
      <c r="AB15" s="345">
        <v>1</v>
      </c>
      <c r="AC15" s="271"/>
      <c r="AD15" s="272"/>
      <c r="AE15" s="273"/>
      <c r="AF15" s="273"/>
      <c r="AG15" s="274"/>
      <c r="AH15" s="275"/>
      <c r="AI15" s="272"/>
      <c r="AJ15" s="276"/>
      <c r="AK15" s="277"/>
      <c r="AL15" s="278"/>
      <c r="AM15" s="277"/>
      <c r="AN15" s="279" t="str">
        <f t="shared" ref="AN15:AN27" si="2">IF(AK15&lt;&gt;0,"N","")</f>
        <v/>
      </c>
      <c r="AO15" s="279"/>
      <c r="AP15" s="279" t="str">
        <f t="shared" ref="AP15:AP27" si="3">IF(F15&lt;&gt;0,"Y","")</f>
        <v/>
      </c>
      <c r="AQ15" s="279"/>
      <c r="AR15" s="305">
        <f>'预算书-初步'!$F$10</f>
        <v>0.09</v>
      </c>
      <c r="AT15" s="272"/>
      <c r="BC15" s="272" t="s">
        <v>521</v>
      </c>
      <c r="BD15" s="348">
        <v>1042</v>
      </c>
      <c r="BE15" s="347" t="s">
        <v>522</v>
      </c>
    </row>
    <row r="16" s="52" customFormat="1" ht="15.75" customHeight="1" spans="1:254">
      <c r="A16" s="227"/>
      <c r="B16" s="332"/>
      <c r="C16" s="228"/>
      <c r="D16" s="333"/>
      <c r="E16" s="334"/>
      <c r="F16" s="229"/>
      <c r="G16" s="333"/>
      <c r="H16" s="335"/>
      <c r="I16" s="229"/>
      <c r="J16" s="229"/>
      <c r="K16" s="336"/>
      <c r="L16" s="337"/>
      <c r="M16" s="337"/>
      <c r="N16" s="337"/>
      <c r="O16" s="337"/>
      <c r="P16" s="337"/>
      <c r="Q16" s="338">
        <v>1520</v>
      </c>
      <c r="R16" s="271">
        <f t="shared" si="0"/>
        <v>0</v>
      </c>
      <c r="S16" s="339">
        <f t="shared" si="1"/>
        <v>0</v>
      </c>
      <c r="T16" s="340"/>
      <c r="U16" s="341">
        <f>FA!H$54</f>
        <v>0</v>
      </c>
      <c r="V16" s="274"/>
      <c r="W16" s="342"/>
      <c r="X16" s="343"/>
      <c r="Y16" s="6" t="s">
        <v>533</v>
      </c>
      <c r="Z16" s="344"/>
      <c r="AA16" s="240"/>
      <c r="AB16" s="345">
        <v>1</v>
      </c>
      <c r="AC16" s="271"/>
      <c r="AD16" s="272"/>
      <c r="AE16" s="273"/>
      <c r="AF16" s="273"/>
      <c r="AG16" s="274"/>
      <c r="AH16" s="275"/>
      <c r="AI16" s="272"/>
      <c r="AJ16" s="276"/>
      <c r="AK16" s="277"/>
      <c r="AL16" s="278"/>
      <c r="AM16" s="277"/>
      <c r="AN16" s="279" t="str">
        <f t="shared" si="2"/>
        <v/>
      </c>
      <c r="AO16" s="279"/>
      <c r="AP16" s="279" t="str">
        <f t="shared" si="3"/>
        <v/>
      </c>
      <c r="AQ16" s="279"/>
      <c r="AR16" s="305">
        <f>'预算书-初步'!$F$10</f>
        <v>0.09</v>
      </c>
      <c r="AT16" s="272"/>
      <c r="BC16" s="272" t="s">
        <v>521</v>
      </c>
      <c r="BD16" s="348">
        <v>1043</v>
      </c>
      <c r="BE16" s="347" t="s">
        <v>522</v>
      </c>
    </row>
    <row r="17" s="52" customFormat="1" ht="15.75" customHeight="1" spans="1:57">
      <c r="A17" s="227"/>
      <c r="B17" s="332"/>
      <c r="C17" s="228"/>
      <c r="D17" s="333"/>
      <c r="E17" s="334"/>
      <c r="F17" s="229"/>
      <c r="G17" s="333"/>
      <c r="H17" s="335"/>
      <c r="I17" s="229"/>
      <c r="J17" s="229"/>
      <c r="K17" s="336"/>
      <c r="L17" s="337"/>
      <c r="M17" s="337"/>
      <c r="N17" s="337"/>
      <c r="O17" s="337"/>
      <c r="P17" s="337"/>
      <c r="Q17" s="338">
        <v>1530</v>
      </c>
      <c r="R17" s="271">
        <f t="shared" si="0"/>
        <v>0</v>
      </c>
      <c r="S17" s="339">
        <f t="shared" si="1"/>
        <v>0</v>
      </c>
      <c r="T17" s="340"/>
      <c r="U17" s="341">
        <f>FA!H$55</f>
        <v>0</v>
      </c>
      <c r="V17" s="274"/>
      <c r="W17" s="342"/>
      <c r="X17" s="343"/>
      <c r="Y17" s="6" t="s">
        <v>534</v>
      </c>
      <c r="Z17" s="344"/>
      <c r="AA17" s="240"/>
      <c r="AB17" s="345">
        <v>1</v>
      </c>
      <c r="AC17" s="271"/>
      <c r="AD17" s="272"/>
      <c r="AE17" s="273"/>
      <c r="AF17" s="273"/>
      <c r="AG17" s="274"/>
      <c r="AH17" s="275"/>
      <c r="AI17" s="272"/>
      <c r="AJ17" s="276"/>
      <c r="AK17" s="277"/>
      <c r="AL17" s="278"/>
      <c r="AM17" s="277"/>
      <c r="AN17" s="279" t="str">
        <f t="shared" si="2"/>
        <v/>
      </c>
      <c r="AO17" s="279"/>
      <c r="AP17" s="279" t="str">
        <f t="shared" si="3"/>
        <v/>
      </c>
      <c r="AQ17" s="279"/>
      <c r="AR17" s="305">
        <f>'预算书-初步'!$F$10</f>
        <v>0.09</v>
      </c>
      <c r="AT17" s="272"/>
      <c r="BC17" s="272" t="s">
        <v>521</v>
      </c>
      <c r="BD17" s="348">
        <v>1044</v>
      </c>
      <c r="BE17" s="347" t="s">
        <v>522</v>
      </c>
    </row>
    <row r="18" s="52" customFormat="1" ht="15.75" customHeight="1" spans="1:57">
      <c r="A18" s="227"/>
      <c r="B18" s="332"/>
      <c r="C18" s="228"/>
      <c r="D18" s="333"/>
      <c r="E18" s="334"/>
      <c r="F18" s="229"/>
      <c r="G18" s="333"/>
      <c r="H18" s="335"/>
      <c r="I18" s="229"/>
      <c r="J18" s="229"/>
      <c r="K18" s="336"/>
      <c r="L18" s="337"/>
      <c r="M18" s="337"/>
      <c r="N18" s="337"/>
      <c r="O18" s="337"/>
      <c r="P18" s="337"/>
      <c r="Q18" s="338">
        <v>1531</v>
      </c>
      <c r="R18" s="271">
        <f t="shared" si="0"/>
        <v>0</v>
      </c>
      <c r="S18" s="339">
        <f t="shared" si="1"/>
        <v>0</v>
      </c>
      <c r="T18" s="340"/>
      <c r="U18" s="341">
        <f>FA!H$56</f>
        <v>0</v>
      </c>
      <c r="V18" s="274"/>
      <c r="W18" s="342"/>
      <c r="X18" s="343"/>
      <c r="Y18" s="6" t="s">
        <v>535</v>
      </c>
      <c r="Z18" s="344"/>
      <c r="AA18" s="240"/>
      <c r="AB18" s="345">
        <v>1</v>
      </c>
      <c r="AC18" s="271"/>
      <c r="AD18" s="272"/>
      <c r="AE18" s="273"/>
      <c r="AF18" s="273"/>
      <c r="AG18" s="274"/>
      <c r="AH18" s="275"/>
      <c r="AI18" s="272"/>
      <c r="AJ18" s="276"/>
      <c r="AK18" s="277"/>
      <c r="AL18" s="278"/>
      <c r="AM18" s="277"/>
      <c r="AN18" s="279" t="str">
        <f t="shared" si="2"/>
        <v/>
      </c>
      <c r="AO18" s="279"/>
      <c r="AP18" s="279" t="str">
        <f t="shared" si="3"/>
        <v/>
      </c>
      <c r="AQ18" s="279"/>
      <c r="AR18" s="305">
        <f>'预算书-初步'!$F$10</f>
        <v>0.09</v>
      </c>
      <c r="AT18" s="272"/>
      <c r="BC18" s="272" t="s">
        <v>521</v>
      </c>
      <c r="BD18" s="348">
        <v>1045</v>
      </c>
      <c r="BE18" s="347" t="s">
        <v>522</v>
      </c>
    </row>
    <row r="19" s="52" customFormat="1" ht="15.75" customHeight="1" spans="1:57">
      <c r="A19" s="227"/>
      <c r="B19" s="332"/>
      <c r="C19" s="228"/>
      <c r="D19" s="333"/>
      <c r="E19" s="334"/>
      <c r="F19" s="229"/>
      <c r="G19" s="333"/>
      <c r="H19" s="335"/>
      <c r="I19" s="229"/>
      <c r="J19" s="229"/>
      <c r="K19" s="336"/>
      <c r="L19" s="337"/>
      <c r="M19" s="337"/>
      <c r="N19" s="337"/>
      <c r="O19" s="337"/>
      <c r="P19" s="337"/>
      <c r="Q19" s="338">
        <v>1532</v>
      </c>
      <c r="R19" s="271">
        <f t="shared" si="0"/>
        <v>0</v>
      </c>
      <c r="S19" s="339">
        <f t="shared" si="1"/>
        <v>0</v>
      </c>
      <c r="T19" s="340"/>
      <c r="U19" s="341">
        <f>FA!H$57</f>
        <v>0</v>
      </c>
      <c r="V19" s="274"/>
      <c r="W19" s="342"/>
      <c r="X19" s="343"/>
      <c r="Y19" s="6" t="s">
        <v>536</v>
      </c>
      <c r="Z19" s="344"/>
      <c r="AA19" s="240"/>
      <c r="AB19" s="345">
        <v>1</v>
      </c>
      <c r="AC19" s="271"/>
      <c r="AD19" s="272"/>
      <c r="AE19" s="273"/>
      <c r="AF19" s="273"/>
      <c r="AG19" s="274"/>
      <c r="AH19" s="275"/>
      <c r="AI19" s="272"/>
      <c r="AJ19" s="276"/>
      <c r="AK19" s="277"/>
      <c r="AL19" s="278"/>
      <c r="AM19" s="277"/>
      <c r="AN19" s="279" t="str">
        <f t="shared" si="2"/>
        <v/>
      </c>
      <c r="AO19" s="279"/>
      <c r="AP19" s="279" t="str">
        <f t="shared" si="3"/>
        <v/>
      </c>
      <c r="AQ19" s="279"/>
      <c r="AR19" s="305">
        <f>'预算书-初步'!$F$10</f>
        <v>0.09</v>
      </c>
      <c r="AT19" s="272"/>
      <c r="BC19" s="272" t="s">
        <v>521</v>
      </c>
      <c r="BD19" s="348">
        <v>1046</v>
      </c>
      <c r="BE19" s="347" t="s">
        <v>522</v>
      </c>
    </row>
    <row r="20" s="52" customFormat="1" ht="15.75" customHeight="1" spans="1:57">
      <c r="A20" s="227"/>
      <c r="B20" s="332"/>
      <c r="C20" s="228"/>
      <c r="D20" s="333"/>
      <c r="E20" s="334"/>
      <c r="F20" s="229"/>
      <c r="G20" s="333"/>
      <c r="H20" s="335"/>
      <c r="I20" s="229"/>
      <c r="J20" s="229"/>
      <c r="K20" s="336"/>
      <c r="L20" s="337"/>
      <c r="M20" s="337"/>
      <c r="N20" s="337"/>
      <c r="O20" s="337"/>
      <c r="P20" s="337"/>
      <c r="Q20" s="338">
        <v>1533</v>
      </c>
      <c r="R20" s="271">
        <f t="shared" si="0"/>
        <v>0</v>
      </c>
      <c r="S20" s="339">
        <f t="shared" si="1"/>
        <v>0</v>
      </c>
      <c r="T20" s="340"/>
      <c r="U20" s="341">
        <f>FA!H$58</f>
        <v>0</v>
      </c>
      <c r="V20" s="274"/>
      <c r="W20" s="342"/>
      <c r="X20" s="343"/>
      <c r="Y20" s="6" t="s">
        <v>537</v>
      </c>
      <c r="Z20" s="344"/>
      <c r="AA20" s="240"/>
      <c r="AB20" s="345">
        <v>1</v>
      </c>
      <c r="AC20" s="271"/>
      <c r="AD20" s="272"/>
      <c r="AE20" s="273"/>
      <c r="AF20" s="273"/>
      <c r="AG20" s="274"/>
      <c r="AH20" s="275"/>
      <c r="AI20" s="272"/>
      <c r="AJ20" s="276"/>
      <c r="AK20" s="277"/>
      <c r="AL20" s="278"/>
      <c r="AM20" s="277"/>
      <c r="AN20" s="279" t="str">
        <f t="shared" si="2"/>
        <v/>
      </c>
      <c r="AO20" s="279"/>
      <c r="AP20" s="279" t="str">
        <f t="shared" si="3"/>
        <v/>
      </c>
      <c r="AQ20" s="279"/>
      <c r="AR20" s="305">
        <f>'预算书-初步'!$F$10</f>
        <v>0.09</v>
      </c>
      <c r="AT20" s="272"/>
      <c r="BC20" s="272" t="s">
        <v>521</v>
      </c>
      <c r="BD20" s="348">
        <v>1047</v>
      </c>
      <c r="BE20" s="347" t="s">
        <v>522</v>
      </c>
    </row>
    <row r="21" s="52" customFormat="1" ht="15.75" customHeight="1" spans="1:57">
      <c r="A21" s="227"/>
      <c r="B21" s="332"/>
      <c r="C21" s="228"/>
      <c r="D21" s="333"/>
      <c r="E21" s="334"/>
      <c r="F21" s="229"/>
      <c r="G21" s="333"/>
      <c r="H21" s="335"/>
      <c r="I21" s="229"/>
      <c r="J21" s="229"/>
      <c r="K21" s="336"/>
      <c r="L21" s="337"/>
      <c r="M21" s="337"/>
      <c r="N21" s="337"/>
      <c r="O21" s="337"/>
      <c r="P21" s="337"/>
      <c r="Q21" s="338">
        <v>1534</v>
      </c>
      <c r="R21" s="271">
        <f t="shared" si="0"/>
        <v>0</v>
      </c>
      <c r="S21" s="339">
        <f t="shared" si="1"/>
        <v>0</v>
      </c>
      <c r="T21" s="340"/>
      <c r="U21" s="341">
        <f>FA!H$59</f>
        <v>0</v>
      </c>
      <c r="V21" s="274"/>
      <c r="W21" s="342"/>
      <c r="X21" s="343"/>
      <c r="Y21" s="6" t="s">
        <v>538</v>
      </c>
      <c r="Z21" s="344"/>
      <c r="AA21" s="240"/>
      <c r="AB21" s="345">
        <v>1</v>
      </c>
      <c r="AC21" s="271"/>
      <c r="AD21" s="272"/>
      <c r="AE21" s="273"/>
      <c r="AF21" s="273"/>
      <c r="AG21" s="274"/>
      <c r="AH21" s="275"/>
      <c r="AI21" s="272"/>
      <c r="AJ21" s="276"/>
      <c r="AK21" s="277"/>
      <c r="AL21" s="278"/>
      <c r="AM21" s="277"/>
      <c r="AN21" s="279" t="str">
        <f t="shared" si="2"/>
        <v/>
      </c>
      <c r="AO21" s="279"/>
      <c r="AP21" s="279" t="str">
        <f t="shared" si="3"/>
        <v/>
      </c>
      <c r="AQ21" s="279"/>
      <c r="AR21" s="305">
        <f>'预算书-初步'!$F$10</f>
        <v>0.09</v>
      </c>
      <c r="AT21" s="272"/>
      <c r="BC21" s="272" t="s">
        <v>521</v>
      </c>
      <c r="BD21" s="348">
        <v>1048</v>
      </c>
      <c r="BE21" s="347" t="s">
        <v>522</v>
      </c>
    </row>
    <row r="22" s="52" customFormat="1" ht="15.75" customHeight="1" spans="1:57">
      <c r="A22" s="227"/>
      <c r="B22" s="332"/>
      <c r="C22" s="228"/>
      <c r="D22" s="333"/>
      <c r="E22" s="334"/>
      <c r="F22" s="229"/>
      <c r="G22" s="333"/>
      <c r="H22" s="335"/>
      <c r="I22" s="229"/>
      <c r="J22" s="229"/>
      <c r="K22" s="336"/>
      <c r="L22" s="337"/>
      <c r="M22" s="337"/>
      <c r="N22" s="337"/>
      <c r="O22" s="337"/>
      <c r="P22" s="337"/>
      <c r="Q22" s="338">
        <v>1540</v>
      </c>
      <c r="R22" s="271">
        <f t="shared" si="0"/>
        <v>0</v>
      </c>
      <c r="S22" s="339">
        <f t="shared" si="1"/>
        <v>0</v>
      </c>
      <c r="T22" s="340"/>
      <c r="U22" s="341">
        <f>FA!H$60</f>
        <v>0</v>
      </c>
      <c r="V22" s="274"/>
      <c r="W22" s="342"/>
      <c r="X22" s="343"/>
      <c r="Y22" s="6" t="s">
        <v>539</v>
      </c>
      <c r="Z22" s="344"/>
      <c r="AA22" s="240"/>
      <c r="AB22" s="345">
        <v>1</v>
      </c>
      <c r="AC22" s="271"/>
      <c r="AD22" s="272"/>
      <c r="AE22" s="273"/>
      <c r="AF22" s="273"/>
      <c r="AG22" s="274"/>
      <c r="AH22" s="275"/>
      <c r="AI22" s="272"/>
      <c r="AJ22" s="276"/>
      <c r="AK22" s="277"/>
      <c r="AL22" s="278"/>
      <c r="AM22" s="277"/>
      <c r="AN22" s="279" t="str">
        <f t="shared" si="2"/>
        <v/>
      </c>
      <c r="AO22" s="279"/>
      <c r="AP22" s="279" t="str">
        <f t="shared" si="3"/>
        <v/>
      </c>
      <c r="AQ22" s="279"/>
      <c r="AR22" s="305">
        <f>'预算书-初步'!$F$10</f>
        <v>0.09</v>
      </c>
      <c r="AT22" s="272"/>
      <c r="BC22" s="272" t="s">
        <v>521</v>
      </c>
      <c r="BD22" s="348">
        <v>1049</v>
      </c>
      <c r="BE22" s="347" t="s">
        <v>522</v>
      </c>
    </row>
    <row r="23" s="52" customFormat="1" ht="15.75" customHeight="1" spans="1:57">
      <c r="A23" s="227"/>
      <c r="B23" s="332"/>
      <c r="C23" s="228"/>
      <c r="D23" s="333"/>
      <c r="E23" s="334"/>
      <c r="F23" s="229"/>
      <c r="G23" s="333"/>
      <c r="H23" s="335"/>
      <c r="I23" s="229"/>
      <c r="J23" s="229"/>
      <c r="K23" s="336"/>
      <c r="L23" s="337"/>
      <c r="M23" s="337"/>
      <c r="N23" s="337"/>
      <c r="O23" s="337"/>
      <c r="P23" s="337"/>
      <c r="Q23" s="338">
        <v>1611</v>
      </c>
      <c r="R23" s="271">
        <f t="shared" si="0"/>
        <v>51564</v>
      </c>
      <c r="S23" s="339">
        <f t="shared" si="1"/>
        <v>0</v>
      </c>
      <c r="T23" s="340"/>
      <c r="U23" s="341">
        <f>FA!H$64</f>
        <v>47306.12</v>
      </c>
      <c r="V23" s="274"/>
      <c r="W23" s="342"/>
      <c r="X23" s="343"/>
      <c r="Y23" s="6" t="s">
        <v>540</v>
      </c>
      <c r="Z23" s="344"/>
      <c r="AA23" s="240"/>
      <c r="AB23" s="345">
        <v>1</v>
      </c>
      <c r="AC23" s="271"/>
      <c r="AD23" s="272"/>
      <c r="AE23" s="273"/>
      <c r="AF23" s="273"/>
      <c r="AG23" s="274"/>
      <c r="AH23" s="275"/>
      <c r="AI23" s="272"/>
      <c r="AJ23" s="276"/>
      <c r="AK23" s="277"/>
      <c r="AL23" s="278"/>
      <c r="AM23" s="277"/>
      <c r="AN23" s="279" t="str">
        <f t="shared" si="2"/>
        <v/>
      </c>
      <c r="AO23" s="279"/>
      <c r="AP23" s="279" t="str">
        <f t="shared" si="3"/>
        <v/>
      </c>
      <c r="AQ23" s="279"/>
      <c r="AR23" s="305">
        <f>'预算书-初步'!$F$10</f>
        <v>0.09</v>
      </c>
      <c r="AT23" s="272"/>
      <c r="BC23" s="272" t="s">
        <v>521</v>
      </c>
      <c r="BD23" s="348">
        <v>1053</v>
      </c>
      <c r="BE23" s="347" t="s">
        <v>522</v>
      </c>
    </row>
    <row r="24" s="52" customFormat="1" ht="15.75" customHeight="1" spans="1:57">
      <c r="A24" s="227"/>
      <c r="B24" s="332"/>
      <c r="C24" s="228"/>
      <c r="D24" s="333"/>
      <c r="E24" s="334"/>
      <c r="F24" s="229"/>
      <c r="G24" s="333"/>
      <c r="H24" s="335"/>
      <c r="I24" s="229"/>
      <c r="J24" s="229"/>
      <c r="K24" s="336"/>
      <c r="L24" s="337"/>
      <c r="M24" s="337"/>
      <c r="N24" s="337"/>
      <c r="O24" s="337"/>
      <c r="P24" s="337"/>
      <c r="Q24" s="338">
        <v>1611</v>
      </c>
      <c r="R24" s="271">
        <f t="shared" si="0"/>
        <v>22976</v>
      </c>
      <c r="S24" s="339">
        <f t="shared" si="1"/>
        <v>0</v>
      </c>
      <c r="T24" s="340"/>
      <c r="U24" s="341">
        <f>FA!H$65</f>
        <v>21078.96</v>
      </c>
      <c r="V24" s="274"/>
      <c r="W24" s="342"/>
      <c r="X24" s="343"/>
      <c r="Y24" s="6" t="s">
        <v>541</v>
      </c>
      <c r="Z24" s="344"/>
      <c r="AA24" s="240"/>
      <c r="AB24" s="345">
        <v>1</v>
      </c>
      <c r="AC24" s="271"/>
      <c r="AD24" s="272"/>
      <c r="AE24" s="273"/>
      <c r="AF24" s="273"/>
      <c r="AG24" s="274"/>
      <c r="AH24" s="275"/>
      <c r="AI24" s="272"/>
      <c r="AJ24" s="276"/>
      <c r="AK24" s="277"/>
      <c r="AL24" s="278"/>
      <c r="AM24" s="277"/>
      <c r="AN24" s="279" t="str">
        <f t="shared" si="2"/>
        <v/>
      </c>
      <c r="AO24" s="279"/>
      <c r="AP24" s="279" t="str">
        <f t="shared" si="3"/>
        <v/>
      </c>
      <c r="AQ24" s="279"/>
      <c r="AR24" s="305">
        <f>'预算书-初步'!$F$10</f>
        <v>0.09</v>
      </c>
      <c r="AT24" s="272"/>
      <c r="BC24" s="272" t="s">
        <v>521</v>
      </c>
      <c r="BD24" s="348">
        <v>1054</v>
      </c>
      <c r="BE24" s="347" t="s">
        <v>522</v>
      </c>
    </row>
    <row r="25" s="52" customFormat="1" ht="15.75" customHeight="1" spans="1:57">
      <c r="A25" s="227"/>
      <c r="B25" s="332"/>
      <c r="C25" s="228"/>
      <c r="D25" s="333"/>
      <c r="E25" s="334"/>
      <c r="F25" s="229"/>
      <c r="G25" s="333"/>
      <c r="H25" s="335"/>
      <c r="I25" s="229"/>
      <c r="J25" s="229"/>
      <c r="K25" s="336"/>
      <c r="L25" s="337"/>
      <c r="M25" s="337"/>
      <c r="N25" s="337"/>
      <c r="O25" s="337"/>
      <c r="P25" s="337"/>
      <c r="Q25" s="338">
        <v>1611</v>
      </c>
      <c r="R25" s="271">
        <f t="shared" si="0"/>
        <v>46051</v>
      </c>
      <c r="S25" s="339">
        <f t="shared" si="1"/>
        <v>0</v>
      </c>
      <c r="T25" s="340"/>
      <c r="U25" s="341">
        <f>FA!H$66</f>
        <v>42248.99</v>
      </c>
      <c r="V25" s="274"/>
      <c r="W25" s="342"/>
      <c r="X25" s="343"/>
      <c r="Y25" s="6" t="s">
        <v>542</v>
      </c>
      <c r="Z25" s="344"/>
      <c r="AA25" s="240"/>
      <c r="AB25" s="345">
        <v>1</v>
      </c>
      <c r="AC25" s="271"/>
      <c r="AD25" s="272"/>
      <c r="AE25" s="273"/>
      <c r="AF25" s="273"/>
      <c r="AG25" s="274"/>
      <c r="AH25" s="275"/>
      <c r="AI25" s="272"/>
      <c r="AJ25" s="276"/>
      <c r="AK25" s="277"/>
      <c r="AL25" s="278"/>
      <c r="AM25" s="277"/>
      <c r="AN25" s="279" t="str">
        <f t="shared" si="2"/>
        <v/>
      </c>
      <c r="AO25" s="279"/>
      <c r="AP25" s="279" t="str">
        <f t="shared" si="3"/>
        <v/>
      </c>
      <c r="AQ25" s="279"/>
      <c r="AR25" s="305">
        <f>'预算书-初步'!$F$10</f>
        <v>0.09</v>
      </c>
      <c r="AT25" s="272"/>
      <c r="BC25" s="272" t="s">
        <v>521</v>
      </c>
      <c r="BD25" s="348">
        <v>1055</v>
      </c>
      <c r="BE25" s="347" t="s">
        <v>522</v>
      </c>
    </row>
    <row r="26" s="52" customFormat="1" ht="15.75" customHeight="1" spans="1:57">
      <c r="A26" s="227"/>
      <c r="B26" s="332"/>
      <c r="C26" s="228"/>
      <c r="D26" s="333"/>
      <c r="E26" s="334"/>
      <c r="F26" s="229"/>
      <c r="G26" s="333"/>
      <c r="H26" s="335"/>
      <c r="I26" s="229"/>
      <c r="J26" s="229"/>
      <c r="K26" s="336"/>
      <c r="L26" s="337"/>
      <c r="M26" s="337"/>
      <c r="N26" s="337"/>
      <c r="O26" s="337"/>
      <c r="P26" s="337"/>
      <c r="Q26" s="338">
        <v>1611</v>
      </c>
      <c r="R26" s="271">
        <f t="shared" si="0"/>
        <v>20250</v>
      </c>
      <c r="S26" s="339">
        <f t="shared" si="1"/>
        <v>0</v>
      </c>
      <c r="T26" s="340"/>
      <c r="U26" s="341">
        <f>FA!H$67</f>
        <v>18578.17</v>
      </c>
      <c r="V26" s="274"/>
      <c r="W26" s="342"/>
      <c r="X26" s="343"/>
      <c r="Y26" s="6" t="s">
        <v>543</v>
      </c>
      <c r="Z26" s="344"/>
      <c r="AA26" s="240"/>
      <c r="AB26" s="345">
        <v>1</v>
      </c>
      <c r="AC26" s="271"/>
      <c r="AD26" s="272"/>
      <c r="AE26" s="273"/>
      <c r="AF26" s="273"/>
      <c r="AG26" s="274"/>
      <c r="AH26" s="275"/>
      <c r="AI26" s="272"/>
      <c r="AJ26" s="276"/>
      <c r="AK26" s="277"/>
      <c r="AL26" s="278"/>
      <c r="AM26" s="277"/>
      <c r="AN26" s="279" t="str">
        <f t="shared" si="2"/>
        <v/>
      </c>
      <c r="AO26" s="279"/>
      <c r="AP26" s="279" t="str">
        <f t="shared" si="3"/>
        <v/>
      </c>
      <c r="AQ26" s="279"/>
      <c r="AR26" s="305">
        <f>'预算书-初步'!$F$10</f>
        <v>0.09</v>
      </c>
      <c r="AT26" s="272"/>
      <c r="BC26" s="272" t="s">
        <v>521</v>
      </c>
      <c r="BD26" s="348">
        <v>1056</v>
      </c>
      <c r="BE26" s="347" t="s">
        <v>522</v>
      </c>
    </row>
    <row r="27" s="52" customFormat="1" ht="15.75" customHeight="1" spans="1:57">
      <c r="A27" s="227"/>
      <c r="B27" s="332"/>
      <c r="C27" s="228"/>
      <c r="D27" s="333"/>
      <c r="E27" s="334"/>
      <c r="F27" s="229"/>
      <c r="G27" s="333"/>
      <c r="H27" s="335"/>
      <c r="I27" s="229"/>
      <c r="J27" s="229"/>
      <c r="K27" s="336"/>
      <c r="L27" s="337"/>
      <c r="M27" s="337"/>
      <c r="N27" s="337"/>
      <c r="O27" s="337"/>
      <c r="P27" s="337"/>
      <c r="Q27" s="338">
        <v>1611</v>
      </c>
      <c r="R27" s="271">
        <f t="shared" si="0"/>
        <v>12819</v>
      </c>
      <c r="S27" s="339">
        <f t="shared" si="1"/>
        <v>0</v>
      </c>
      <c r="T27" s="340"/>
      <c r="U27" s="341">
        <f>FA!H$68</f>
        <v>11760.55</v>
      </c>
      <c r="V27" s="274"/>
      <c r="W27" s="342"/>
      <c r="X27" s="343"/>
      <c r="Y27" s="6" t="s">
        <v>544</v>
      </c>
      <c r="Z27" s="344"/>
      <c r="AA27" s="240"/>
      <c r="AB27" s="345">
        <v>1</v>
      </c>
      <c r="AC27" s="271"/>
      <c r="AD27" s="272"/>
      <c r="AE27" s="273"/>
      <c r="AF27" s="273"/>
      <c r="AG27" s="274"/>
      <c r="AH27" s="275"/>
      <c r="AI27" s="272"/>
      <c r="AJ27" s="276"/>
      <c r="AK27" s="277"/>
      <c r="AL27" s="278"/>
      <c r="AM27" s="277"/>
      <c r="AN27" s="279" t="str">
        <f t="shared" si="2"/>
        <v/>
      </c>
      <c r="AO27" s="279"/>
      <c r="AP27" s="279" t="str">
        <f t="shared" si="3"/>
        <v/>
      </c>
      <c r="AQ27" s="279"/>
      <c r="AR27" s="305">
        <f>'预算书-初步'!$F$10</f>
        <v>0.09</v>
      </c>
      <c r="AT27" s="272"/>
      <c r="BC27" s="272" t="s">
        <v>521</v>
      </c>
      <c r="BD27" s="348">
        <v>1057</v>
      </c>
      <c r="BE27" s="347" t="s">
        <v>522</v>
      </c>
    </row>
    <row r="28" s="52" customFormat="1" ht="15.75" customHeight="1" spans="1:57">
      <c r="A28" s="227"/>
      <c r="B28" s="332"/>
      <c r="C28" s="228"/>
      <c r="D28" s="333"/>
      <c r="E28" s="334"/>
      <c r="F28" s="229"/>
      <c r="G28" s="333"/>
      <c r="H28" s="335"/>
      <c r="I28" s="229"/>
      <c r="J28" s="229"/>
      <c r="K28" s="336"/>
      <c r="L28" s="337"/>
      <c r="M28" s="337"/>
      <c r="N28" s="337"/>
      <c r="O28" s="337"/>
      <c r="P28" s="337"/>
      <c r="Q28" s="338">
        <v>1611</v>
      </c>
      <c r="R28" s="271">
        <f t="shared" si="0"/>
        <v>1232</v>
      </c>
      <c r="S28" s="339">
        <f t="shared" si="1"/>
        <v>0</v>
      </c>
      <c r="T28" s="340"/>
      <c r="U28" s="341">
        <f>FA!H$69</f>
        <v>1130</v>
      </c>
      <c r="V28" s="274"/>
      <c r="W28" s="342"/>
      <c r="X28" s="343"/>
      <c r="Y28" s="6" t="s">
        <v>545</v>
      </c>
      <c r="Z28" s="344"/>
      <c r="AA28" s="240"/>
      <c r="AB28" s="345">
        <v>1</v>
      </c>
      <c r="AC28" s="271"/>
      <c r="AD28" s="272"/>
      <c r="AE28" s="273"/>
      <c r="AF28" s="273"/>
      <c r="AG28" s="274"/>
      <c r="AH28" s="275"/>
      <c r="AI28" s="272"/>
      <c r="AJ28" s="276"/>
      <c r="AK28" s="277"/>
      <c r="AL28" s="278"/>
      <c r="AM28" s="277"/>
      <c r="AN28" s="279"/>
      <c r="AO28" s="279"/>
      <c r="AP28" s="279"/>
      <c r="AQ28" s="279"/>
      <c r="AR28" s="305">
        <f>'预算书-初步'!$F$10</f>
        <v>0.09</v>
      </c>
      <c r="AT28" s="272"/>
      <c r="BC28" s="272" t="s">
        <v>521</v>
      </c>
      <c r="BD28" s="348">
        <v>1058</v>
      </c>
      <c r="BE28" s="347" t="s">
        <v>522</v>
      </c>
    </row>
    <row r="29" s="52" customFormat="1" ht="15.75" customHeight="1" spans="1:57">
      <c r="A29" s="227"/>
      <c r="B29" s="332"/>
      <c r="C29" s="228"/>
      <c r="D29" s="333"/>
      <c r="E29" s="334"/>
      <c r="F29" s="229"/>
      <c r="G29" s="333"/>
      <c r="H29" s="335"/>
      <c r="I29" s="229"/>
      <c r="J29" s="229"/>
      <c r="K29" s="336"/>
      <c r="L29" s="337"/>
      <c r="M29" s="337"/>
      <c r="N29" s="337"/>
      <c r="O29" s="337"/>
      <c r="P29" s="337"/>
      <c r="Q29" s="338">
        <v>1611</v>
      </c>
      <c r="R29" s="271">
        <f t="shared" si="0"/>
        <v>2170</v>
      </c>
      <c r="S29" s="339">
        <f t="shared" si="1"/>
        <v>0</v>
      </c>
      <c r="T29" s="340"/>
      <c r="U29" s="341">
        <f>FA!H$70</f>
        <v>1991.08</v>
      </c>
      <c r="V29" s="274"/>
      <c r="W29" s="342"/>
      <c r="X29" s="343"/>
      <c r="Y29" s="349" t="s">
        <v>546</v>
      </c>
      <c r="Z29" s="344"/>
      <c r="AA29" s="240"/>
      <c r="AB29" s="345">
        <v>1</v>
      </c>
      <c r="AC29" s="271"/>
      <c r="AD29" s="272"/>
      <c r="AE29" s="273"/>
      <c r="AF29" s="273"/>
      <c r="AG29" s="274"/>
      <c r="AH29" s="275"/>
      <c r="AI29" s="272"/>
      <c r="AJ29" s="276"/>
      <c r="AK29" s="277"/>
      <c r="AL29" s="278"/>
      <c r="AM29" s="277"/>
      <c r="AN29" s="279"/>
      <c r="AO29" s="279"/>
      <c r="AP29" s="279"/>
      <c r="AQ29" s="279"/>
      <c r="AR29" s="305">
        <f>'预算书-初步'!$F$10</f>
        <v>0.09</v>
      </c>
      <c r="AT29" s="272"/>
      <c r="BC29" s="272" t="s">
        <v>521</v>
      </c>
      <c r="BD29" s="348">
        <v>1059</v>
      </c>
      <c r="BE29" s="347" t="s">
        <v>522</v>
      </c>
    </row>
    <row r="30" s="52" customFormat="1" ht="15.75" customHeight="1" spans="1:57">
      <c r="A30" s="227"/>
      <c r="B30" s="332"/>
      <c r="C30" s="228"/>
      <c r="D30" s="333"/>
      <c r="E30" s="334"/>
      <c r="F30" s="229"/>
      <c r="G30" s="333"/>
      <c r="H30" s="335"/>
      <c r="I30" s="229"/>
      <c r="J30" s="229"/>
      <c r="K30" s="336"/>
      <c r="L30" s="337"/>
      <c r="M30" s="337"/>
      <c r="N30" s="337"/>
      <c r="O30" s="337"/>
      <c r="P30" s="337"/>
      <c r="Q30" s="338">
        <v>1611</v>
      </c>
      <c r="R30" s="271">
        <f t="shared" si="0"/>
        <v>0</v>
      </c>
      <c r="S30" s="339">
        <f t="shared" si="1"/>
        <v>0</v>
      </c>
      <c r="T30" s="340"/>
      <c r="U30" s="341">
        <f>FA!H$71</f>
        <v>0</v>
      </c>
      <c r="V30" s="274"/>
      <c r="W30" s="342"/>
      <c r="X30" s="343"/>
      <c r="Y30" s="349" t="s">
        <v>547</v>
      </c>
      <c r="Z30" s="344"/>
      <c r="AA30" s="240"/>
      <c r="AB30" s="345">
        <v>1</v>
      </c>
      <c r="AC30" s="271"/>
      <c r="AD30" s="272"/>
      <c r="AE30" s="273"/>
      <c r="AF30" s="273"/>
      <c r="AG30" s="274"/>
      <c r="AH30" s="275"/>
      <c r="AI30" s="272"/>
      <c r="AJ30" s="276"/>
      <c r="AK30" s="277"/>
      <c r="AL30" s="278"/>
      <c r="AM30" s="277"/>
      <c r="AN30" s="279"/>
      <c r="AO30" s="279"/>
      <c r="AP30" s="279"/>
      <c r="AQ30" s="279"/>
      <c r="AR30" s="305">
        <f>'预算书-初步'!$F$10</f>
        <v>0.09</v>
      </c>
      <c r="AT30" s="272"/>
      <c r="BC30" s="272" t="s">
        <v>521</v>
      </c>
      <c r="BD30" s="348">
        <v>1060</v>
      </c>
      <c r="BE30" s="347" t="s">
        <v>522</v>
      </c>
    </row>
    <row r="31" s="52" customFormat="1" ht="15.75" customHeight="1" spans="1:57">
      <c r="A31" s="227"/>
      <c r="B31" s="332"/>
      <c r="C31" s="228"/>
      <c r="D31" s="333"/>
      <c r="E31" s="334"/>
      <c r="F31" s="229"/>
      <c r="G31" s="333"/>
      <c r="H31" s="335"/>
      <c r="I31" s="229"/>
      <c r="J31" s="229"/>
      <c r="K31" s="336"/>
      <c r="L31" s="337"/>
      <c r="M31" s="337"/>
      <c r="N31" s="337"/>
      <c r="O31" s="337"/>
      <c r="P31" s="337"/>
      <c r="Q31" s="338">
        <v>1611</v>
      </c>
      <c r="R31" s="271">
        <f t="shared" si="0"/>
        <v>6430</v>
      </c>
      <c r="S31" s="339">
        <f t="shared" si="1"/>
        <v>0</v>
      </c>
      <c r="T31" s="340"/>
      <c r="U31" s="341">
        <f>FA!H$72</f>
        <v>5899.43</v>
      </c>
      <c r="V31" s="274"/>
      <c r="W31" s="342"/>
      <c r="X31" s="343"/>
      <c r="Y31" s="349" t="s">
        <v>548</v>
      </c>
      <c r="Z31" s="344"/>
      <c r="AA31" s="240"/>
      <c r="AB31" s="345">
        <v>1</v>
      </c>
      <c r="AC31" s="271"/>
      <c r="AD31" s="272"/>
      <c r="AE31" s="273"/>
      <c r="AF31" s="273"/>
      <c r="AG31" s="274"/>
      <c r="AH31" s="275"/>
      <c r="AI31" s="272"/>
      <c r="AJ31" s="276"/>
      <c r="AK31" s="277"/>
      <c r="AL31" s="278"/>
      <c r="AM31" s="277"/>
      <c r="AN31" s="279" t="str">
        <f>IF(AK31&lt;&gt;0,"N","")</f>
        <v/>
      </c>
      <c r="AO31" s="279"/>
      <c r="AP31" s="279" t="str">
        <f>IF(F31&lt;&gt;0,"Y","")</f>
        <v/>
      </c>
      <c r="AQ31" s="279"/>
      <c r="AR31" s="305">
        <f>'预算书-初步'!$F$10</f>
        <v>0.09</v>
      </c>
      <c r="AT31" s="272"/>
      <c r="BC31" s="272" t="s">
        <v>521</v>
      </c>
      <c r="BD31" s="348">
        <v>1061</v>
      </c>
      <c r="BE31" s="347" t="s">
        <v>522</v>
      </c>
    </row>
    <row r="32" s="52" customFormat="1" ht="15.75" customHeight="1" spans="1:57">
      <c r="A32" s="227"/>
      <c r="B32" s="332"/>
      <c r="C32" s="228"/>
      <c r="D32" s="333"/>
      <c r="E32" s="334"/>
      <c r="F32" s="229"/>
      <c r="G32" s="333"/>
      <c r="H32" s="335"/>
      <c r="I32" s="229"/>
      <c r="J32" s="229"/>
      <c r="K32" s="336"/>
      <c r="L32" s="337"/>
      <c r="M32" s="337"/>
      <c r="N32" s="337"/>
      <c r="O32" s="337"/>
      <c r="P32" s="337"/>
      <c r="Q32" s="338">
        <v>1611</v>
      </c>
      <c r="R32" s="271">
        <f t="shared" si="0"/>
        <v>19065</v>
      </c>
      <c r="S32" s="339">
        <f t="shared" si="1"/>
        <v>0</v>
      </c>
      <c r="T32" s="340"/>
      <c r="U32" s="341">
        <f>FA!H$73</f>
        <v>17490.53</v>
      </c>
      <c r="V32" s="274"/>
      <c r="W32" s="342"/>
      <c r="X32" s="343"/>
      <c r="Y32" s="349" t="s">
        <v>549</v>
      </c>
      <c r="Z32" s="344"/>
      <c r="AA32" s="240"/>
      <c r="AB32" s="345">
        <v>1</v>
      </c>
      <c r="AC32" s="271"/>
      <c r="AD32" s="272"/>
      <c r="AE32" s="273"/>
      <c r="AF32" s="273"/>
      <c r="AG32" s="274"/>
      <c r="AH32" s="275"/>
      <c r="AI32" s="272"/>
      <c r="AJ32" s="276"/>
      <c r="AK32" s="277"/>
      <c r="AL32" s="278"/>
      <c r="AM32" s="277"/>
      <c r="AN32" s="279"/>
      <c r="AO32" s="279"/>
      <c r="AP32" s="279"/>
      <c r="AQ32" s="279"/>
      <c r="AR32" s="305">
        <f>'预算书-初步'!$F$10</f>
        <v>0.09</v>
      </c>
      <c r="AT32" s="272"/>
      <c r="BC32" s="272" t="s">
        <v>521</v>
      </c>
      <c r="BD32" s="348">
        <v>1062</v>
      </c>
      <c r="BE32" s="347" t="s">
        <v>522</v>
      </c>
    </row>
    <row r="33" s="52" customFormat="1" ht="15.75" customHeight="1" spans="1:57">
      <c r="A33" s="227"/>
      <c r="B33" s="332"/>
      <c r="C33" s="228"/>
      <c r="D33" s="333"/>
      <c r="E33" s="334"/>
      <c r="F33" s="229"/>
      <c r="G33" s="333"/>
      <c r="H33" s="335"/>
      <c r="I33" s="229"/>
      <c r="J33" s="229"/>
      <c r="K33" s="336"/>
      <c r="L33" s="337"/>
      <c r="M33" s="337"/>
      <c r="N33" s="337"/>
      <c r="O33" s="337"/>
      <c r="P33" s="337"/>
      <c r="Q33" s="338">
        <v>1643</v>
      </c>
      <c r="R33" s="271">
        <f t="shared" si="0"/>
        <v>35152</v>
      </c>
      <c r="S33" s="339">
        <f t="shared" si="1"/>
        <v>0</v>
      </c>
      <c r="T33" s="340"/>
      <c r="U33" s="341">
        <f>FA!H$74</f>
        <v>32249.61</v>
      </c>
      <c r="V33" s="274"/>
      <c r="W33" s="342"/>
      <c r="X33" s="343"/>
      <c r="Y33" s="349" t="s">
        <v>550</v>
      </c>
      <c r="Z33" s="344"/>
      <c r="AA33" s="240"/>
      <c r="AB33" s="345">
        <v>1</v>
      </c>
      <c r="AC33" s="271"/>
      <c r="AD33" s="272"/>
      <c r="AE33" s="273"/>
      <c r="AF33" s="273"/>
      <c r="AG33" s="274"/>
      <c r="AH33" s="275"/>
      <c r="AI33" s="272"/>
      <c r="AJ33" s="276"/>
      <c r="AK33" s="277"/>
      <c r="AL33" s="278"/>
      <c r="AM33" s="277"/>
      <c r="AN33" s="279" t="str">
        <f t="shared" ref="AN33:AN46" si="4">IF(AK33&lt;&gt;0,"N","")</f>
        <v/>
      </c>
      <c r="AO33" s="279"/>
      <c r="AP33" s="279" t="str">
        <f t="shared" ref="AP33:AP42" si="5">IF(F33&lt;&gt;0,"Y","")</f>
        <v/>
      </c>
      <c r="AQ33" s="279"/>
      <c r="AR33" s="305">
        <f>'预算书-初步'!$F$10</f>
        <v>0.09</v>
      </c>
      <c r="AT33" s="272"/>
      <c r="BC33" s="272" t="s">
        <v>521</v>
      </c>
      <c r="BD33" s="348">
        <v>1063</v>
      </c>
      <c r="BE33" s="347" t="s">
        <v>522</v>
      </c>
    </row>
    <row r="34" s="52" customFormat="1" ht="15.75" customHeight="1" spans="1:57">
      <c r="A34" s="227"/>
      <c r="B34" s="332"/>
      <c r="C34" s="228"/>
      <c r="D34" s="333"/>
      <c r="E34" s="334"/>
      <c r="F34" s="229"/>
      <c r="G34" s="333"/>
      <c r="H34" s="335"/>
      <c r="I34" s="229"/>
      <c r="J34" s="229"/>
      <c r="K34" s="336"/>
      <c r="L34" s="337"/>
      <c r="M34" s="337"/>
      <c r="N34" s="337"/>
      <c r="O34" s="337"/>
      <c r="P34" s="337"/>
      <c r="Q34" s="350">
        <v>1644</v>
      </c>
      <c r="R34" s="271">
        <f t="shared" si="0"/>
        <v>0</v>
      </c>
      <c r="S34" s="339">
        <f t="shared" si="1"/>
        <v>0</v>
      </c>
      <c r="T34" s="340"/>
      <c r="U34" s="341">
        <f>FA!H$75</f>
        <v>0</v>
      </c>
      <c r="V34" s="274"/>
      <c r="W34" s="342"/>
      <c r="X34" s="343"/>
      <c r="Y34" s="349" t="s">
        <v>551</v>
      </c>
      <c r="Z34" s="344"/>
      <c r="AA34" s="240"/>
      <c r="AB34" s="345">
        <v>1</v>
      </c>
      <c r="AC34" s="271"/>
      <c r="AD34" s="272"/>
      <c r="AE34" s="273"/>
      <c r="AF34" s="273"/>
      <c r="AG34" s="274"/>
      <c r="AH34" s="275"/>
      <c r="AI34" s="272"/>
      <c r="AJ34" s="276"/>
      <c r="AK34" s="277"/>
      <c r="AL34" s="278"/>
      <c r="AM34" s="277"/>
      <c r="AN34" s="279" t="str">
        <f t="shared" si="4"/>
        <v/>
      </c>
      <c r="AO34" s="279"/>
      <c r="AP34" s="279" t="str">
        <f t="shared" si="5"/>
        <v/>
      </c>
      <c r="AQ34" s="279"/>
      <c r="AR34" s="305">
        <f>'预算书-初步'!$F$10</f>
        <v>0.09</v>
      </c>
      <c r="AT34" s="272"/>
      <c r="BC34" s="272" t="s">
        <v>521</v>
      </c>
      <c r="BD34" s="348">
        <v>1064</v>
      </c>
      <c r="BE34" s="347" t="s">
        <v>522</v>
      </c>
    </row>
    <row r="35" s="52" customFormat="1" ht="15.75" customHeight="1" spans="1:57">
      <c r="A35" s="227"/>
      <c r="B35" s="332"/>
      <c r="C35" s="228"/>
      <c r="D35" s="333"/>
      <c r="E35" s="334"/>
      <c r="F35" s="229"/>
      <c r="G35" s="333"/>
      <c r="H35" s="335"/>
      <c r="I35" s="229"/>
      <c r="J35" s="229"/>
      <c r="K35" s="336"/>
      <c r="L35" s="337"/>
      <c r="M35" s="337"/>
      <c r="N35" s="337"/>
      <c r="O35" s="337"/>
      <c r="P35" s="337"/>
      <c r="Q35" s="338">
        <v>1645</v>
      </c>
      <c r="R35" s="271">
        <f t="shared" si="0"/>
        <v>2312</v>
      </c>
      <c r="S35" s="339">
        <f t="shared" si="1"/>
        <v>0</v>
      </c>
      <c r="T35" s="340"/>
      <c r="U35" s="341">
        <f>FA!H$76</f>
        <v>2120.68</v>
      </c>
      <c r="V35" s="274"/>
      <c r="W35" s="342"/>
      <c r="X35" s="343"/>
      <c r="Y35" s="349" t="s">
        <v>552</v>
      </c>
      <c r="Z35" s="344"/>
      <c r="AA35" s="240"/>
      <c r="AB35" s="345">
        <v>1</v>
      </c>
      <c r="AC35" s="271"/>
      <c r="AD35" s="272"/>
      <c r="AE35" s="273"/>
      <c r="AF35" s="273"/>
      <c r="AG35" s="274"/>
      <c r="AH35" s="275"/>
      <c r="AI35" s="272"/>
      <c r="AJ35" s="276"/>
      <c r="AK35" s="277"/>
      <c r="AL35" s="278"/>
      <c r="AM35" s="277"/>
      <c r="AN35" s="279" t="str">
        <f t="shared" si="4"/>
        <v/>
      </c>
      <c r="AO35" s="279"/>
      <c r="AP35" s="279" t="str">
        <f t="shared" si="5"/>
        <v/>
      </c>
      <c r="AQ35" s="279"/>
      <c r="AR35" s="305">
        <f>'预算书-初步'!$F$10</f>
        <v>0.09</v>
      </c>
      <c r="AT35" s="272"/>
      <c r="BC35" s="272" t="s">
        <v>521</v>
      </c>
      <c r="BD35" s="348">
        <v>1065</v>
      </c>
      <c r="BE35" s="347" t="s">
        <v>522</v>
      </c>
    </row>
    <row r="36" s="52" customFormat="1" ht="15.75" customHeight="1" spans="1:57">
      <c r="A36" s="227"/>
      <c r="B36" s="332"/>
      <c r="C36" s="228"/>
      <c r="D36" s="333"/>
      <c r="E36" s="334"/>
      <c r="F36" s="229"/>
      <c r="G36" s="333"/>
      <c r="H36" s="335"/>
      <c r="I36" s="229"/>
      <c r="J36" s="229"/>
      <c r="K36" s="336"/>
      <c r="L36" s="337"/>
      <c r="M36" s="337"/>
      <c r="N36" s="337"/>
      <c r="O36" s="337"/>
      <c r="P36" s="337"/>
      <c r="Q36" s="338">
        <v>1612</v>
      </c>
      <c r="R36" s="271">
        <f t="shared" si="0"/>
        <v>117851</v>
      </c>
      <c r="S36" s="339">
        <f t="shared" si="1"/>
        <v>0</v>
      </c>
      <c r="T36" s="340"/>
      <c r="U36" s="341">
        <f>FA!H$77</f>
        <v>108120.01</v>
      </c>
      <c r="V36" s="274"/>
      <c r="W36" s="342"/>
      <c r="X36" s="343"/>
      <c r="Y36" s="6" t="s">
        <v>553</v>
      </c>
      <c r="Z36" s="344"/>
      <c r="AA36" s="240"/>
      <c r="AB36" s="345">
        <v>1</v>
      </c>
      <c r="AC36" s="271"/>
      <c r="AD36" s="272"/>
      <c r="AE36" s="273"/>
      <c r="AF36" s="273"/>
      <c r="AG36" s="274"/>
      <c r="AH36" s="275"/>
      <c r="AI36" s="272"/>
      <c r="AJ36" s="276"/>
      <c r="AK36" s="277"/>
      <c r="AL36" s="278"/>
      <c r="AM36" s="277"/>
      <c r="AN36" s="279" t="str">
        <f t="shared" si="4"/>
        <v/>
      </c>
      <c r="AO36" s="279"/>
      <c r="AP36" s="279" t="str">
        <f t="shared" si="5"/>
        <v/>
      </c>
      <c r="AQ36" s="279"/>
      <c r="AR36" s="305">
        <f>'预算书-初步'!$F$10</f>
        <v>0.09</v>
      </c>
      <c r="AT36" s="272"/>
      <c r="BC36" s="272" t="s">
        <v>521</v>
      </c>
      <c r="BD36" s="348">
        <v>1066</v>
      </c>
      <c r="BE36" s="347" t="s">
        <v>522</v>
      </c>
    </row>
    <row r="37" s="52" customFormat="1" ht="15.75" customHeight="1" spans="1:57">
      <c r="A37" s="227"/>
      <c r="B37" s="332"/>
      <c r="C37" s="228"/>
      <c r="D37" s="333"/>
      <c r="E37" s="334"/>
      <c r="F37" s="229"/>
      <c r="G37" s="333"/>
      <c r="H37" s="335"/>
      <c r="I37" s="229"/>
      <c r="J37" s="229"/>
      <c r="K37" s="336"/>
      <c r="L37" s="337"/>
      <c r="M37" s="337"/>
      <c r="N37" s="337"/>
      <c r="O37" s="337"/>
      <c r="P37" s="337"/>
      <c r="Q37" s="338">
        <v>1646</v>
      </c>
      <c r="R37" s="271">
        <f t="shared" si="0"/>
        <v>15707</v>
      </c>
      <c r="S37" s="339">
        <f t="shared" si="1"/>
        <v>0</v>
      </c>
      <c r="T37" s="340"/>
      <c r="U37" s="341">
        <f>FA!H$79</f>
        <v>14410.2</v>
      </c>
      <c r="V37" s="274"/>
      <c r="W37" s="342"/>
      <c r="X37" s="343"/>
      <c r="Y37" s="349" t="s">
        <v>554</v>
      </c>
      <c r="Z37" s="344"/>
      <c r="AA37" s="240"/>
      <c r="AB37" s="345">
        <v>1</v>
      </c>
      <c r="AC37" s="271"/>
      <c r="AD37" s="272"/>
      <c r="AE37" s="273"/>
      <c r="AF37" s="273"/>
      <c r="AG37" s="274"/>
      <c r="AH37" s="275"/>
      <c r="AI37" s="272"/>
      <c r="AJ37" s="276"/>
      <c r="AK37" s="277"/>
      <c r="AL37" s="278"/>
      <c r="AM37" s="277"/>
      <c r="AN37" s="279" t="str">
        <f t="shared" si="4"/>
        <v/>
      </c>
      <c r="AO37" s="279"/>
      <c r="AP37" s="279" t="str">
        <f t="shared" si="5"/>
        <v/>
      </c>
      <c r="AQ37" s="279"/>
      <c r="AR37" s="305">
        <f>'预算书-初步'!$F$10</f>
        <v>0.09</v>
      </c>
      <c r="AT37" s="272"/>
      <c r="BC37" s="272" t="s">
        <v>521</v>
      </c>
      <c r="BD37" s="348">
        <v>1068</v>
      </c>
      <c r="BE37" s="347" t="s">
        <v>522</v>
      </c>
    </row>
    <row r="38" s="52" customFormat="1" ht="15.75" customHeight="1" spans="1:57">
      <c r="A38" s="227"/>
      <c r="B38" s="332"/>
      <c r="C38" s="228"/>
      <c r="D38" s="333"/>
      <c r="E38" s="334"/>
      <c r="F38" s="229"/>
      <c r="G38" s="333"/>
      <c r="H38" s="335"/>
      <c r="I38" s="229"/>
      <c r="J38" s="229"/>
      <c r="K38" s="336"/>
      <c r="L38" s="337"/>
      <c r="M38" s="337"/>
      <c r="N38" s="337"/>
      <c r="O38" s="337"/>
      <c r="P38" s="337"/>
      <c r="Q38" s="338">
        <v>1646</v>
      </c>
      <c r="R38" s="271">
        <f t="shared" si="0"/>
        <v>3730</v>
      </c>
      <c r="S38" s="339">
        <f t="shared" si="1"/>
        <v>0</v>
      </c>
      <c r="T38" s="340"/>
      <c r="U38" s="341">
        <f>FA!H$80</f>
        <v>3421.62</v>
      </c>
      <c r="V38" s="274"/>
      <c r="W38" s="342"/>
      <c r="X38" s="343"/>
      <c r="Y38" s="6" t="s">
        <v>555</v>
      </c>
      <c r="Z38" s="344"/>
      <c r="AA38" s="240"/>
      <c r="AB38" s="345">
        <v>1</v>
      </c>
      <c r="AC38" s="271"/>
      <c r="AD38" s="272"/>
      <c r="AE38" s="273"/>
      <c r="AF38" s="273"/>
      <c r="AG38" s="274"/>
      <c r="AH38" s="275"/>
      <c r="AI38" s="272"/>
      <c r="AJ38" s="276"/>
      <c r="AK38" s="277"/>
      <c r="AL38" s="278"/>
      <c r="AM38" s="277"/>
      <c r="AN38" s="279" t="str">
        <f t="shared" si="4"/>
        <v/>
      </c>
      <c r="AO38" s="279"/>
      <c r="AP38" s="279" t="str">
        <f t="shared" si="5"/>
        <v/>
      </c>
      <c r="AQ38" s="279"/>
      <c r="AR38" s="305">
        <f>'预算书-初步'!$F$10</f>
        <v>0.09</v>
      </c>
      <c r="AT38" s="272"/>
      <c r="BC38" s="272" t="s">
        <v>521</v>
      </c>
      <c r="BD38" s="348">
        <v>1069</v>
      </c>
      <c r="BE38" s="347" t="s">
        <v>522</v>
      </c>
    </row>
    <row r="39" s="52" customFormat="1" ht="15.75" customHeight="1" spans="1:57">
      <c r="A39" s="227"/>
      <c r="B39" s="332"/>
      <c r="C39" s="228"/>
      <c r="D39" s="333"/>
      <c r="E39" s="334"/>
      <c r="F39" s="229"/>
      <c r="G39" s="333"/>
      <c r="H39" s="335"/>
      <c r="I39" s="229"/>
      <c r="J39" s="229"/>
      <c r="K39" s="336"/>
      <c r="L39" s="337"/>
      <c r="M39" s="337"/>
      <c r="N39" s="337"/>
      <c r="O39" s="337"/>
      <c r="P39" s="337"/>
      <c r="Q39" s="338">
        <v>1613</v>
      </c>
      <c r="R39" s="271">
        <f t="shared" si="0"/>
        <v>30231</v>
      </c>
      <c r="S39" s="339">
        <f t="shared" si="1"/>
        <v>0</v>
      </c>
      <c r="T39" s="340"/>
      <c r="U39" s="341">
        <f>FA!H$81</f>
        <v>27735.24</v>
      </c>
      <c r="V39" s="274"/>
      <c r="W39" s="342"/>
      <c r="X39" s="343"/>
      <c r="Y39" s="349" t="s">
        <v>556</v>
      </c>
      <c r="Z39" s="344"/>
      <c r="AA39" s="240"/>
      <c r="AB39" s="345">
        <v>1</v>
      </c>
      <c r="AC39" s="271"/>
      <c r="AD39" s="272"/>
      <c r="AE39" s="273"/>
      <c r="AF39" s="273"/>
      <c r="AG39" s="274"/>
      <c r="AH39" s="275"/>
      <c r="AI39" s="272"/>
      <c r="AJ39" s="276"/>
      <c r="AK39" s="277"/>
      <c r="AL39" s="278"/>
      <c r="AM39" s="277"/>
      <c r="AN39" s="279" t="str">
        <f t="shared" si="4"/>
        <v/>
      </c>
      <c r="AO39" s="279"/>
      <c r="AP39" s="279" t="str">
        <f t="shared" si="5"/>
        <v/>
      </c>
      <c r="AQ39" s="279"/>
      <c r="AR39" s="305">
        <f>'预算书-初步'!$F$10</f>
        <v>0.09</v>
      </c>
      <c r="AT39" s="272"/>
      <c r="BC39" s="272" t="s">
        <v>521</v>
      </c>
      <c r="BD39" s="348">
        <v>1070</v>
      </c>
      <c r="BE39" s="347" t="s">
        <v>522</v>
      </c>
    </row>
    <row r="40" s="52" customFormat="1" ht="15.75" customHeight="1" spans="1:57">
      <c r="A40" s="227"/>
      <c r="B40" s="332"/>
      <c r="C40" s="228"/>
      <c r="D40" s="333"/>
      <c r="E40" s="334"/>
      <c r="F40" s="229"/>
      <c r="G40" s="333"/>
      <c r="H40" s="335"/>
      <c r="I40" s="229"/>
      <c r="J40" s="229"/>
      <c r="K40" s="336"/>
      <c r="L40" s="337"/>
      <c r="M40" s="337"/>
      <c r="N40" s="337"/>
      <c r="O40" s="337"/>
      <c r="P40" s="337"/>
      <c r="Q40" s="338">
        <v>1614</v>
      </c>
      <c r="R40" s="271">
        <f t="shared" si="0"/>
        <v>103276</v>
      </c>
      <c r="S40" s="339">
        <f t="shared" si="1"/>
        <v>0</v>
      </c>
      <c r="T40" s="340"/>
      <c r="U40" s="341">
        <f>FA!H$82</f>
        <v>94748.29</v>
      </c>
      <c r="V40" s="274"/>
      <c r="W40" s="342"/>
      <c r="X40" s="343"/>
      <c r="Y40" s="349" t="s">
        <v>557</v>
      </c>
      <c r="Z40" s="344"/>
      <c r="AA40" s="240"/>
      <c r="AB40" s="345">
        <v>1</v>
      </c>
      <c r="AC40" s="271"/>
      <c r="AD40" s="272"/>
      <c r="AE40" s="273"/>
      <c r="AF40" s="273"/>
      <c r="AG40" s="274"/>
      <c r="AH40" s="275"/>
      <c r="AI40" s="272"/>
      <c r="AJ40" s="276"/>
      <c r="AK40" s="277"/>
      <c r="AL40" s="278"/>
      <c r="AM40" s="277"/>
      <c r="AN40" s="279" t="str">
        <f t="shared" si="4"/>
        <v/>
      </c>
      <c r="AO40" s="279"/>
      <c r="AP40" s="279" t="str">
        <f t="shared" si="5"/>
        <v/>
      </c>
      <c r="AQ40" s="279"/>
      <c r="AR40" s="305">
        <f>'预算书-初步'!$F$10</f>
        <v>0.09</v>
      </c>
      <c r="AT40" s="272"/>
      <c r="BC40" s="272" t="s">
        <v>521</v>
      </c>
      <c r="BD40" s="348">
        <v>1071</v>
      </c>
      <c r="BE40" s="347" t="s">
        <v>522</v>
      </c>
    </row>
    <row r="41" s="52" customFormat="1" ht="15.75" customHeight="1" spans="1:57">
      <c r="A41" s="227"/>
      <c r="B41" s="332"/>
      <c r="C41" s="228"/>
      <c r="D41" s="333"/>
      <c r="E41" s="334"/>
      <c r="F41" s="229"/>
      <c r="G41" s="333"/>
      <c r="H41" s="335"/>
      <c r="I41" s="229"/>
      <c r="J41" s="229"/>
      <c r="K41" s="336"/>
      <c r="L41" s="337"/>
      <c r="M41" s="337"/>
      <c r="N41" s="337"/>
      <c r="O41" s="337"/>
      <c r="P41" s="337"/>
      <c r="Q41" s="338">
        <v>1621</v>
      </c>
      <c r="R41" s="271">
        <f t="shared" si="0"/>
        <v>0</v>
      </c>
      <c r="S41" s="339">
        <f t="shared" si="1"/>
        <v>0</v>
      </c>
      <c r="T41" s="340"/>
      <c r="U41" s="341">
        <f>FA!H$84</f>
        <v>0</v>
      </c>
      <c r="V41" s="274"/>
      <c r="W41" s="342"/>
      <c r="X41" s="343"/>
      <c r="Y41" s="349" t="s">
        <v>558</v>
      </c>
      <c r="Z41" s="344"/>
      <c r="AA41" s="240"/>
      <c r="AB41" s="345">
        <v>1</v>
      </c>
      <c r="AC41" s="271"/>
      <c r="AD41" s="272"/>
      <c r="AE41" s="273"/>
      <c r="AF41" s="273"/>
      <c r="AG41" s="274"/>
      <c r="AH41" s="275"/>
      <c r="AI41" s="272"/>
      <c r="AJ41" s="276"/>
      <c r="AK41" s="277"/>
      <c r="AL41" s="278"/>
      <c r="AM41" s="277"/>
      <c r="AN41" s="279" t="str">
        <f t="shared" si="4"/>
        <v/>
      </c>
      <c r="AO41" s="279"/>
      <c r="AP41" s="279" t="str">
        <f t="shared" si="5"/>
        <v/>
      </c>
      <c r="AQ41" s="279"/>
      <c r="AR41" s="305">
        <f>'预算书-初步'!$F$10</f>
        <v>0.09</v>
      </c>
      <c r="AT41" s="272"/>
      <c r="BC41" s="272" t="s">
        <v>521</v>
      </c>
      <c r="BD41" s="348">
        <v>1073</v>
      </c>
      <c r="BE41" s="347" t="s">
        <v>522</v>
      </c>
    </row>
    <row r="42" s="52" customFormat="1" ht="15.75" customHeight="1" spans="1:57">
      <c r="A42" s="227"/>
      <c r="B42" s="332"/>
      <c r="C42" s="228"/>
      <c r="D42" s="333"/>
      <c r="E42" s="334"/>
      <c r="F42" s="229"/>
      <c r="G42" s="333"/>
      <c r="H42" s="335"/>
      <c r="I42" s="229"/>
      <c r="J42" s="229"/>
      <c r="K42" s="336"/>
      <c r="L42" s="337"/>
      <c r="M42" s="337"/>
      <c r="N42" s="337"/>
      <c r="O42" s="337"/>
      <c r="P42" s="337"/>
      <c r="Q42" s="338">
        <v>1622</v>
      </c>
      <c r="R42" s="271">
        <f t="shared" si="0"/>
        <v>0</v>
      </c>
      <c r="S42" s="339">
        <f t="shared" si="1"/>
        <v>0</v>
      </c>
      <c r="T42" s="340"/>
      <c r="U42" s="341">
        <f>FA!H$85</f>
        <v>0</v>
      </c>
      <c r="V42" s="274"/>
      <c r="W42" s="342"/>
      <c r="X42" s="343"/>
      <c r="Y42" s="349" t="s">
        <v>559</v>
      </c>
      <c r="Z42" s="344"/>
      <c r="AA42" s="240"/>
      <c r="AB42" s="345">
        <v>1</v>
      </c>
      <c r="AC42" s="271"/>
      <c r="AD42" s="272"/>
      <c r="AE42" s="273"/>
      <c r="AF42" s="273"/>
      <c r="AG42" s="274"/>
      <c r="AH42" s="275"/>
      <c r="AI42" s="272"/>
      <c r="AJ42" s="276"/>
      <c r="AK42" s="277"/>
      <c r="AL42" s="278"/>
      <c r="AM42" s="277"/>
      <c r="AN42" s="279" t="str">
        <f t="shared" si="4"/>
        <v/>
      </c>
      <c r="AO42" s="279"/>
      <c r="AP42" s="279" t="str">
        <f t="shared" si="5"/>
        <v/>
      </c>
      <c r="AQ42" s="279"/>
      <c r="AR42" s="305">
        <f>'预算书-初步'!$F$10</f>
        <v>0.09</v>
      </c>
      <c r="AT42" s="272"/>
      <c r="BC42" s="272" t="s">
        <v>521</v>
      </c>
      <c r="BD42" s="348">
        <v>1074</v>
      </c>
      <c r="BE42" s="347" t="s">
        <v>522</v>
      </c>
    </row>
    <row r="43" s="52" customFormat="1" ht="15.75" customHeight="1" spans="1:57">
      <c r="A43" s="227"/>
      <c r="B43" s="332"/>
      <c r="C43" s="228"/>
      <c r="D43" s="333"/>
      <c r="E43" s="334"/>
      <c r="F43" s="229"/>
      <c r="G43" s="333"/>
      <c r="H43" s="335"/>
      <c r="I43" s="229"/>
      <c r="J43" s="229"/>
      <c r="K43" s="336"/>
      <c r="L43" s="337"/>
      <c r="M43" s="337"/>
      <c r="N43" s="337"/>
      <c r="O43" s="337"/>
      <c r="P43" s="337"/>
      <c r="Q43" s="338">
        <v>1623</v>
      </c>
      <c r="R43" s="271">
        <f t="shared" si="0"/>
        <v>0</v>
      </c>
      <c r="S43" s="339">
        <f t="shared" si="1"/>
        <v>0</v>
      </c>
      <c r="T43" s="340"/>
      <c r="U43" s="341">
        <f>FA!H$86</f>
        <v>0</v>
      </c>
      <c r="V43" s="274"/>
      <c r="W43" s="342"/>
      <c r="X43" s="343"/>
      <c r="Y43" s="349" t="s">
        <v>560</v>
      </c>
      <c r="Z43" s="344"/>
      <c r="AA43" s="240"/>
      <c r="AB43" s="345">
        <v>1</v>
      </c>
      <c r="AC43" s="271"/>
      <c r="AD43" s="272"/>
      <c r="AE43" s="273"/>
      <c r="AF43" s="273"/>
      <c r="AG43" s="274"/>
      <c r="AH43" s="275"/>
      <c r="AI43" s="272"/>
      <c r="AJ43" s="276"/>
      <c r="AK43" s="277"/>
      <c r="AL43" s="278"/>
      <c r="AM43" s="277"/>
      <c r="AN43" s="279"/>
      <c r="AO43" s="279"/>
      <c r="AP43" s="279"/>
      <c r="AQ43" s="279"/>
      <c r="AR43" s="305">
        <f>'预算书-初步'!$F$10</f>
        <v>0.09</v>
      </c>
      <c r="AT43" s="272"/>
      <c r="BC43" s="272" t="s">
        <v>521</v>
      </c>
      <c r="BD43" s="348">
        <v>1075</v>
      </c>
      <c r="BE43" s="347" t="s">
        <v>522</v>
      </c>
    </row>
    <row r="44" s="52" customFormat="1" ht="15.75" customHeight="1" spans="1:57">
      <c r="A44" s="227"/>
      <c r="B44" s="332"/>
      <c r="C44" s="228"/>
      <c r="D44" s="333"/>
      <c r="E44" s="334"/>
      <c r="F44" s="229"/>
      <c r="G44" s="333"/>
      <c r="H44" s="335"/>
      <c r="I44" s="229"/>
      <c r="J44" s="229"/>
      <c r="K44" s="336"/>
      <c r="L44" s="337"/>
      <c r="M44" s="337"/>
      <c r="N44" s="337"/>
      <c r="O44" s="337"/>
      <c r="P44" s="337"/>
      <c r="Q44" s="338">
        <v>1630</v>
      </c>
      <c r="R44" s="271">
        <f t="shared" si="0"/>
        <v>1714</v>
      </c>
      <c r="S44" s="339">
        <f t="shared" si="1"/>
        <v>0</v>
      </c>
      <c r="T44" s="340"/>
      <c r="U44" s="341">
        <f>FA!H$88</f>
        <v>1572.2</v>
      </c>
      <c r="V44" s="274"/>
      <c r="W44" s="342"/>
      <c r="X44" s="343"/>
      <c r="Y44" s="6" t="s">
        <v>561</v>
      </c>
      <c r="Z44" s="344"/>
      <c r="AA44" s="240"/>
      <c r="AB44" s="345">
        <v>1</v>
      </c>
      <c r="AC44" s="271"/>
      <c r="AD44" s="272"/>
      <c r="AE44" s="273"/>
      <c r="AF44" s="273"/>
      <c r="AG44" s="274"/>
      <c r="AH44" s="275"/>
      <c r="AI44" s="272"/>
      <c r="AJ44" s="276"/>
      <c r="AK44" s="277"/>
      <c r="AL44" s="278"/>
      <c r="AM44" s="277"/>
      <c r="AN44" s="279" t="str">
        <f t="shared" si="4"/>
        <v/>
      </c>
      <c r="AO44" s="279"/>
      <c r="AP44" s="279" t="str">
        <f>IF(F44&lt;&gt;0,"Y","")</f>
        <v/>
      </c>
      <c r="AQ44" s="279"/>
      <c r="AR44" s="305">
        <f>'预算书-初步'!$F$10</f>
        <v>0.09</v>
      </c>
      <c r="AT44" s="272"/>
      <c r="BC44" s="272" t="s">
        <v>521</v>
      </c>
      <c r="BD44" s="348">
        <v>1077</v>
      </c>
      <c r="BE44" s="347" t="s">
        <v>522</v>
      </c>
    </row>
    <row r="45" s="52" customFormat="1" ht="15.75" customHeight="1" spans="1:57">
      <c r="A45" s="227"/>
      <c r="B45" s="332"/>
      <c r="C45" s="228"/>
      <c r="D45" s="333"/>
      <c r="E45" s="334"/>
      <c r="F45" s="229"/>
      <c r="G45" s="333"/>
      <c r="H45" s="335"/>
      <c r="I45" s="229"/>
      <c r="J45" s="229"/>
      <c r="K45" s="336"/>
      <c r="L45" s="337"/>
      <c r="M45" s="337"/>
      <c r="N45" s="337"/>
      <c r="O45" s="337"/>
      <c r="P45" s="337"/>
      <c r="Q45" s="338">
        <v>3791</v>
      </c>
      <c r="R45" s="271">
        <f t="shared" si="0"/>
        <v>4659</v>
      </c>
      <c r="S45" s="339">
        <f t="shared" si="1"/>
        <v>0</v>
      </c>
      <c r="T45" s="340"/>
      <c r="U45" s="341">
        <f>FA!H$95</f>
        <v>4274.26</v>
      </c>
      <c r="V45" s="274"/>
      <c r="W45" s="342"/>
      <c r="X45" s="343"/>
      <c r="Y45" s="6" t="s">
        <v>562</v>
      </c>
      <c r="Z45" s="344"/>
      <c r="AA45" s="240"/>
      <c r="AB45" s="345">
        <v>1</v>
      </c>
      <c r="AC45" s="271"/>
      <c r="AD45" s="272"/>
      <c r="AE45" s="273"/>
      <c r="AF45" s="273"/>
      <c r="AG45" s="274"/>
      <c r="AH45" s="275"/>
      <c r="AI45" s="272"/>
      <c r="AJ45" s="276"/>
      <c r="AK45" s="277"/>
      <c r="AL45" s="278"/>
      <c r="AM45" s="277"/>
      <c r="AN45" s="279" t="str">
        <f t="shared" si="4"/>
        <v/>
      </c>
      <c r="AO45" s="279"/>
      <c r="AP45" s="279" t="str">
        <f>IF(F45&lt;&gt;0,"Y","")</f>
        <v/>
      </c>
      <c r="AQ45" s="279"/>
      <c r="AR45" s="305">
        <f>'预算书-初步'!$F$10</f>
        <v>0.09</v>
      </c>
      <c r="AT45" s="272"/>
      <c r="BC45" s="272" t="s">
        <v>521</v>
      </c>
      <c r="BD45" s="348">
        <v>1084</v>
      </c>
      <c r="BE45" s="347" t="s">
        <v>522</v>
      </c>
    </row>
    <row r="46" s="52" customFormat="1" ht="15.75" customHeight="1" spans="1:57">
      <c r="A46" s="227"/>
      <c r="B46" s="332"/>
      <c r="C46" s="228"/>
      <c r="D46" s="333"/>
      <c r="E46" s="334"/>
      <c r="F46" s="229"/>
      <c r="G46" s="333"/>
      <c r="H46" s="335"/>
      <c r="I46" s="229"/>
      <c r="J46" s="229"/>
      <c r="K46" s="336"/>
      <c r="L46" s="337"/>
      <c r="M46" s="337"/>
      <c r="N46" s="337"/>
      <c r="O46" s="337"/>
      <c r="P46" s="337"/>
      <c r="Q46" s="338">
        <v>8410</v>
      </c>
      <c r="R46" s="271">
        <f t="shared" si="0"/>
        <v>2917</v>
      </c>
      <c r="S46" s="339">
        <f t="shared" si="1"/>
        <v>0</v>
      </c>
      <c r="T46" s="340"/>
      <c r="U46" s="341">
        <f>FA!H$140</f>
        <v>2676.15</v>
      </c>
      <c r="V46" s="274"/>
      <c r="W46" s="342"/>
      <c r="X46" s="343"/>
      <c r="Y46" s="349" t="s">
        <v>563</v>
      </c>
      <c r="Z46" s="344"/>
      <c r="AA46" s="240"/>
      <c r="AB46" s="351">
        <f>SUMIFS(其他!F:F,其他!A:A,资产分摊表!Q46,其他!B:B,资产分摊表!BD46)+SUMIFS('预算书-初步'!K13:K1530,'预算书-初步'!A13:A1530,131)</f>
        <v>1</v>
      </c>
      <c r="AC46" s="271"/>
      <c r="AD46" s="272"/>
      <c r="AE46" s="273"/>
      <c r="AF46" s="273"/>
      <c r="AG46" s="274"/>
      <c r="AH46" s="275"/>
      <c r="AI46" s="272"/>
      <c r="AJ46" s="276"/>
      <c r="AK46" s="277"/>
      <c r="AL46" s="278"/>
      <c r="AM46" s="277"/>
      <c r="AN46" s="279" t="str">
        <f t="shared" si="4"/>
        <v/>
      </c>
      <c r="AO46" s="279"/>
      <c r="AP46" s="279" t="str">
        <f>IF(F46&lt;&gt;0,"Y","")</f>
        <v/>
      </c>
      <c r="AQ46" s="279"/>
      <c r="AR46" s="305">
        <f>'预算书-初步'!$F$10</f>
        <v>0.09</v>
      </c>
      <c r="AT46" s="272"/>
      <c r="BC46" s="272" t="s">
        <v>521</v>
      </c>
      <c r="BD46" s="348">
        <v>1129</v>
      </c>
      <c r="BE46" s="347" t="s">
        <v>522</v>
      </c>
    </row>
    <row r="47" s="52" customFormat="1" spans="1:57">
      <c r="A47" s="227"/>
      <c r="B47" s="332"/>
      <c r="C47" s="228"/>
      <c r="D47" s="333"/>
      <c r="E47" s="334"/>
      <c r="F47" s="229"/>
      <c r="G47" s="333"/>
      <c r="H47" s="335"/>
      <c r="I47" s="229"/>
      <c r="J47" s="229"/>
      <c r="K47" s="336"/>
      <c r="L47" s="337"/>
      <c r="M47" s="337"/>
      <c r="N47" s="337"/>
      <c r="O47" s="337"/>
      <c r="P47" s="337"/>
      <c r="Q47" s="352">
        <v>8421</v>
      </c>
      <c r="R47" s="271">
        <f t="shared" si="0"/>
        <v>0</v>
      </c>
      <c r="S47" s="353">
        <f t="shared" si="1"/>
        <v>0</v>
      </c>
      <c r="T47" s="354"/>
      <c r="U47" s="355">
        <f>SUMIF(其他!$A$9:$A$65,资产分摊表!Q47,其他!$E$9:$E$66)</f>
        <v>0</v>
      </c>
      <c r="V47" s="274"/>
      <c r="W47" s="356"/>
      <c r="X47" s="357"/>
      <c r="Y47" s="6" t="s">
        <v>564</v>
      </c>
      <c r="Z47" s="344"/>
      <c r="AA47" s="240"/>
      <c r="AB47" s="358">
        <f>SUMIFS(其他!F:F,其他!A:A,资产分摊表!Q47,其他!B:B,资产分摊表!BD47)+SUMIFS('预算书-初步'!K13:K1530,'预算书-初步'!A13:A1530,132,'预算书-初步'!D13:D1530,8421)</f>
        <v>0</v>
      </c>
      <c r="AC47" s="271"/>
      <c r="AD47" s="272"/>
      <c r="AE47" s="273"/>
      <c r="AF47" s="273"/>
      <c r="AG47" s="274"/>
      <c r="AH47" s="275"/>
      <c r="AI47" s="272"/>
      <c r="AJ47" s="276"/>
      <c r="AK47" s="277"/>
      <c r="AL47" s="278"/>
      <c r="AM47" s="277"/>
      <c r="AN47" s="279"/>
      <c r="AO47" s="279"/>
      <c r="AP47" s="279"/>
      <c r="AQ47" s="279"/>
      <c r="AR47" s="305">
        <f>'预算书-初步'!$F$10</f>
        <v>0.09</v>
      </c>
      <c r="AT47" s="272"/>
      <c r="BC47" s="272" t="s">
        <v>521</v>
      </c>
      <c r="BD47" s="359">
        <v>1130</v>
      </c>
      <c r="BE47" s="347" t="s">
        <v>522</v>
      </c>
    </row>
    <row r="48" s="52" customFormat="1" spans="1:57">
      <c r="A48" s="227"/>
      <c r="B48" s="332"/>
      <c r="C48" s="228"/>
      <c r="D48" s="333"/>
      <c r="E48" s="334"/>
      <c r="F48" s="229"/>
      <c r="G48" s="333"/>
      <c r="H48" s="335"/>
      <c r="I48" s="229"/>
      <c r="J48" s="229"/>
      <c r="K48" s="336"/>
      <c r="L48" s="337"/>
      <c r="M48" s="337"/>
      <c r="N48" s="337"/>
      <c r="O48" s="337"/>
      <c r="P48" s="337"/>
      <c r="Q48" s="352">
        <v>8422</v>
      </c>
      <c r="R48" s="271">
        <f t="shared" si="0"/>
        <v>9750</v>
      </c>
      <c r="S48" s="353">
        <f t="shared" si="1"/>
        <v>0</v>
      </c>
      <c r="T48" s="354"/>
      <c r="U48" s="360">
        <f>+SUMIFS('预算书-初步'!P14:P2600,'预算书-初步'!A14:A2600,132,'预算书-初步'!C14:C2600,8422)+SUMIF(其他!$A$9:$A$65,资产分摊表!Q48,其他!$E$9:$E$66)</f>
        <v>8944.69</v>
      </c>
      <c r="V48" s="274"/>
      <c r="W48" s="356"/>
      <c r="X48" s="357"/>
      <c r="Y48" s="349" t="s">
        <v>565</v>
      </c>
      <c r="Z48" s="344"/>
      <c r="AA48" s="240"/>
      <c r="AB48" s="351">
        <f>SUMIFS(其他!F:F,其他!A:A,资产分摊表!Q48,其他!B:B,资产分摊表!BD48)+SUMIFS('预算书-初步'!K13:K1530,'预算书-初步'!A13:A1530,132,'预算书-初步'!D13:D1530,8422)</f>
        <v>0</v>
      </c>
      <c r="AC48" s="271"/>
      <c r="AD48" s="272"/>
      <c r="AE48" s="273"/>
      <c r="AF48" s="273"/>
      <c r="AG48" s="274"/>
      <c r="AH48" s="275"/>
      <c r="AI48" s="272"/>
      <c r="AJ48" s="276"/>
      <c r="AK48" s="277"/>
      <c r="AL48" s="278"/>
      <c r="AM48" s="277"/>
      <c r="AN48" s="279"/>
      <c r="AO48" s="279"/>
      <c r="AP48" s="279"/>
      <c r="AQ48" s="279"/>
      <c r="AR48" s="305">
        <f>'预算书-初步'!$F$10</f>
        <v>0.09</v>
      </c>
      <c r="AT48" s="272"/>
      <c r="BC48" s="272" t="s">
        <v>521</v>
      </c>
      <c r="BD48" s="359">
        <v>1130</v>
      </c>
      <c r="BE48" s="347" t="s">
        <v>522</v>
      </c>
    </row>
    <row r="49" s="52" customFormat="1" spans="1:57">
      <c r="A49" s="227"/>
      <c r="B49" s="332"/>
      <c r="C49" s="228"/>
      <c r="D49" s="333"/>
      <c r="E49" s="334"/>
      <c r="F49" s="229"/>
      <c r="G49" s="333"/>
      <c r="H49" s="335"/>
      <c r="I49" s="229"/>
      <c r="J49" s="229"/>
      <c r="K49" s="336"/>
      <c r="L49" s="337"/>
      <c r="M49" s="337"/>
      <c r="N49" s="337"/>
      <c r="O49" s="337"/>
      <c r="P49" s="337"/>
      <c r="Q49" s="352">
        <v>8423</v>
      </c>
      <c r="R49" s="271">
        <f t="shared" si="0"/>
        <v>0</v>
      </c>
      <c r="S49" s="353">
        <f t="shared" si="1"/>
        <v>0</v>
      </c>
      <c r="T49" s="354"/>
      <c r="U49" s="360">
        <f>+SUMIFS('预算书-初步'!P14:P2600,'预算书-初步'!A14:A2600,132,'预算书-初步'!C14:C2600,8423)+SUMIF(其他!$A$9:$A$65,资产分摊表!Q49,其他!$E$9:$E$66)</f>
        <v>0</v>
      </c>
      <c r="V49" s="274"/>
      <c r="W49" s="356"/>
      <c r="X49" s="357"/>
      <c r="Y49" s="6" t="s">
        <v>566</v>
      </c>
      <c r="Z49" s="344"/>
      <c r="AA49" s="240"/>
      <c r="AB49" s="351">
        <f>SUMIFS(其他!F:F,其他!A:A,资产分摊表!Q49,其他!B:B,资产分摊表!BD49)+SUMIFS('预算书-初步'!K13:K1530,'预算书-初步'!A13:A1530,132,'预算书-初步'!D13:D1530,8423)</f>
        <v>0</v>
      </c>
      <c r="AC49" s="271"/>
      <c r="AD49" s="272"/>
      <c r="AE49" s="273"/>
      <c r="AF49" s="273"/>
      <c r="AG49" s="274"/>
      <c r="AH49" s="275"/>
      <c r="AI49" s="272"/>
      <c r="AJ49" s="276"/>
      <c r="AK49" s="277"/>
      <c r="AL49" s="278"/>
      <c r="AM49" s="277"/>
      <c r="AN49" s="279"/>
      <c r="AO49" s="279"/>
      <c r="AP49" s="279"/>
      <c r="AQ49" s="279"/>
      <c r="AR49" s="305">
        <f>'预算书-初步'!$F$10</f>
        <v>0.09</v>
      </c>
      <c r="AT49" s="272"/>
      <c r="BC49" s="272" t="s">
        <v>521</v>
      </c>
      <c r="BD49" s="359">
        <v>1130</v>
      </c>
      <c r="BE49" s="347" t="s">
        <v>522</v>
      </c>
    </row>
    <row r="50" s="52" customFormat="1" ht="15.75" customHeight="1" spans="1:57">
      <c r="A50" s="227"/>
      <c r="B50" s="332"/>
      <c r="C50" s="228"/>
      <c r="D50" s="333"/>
      <c r="E50" s="334"/>
      <c r="F50" s="229"/>
      <c r="G50" s="333"/>
      <c r="H50" s="335"/>
      <c r="I50" s="229"/>
      <c r="J50" s="229"/>
      <c r="K50" s="336"/>
      <c r="L50" s="337"/>
      <c r="M50" s="337"/>
      <c r="N50" s="337"/>
      <c r="O50" s="337"/>
      <c r="P50" s="337"/>
      <c r="Q50" s="338">
        <v>8424</v>
      </c>
      <c r="R50" s="271">
        <f t="shared" si="0"/>
        <v>9820</v>
      </c>
      <c r="S50" s="339">
        <f t="shared" si="1"/>
        <v>0</v>
      </c>
      <c r="T50" s="340"/>
      <c r="U50" s="341">
        <f>FA!H$142</f>
        <v>9009.01</v>
      </c>
      <c r="V50" s="274"/>
      <c r="W50" s="342"/>
      <c r="X50" s="343"/>
      <c r="Y50" s="6" t="s">
        <v>567</v>
      </c>
      <c r="Z50" s="344"/>
      <c r="AA50" s="240"/>
      <c r="AB50" s="361">
        <v>1</v>
      </c>
      <c r="AC50" s="271"/>
      <c r="AD50" s="272"/>
      <c r="AE50" s="273"/>
      <c r="AF50" s="273"/>
      <c r="AG50" s="274"/>
      <c r="AH50" s="275"/>
      <c r="AI50" s="272"/>
      <c r="AJ50" s="276"/>
      <c r="AK50" s="277"/>
      <c r="AL50" s="278"/>
      <c r="AM50" s="277"/>
      <c r="AN50" s="279" t="str">
        <f t="shared" ref="AN50:AN96" si="6">IF(AK50&lt;&gt;0,"N","")</f>
        <v/>
      </c>
      <c r="AO50" s="279"/>
      <c r="AP50" s="279" t="str">
        <f t="shared" ref="AP50:AP69" si="7">IF(F50&lt;&gt;0,"Y","")</f>
        <v/>
      </c>
      <c r="AQ50" s="279"/>
      <c r="AR50" s="305">
        <f>'预算书-初步'!$F$10</f>
        <v>0.09</v>
      </c>
      <c r="AT50" s="272"/>
      <c r="BC50" s="272" t="s">
        <v>521</v>
      </c>
      <c r="BD50" s="348">
        <v>1131</v>
      </c>
      <c r="BE50" s="347" t="s">
        <v>522</v>
      </c>
    </row>
    <row r="51" s="52" customFormat="1" ht="15.75" customHeight="1" spans="1:57">
      <c r="A51" s="227"/>
      <c r="B51" s="332"/>
      <c r="C51" s="228"/>
      <c r="D51" s="333"/>
      <c r="E51" s="334"/>
      <c r="F51" s="229"/>
      <c r="G51" s="333"/>
      <c r="H51" s="335"/>
      <c r="I51" s="229"/>
      <c r="J51" s="229"/>
      <c r="K51" s="336"/>
      <c r="L51" s="337"/>
      <c r="M51" s="337"/>
      <c r="N51" s="337"/>
      <c r="O51" s="337"/>
      <c r="P51" s="337"/>
      <c r="Q51" s="338">
        <v>8426</v>
      </c>
      <c r="R51" s="271">
        <f t="shared" si="0"/>
        <v>0</v>
      </c>
      <c r="S51" s="339">
        <f t="shared" si="1"/>
        <v>0</v>
      </c>
      <c r="T51" s="340"/>
      <c r="U51" s="341">
        <f>FA!H$143</f>
        <v>0</v>
      </c>
      <c r="V51" s="274"/>
      <c r="W51" s="342"/>
      <c r="X51" s="343"/>
      <c r="Y51" s="6" t="s">
        <v>568</v>
      </c>
      <c r="Z51" s="344"/>
      <c r="AA51" s="240"/>
      <c r="AB51" s="351">
        <f>SUMIFS(其他!F:F,其他!A:A,资产分摊表!Q51,其他!B:B,资产分摊表!BD51)+SUMIFS('预算书-初步'!K13:K1530,'预算书-初步'!A13:A1530,134,'预算书-初步'!D13:D1530,8426)</f>
        <v>0</v>
      </c>
      <c r="AC51" s="271"/>
      <c r="AD51" s="272"/>
      <c r="AE51" s="273"/>
      <c r="AF51" s="273"/>
      <c r="AG51" s="274"/>
      <c r="AH51" s="275"/>
      <c r="AI51" s="272"/>
      <c r="AJ51" s="276"/>
      <c r="AK51" s="277"/>
      <c r="AL51" s="278"/>
      <c r="AM51" s="277"/>
      <c r="AN51" s="279" t="str">
        <f t="shared" si="6"/>
        <v/>
      </c>
      <c r="AO51" s="279"/>
      <c r="AP51" s="279" t="str">
        <f t="shared" si="7"/>
        <v/>
      </c>
      <c r="AQ51" s="279"/>
      <c r="AR51" s="305">
        <f>'预算书-初步'!$F$10</f>
        <v>0.09</v>
      </c>
      <c r="AT51" s="272"/>
      <c r="BC51" s="272" t="s">
        <v>521</v>
      </c>
      <c r="BD51" s="348">
        <v>1132</v>
      </c>
      <c r="BE51" s="347" t="s">
        <v>522</v>
      </c>
    </row>
    <row r="52" s="52" customFormat="1" ht="15.75" customHeight="1" spans="1:57">
      <c r="A52" s="227"/>
      <c r="B52" s="332"/>
      <c r="C52" s="228"/>
      <c r="D52" s="333"/>
      <c r="E52" s="334"/>
      <c r="F52" s="229"/>
      <c r="G52" s="333"/>
      <c r="H52" s="335"/>
      <c r="I52" s="229"/>
      <c r="J52" s="229"/>
      <c r="K52" s="336"/>
      <c r="L52" s="337"/>
      <c r="M52" s="337"/>
      <c r="N52" s="337"/>
      <c r="O52" s="337"/>
      <c r="P52" s="337"/>
      <c r="Q52" s="338">
        <v>8451</v>
      </c>
      <c r="R52" s="271">
        <f t="shared" si="0"/>
        <v>0</v>
      </c>
      <c r="S52" s="339">
        <f t="shared" si="1"/>
        <v>0</v>
      </c>
      <c r="T52" s="340"/>
      <c r="U52" s="360">
        <f>SUMIF(其他!$A$9:$A$65,$Q52,其他!$E$9:$E$65)+SUMIFS('预算书-初步'!P14:P2600,'预算书-初步'!A14:A2600,138,'预算书-初步'!C14:C2600,8451)</f>
        <v>0</v>
      </c>
      <c r="V52" s="274"/>
      <c r="W52" s="342"/>
      <c r="X52" s="343"/>
      <c r="Y52" s="362" t="s">
        <v>569</v>
      </c>
      <c r="Z52" s="344"/>
      <c r="AA52" s="240"/>
      <c r="AB52" s="345">
        <v>1</v>
      </c>
      <c r="AC52" s="363"/>
      <c r="AD52" s="272"/>
      <c r="AE52" s="273"/>
      <c r="AF52" s="273"/>
      <c r="AG52" s="274"/>
      <c r="AH52" s="275"/>
      <c r="AI52" s="272"/>
      <c r="AJ52" s="276"/>
      <c r="AK52" s="277"/>
      <c r="AL52" s="278"/>
      <c r="AM52" s="277"/>
      <c r="AN52" s="279"/>
      <c r="AO52" s="279"/>
      <c r="AP52" s="279"/>
      <c r="AQ52" s="279"/>
      <c r="AR52" s="305">
        <f>'预算书-初步'!$F$10</f>
        <v>0.09</v>
      </c>
      <c r="AT52" s="272"/>
      <c r="AU52" s="348"/>
      <c r="BC52" s="272" t="s">
        <v>521</v>
      </c>
      <c r="BD52" s="348">
        <v>1136</v>
      </c>
      <c r="BE52" s="347" t="s">
        <v>522</v>
      </c>
    </row>
    <row r="53" s="52" customFormat="1" ht="15.75" customHeight="1" spans="1:57">
      <c r="A53" s="227"/>
      <c r="B53" s="332"/>
      <c r="C53" s="228"/>
      <c r="D53" s="333"/>
      <c r="E53" s="334"/>
      <c r="F53" s="229"/>
      <c r="G53" s="333"/>
      <c r="H53" s="335"/>
      <c r="I53" s="229"/>
      <c r="J53" s="229"/>
      <c r="K53" s="336"/>
      <c r="L53" s="337"/>
      <c r="M53" s="337"/>
      <c r="N53" s="337"/>
      <c r="O53" s="337"/>
      <c r="P53" s="337"/>
      <c r="Q53" s="338">
        <v>8452</v>
      </c>
      <c r="R53" s="271">
        <f t="shared" si="0"/>
        <v>0</v>
      </c>
      <c r="S53" s="339">
        <f t="shared" si="1"/>
        <v>0</v>
      </c>
      <c r="T53" s="340"/>
      <c r="U53" s="364">
        <f>SUMIF(其他!$A$9:$A$65,$Q53,其他!$E$9:$E$65)</f>
        <v>0</v>
      </c>
      <c r="V53" s="274"/>
      <c r="W53" s="342"/>
      <c r="X53" s="343"/>
      <c r="Y53" s="365" t="s">
        <v>570</v>
      </c>
      <c r="Z53" s="344"/>
      <c r="AA53" s="240"/>
      <c r="AB53" s="345">
        <v>1</v>
      </c>
      <c r="AC53" s="363"/>
      <c r="AD53" s="272"/>
      <c r="AE53" s="273"/>
      <c r="AF53" s="273"/>
      <c r="AG53" s="274"/>
      <c r="AH53" s="275"/>
      <c r="AI53" s="272"/>
      <c r="AJ53" s="276"/>
      <c r="AK53" s="277"/>
      <c r="AL53" s="278"/>
      <c r="AM53" s="277"/>
      <c r="AN53" s="279"/>
      <c r="AO53" s="279"/>
      <c r="AP53" s="279"/>
      <c r="AQ53" s="279"/>
      <c r="AR53" s="305">
        <f>'预算书-初步'!$F$10</f>
        <v>0.09</v>
      </c>
      <c r="AT53" s="272"/>
      <c r="AU53" s="348"/>
      <c r="BC53" s="272" t="s">
        <v>521</v>
      </c>
      <c r="BD53" s="348">
        <v>1136</v>
      </c>
      <c r="BE53" s="347" t="s">
        <v>522</v>
      </c>
    </row>
    <row r="54" s="52" customFormat="1" ht="15.75" customHeight="1" spans="1:57">
      <c r="A54" s="227"/>
      <c r="B54" s="332"/>
      <c r="C54" s="228"/>
      <c r="D54" s="333"/>
      <c r="E54" s="334"/>
      <c r="F54" s="229"/>
      <c r="G54" s="333"/>
      <c r="H54" s="335"/>
      <c r="I54" s="229"/>
      <c r="J54" s="229"/>
      <c r="K54" s="336"/>
      <c r="L54" s="337"/>
      <c r="M54" s="337"/>
      <c r="N54" s="337"/>
      <c r="O54" s="337"/>
      <c r="P54" s="337"/>
      <c r="Q54" s="338">
        <v>8453</v>
      </c>
      <c r="R54" s="271">
        <f t="shared" si="0"/>
        <v>0</v>
      </c>
      <c r="S54" s="339">
        <f t="shared" si="1"/>
        <v>0</v>
      </c>
      <c r="T54" s="340"/>
      <c r="U54" s="364">
        <f>SUMIF(其他!$A$9:$A$65,$Q54,其他!$E$9:$E$65)</f>
        <v>0</v>
      </c>
      <c r="V54" s="274"/>
      <c r="W54" s="342"/>
      <c r="X54" s="343"/>
      <c r="Y54" s="365" t="s">
        <v>571</v>
      </c>
      <c r="Z54" s="344"/>
      <c r="AA54" s="240"/>
      <c r="AB54" s="345">
        <v>1</v>
      </c>
      <c r="AC54" s="363"/>
      <c r="AD54" s="272"/>
      <c r="AE54" s="273"/>
      <c r="AF54" s="273"/>
      <c r="AG54" s="274"/>
      <c r="AH54" s="275"/>
      <c r="AI54" s="272"/>
      <c r="AJ54" s="276"/>
      <c r="AK54" s="277"/>
      <c r="AL54" s="278"/>
      <c r="AM54" s="277"/>
      <c r="AN54" s="279"/>
      <c r="AO54" s="279"/>
      <c r="AP54" s="279"/>
      <c r="AQ54" s="279"/>
      <c r="AR54" s="305">
        <f>'预算书-初步'!$F$10</f>
        <v>0.09</v>
      </c>
      <c r="AT54" s="272"/>
      <c r="AU54" s="348"/>
      <c r="BC54" s="272" t="s">
        <v>521</v>
      </c>
      <c r="BD54" s="348">
        <v>1136</v>
      </c>
      <c r="BE54" s="347" t="s">
        <v>522</v>
      </c>
    </row>
    <row r="55" s="52" customFormat="1" ht="15.75" customHeight="1" spans="1:57">
      <c r="A55" s="227"/>
      <c r="B55" s="332"/>
      <c r="C55" s="228"/>
      <c r="D55" s="333"/>
      <c r="E55" s="334"/>
      <c r="F55" s="229"/>
      <c r="G55" s="333"/>
      <c r="H55" s="335"/>
      <c r="I55" s="229"/>
      <c r="J55" s="229"/>
      <c r="K55" s="336"/>
      <c r="L55" s="337"/>
      <c r="M55" s="337"/>
      <c r="N55" s="337"/>
      <c r="O55" s="337"/>
      <c r="P55" s="337"/>
      <c r="Q55" s="338">
        <v>8455</v>
      </c>
      <c r="R55" s="271">
        <f t="shared" si="0"/>
        <v>0</v>
      </c>
      <c r="S55" s="339">
        <f t="shared" si="1"/>
        <v>0</v>
      </c>
      <c r="T55" s="340"/>
      <c r="U55" s="364">
        <f>SUMIF(其他!$A$9:$A$65,$Q55,其他!$E$9:$E$65)</f>
        <v>0</v>
      </c>
      <c r="V55" s="274"/>
      <c r="W55" s="342"/>
      <c r="X55" s="343"/>
      <c r="Y55" s="20" t="s">
        <v>572</v>
      </c>
      <c r="Z55" s="344"/>
      <c r="AA55" s="240"/>
      <c r="AB55" s="345">
        <v>1</v>
      </c>
      <c r="AC55" s="363"/>
      <c r="AD55" s="272"/>
      <c r="AE55" s="273"/>
      <c r="AF55" s="273"/>
      <c r="AG55" s="274"/>
      <c r="AH55" s="275"/>
      <c r="AI55" s="272"/>
      <c r="AJ55" s="276"/>
      <c r="AK55" s="277"/>
      <c r="AL55" s="278"/>
      <c r="AM55" s="277"/>
      <c r="AN55" s="279"/>
      <c r="AO55" s="279"/>
      <c r="AP55" s="279"/>
      <c r="AQ55" s="279"/>
      <c r="AR55" s="305">
        <f>'预算书-初步'!$F$10</f>
        <v>0.09</v>
      </c>
      <c r="AT55" s="272"/>
      <c r="AU55" s="348"/>
      <c r="BC55" s="272" t="s">
        <v>521</v>
      </c>
      <c r="BD55" s="348">
        <v>1136</v>
      </c>
      <c r="BE55" s="347" t="s">
        <v>522</v>
      </c>
    </row>
    <row r="56" s="52" customFormat="1" ht="15.75" customHeight="1" spans="1:57">
      <c r="A56" s="227"/>
      <c r="B56" s="332"/>
      <c r="C56" s="228"/>
      <c r="D56" s="333"/>
      <c r="E56" s="334"/>
      <c r="F56" s="229"/>
      <c r="G56" s="333"/>
      <c r="H56" s="335"/>
      <c r="I56" s="229"/>
      <c r="J56" s="229"/>
      <c r="K56" s="336"/>
      <c r="L56" s="337"/>
      <c r="M56" s="337"/>
      <c r="N56" s="337"/>
      <c r="O56" s="337"/>
      <c r="P56" s="337"/>
      <c r="Q56" s="366" t="s">
        <v>573</v>
      </c>
      <c r="R56" s="271">
        <f t="shared" si="0"/>
        <v>1236</v>
      </c>
      <c r="S56" s="367">
        <f t="shared" si="1"/>
        <v>0</v>
      </c>
      <c r="T56" s="368"/>
      <c r="U56" s="360">
        <f>+SUMIFS('预算书-初步'!P14:P2600,'预算书-初步'!A14:A2600,138,'预算书-初步'!C14:C2600,8454)+SUMIF(其他!$A$9:$A$65,$Q56,其他!$E$9:$E$65)</f>
        <v>1133.63</v>
      </c>
      <c r="V56" s="274"/>
      <c r="W56" s="356"/>
      <c r="X56" s="357"/>
      <c r="Y56" s="6" t="s">
        <v>574</v>
      </c>
      <c r="Z56" s="344"/>
      <c r="AA56" s="240"/>
      <c r="AB56" s="369">
        <f>SUMIFS(其他!F:F,其他!A:A,资产分摊表!Q56,其他!B:B,资产分摊表!BD56)+SUMIFS('预算书-初步'!K13:K1530,'预算书-初步'!A13:A1530,132,'预算书-初步'!D13:D1530,8454)</f>
        <v>0</v>
      </c>
      <c r="AC56" s="271"/>
      <c r="AD56" s="272"/>
      <c r="AE56" s="273"/>
      <c r="AF56" s="273"/>
      <c r="AG56" s="274"/>
      <c r="AH56" s="275"/>
      <c r="AI56" s="272"/>
      <c r="AJ56" s="276"/>
      <c r="AK56" s="277"/>
      <c r="AL56" s="278"/>
      <c r="AM56" s="277"/>
      <c r="AN56" s="279" t="str">
        <f t="shared" si="6"/>
        <v/>
      </c>
      <c r="AO56" s="279"/>
      <c r="AP56" s="279" t="str">
        <f t="shared" si="7"/>
        <v/>
      </c>
      <c r="AQ56" s="279"/>
      <c r="AR56" s="305">
        <f>'预算书-初步'!$F$10</f>
        <v>0.09</v>
      </c>
      <c r="AT56" s="272"/>
      <c r="BC56" s="272" t="s">
        <v>521</v>
      </c>
      <c r="BD56" s="359">
        <v>1136</v>
      </c>
      <c r="BE56" s="347" t="s">
        <v>522</v>
      </c>
    </row>
    <row r="57" s="52" customFormat="1" ht="15.75" customHeight="1" spans="1:57">
      <c r="A57" s="227"/>
      <c r="B57" s="332"/>
      <c r="C57" s="228"/>
      <c r="D57" s="333"/>
      <c r="E57" s="334"/>
      <c r="F57" s="229"/>
      <c r="G57" s="333"/>
      <c r="H57" s="335"/>
      <c r="I57" s="229"/>
      <c r="J57" s="229"/>
      <c r="K57" s="336"/>
      <c r="L57" s="337"/>
      <c r="M57" s="337"/>
      <c r="N57" s="337"/>
      <c r="O57" s="337"/>
      <c r="P57" s="337"/>
      <c r="Q57" s="366">
        <v>8456</v>
      </c>
      <c r="R57" s="271">
        <f t="shared" si="0"/>
        <v>1717</v>
      </c>
      <c r="S57" s="367">
        <f t="shared" si="1"/>
        <v>0</v>
      </c>
      <c r="T57" s="368"/>
      <c r="U57" s="360">
        <f>+SUMIFS('预算书-初步'!P14:P2600,'预算书-初步'!A14:A2600,138,'预算书-初步'!C14:C2600,8456)+SUMIF(其他!$A$9:$A$65,$Q57,其他!$E$9:$E$65)</f>
        <v>1575</v>
      </c>
      <c r="V57" s="274"/>
      <c r="W57" s="356"/>
      <c r="X57" s="357"/>
      <c r="Y57" s="6" t="s">
        <v>575</v>
      </c>
      <c r="Z57" s="344"/>
      <c r="AA57" s="240"/>
      <c r="AB57" s="369">
        <f>SUMIFS(其他!F:F,其他!A:A,资产分摊表!Q57,其他!B:B,资产分摊表!BD57)+SUMIFS('预算书-初步'!K13:K1530,'预算书-初步'!A13:A1530,132,'预算书-初步'!D13:D1530,8456)</f>
        <v>0</v>
      </c>
      <c r="AC57" s="271"/>
      <c r="AD57" s="272"/>
      <c r="AE57" s="273"/>
      <c r="AF57" s="273"/>
      <c r="AG57" s="274"/>
      <c r="AH57" s="275"/>
      <c r="AI57" s="272"/>
      <c r="AJ57" s="276"/>
      <c r="AK57" s="277"/>
      <c r="AL57" s="278"/>
      <c r="AM57" s="277"/>
      <c r="AN57" s="279" t="str">
        <f t="shared" si="6"/>
        <v/>
      </c>
      <c r="AO57" s="279"/>
      <c r="AP57" s="279" t="str">
        <f t="shared" si="7"/>
        <v/>
      </c>
      <c r="AQ57" s="279"/>
      <c r="AR57" s="305">
        <f>'预算书-初步'!$F$10</f>
        <v>0.09</v>
      </c>
      <c r="AT57" s="272"/>
      <c r="BC57" s="272" t="s">
        <v>521</v>
      </c>
      <c r="BD57" s="359">
        <v>1136</v>
      </c>
      <c r="BE57" s="347" t="s">
        <v>522</v>
      </c>
    </row>
    <row r="58" s="52" customFormat="1" ht="15.75" customHeight="1" spans="1:57">
      <c r="A58" s="227"/>
      <c r="B58" s="332"/>
      <c r="C58" s="228"/>
      <c r="D58" s="333"/>
      <c r="E58" s="334"/>
      <c r="F58" s="229"/>
      <c r="G58" s="333"/>
      <c r="H58" s="335"/>
      <c r="I58" s="229"/>
      <c r="J58" s="229"/>
      <c r="K58" s="336"/>
      <c r="L58" s="337"/>
      <c r="M58" s="337"/>
      <c r="N58" s="337"/>
      <c r="O58" s="337"/>
      <c r="P58" s="337"/>
      <c r="Q58" s="338">
        <v>8425</v>
      </c>
      <c r="R58" s="271">
        <f t="shared" si="0"/>
        <v>438</v>
      </c>
      <c r="S58" s="339">
        <f t="shared" si="1"/>
        <v>0</v>
      </c>
      <c r="T58" s="340"/>
      <c r="U58" s="341">
        <f>FA!H$151</f>
        <v>402</v>
      </c>
      <c r="V58" s="274"/>
      <c r="W58" s="342"/>
      <c r="X58" s="343"/>
      <c r="Y58" s="365" t="s">
        <v>576</v>
      </c>
      <c r="Z58" s="344"/>
      <c r="AA58" s="240"/>
      <c r="AB58" s="351">
        <f>SUMIFS(其他!F:F,其他!A:A,资产分摊表!Q58,其他!B:B,资产分摊表!BD58)+SUMIFS('预算书-初步'!K13:K1530,'预算书-初步'!A13:A1530,142,'预算书-初步'!D13:D1530,8425)</f>
        <v>0</v>
      </c>
      <c r="AC58" s="271"/>
      <c r="AD58" s="272"/>
      <c r="AE58" s="273"/>
      <c r="AF58" s="273"/>
      <c r="AG58" s="274"/>
      <c r="AH58" s="275"/>
      <c r="AI58" s="272"/>
      <c r="AJ58" s="276"/>
      <c r="AK58" s="277"/>
      <c r="AL58" s="278"/>
      <c r="AM58" s="277"/>
      <c r="AN58" s="279" t="str">
        <f t="shared" si="6"/>
        <v/>
      </c>
      <c r="AO58" s="279"/>
      <c r="AP58" s="279" t="str">
        <f t="shared" si="7"/>
        <v/>
      </c>
      <c r="AQ58" s="279"/>
      <c r="AR58" s="305">
        <f>'预算书-初步'!$F$10</f>
        <v>0.09</v>
      </c>
      <c r="AT58" s="272"/>
      <c r="BC58" s="272" t="s">
        <v>521</v>
      </c>
      <c r="BD58" s="348">
        <v>1140</v>
      </c>
      <c r="BE58" s="347" t="s">
        <v>522</v>
      </c>
    </row>
    <row r="59" s="52" customFormat="1" ht="15.75" customHeight="1" spans="1:57">
      <c r="A59" s="227"/>
      <c r="B59" s="332"/>
      <c r="C59" s="228"/>
      <c r="D59" s="333"/>
      <c r="E59" s="334"/>
      <c r="F59" s="229"/>
      <c r="G59" s="333"/>
      <c r="H59" s="335"/>
      <c r="I59" s="229"/>
      <c r="J59" s="229"/>
      <c r="K59" s="336"/>
      <c r="L59" s="337"/>
      <c r="M59" s="337"/>
      <c r="N59" s="337"/>
      <c r="O59" s="337"/>
      <c r="P59" s="337"/>
      <c r="Q59" s="338">
        <v>8491</v>
      </c>
      <c r="R59" s="271">
        <f t="shared" si="0"/>
        <v>15253</v>
      </c>
      <c r="S59" s="339">
        <f t="shared" si="1"/>
        <v>0</v>
      </c>
      <c r="T59" s="340"/>
      <c r="U59" s="341">
        <f>FA!H$153</f>
        <v>13993.68</v>
      </c>
      <c r="V59" s="274"/>
      <c r="W59" s="342"/>
      <c r="X59" s="343"/>
      <c r="Y59" s="6" t="s">
        <v>577</v>
      </c>
      <c r="Z59" s="344"/>
      <c r="AA59" s="240"/>
      <c r="AB59" s="361">
        <v>1</v>
      </c>
      <c r="AC59" s="271"/>
      <c r="AD59" s="272"/>
      <c r="AE59" s="273"/>
      <c r="AF59" s="273"/>
      <c r="AG59" s="274"/>
      <c r="AH59" s="275"/>
      <c r="AI59" s="272"/>
      <c r="AJ59" s="276"/>
      <c r="AK59" s="277"/>
      <c r="AL59" s="278"/>
      <c r="AM59" s="277"/>
      <c r="AN59" s="279" t="str">
        <f t="shared" si="6"/>
        <v/>
      </c>
      <c r="AO59" s="279"/>
      <c r="AP59" s="279" t="str">
        <f t="shared" si="7"/>
        <v/>
      </c>
      <c r="AQ59" s="279"/>
      <c r="AR59" s="305">
        <f>'预算书-初步'!$F$10</f>
        <v>0.09</v>
      </c>
      <c r="AT59" s="272"/>
      <c r="BC59" s="272" t="s">
        <v>521</v>
      </c>
      <c r="BD59" s="348">
        <v>1150</v>
      </c>
      <c r="BE59" s="347" t="s">
        <v>522</v>
      </c>
    </row>
    <row r="60" s="52" customFormat="1" ht="15.75" customHeight="1" spans="1:57">
      <c r="A60" s="227"/>
      <c r="B60" s="332"/>
      <c r="C60" s="228"/>
      <c r="D60" s="333"/>
      <c r="E60" s="334"/>
      <c r="F60" s="229"/>
      <c r="G60" s="333"/>
      <c r="H60" s="335"/>
      <c r="I60" s="229"/>
      <c r="J60" s="229"/>
      <c r="K60" s="336"/>
      <c r="L60" s="337"/>
      <c r="M60" s="337"/>
      <c r="N60" s="337"/>
      <c r="O60" s="337"/>
      <c r="P60" s="337"/>
      <c r="Q60" s="338">
        <v>8492</v>
      </c>
      <c r="R60" s="271">
        <f t="shared" si="0"/>
        <v>7512</v>
      </c>
      <c r="S60" s="339">
        <f t="shared" si="1"/>
        <v>0</v>
      </c>
      <c r="T60" s="340"/>
      <c r="U60" s="341">
        <f>FA!H$154</f>
        <v>6891.91</v>
      </c>
      <c r="V60" s="274"/>
      <c r="W60" s="342"/>
      <c r="X60" s="343"/>
      <c r="Y60" s="365" t="s">
        <v>578</v>
      </c>
      <c r="Z60" s="344"/>
      <c r="AA60" s="240"/>
      <c r="AB60" s="351">
        <f>SUMIFS(其他!F:F,其他!A:A,资产分摊表!Q60,其他!B:B,资产分摊表!BD60)+SUMIFS('预算书-初步'!K13:K1530,'预算书-初步'!A13:A1530,145,'预算书-初步'!D13:D1530,8492)</f>
        <v>0</v>
      </c>
      <c r="AC60" s="271"/>
      <c r="AD60" s="272"/>
      <c r="AE60" s="273"/>
      <c r="AF60" s="273"/>
      <c r="AG60" s="274"/>
      <c r="AH60" s="275"/>
      <c r="AI60" s="272"/>
      <c r="AJ60" s="276"/>
      <c r="AK60" s="277"/>
      <c r="AL60" s="278"/>
      <c r="AM60" s="277"/>
      <c r="AN60" s="279" t="str">
        <f t="shared" si="6"/>
        <v/>
      </c>
      <c r="AO60" s="279"/>
      <c r="AP60" s="279" t="str">
        <f t="shared" si="7"/>
        <v/>
      </c>
      <c r="AQ60" s="279"/>
      <c r="AR60" s="305">
        <f>'预算书-初步'!$F$10</f>
        <v>0.09</v>
      </c>
      <c r="AT60" s="272"/>
      <c r="BC60" s="272" t="s">
        <v>521</v>
      </c>
      <c r="BD60" s="348">
        <v>1151</v>
      </c>
      <c r="BE60" s="347" t="s">
        <v>522</v>
      </c>
    </row>
    <row r="61" s="52" customFormat="1" ht="15.75" customHeight="1" spans="1:57">
      <c r="A61" s="227"/>
      <c r="B61" s="332"/>
      <c r="C61" s="228"/>
      <c r="D61" s="333"/>
      <c r="E61" s="334"/>
      <c r="F61" s="229"/>
      <c r="G61" s="333"/>
      <c r="H61" s="335"/>
      <c r="I61" s="229"/>
      <c r="J61" s="229"/>
      <c r="K61" s="336"/>
      <c r="L61" s="337"/>
      <c r="M61" s="337"/>
      <c r="N61" s="337"/>
      <c r="O61" s="337"/>
      <c r="P61" s="337"/>
      <c r="Q61" s="338">
        <v>8485</v>
      </c>
      <c r="R61" s="271">
        <f t="shared" si="0"/>
        <v>8042</v>
      </c>
      <c r="S61" s="339">
        <f t="shared" si="1"/>
        <v>0</v>
      </c>
      <c r="T61" s="340"/>
      <c r="U61" s="341">
        <f>FA!H$157</f>
        <v>7377.65</v>
      </c>
      <c r="V61" s="274"/>
      <c r="W61" s="342"/>
      <c r="X61" s="343"/>
      <c r="Y61" s="349" t="s">
        <v>579</v>
      </c>
      <c r="Z61" s="344"/>
      <c r="AA61" s="240"/>
      <c r="AB61" s="351">
        <f>SUMIFS(其他!F:F,其他!A:A,资产分摊表!Q61,其他!B:B,资产分摊表!BD61)+SUMIFS('预算书-初步'!K13:K1530,'预算书-初步'!A13:A1530,148,'预算书-初步'!D13:D1530,8485)</f>
        <v>0</v>
      </c>
      <c r="AC61" s="271"/>
      <c r="AD61" s="272"/>
      <c r="AE61" s="273"/>
      <c r="AF61" s="273"/>
      <c r="AG61" s="274"/>
      <c r="AH61" s="275"/>
      <c r="AI61" s="272"/>
      <c r="AJ61" s="276"/>
      <c r="AK61" s="277"/>
      <c r="AL61" s="278"/>
      <c r="AM61" s="277"/>
      <c r="AN61" s="279" t="str">
        <f t="shared" si="6"/>
        <v/>
      </c>
      <c r="AO61" s="279"/>
      <c r="AP61" s="279" t="str">
        <f t="shared" si="7"/>
        <v/>
      </c>
      <c r="AQ61" s="279"/>
      <c r="AR61" s="305">
        <f>'预算书-初步'!$F$10</f>
        <v>0.09</v>
      </c>
      <c r="AT61" s="272"/>
      <c r="BC61" s="272" t="s">
        <v>521</v>
      </c>
      <c r="BD61" s="348">
        <v>1154</v>
      </c>
      <c r="BE61" s="347" t="s">
        <v>522</v>
      </c>
    </row>
    <row r="62" s="52" customFormat="1" ht="15.75" customHeight="1" spans="1:57">
      <c r="A62" s="227"/>
      <c r="B62" s="332"/>
      <c r="C62" s="228"/>
      <c r="D62" s="333"/>
      <c r="E62" s="334"/>
      <c r="F62" s="229"/>
      <c r="G62" s="333"/>
      <c r="H62" s="335"/>
      <c r="I62" s="229"/>
      <c r="J62" s="229"/>
      <c r="K62" s="336"/>
      <c r="L62" s="337"/>
      <c r="M62" s="337"/>
      <c r="N62" s="337"/>
      <c r="O62" s="337"/>
      <c r="P62" s="337"/>
      <c r="Q62" s="338">
        <v>8496</v>
      </c>
      <c r="R62" s="271">
        <f t="shared" si="0"/>
        <v>0</v>
      </c>
      <c r="S62" s="339">
        <f t="shared" si="1"/>
        <v>0</v>
      </c>
      <c r="T62" s="340"/>
      <c r="U62" s="341">
        <f>FA!H$158</f>
        <v>0</v>
      </c>
      <c r="V62" s="274"/>
      <c r="W62" s="342"/>
      <c r="X62" s="343"/>
      <c r="Y62" s="6" t="s">
        <v>580</v>
      </c>
      <c r="Z62" s="344"/>
      <c r="AA62" s="240"/>
      <c r="AB62" s="351">
        <f>SUMIFS(其他!F:F,其他!A:A,资产分摊表!Q62,其他!B:B,资产分摊表!BD62)+SUMIFS('预算书-初步'!K13:K1530,'预算书-初步'!A13:A1530,149,'预算书-初步'!D13:D1530,8496)</f>
        <v>0</v>
      </c>
      <c r="AC62" s="271"/>
      <c r="AD62" s="272"/>
      <c r="AE62" s="273"/>
      <c r="AF62" s="273"/>
      <c r="AG62" s="274"/>
      <c r="AH62" s="275"/>
      <c r="AI62" s="272"/>
      <c r="AJ62" s="276"/>
      <c r="AK62" s="277"/>
      <c r="AL62" s="278"/>
      <c r="AM62" s="277"/>
      <c r="AN62" s="279" t="str">
        <f t="shared" si="6"/>
        <v/>
      </c>
      <c r="AO62" s="279"/>
      <c r="AP62" s="279" t="str">
        <f t="shared" si="7"/>
        <v/>
      </c>
      <c r="AQ62" s="279"/>
      <c r="AR62" s="305">
        <f>'预算书-初步'!$F$10</f>
        <v>0.09</v>
      </c>
      <c r="AT62" s="272"/>
      <c r="BC62" s="272" t="s">
        <v>521</v>
      </c>
      <c r="BD62" s="348">
        <v>1155</v>
      </c>
      <c r="BE62" s="347" t="s">
        <v>522</v>
      </c>
    </row>
    <row r="63" s="52" customFormat="1" ht="15.75" customHeight="1" spans="1:57">
      <c r="A63" s="227"/>
      <c r="B63" s="332"/>
      <c r="C63" s="228"/>
      <c r="D63" s="333"/>
      <c r="E63" s="334"/>
      <c r="F63" s="229"/>
      <c r="G63" s="333"/>
      <c r="H63" s="335"/>
      <c r="I63" s="229"/>
      <c r="J63" s="229"/>
      <c r="K63" s="336"/>
      <c r="L63" s="337"/>
      <c r="M63" s="337"/>
      <c r="N63" s="337"/>
      <c r="O63" s="337"/>
      <c r="P63" s="337"/>
      <c r="Q63" s="338">
        <v>8497</v>
      </c>
      <c r="R63" s="271">
        <f t="shared" si="0"/>
        <v>0</v>
      </c>
      <c r="S63" s="339">
        <f t="shared" si="1"/>
        <v>0</v>
      </c>
      <c r="T63" s="340"/>
      <c r="U63" s="341">
        <f>FA!H$159</f>
        <v>0</v>
      </c>
      <c r="V63" s="274"/>
      <c r="W63" s="342"/>
      <c r="X63" s="343"/>
      <c r="Y63" s="349" t="s">
        <v>581</v>
      </c>
      <c r="Z63" s="344"/>
      <c r="AA63" s="240"/>
      <c r="AB63" s="361">
        <v>1</v>
      </c>
      <c r="AC63" s="271"/>
      <c r="AD63" s="272"/>
      <c r="AE63" s="273"/>
      <c r="AF63" s="273"/>
      <c r="AG63" s="274"/>
      <c r="AH63" s="275"/>
      <c r="AI63" s="272"/>
      <c r="AJ63" s="276"/>
      <c r="AK63" s="277"/>
      <c r="AL63" s="278"/>
      <c r="AM63" s="277"/>
      <c r="AN63" s="279" t="str">
        <f t="shared" si="6"/>
        <v/>
      </c>
      <c r="AO63" s="279"/>
      <c r="AP63" s="279" t="str">
        <f t="shared" si="7"/>
        <v/>
      </c>
      <c r="AQ63" s="279"/>
      <c r="AR63" s="305">
        <f>'预算书-初步'!$F$10</f>
        <v>0.09</v>
      </c>
      <c r="AT63" s="272"/>
      <c r="BC63" s="272" t="s">
        <v>521</v>
      </c>
      <c r="BD63" s="348">
        <v>1156</v>
      </c>
      <c r="BE63" s="347" t="s">
        <v>522</v>
      </c>
    </row>
    <row r="64" s="52" customFormat="1" ht="15.75" customHeight="1" spans="1:57">
      <c r="A64" s="227"/>
      <c r="B64" s="332"/>
      <c r="C64" s="228"/>
      <c r="D64" s="333"/>
      <c r="E64" s="334"/>
      <c r="F64" s="229"/>
      <c r="G64" s="333"/>
      <c r="H64" s="335"/>
      <c r="I64" s="229"/>
      <c r="J64" s="229"/>
      <c r="K64" s="336"/>
      <c r="L64" s="337"/>
      <c r="M64" s="337"/>
      <c r="N64" s="337"/>
      <c r="O64" s="337"/>
      <c r="P64" s="337"/>
      <c r="Q64" s="338">
        <v>8900</v>
      </c>
      <c r="R64" s="271">
        <f t="shared" si="0"/>
        <v>23</v>
      </c>
      <c r="S64" s="339">
        <f t="shared" si="1"/>
        <v>0</v>
      </c>
      <c r="T64" s="340"/>
      <c r="U64" s="341">
        <f>FA!H$161</f>
        <v>21</v>
      </c>
      <c r="V64" s="274"/>
      <c r="W64" s="342"/>
      <c r="X64" s="343"/>
      <c r="Y64" s="6" t="s">
        <v>582</v>
      </c>
      <c r="Z64" s="344"/>
      <c r="AA64" s="240"/>
      <c r="AB64" s="361">
        <v>1</v>
      </c>
      <c r="AC64" s="271"/>
      <c r="AD64" s="272"/>
      <c r="AE64" s="273"/>
      <c r="AF64" s="273"/>
      <c r="AG64" s="274"/>
      <c r="AH64" s="275"/>
      <c r="AI64" s="272"/>
      <c r="AJ64" s="276"/>
      <c r="AK64" s="277"/>
      <c r="AL64" s="278"/>
      <c r="AM64" s="277"/>
      <c r="AN64" s="279" t="str">
        <f t="shared" si="6"/>
        <v/>
      </c>
      <c r="AO64" s="279"/>
      <c r="AP64" s="279" t="str">
        <f t="shared" si="7"/>
        <v/>
      </c>
      <c r="AQ64" s="279"/>
      <c r="AR64" s="305">
        <f>'预算书-初步'!$F$10</f>
        <v>0.09</v>
      </c>
      <c r="AT64" s="272"/>
      <c r="BC64" s="272" t="s">
        <v>521</v>
      </c>
      <c r="BD64" s="348">
        <v>1158</v>
      </c>
      <c r="BE64" s="347" t="s">
        <v>522</v>
      </c>
    </row>
    <row r="65" s="52" customFormat="1" ht="15.75" customHeight="1" spans="1:57">
      <c r="A65" s="227"/>
      <c r="B65" s="332"/>
      <c r="C65" s="228"/>
      <c r="D65" s="333"/>
      <c r="E65" s="334"/>
      <c r="F65" s="229"/>
      <c r="G65" s="333"/>
      <c r="H65" s="335"/>
      <c r="I65" s="229"/>
      <c r="J65" s="229"/>
      <c r="K65" s="336"/>
      <c r="L65" s="337"/>
      <c r="M65" s="337"/>
      <c r="N65" s="337"/>
      <c r="O65" s="337"/>
      <c r="P65" s="337"/>
      <c r="Q65" s="338">
        <v>2991</v>
      </c>
      <c r="R65" s="271">
        <f t="shared" si="0"/>
        <v>4071</v>
      </c>
      <c r="S65" s="339">
        <f t="shared" si="1"/>
        <v>0</v>
      </c>
      <c r="T65" s="340"/>
      <c r="U65" s="341">
        <f>FA!H$165</f>
        <v>3735</v>
      </c>
      <c r="V65" s="274"/>
      <c r="W65" s="342"/>
      <c r="X65" s="343"/>
      <c r="Y65" s="6" t="s">
        <v>583</v>
      </c>
      <c r="Z65" s="344"/>
      <c r="AA65" s="240"/>
      <c r="AB65" s="361">
        <v>1</v>
      </c>
      <c r="AC65" s="271"/>
      <c r="AD65" s="272"/>
      <c r="AE65" s="273"/>
      <c r="AF65" s="273"/>
      <c r="AG65" s="274"/>
      <c r="AH65" s="275"/>
      <c r="AI65" s="272"/>
      <c r="AJ65" s="276"/>
      <c r="AK65" s="277"/>
      <c r="AL65" s="278"/>
      <c r="AM65" s="277"/>
      <c r="AN65" s="279" t="str">
        <f t="shared" si="6"/>
        <v/>
      </c>
      <c r="AO65" s="279"/>
      <c r="AP65" s="279" t="str">
        <f t="shared" si="7"/>
        <v/>
      </c>
      <c r="AQ65" s="279"/>
      <c r="AR65" s="305">
        <f>'预算书-初步'!$F$10</f>
        <v>0.09</v>
      </c>
      <c r="AT65" s="272"/>
      <c r="BC65" s="272" t="s">
        <v>521</v>
      </c>
      <c r="BD65" s="359">
        <v>1162</v>
      </c>
      <c r="BE65" s="347" t="s">
        <v>522</v>
      </c>
    </row>
    <row r="66" s="52" customFormat="1" ht="15.75" customHeight="1" spans="1:57">
      <c r="A66" s="227"/>
      <c r="B66" s="332"/>
      <c r="C66" s="228"/>
      <c r="D66" s="333"/>
      <c r="E66" s="334"/>
      <c r="F66" s="229"/>
      <c r="G66" s="333"/>
      <c r="H66" s="335"/>
      <c r="I66" s="229"/>
      <c r="J66" s="229"/>
      <c r="K66" s="336"/>
      <c r="L66" s="337"/>
      <c r="M66" s="337"/>
      <c r="N66" s="337"/>
      <c r="O66" s="337"/>
      <c r="P66" s="337"/>
      <c r="Q66" s="338">
        <v>4007</v>
      </c>
      <c r="R66" s="271">
        <f t="shared" si="0"/>
        <v>0</v>
      </c>
      <c r="S66" s="339">
        <f t="shared" si="1"/>
        <v>0</v>
      </c>
      <c r="T66" s="340"/>
      <c r="U66" s="341">
        <f>FA!H$174</f>
        <v>0</v>
      </c>
      <c r="V66" s="274"/>
      <c r="W66" s="342"/>
      <c r="X66" s="343"/>
      <c r="Y66" s="6" t="s">
        <v>584</v>
      </c>
      <c r="Z66" s="344"/>
      <c r="AA66" s="240"/>
      <c r="AB66" s="361">
        <v>1</v>
      </c>
      <c r="AC66" s="271"/>
      <c r="AD66" s="272"/>
      <c r="AE66" s="273"/>
      <c r="AF66" s="273"/>
      <c r="AG66" s="274"/>
      <c r="AH66" s="275"/>
      <c r="AI66" s="272"/>
      <c r="AJ66" s="276"/>
      <c r="AK66" s="277"/>
      <c r="AL66" s="278"/>
      <c r="AM66" s="277"/>
      <c r="AN66" s="279" t="str">
        <f t="shared" si="6"/>
        <v/>
      </c>
      <c r="AO66" s="279"/>
      <c r="AP66" s="279" t="str">
        <f t="shared" si="7"/>
        <v/>
      </c>
      <c r="AQ66" s="279"/>
      <c r="AR66" s="305">
        <f>'预算书-初步'!$F$10</f>
        <v>0.09</v>
      </c>
      <c r="AT66" s="272"/>
      <c r="BC66" s="272" t="s">
        <v>521</v>
      </c>
      <c r="BD66" s="348">
        <v>1171</v>
      </c>
      <c r="BE66" s="347" t="s">
        <v>522</v>
      </c>
    </row>
    <row r="67" s="52" customFormat="1" ht="15.75" customHeight="1" spans="1:57">
      <c r="A67" s="227"/>
      <c r="B67" s="332"/>
      <c r="C67" s="228"/>
      <c r="D67" s="333"/>
      <c r="E67" s="334"/>
      <c r="F67" s="229"/>
      <c r="G67" s="333"/>
      <c r="H67" s="335"/>
      <c r="I67" s="229"/>
      <c r="J67" s="229"/>
      <c r="K67" s="336"/>
      <c r="L67" s="337"/>
      <c r="M67" s="337"/>
      <c r="N67" s="337"/>
      <c r="O67" s="337"/>
      <c r="P67" s="337"/>
      <c r="Q67" s="338">
        <v>4081</v>
      </c>
      <c r="R67" s="271">
        <f t="shared" si="0"/>
        <v>0</v>
      </c>
      <c r="S67" s="339">
        <f t="shared" si="1"/>
        <v>0</v>
      </c>
      <c r="T67" s="340"/>
      <c r="U67" s="341">
        <f>FA!H$175</f>
        <v>0</v>
      </c>
      <c r="V67" s="274"/>
      <c r="W67" s="342"/>
      <c r="X67" s="343"/>
      <c r="Y67" s="349" t="s">
        <v>585</v>
      </c>
      <c r="Z67" s="344"/>
      <c r="AA67" s="240"/>
      <c r="AB67" s="361">
        <v>1</v>
      </c>
      <c r="AC67" s="271"/>
      <c r="AD67" s="272"/>
      <c r="AE67" s="273"/>
      <c r="AF67" s="273"/>
      <c r="AG67" s="274"/>
      <c r="AH67" s="275"/>
      <c r="AI67" s="272"/>
      <c r="AJ67" s="276"/>
      <c r="AK67" s="277"/>
      <c r="AL67" s="278"/>
      <c r="AM67" s="277"/>
      <c r="AN67" s="279" t="str">
        <f t="shared" si="6"/>
        <v/>
      </c>
      <c r="AO67" s="279"/>
      <c r="AP67" s="279" t="str">
        <f t="shared" si="7"/>
        <v/>
      </c>
      <c r="AQ67" s="279"/>
      <c r="AR67" s="305">
        <f>'预算书-初步'!$F$10</f>
        <v>0.09</v>
      </c>
      <c r="AT67" s="272"/>
      <c r="BC67" s="272" t="s">
        <v>521</v>
      </c>
      <c r="BD67" s="348">
        <v>1172</v>
      </c>
      <c r="BE67" s="347" t="s">
        <v>522</v>
      </c>
    </row>
    <row r="68" s="52" customFormat="1" ht="15.75" customHeight="1" spans="1:57">
      <c r="A68" s="227"/>
      <c r="B68" s="332"/>
      <c r="C68" s="228"/>
      <c r="D68" s="333"/>
      <c r="E68" s="334"/>
      <c r="F68" s="229"/>
      <c r="G68" s="333"/>
      <c r="H68" s="335"/>
      <c r="I68" s="229"/>
      <c r="J68" s="229"/>
      <c r="K68" s="336"/>
      <c r="L68" s="337"/>
      <c r="M68" s="337"/>
      <c r="N68" s="337"/>
      <c r="O68" s="337"/>
      <c r="P68" s="337"/>
      <c r="Q68" s="338">
        <v>4991</v>
      </c>
      <c r="R68" s="271">
        <f t="shared" si="0"/>
        <v>318</v>
      </c>
      <c r="S68" s="339">
        <f t="shared" si="1"/>
        <v>0</v>
      </c>
      <c r="T68" s="340"/>
      <c r="U68" s="341">
        <f>FA!H$176</f>
        <v>291.48</v>
      </c>
      <c r="V68" s="274"/>
      <c r="W68" s="342"/>
      <c r="X68" s="343"/>
      <c r="Y68" s="6" t="s">
        <v>586</v>
      </c>
      <c r="Z68" s="344"/>
      <c r="AA68" s="240"/>
      <c r="AB68" s="361">
        <v>1</v>
      </c>
      <c r="AC68" s="271"/>
      <c r="AD68" s="272"/>
      <c r="AE68" s="273"/>
      <c r="AF68" s="273"/>
      <c r="AG68" s="274"/>
      <c r="AH68" s="275"/>
      <c r="AI68" s="272"/>
      <c r="AJ68" s="276"/>
      <c r="AK68" s="277"/>
      <c r="AL68" s="278"/>
      <c r="AM68" s="277"/>
      <c r="AN68" s="279" t="str">
        <f t="shared" si="6"/>
        <v/>
      </c>
      <c r="AO68" s="279"/>
      <c r="AP68" s="279" t="str">
        <f t="shared" si="7"/>
        <v/>
      </c>
      <c r="AQ68" s="279"/>
      <c r="AR68" s="305">
        <f>'预算书-初步'!$F$10</f>
        <v>0.09</v>
      </c>
      <c r="AT68" s="272"/>
      <c r="BC68" s="272" t="s">
        <v>521</v>
      </c>
      <c r="BD68" s="348">
        <v>1173</v>
      </c>
      <c r="BE68" s="347" t="s">
        <v>522</v>
      </c>
    </row>
    <row r="69" s="52" customFormat="1" ht="15.75" customHeight="1" spans="1:57">
      <c r="A69" s="227"/>
      <c r="B69" s="332"/>
      <c r="C69" s="228"/>
      <c r="D69" s="333"/>
      <c r="E69" s="334"/>
      <c r="F69" s="229"/>
      <c r="G69" s="333"/>
      <c r="H69" s="335"/>
      <c r="I69" s="229"/>
      <c r="J69" s="229"/>
      <c r="K69" s="336"/>
      <c r="L69" s="337"/>
      <c r="M69" s="337"/>
      <c r="N69" s="337"/>
      <c r="O69" s="337"/>
      <c r="P69" s="337"/>
      <c r="Q69" s="27">
        <v>1110</v>
      </c>
      <c r="R69" s="271">
        <f t="shared" si="0"/>
        <v>0</v>
      </c>
      <c r="S69" s="339">
        <f t="shared" si="1"/>
        <v>0</v>
      </c>
      <c r="T69" s="370"/>
      <c r="U69" s="370">
        <f>FA!H$30</f>
        <v>0</v>
      </c>
      <c r="V69" s="274"/>
      <c r="W69" s="371"/>
      <c r="X69" s="276"/>
      <c r="Y69" s="28" t="s">
        <v>587</v>
      </c>
      <c r="Z69" s="344"/>
      <c r="AA69" s="240"/>
      <c r="AB69" s="345">
        <v>1</v>
      </c>
      <c r="AC69" s="271"/>
      <c r="AD69" s="272"/>
      <c r="AE69" s="273"/>
      <c r="AF69" s="273"/>
      <c r="AG69" s="274"/>
      <c r="AH69" s="275"/>
      <c r="AI69" s="272"/>
      <c r="AJ69" s="276"/>
      <c r="AK69" s="277"/>
      <c r="AL69" s="278"/>
      <c r="AM69" s="277"/>
      <c r="AN69" s="279" t="str">
        <f t="shared" si="6"/>
        <v/>
      </c>
      <c r="AO69" s="279"/>
      <c r="AP69" s="279" t="str">
        <f t="shared" si="7"/>
        <v/>
      </c>
      <c r="AQ69" s="279"/>
      <c r="AR69" s="305">
        <f>'预算书-初步'!$F$10</f>
        <v>0.09</v>
      </c>
      <c r="AT69" s="272"/>
      <c r="BC69" s="272" t="s">
        <v>521</v>
      </c>
      <c r="BD69" s="348">
        <v>1019</v>
      </c>
      <c r="BE69" s="347" t="s">
        <v>522</v>
      </c>
    </row>
    <row r="70" s="52" customFormat="1" ht="15.75" customHeight="1" spans="1:57">
      <c r="A70" s="227"/>
      <c r="B70" s="332"/>
      <c r="C70" s="228"/>
      <c r="D70" s="333"/>
      <c r="E70" s="334"/>
      <c r="F70" s="229"/>
      <c r="G70" s="333"/>
      <c r="H70" s="335"/>
      <c r="I70" s="229"/>
      <c r="J70" s="229"/>
      <c r="K70" s="336"/>
      <c r="L70" s="337"/>
      <c r="M70" s="337"/>
      <c r="N70" s="337"/>
      <c r="O70" s="337"/>
      <c r="P70" s="337"/>
      <c r="Q70" s="27">
        <v>1110</v>
      </c>
      <c r="R70" s="271">
        <f t="shared" ref="R70:R133" si="8">ROUND(U70*(1+AR70),0)</f>
        <v>0</v>
      </c>
      <c r="S70" s="339">
        <f t="shared" si="1"/>
        <v>0</v>
      </c>
      <c r="T70" s="370"/>
      <c r="U70" s="370">
        <f>FA!H$31</f>
        <v>0</v>
      </c>
      <c r="V70" s="274"/>
      <c r="W70" s="371"/>
      <c r="X70" s="276"/>
      <c r="Y70" s="28" t="s">
        <v>587</v>
      </c>
      <c r="Z70" s="344"/>
      <c r="AA70" s="240"/>
      <c r="AB70" s="345">
        <v>1</v>
      </c>
      <c r="AC70" s="271"/>
      <c r="AD70" s="272"/>
      <c r="AE70" s="273"/>
      <c r="AF70" s="273"/>
      <c r="AG70" s="274"/>
      <c r="AH70" s="275"/>
      <c r="AI70" s="272"/>
      <c r="AJ70" s="276"/>
      <c r="AK70" s="277"/>
      <c r="AL70" s="278"/>
      <c r="AM70" s="277"/>
      <c r="AN70" s="279"/>
      <c r="AO70" s="279"/>
      <c r="AP70" s="279"/>
      <c r="AQ70" s="279"/>
      <c r="AR70" s="305">
        <f>'预算书-初步'!$F$10</f>
        <v>0.09</v>
      </c>
      <c r="AT70" s="272"/>
      <c r="BC70" s="272" t="s">
        <v>521</v>
      </c>
      <c r="BD70" s="348">
        <v>1020</v>
      </c>
      <c r="BE70" s="347" t="s">
        <v>522</v>
      </c>
    </row>
    <row r="71" s="52" customFormat="1" ht="15.75" customHeight="1" spans="1:57">
      <c r="A71" s="227"/>
      <c r="B71" s="332"/>
      <c r="C71" s="228"/>
      <c r="D71" s="333"/>
      <c r="E71" s="334"/>
      <c r="F71" s="229"/>
      <c r="G71" s="333"/>
      <c r="H71" s="335"/>
      <c r="I71" s="229"/>
      <c r="J71" s="229"/>
      <c r="K71" s="336"/>
      <c r="L71" s="337"/>
      <c r="M71" s="337"/>
      <c r="N71" s="337"/>
      <c r="O71" s="337"/>
      <c r="P71" s="337"/>
      <c r="Q71" s="372">
        <v>1120</v>
      </c>
      <c r="R71" s="271">
        <f t="shared" si="8"/>
        <v>0</v>
      </c>
      <c r="S71" s="339">
        <f t="shared" si="1"/>
        <v>0</v>
      </c>
      <c r="T71" s="373"/>
      <c r="U71" s="373">
        <f>FA!H$32</f>
        <v>0</v>
      </c>
      <c r="V71" s="274"/>
      <c r="W71" s="374"/>
      <c r="X71" s="375"/>
      <c r="Y71" s="30" t="s">
        <v>588</v>
      </c>
      <c r="Z71" s="376"/>
      <c r="AA71" s="240"/>
      <c r="AB71" s="345">
        <v>1</v>
      </c>
      <c r="AC71" s="271"/>
      <c r="AD71" s="272"/>
      <c r="AE71" s="273"/>
      <c r="AF71" s="273"/>
      <c r="AG71" s="274"/>
      <c r="AH71" s="275"/>
      <c r="AI71" s="272"/>
      <c r="AJ71" s="276"/>
      <c r="AK71" s="277"/>
      <c r="AL71" s="278"/>
      <c r="AM71" s="277"/>
      <c r="AN71" s="279" t="str">
        <f t="shared" si="6"/>
        <v/>
      </c>
      <c r="AO71" s="279"/>
      <c r="AP71" s="279" t="str">
        <f t="shared" ref="AP71:AP96" si="9">IF(F71&lt;&gt;0,"Y","")</f>
        <v/>
      </c>
      <c r="AQ71" s="279"/>
      <c r="AR71" s="305">
        <f>'预算书-初步'!$F$10</f>
        <v>0.09</v>
      </c>
      <c r="AT71" s="272"/>
      <c r="BC71" s="272" t="s">
        <v>521</v>
      </c>
      <c r="BD71" s="346">
        <v>1021</v>
      </c>
      <c r="BE71" s="347" t="s">
        <v>522</v>
      </c>
    </row>
    <row r="72" s="52" customFormat="1" ht="15.75" customHeight="1" spans="1:57">
      <c r="A72" s="227"/>
      <c r="B72" s="332"/>
      <c r="C72" s="228"/>
      <c r="D72" s="333"/>
      <c r="E72" s="334"/>
      <c r="F72" s="229"/>
      <c r="G72" s="333"/>
      <c r="H72" s="335"/>
      <c r="I72" s="229"/>
      <c r="J72" s="229"/>
      <c r="K72" s="336"/>
      <c r="L72" s="337"/>
      <c r="M72" s="337"/>
      <c r="N72" s="337"/>
      <c r="O72" s="337"/>
      <c r="P72" s="337"/>
      <c r="Q72" s="372">
        <v>1130</v>
      </c>
      <c r="R72" s="271">
        <f t="shared" si="8"/>
        <v>0</v>
      </c>
      <c r="S72" s="339">
        <f t="shared" si="1"/>
        <v>0</v>
      </c>
      <c r="T72" s="373"/>
      <c r="U72" s="373">
        <f>FA!H$33</f>
        <v>0</v>
      </c>
      <c r="V72" s="274"/>
      <c r="W72" s="374"/>
      <c r="X72" s="375"/>
      <c r="Y72" s="30" t="s">
        <v>589</v>
      </c>
      <c r="Z72" s="376"/>
      <c r="AA72" s="240"/>
      <c r="AB72" s="345">
        <v>1</v>
      </c>
      <c r="AC72" s="271"/>
      <c r="AD72" s="272"/>
      <c r="AE72" s="273"/>
      <c r="AF72" s="273"/>
      <c r="AG72" s="274"/>
      <c r="AH72" s="275"/>
      <c r="AI72" s="272"/>
      <c r="AJ72" s="276"/>
      <c r="AK72" s="277"/>
      <c r="AL72" s="278"/>
      <c r="AM72" s="277"/>
      <c r="AN72" s="279" t="str">
        <f t="shared" si="6"/>
        <v/>
      </c>
      <c r="AO72" s="279"/>
      <c r="AP72" s="279" t="str">
        <f t="shared" si="9"/>
        <v/>
      </c>
      <c r="AQ72" s="279"/>
      <c r="AR72" s="305">
        <f>'预算书-初步'!$F$10</f>
        <v>0.09</v>
      </c>
      <c r="AT72" s="272"/>
      <c r="BC72" s="272" t="s">
        <v>521</v>
      </c>
      <c r="BD72" s="346">
        <v>1022</v>
      </c>
      <c r="BE72" s="347" t="s">
        <v>522</v>
      </c>
    </row>
    <row r="73" s="52" customFormat="1" ht="15.75" customHeight="1" spans="1:57">
      <c r="A73" s="227"/>
      <c r="B73" s="332"/>
      <c r="C73" s="228"/>
      <c r="D73" s="333"/>
      <c r="E73" s="334"/>
      <c r="F73" s="229"/>
      <c r="G73" s="333"/>
      <c r="H73" s="335"/>
      <c r="I73" s="229"/>
      <c r="J73" s="229"/>
      <c r="K73" s="336"/>
      <c r="L73" s="337"/>
      <c r="M73" s="337"/>
      <c r="N73" s="337"/>
      <c r="O73" s="337"/>
      <c r="P73" s="337"/>
      <c r="Q73" s="372">
        <v>1210</v>
      </c>
      <c r="R73" s="271">
        <f t="shared" si="8"/>
        <v>0</v>
      </c>
      <c r="S73" s="339">
        <f t="shared" si="1"/>
        <v>0</v>
      </c>
      <c r="T73" s="373"/>
      <c r="U73" s="373">
        <f>FA!H$35</f>
        <v>0</v>
      </c>
      <c r="V73" s="274"/>
      <c r="W73" s="374"/>
      <c r="X73" s="375"/>
      <c r="Y73" s="30" t="s">
        <v>590</v>
      </c>
      <c r="Z73" s="376"/>
      <c r="AA73" s="240"/>
      <c r="AB73" s="345">
        <v>1</v>
      </c>
      <c r="AC73" s="271"/>
      <c r="AD73" s="272"/>
      <c r="AE73" s="273"/>
      <c r="AF73" s="273"/>
      <c r="AG73" s="274"/>
      <c r="AH73" s="275"/>
      <c r="AI73" s="272"/>
      <c r="AJ73" s="276"/>
      <c r="AK73" s="277"/>
      <c r="AL73" s="278"/>
      <c r="AM73" s="277"/>
      <c r="AN73" s="279" t="str">
        <f t="shared" si="6"/>
        <v/>
      </c>
      <c r="AO73" s="279"/>
      <c r="AP73" s="279" t="str">
        <f t="shared" si="9"/>
        <v/>
      </c>
      <c r="AQ73" s="279"/>
      <c r="AR73" s="305">
        <f>'预算书-初步'!$F$10</f>
        <v>0.09</v>
      </c>
      <c r="AT73" s="272"/>
      <c r="BC73" s="272" t="s">
        <v>521</v>
      </c>
      <c r="BD73" s="346">
        <v>1024</v>
      </c>
      <c r="BE73" s="347" t="s">
        <v>522</v>
      </c>
    </row>
    <row r="74" s="52" customFormat="1" ht="15.75" customHeight="1" spans="1:57">
      <c r="A74" s="227"/>
      <c r="B74" s="332"/>
      <c r="C74" s="228"/>
      <c r="D74" s="333"/>
      <c r="E74" s="334"/>
      <c r="F74" s="229"/>
      <c r="G74" s="333"/>
      <c r="H74" s="335"/>
      <c r="I74" s="229"/>
      <c r="J74" s="229"/>
      <c r="K74" s="336"/>
      <c r="L74" s="337"/>
      <c r="M74" s="337"/>
      <c r="N74" s="337"/>
      <c r="O74" s="337"/>
      <c r="P74" s="337"/>
      <c r="Q74" s="372">
        <v>1311</v>
      </c>
      <c r="R74" s="271">
        <f t="shared" si="8"/>
        <v>0</v>
      </c>
      <c r="S74" s="339">
        <f t="shared" si="1"/>
        <v>0</v>
      </c>
      <c r="T74" s="373"/>
      <c r="U74" s="373">
        <f>FA!H$39</f>
        <v>0</v>
      </c>
      <c r="V74" s="274"/>
      <c r="W74" s="374"/>
      <c r="X74" s="375"/>
      <c r="Y74" s="30" t="s">
        <v>591</v>
      </c>
      <c r="Z74" s="376"/>
      <c r="AA74" s="240"/>
      <c r="AB74" s="345">
        <v>1</v>
      </c>
      <c r="AC74" s="271"/>
      <c r="AD74" s="272"/>
      <c r="AE74" s="273"/>
      <c r="AF74" s="273"/>
      <c r="AG74" s="274"/>
      <c r="AH74" s="275"/>
      <c r="AI74" s="272"/>
      <c r="AJ74" s="276"/>
      <c r="AK74" s="277"/>
      <c r="AL74" s="278"/>
      <c r="AM74" s="277"/>
      <c r="AN74" s="279" t="str">
        <f t="shared" si="6"/>
        <v/>
      </c>
      <c r="AO74" s="279"/>
      <c r="AP74" s="279" t="str">
        <f t="shared" si="9"/>
        <v/>
      </c>
      <c r="AQ74" s="279"/>
      <c r="AR74" s="305">
        <f>'预算书-初步'!$F$10</f>
        <v>0.09</v>
      </c>
      <c r="AT74" s="272"/>
      <c r="BC74" s="272" t="s">
        <v>521</v>
      </c>
      <c r="BD74" s="346">
        <v>1028</v>
      </c>
      <c r="BE74" s="347" t="s">
        <v>522</v>
      </c>
    </row>
    <row r="75" s="52" customFormat="1" ht="15.75" customHeight="1" spans="1:57">
      <c r="A75" s="227"/>
      <c r="B75" s="332"/>
      <c r="C75" s="228"/>
      <c r="D75" s="333"/>
      <c r="E75" s="334"/>
      <c r="F75" s="229"/>
      <c r="G75" s="333"/>
      <c r="H75" s="335"/>
      <c r="I75" s="229"/>
      <c r="J75" s="229"/>
      <c r="K75" s="336"/>
      <c r="L75" s="337"/>
      <c r="M75" s="337"/>
      <c r="N75" s="337"/>
      <c r="O75" s="337"/>
      <c r="P75" s="337"/>
      <c r="Q75" s="372">
        <v>1312</v>
      </c>
      <c r="R75" s="271">
        <f t="shared" si="8"/>
        <v>0</v>
      </c>
      <c r="S75" s="339">
        <f t="shared" si="1"/>
        <v>0</v>
      </c>
      <c r="T75" s="373"/>
      <c r="U75" s="373">
        <f>FA!H$40</f>
        <v>0</v>
      </c>
      <c r="V75" s="274"/>
      <c r="W75" s="374"/>
      <c r="X75" s="375"/>
      <c r="Y75" s="30" t="s">
        <v>592</v>
      </c>
      <c r="Z75" s="376"/>
      <c r="AA75" s="240"/>
      <c r="AB75" s="345">
        <v>1</v>
      </c>
      <c r="AC75" s="271"/>
      <c r="AD75" s="272"/>
      <c r="AE75" s="273"/>
      <c r="AF75" s="273"/>
      <c r="AG75" s="274"/>
      <c r="AH75" s="275"/>
      <c r="AI75" s="272"/>
      <c r="AJ75" s="276"/>
      <c r="AK75" s="277"/>
      <c r="AL75" s="278"/>
      <c r="AM75" s="277"/>
      <c r="AN75" s="279" t="str">
        <f t="shared" si="6"/>
        <v/>
      </c>
      <c r="AO75" s="279"/>
      <c r="AP75" s="279" t="str">
        <f t="shared" si="9"/>
        <v/>
      </c>
      <c r="AQ75" s="279"/>
      <c r="AR75" s="305">
        <f>'预算书-初步'!$F$10</f>
        <v>0.09</v>
      </c>
      <c r="AT75" s="272"/>
      <c r="BC75" s="272" t="s">
        <v>521</v>
      </c>
      <c r="BD75" s="346">
        <v>1029</v>
      </c>
      <c r="BE75" s="347" t="s">
        <v>522</v>
      </c>
    </row>
    <row r="76" s="52" customFormat="1" ht="15.75" customHeight="1" spans="1:57">
      <c r="A76" s="227"/>
      <c r="B76" s="332"/>
      <c r="C76" s="228"/>
      <c r="D76" s="333"/>
      <c r="E76" s="334"/>
      <c r="F76" s="229"/>
      <c r="G76" s="333"/>
      <c r="H76" s="335"/>
      <c r="I76" s="229"/>
      <c r="J76" s="229"/>
      <c r="K76" s="336"/>
      <c r="L76" s="337"/>
      <c r="M76" s="337"/>
      <c r="N76" s="337"/>
      <c r="O76" s="337"/>
      <c r="P76" s="337"/>
      <c r="Q76" s="372">
        <v>1313</v>
      </c>
      <c r="R76" s="271">
        <f t="shared" si="8"/>
        <v>0</v>
      </c>
      <c r="S76" s="339">
        <f t="shared" ref="S76:S164" si="10">$S$5</f>
        <v>0</v>
      </c>
      <c r="T76" s="373"/>
      <c r="U76" s="373">
        <f>FA!H$41</f>
        <v>0</v>
      </c>
      <c r="V76" s="274"/>
      <c r="W76" s="374"/>
      <c r="X76" s="375"/>
      <c r="Y76" s="30" t="s">
        <v>593</v>
      </c>
      <c r="Z76" s="376"/>
      <c r="AA76" s="240"/>
      <c r="AB76" s="345">
        <v>1</v>
      </c>
      <c r="AC76" s="271"/>
      <c r="AD76" s="272"/>
      <c r="AE76" s="273"/>
      <c r="AF76" s="273"/>
      <c r="AG76" s="274"/>
      <c r="AH76" s="275"/>
      <c r="AI76" s="272"/>
      <c r="AJ76" s="276"/>
      <c r="AK76" s="277"/>
      <c r="AL76" s="278"/>
      <c r="AM76" s="277"/>
      <c r="AN76" s="279" t="str">
        <f t="shared" si="6"/>
        <v/>
      </c>
      <c r="AO76" s="279"/>
      <c r="AP76" s="279" t="str">
        <f t="shared" si="9"/>
        <v/>
      </c>
      <c r="AQ76" s="279"/>
      <c r="AR76" s="305">
        <f>'预算书-初步'!$F$10</f>
        <v>0.09</v>
      </c>
      <c r="AT76" s="272"/>
      <c r="BC76" s="272" t="s">
        <v>521</v>
      </c>
      <c r="BD76" s="346">
        <v>1030</v>
      </c>
      <c r="BE76" s="347" t="s">
        <v>522</v>
      </c>
    </row>
    <row r="77" s="52" customFormat="1" ht="15.75" customHeight="1" spans="1:57">
      <c r="A77" s="227"/>
      <c r="B77" s="332"/>
      <c r="C77" s="228"/>
      <c r="D77" s="333"/>
      <c r="E77" s="334"/>
      <c r="F77" s="229"/>
      <c r="G77" s="333"/>
      <c r="H77" s="335"/>
      <c r="I77" s="229"/>
      <c r="J77" s="229"/>
      <c r="K77" s="336"/>
      <c r="L77" s="337"/>
      <c r="M77" s="337"/>
      <c r="N77" s="337"/>
      <c r="O77" s="337"/>
      <c r="P77" s="337"/>
      <c r="Q77" s="372">
        <v>1330</v>
      </c>
      <c r="R77" s="271">
        <f t="shared" si="8"/>
        <v>0</v>
      </c>
      <c r="S77" s="339">
        <f t="shared" si="10"/>
        <v>0</v>
      </c>
      <c r="T77" s="373"/>
      <c r="U77" s="373">
        <f>FA!H$44</f>
        <v>0</v>
      </c>
      <c r="V77" s="274"/>
      <c r="W77" s="374"/>
      <c r="X77" s="375"/>
      <c r="Y77" s="30" t="s">
        <v>594</v>
      </c>
      <c r="Z77" s="376"/>
      <c r="AA77" s="240"/>
      <c r="AB77" s="345">
        <v>1</v>
      </c>
      <c r="AC77" s="271"/>
      <c r="AD77" s="272"/>
      <c r="AE77" s="273"/>
      <c r="AF77" s="273"/>
      <c r="AG77" s="274"/>
      <c r="AH77" s="275"/>
      <c r="AI77" s="272"/>
      <c r="AJ77" s="276"/>
      <c r="AK77" s="277"/>
      <c r="AL77" s="278"/>
      <c r="AM77" s="277"/>
      <c r="AN77" s="279" t="str">
        <f t="shared" si="6"/>
        <v/>
      </c>
      <c r="AO77" s="279"/>
      <c r="AP77" s="279" t="str">
        <f t="shared" si="9"/>
        <v/>
      </c>
      <c r="AQ77" s="279"/>
      <c r="AR77" s="305">
        <f>'预算书-初步'!$F$10</f>
        <v>0.09</v>
      </c>
      <c r="AT77" s="272"/>
      <c r="BC77" s="272" t="s">
        <v>521</v>
      </c>
      <c r="BD77" s="346">
        <v>1033</v>
      </c>
      <c r="BE77" s="347" t="s">
        <v>522</v>
      </c>
    </row>
    <row r="78" s="52" customFormat="1" ht="15.75" customHeight="1" spans="1:57">
      <c r="A78" s="227"/>
      <c r="B78" s="332"/>
      <c r="C78" s="228"/>
      <c r="D78" s="333"/>
      <c r="E78" s="334"/>
      <c r="F78" s="229"/>
      <c r="G78" s="333"/>
      <c r="H78" s="335"/>
      <c r="I78" s="229"/>
      <c r="J78" s="229"/>
      <c r="K78" s="336"/>
      <c r="L78" s="337"/>
      <c r="M78" s="337"/>
      <c r="N78" s="337"/>
      <c r="O78" s="337"/>
      <c r="P78" s="337"/>
      <c r="Q78" s="372">
        <v>1340</v>
      </c>
      <c r="R78" s="271">
        <f t="shared" si="8"/>
        <v>0</v>
      </c>
      <c r="S78" s="339">
        <f t="shared" si="10"/>
        <v>0</v>
      </c>
      <c r="T78" s="373"/>
      <c r="U78" s="373">
        <f>FA!H$45</f>
        <v>0</v>
      </c>
      <c r="V78" s="274"/>
      <c r="W78" s="374"/>
      <c r="X78" s="375"/>
      <c r="Y78" s="30" t="s">
        <v>595</v>
      </c>
      <c r="Z78" s="376"/>
      <c r="AA78" s="240"/>
      <c r="AB78" s="345">
        <v>1</v>
      </c>
      <c r="AC78" s="271"/>
      <c r="AD78" s="272"/>
      <c r="AE78" s="273"/>
      <c r="AF78" s="273"/>
      <c r="AG78" s="274"/>
      <c r="AH78" s="275"/>
      <c r="AI78" s="272"/>
      <c r="AJ78" s="276"/>
      <c r="AK78" s="277"/>
      <c r="AL78" s="278"/>
      <c r="AM78" s="277"/>
      <c r="AN78" s="279" t="str">
        <f t="shared" si="6"/>
        <v/>
      </c>
      <c r="AO78" s="279"/>
      <c r="AP78" s="279" t="str">
        <f t="shared" si="9"/>
        <v/>
      </c>
      <c r="AQ78" s="279"/>
      <c r="AR78" s="305">
        <f>'预算书-初步'!$F$10</f>
        <v>0.09</v>
      </c>
      <c r="AT78" s="272"/>
      <c r="BC78" s="272" t="s">
        <v>521</v>
      </c>
      <c r="BD78" s="346">
        <v>1034</v>
      </c>
      <c r="BE78" s="347" t="s">
        <v>522</v>
      </c>
    </row>
    <row r="79" s="52" customFormat="1" ht="15.75" customHeight="1" spans="1:57">
      <c r="A79" s="227"/>
      <c r="B79" s="332"/>
      <c r="C79" s="228"/>
      <c r="D79" s="333"/>
      <c r="E79" s="334"/>
      <c r="F79" s="229"/>
      <c r="G79" s="333"/>
      <c r="H79" s="335"/>
      <c r="I79" s="229"/>
      <c r="J79" s="229"/>
      <c r="K79" s="336"/>
      <c r="L79" s="337"/>
      <c r="M79" s="337"/>
      <c r="N79" s="337"/>
      <c r="O79" s="337"/>
      <c r="P79" s="337"/>
      <c r="Q79" s="372">
        <v>1430</v>
      </c>
      <c r="R79" s="271">
        <f t="shared" si="8"/>
        <v>0</v>
      </c>
      <c r="S79" s="339">
        <f t="shared" si="10"/>
        <v>0</v>
      </c>
      <c r="T79" s="373"/>
      <c r="U79" s="373">
        <f>FA!H$51</f>
        <v>0</v>
      </c>
      <c r="V79" s="274"/>
      <c r="W79" s="374"/>
      <c r="X79" s="375"/>
      <c r="Y79" s="30" t="s">
        <v>596</v>
      </c>
      <c r="Z79" s="376"/>
      <c r="AA79" s="240"/>
      <c r="AB79" s="345">
        <v>1</v>
      </c>
      <c r="AC79" s="271"/>
      <c r="AD79" s="272"/>
      <c r="AE79" s="273"/>
      <c r="AF79" s="273"/>
      <c r="AG79" s="274"/>
      <c r="AH79" s="275"/>
      <c r="AI79" s="272"/>
      <c r="AJ79" s="276"/>
      <c r="AK79" s="277"/>
      <c r="AL79" s="278"/>
      <c r="AM79" s="277"/>
      <c r="AN79" s="279" t="str">
        <f t="shared" si="6"/>
        <v/>
      </c>
      <c r="AO79" s="279"/>
      <c r="AP79" s="279" t="str">
        <f t="shared" si="9"/>
        <v/>
      </c>
      <c r="AQ79" s="279"/>
      <c r="AR79" s="305">
        <f>'预算书-初步'!$F$10</f>
        <v>0.09</v>
      </c>
      <c r="AT79" s="272"/>
      <c r="BC79" s="272" t="s">
        <v>521</v>
      </c>
      <c r="BD79" s="346">
        <v>1040</v>
      </c>
      <c r="BE79" s="347" t="s">
        <v>522</v>
      </c>
    </row>
    <row r="80" s="52" customFormat="1" ht="15.75" customHeight="1" spans="1:57">
      <c r="A80" s="227"/>
      <c r="B80" s="332"/>
      <c r="C80" s="228"/>
      <c r="D80" s="333"/>
      <c r="E80" s="334"/>
      <c r="F80" s="229"/>
      <c r="G80" s="333"/>
      <c r="H80" s="335"/>
      <c r="I80" s="229"/>
      <c r="J80" s="229"/>
      <c r="K80" s="336"/>
      <c r="L80" s="337"/>
      <c r="M80" s="337"/>
      <c r="N80" s="337"/>
      <c r="O80" s="337"/>
      <c r="P80" s="337"/>
      <c r="Q80" s="372">
        <v>1624</v>
      </c>
      <c r="R80" s="271">
        <f t="shared" si="8"/>
        <v>0</v>
      </c>
      <c r="S80" s="339">
        <f t="shared" si="10"/>
        <v>0</v>
      </c>
      <c r="T80" s="373"/>
      <c r="U80" s="373">
        <f>FA!H$87</f>
        <v>0</v>
      </c>
      <c r="V80" s="274"/>
      <c r="W80" s="374"/>
      <c r="X80" s="375"/>
      <c r="Y80" s="30" t="s">
        <v>597</v>
      </c>
      <c r="Z80" s="376"/>
      <c r="AA80" s="240"/>
      <c r="AB80" s="345">
        <v>1</v>
      </c>
      <c r="AC80" s="271"/>
      <c r="AD80" s="272"/>
      <c r="AE80" s="273"/>
      <c r="AF80" s="273"/>
      <c r="AG80" s="274"/>
      <c r="AH80" s="275"/>
      <c r="AI80" s="272"/>
      <c r="AJ80" s="276"/>
      <c r="AK80" s="277"/>
      <c r="AL80" s="278"/>
      <c r="AM80" s="277"/>
      <c r="AN80" s="279" t="str">
        <f t="shared" si="6"/>
        <v/>
      </c>
      <c r="AO80" s="279"/>
      <c r="AP80" s="279" t="str">
        <f t="shared" si="9"/>
        <v/>
      </c>
      <c r="AQ80" s="279"/>
      <c r="AR80" s="305">
        <f>'预算书-初步'!$F$10</f>
        <v>0.09</v>
      </c>
      <c r="AT80" s="272"/>
      <c r="BC80" s="272" t="s">
        <v>521</v>
      </c>
      <c r="BD80" s="346">
        <v>1076</v>
      </c>
      <c r="BE80" s="347" t="s">
        <v>522</v>
      </c>
    </row>
    <row r="81" s="52" customFormat="1" ht="15.75" customHeight="1" spans="1:57">
      <c r="A81" s="227"/>
      <c r="B81" s="332"/>
      <c r="C81" s="228"/>
      <c r="D81" s="333"/>
      <c r="E81" s="334"/>
      <c r="F81" s="229"/>
      <c r="G81" s="333"/>
      <c r="H81" s="335"/>
      <c r="I81" s="229"/>
      <c r="J81" s="229"/>
      <c r="K81" s="336"/>
      <c r="L81" s="337"/>
      <c r="M81" s="337"/>
      <c r="N81" s="337"/>
      <c r="O81" s="337"/>
      <c r="P81" s="337"/>
      <c r="Q81" s="377">
        <v>2960</v>
      </c>
      <c r="R81" s="271">
        <f t="shared" si="8"/>
        <v>0</v>
      </c>
      <c r="S81" s="339">
        <f t="shared" si="10"/>
        <v>0</v>
      </c>
      <c r="T81" s="373"/>
      <c r="U81" s="373">
        <f>FA!H$164</f>
        <v>0</v>
      </c>
      <c r="V81" s="274"/>
      <c r="W81" s="374"/>
      <c r="X81" s="375"/>
      <c r="Y81" s="36" t="s">
        <v>598</v>
      </c>
      <c r="Z81" s="376"/>
      <c r="AA81" s="240"/>
      <c r="AB81" s="345">
        <v>1</v>
      </c>
      <c r="AC81" s="271"/>
      <c r="AD81" s="272"/>
      <c r="AE81" s="273"/>
      <c r="AF81" s="273"/>
      <c r="AG81" s="274"/>
      <c r="AH81" s="275"/>
      <c r="AI81" s="272"/>
      <c r="AJ81" s="276"/>
      <c r="AK81" s="277"/>
      <c r="AL81" s="278"/>
      <c r="AM81" s="277"/>
      <c r="AN81" s="279" t="str">
        <f t="shared" si="6"/>
        <v/>
      </c>
      <c r="AO81" s="279"/>
      <c r="AP81" s="279" t="str">
        <f t="shared" si="9"/>
        <v/>
      </c>
      <c r="AQ81" s="279"/>
      <c r="AR81" s="305">
        <f>'预算书-初步'!$F$10</f>
        <v>0.09</v>
      </c>
      <c r="AT81" s="272"/>
      <c r="BC81" s="272" t="s">
        <v>521</v>
      </c>
      <c r="BD81" s="346">
        <v>1161</v>
      </c>
      <c r="BE81" s="347" t="s">
        <v>522</v>
      </c>
    </row>
    <row r="82" s="52" customFormat="1" ht="15.75" customHeight="1" spans="1:57">
      <c r="A82" s="227"/>
      <c r="B82" s="332"/>
      <c r="C82" s="228"/>
      <c r="D82" s="333"/>
      <c r="E82" s="334"/>
      <c r="F82" s="229"/>
      <c r="G82" s="333"/>
      <c r="H82" s="335"/>
      <c r="I82" s="229"/>
      <c r="J82" s="229"/>
      <c r="K82" s="336"/>
      <c r="L82" s="337"/>
      <c r="M82" s="337"/>
      <c r="N82" s="337"/>
      <c r="O82" s="337"/>
      <c r="P82" s="337"/>
      <c r="Q82" s="372">
        <v>3718</v>
      </c>
      <c r="R82" s="271">
        <f t="shared" si="8"/>
        <v>0</v>
      </c>
      <c r="S82" s="339">
        <f t="shared" si="10"/>
        <v>0</v>
      </c>
      <c r="T82" s="373"/>
      <c r="U82" s="373">
        <f>FA!H$94</f>
        <v>0</v>
      </c>
      <c r="V82" s="274"/>
      <c r="W82" s="374"/>
      <c r="X82" s="375"/>
      <c r="Y82" s="36" t="s">
        <v>599</v>
      </c>
      <c r="Z82" s="376"/>
      <c r="AA82" s="240"/>
      <c r="AB82" s="345">
        <v>1</v>
      </c>
      <c r="AC82" s="271"/>
      <c r="AD82" s="272"/>
      <c r="AE82" s="273"/>
      <c r="AF82" s="273"/>
      <c r="AG82" s="274"/>
      <c r="AH82" s="275"/>
      <c r="AI82" s="272"/>
      <c r="AJ82" s="276"/>
      <c r="AK82" s="277"/>
      <c r="AL82" s="278"/>
      <c r="AM82" s="277"/>
      <c r="AN82" s="279" t="str">
        <f t="shared" si="6"/>
        <v/>
      </c>
      <c r="AO82" s="279"/>
      <c r="AP82" s="279" t="str">
        <f t="shared" si="9"/>
        <v/>
      </c>
      <c r="AQ82" s="279"/>
      <c r="AR82" s="305">
        <f>'预算书-初步'!$F$10</f>
        <v>0.09</v>
      </c>
      <c r="AT82" s="272"/>
      <c r="BC82" s="272" t="s">
        <v>521</v>
      </c>
      <c r="BD82" s="346">
        <v>1083</v>
      </c>
      <c r="BE82" s="347" t="s">
        <v>522</v>
      </c>
    </row>
    <row r="83" s="52" customFormat="1" ht="15.75" customHeight="1" spans="1:57">
      <c r="A83" s="227"/>
      <c r="B83" s="332"/>
      <c r="C83" s="228"/>
      <c r="D83" s="333"/>
      <c r="E83" s="334"/>
      <c r="F83" s="229"/>
      <c r="G83" s="333"/>
      <c r="H83" s="335"/>
      <c r="I83" s="229"/>
      <c r="J83" s="229"/>
      <c r="K83" s="336"/>
      <c r="L83" s="337"/>
      <c r="M83" s="337"/>
      <c r="N83" s="337"/>
      <c r="O83" s="337"/>
      <c r="P83" s="337"/>
      <c r="Q83" s="372">
        <v>4001</v>
      </c>
      <c r="R83" s="271">
        <f t="shared" si="8"/>
        <v>0</v>
      </c>
      <c r="S83" s="339">
        <f t="shared" si="10"/>
        <v>0</v>
      </c>
      <c r="T83" s="373"/>
      <c r="U83" s="373">
        <f>FA!H$168</f>
        <v>0</v>
      </c>
      <c r="V83" s="274"/>
      <c r="W83" s="374"/>
      <c r="X83" s="375"/>
      <c r="Y83" s="36" t="s">
        <v>600</v>
      </c>
      <c r="Z83" s="376"/>
      <c r="AA83" s="240"/>
      <c r="AB83" s="345">
        <v>1</v>
      </c>
      <c r="AC83" s="271"/>
      <c r="AD83" s="272"/>
      <c r="AE83" s="273"/>
      <c r="AF83" s="273"/>
      <c r="AG83" s="274"/>
      <c r="AH83" s="275"/>
      <c r="AI83" s="272"/>
      <c r="AJ83" s="276"/>
      <c r="AK83" s="277"/>
      <c r="AL83" s="278"/>
      <c r="AM83" s="277"/>
      <c r="AN83" s="279" t="str">
        <f t="shared" si="6"/>
        <v/>
      </c>
      <c r="AO83" s="279"/>
      <c r="AP83" s="279" t="str">
        <f t="shared" si="9"/>
        <v/>
      </c>
      <c r="AQ83" s="279"/>
      <c r="AR83" s="305">
        <f>'预算书-初步'!$F$10</f>
        <v>0.09</v>
      </c>
      <c r="AT83" s="272"/>
      <c r="BC83" s="272" t="s">
        <v>521</v>
      </c>
      <c r="BD83" s="346">
        <v>1165</v>
      </c>
      <c r="BE83" s="347" t="s">
        <v>522</v>
      </c>
    </row>
    <row r="84" s="52" customFormat="1" ht="15.75" customHeight="1" spans="1:57">
      <c r="A84" s="227"/>
      <c r="B84" s="332"/>
      <c r="C84" s="228"/>
      <c r="D84" s="333"/>
      <c r="E84" s="334"/>
      <c r="F84" s="229"/>
      <c r="G84" s="333"/>
      <c r="H84" s="335"/>
      <c r="I84" s="229"/>
      <c r="J84" s="229"/>
      <c r="K84" s="336"/>
      <c r="L84" s="337"/>
      <c r="M84" s="337"/>
      <c r="N84" s="337"/>
      <c r="O84" s="337"/>
      <c r="P84" s="337"/>
      <c r="Q84" s="377">
        <v>4002</v>
      </c>
      <c r="R84" s="271">
        <f t="shared" si="8"/>
        <v>0</v>
      </c>
      <c r="S84" s="339">
        <f t="shared" si="10"/>
        <v>0</v>
      </c>
      <c r="T84" s="373"/>
      <c r="U84" s="373">
        <f>FA!H$169</f>
        <v>0</v>
      </c>
      <c r="V84" s="274"/>
      <c r="W84" s="374"/>
      <c r="X84" s="375"/>
      <c r="Y84" s="36" t="s">
        <v>601</v>
      </c>
      <c r="Z84" s="376"/>
      <c r="AA84" s="240"/>
      <c r="AB84" s="345">
        <v>1</v>
      </c>
      <c r="AC84" s="271"/>
      <c r="AD84" s="272"/>
      <c r="AE84" s="273"/>
      <c r="AF84" s="273"/>
      <c r="AG84" s="274"/>
      <c r="AH84" s="275"/>
      <c r="AI84" s="272"/>
      <c r="AJ84" s="276"/>
      <c r="AK84" s="277"/>
      <c r="AL84" s="278"/>
      <c r="AM84" s="277"/>
      <c r="AN84" s="279" t="str">
        <f t="shared" si="6"/>
        <v/>
      </c>
      <c r="AO84" s="279"/>
      <c r="AP84" s="279" t="str">
        <f t="shared" si="9"/>
        <v/>
      </c>
      <c r="AQ84" s="279"/>
      <c r="AR84" s="305">
        <f>'预算书-初步'!$F$10</f>
        <v>0.09</v>
      </c>
      <c r="AT84" s="272"/>
      <c r="BC84" s="272" t="s">
        <v>521</v>
      </c>
      <c r="BD84" s="346">
        <v>1166</v>
      </c>
      <c r="BE84" s="347" t="s">
        <v>522</v>
      </c>
    </row>
    <row r="85" s="52" customFormat="1" ht="15.75" customHeight="1" spans="1:57">
      <c r="A85" s="227"/>
      <c r="B85" s="332"/>
      <c r="C85" s="228"/>
      <c r="D85" s="333"/>
      <c r="E85" s="334"/>
      <c r="F85" s="229"/>
      <c r="G85" s="333"/>
      <c r="H85" s="335"/>
      <c r="I85" s="229"/>
      <c r="J85" s="229"/>
      <c r="K85" s="336"/>
      <c r="L85" s="337"/>
      <c r="M85" s="337"/>
      <c r="N85" s="337"/>
      <c r="O85" s="337"/>
      <c r="P85" s="337"/>
      <c r="Q85" s="377">
        <v>4003</v>
      </c>
      <c r="R85" s="271">
        <f t="shared" si="8"/>
        <v>0</v>
      </c>
      <c r="S85" s="339">
        <f t="shared" si="10"/>
        <v>0</v>
      </c>
      <c r="T85" s="373"/>
      <c r="U85" s="373">
        <f>FA!H$170</f>
        <v>0</v>
      </c>
      <c r="V85" s="274"/>
      <c r="W85" s="374"/>
      <c r="X85" s="375"/>
      <c r="Y85" s="36" t="s">
        <v>602</v>
      </c>
      <c r="Z85" s="376"/>
      <c r="AA85" s="240"/>
      <c r="AB85" s="345">
        <v>1</v>
      </c>
      <c r="AC85" s="271"/>
      <c r="AD85" s="272"/>
      <c r="AE85" s="273"/>
      <c r="AF85" s="273"/>
      <c r="AG85" s="274"/>
      <c r="AH85" s="275"/>
      <c r="AI85" s="272"/>
      <c r="AJ85" s="276"/>
      <c r="AK85" s="277"/>
      <c r="AL85" s="278"/>
      <c r="AM85" s="277"/>
      <c r="AN85" s="279" t="str">
        <f t="shared" si="6"/>
        <v/>
      </c>
      <c r="AO85" s="279"/>
      <c r="AP85" s="279" t="str">
        <f t="shared" si="9"/>
        <v/>
      </c>
      <c r="AQ85" s="279"/>
      <c r="AR85" s="305">
        <f>'预算书-初步'!$F$10</f>
        <v>0.09</v>
      </c>
      <c r="AT85" s="272"/>
      <c r="BC85" s="272" t="s">
        <v>521</v>
      </c>
      <c r="BD85" s="346">
        <v>1167</v>
      </c>
      <c r="BE85" s="347" t="s">
        <v>522</v>
      </c>
    </row>
    <row r="86" s="52" customFormat="1" ht="15.75" customHeight="1" spans="1:57">
      <c r="A86" s="227"/>
      <c r="B86" s="332"/>
      <c r="C86" s="228"/>
      <c r="D86" s="333"/>
      <c r="E86" s="334"/>
      <c r="F86" s="229"/>
      <c r="G86" s="333"/>
      <c r="H86" s="335"/>
      <c r="I86" s="229"/>
      <c r="J86" s="229"/>
      <c r="K86" s="336"/>
      <c r="L86" s="337"/>
      <c r="M86" s="337"/>
      <c r="N86" s="337"/>
      <c r="O86" s="337"/>
      <c r="P86" s="337"/>
      <c r="Q86" s="372">
        <v>4004</v>
      </c>
      <c r="R86" s="271">
        <f t="shared" si="8"/>
        <v>0</v>
      </c>
      <c r="S86" s="339">
        <f t="shared" si="10"/>
        <v>0</v>
      </c>
      <c r="T86" s="373"/>
      <c r="U86" s="373">
        <f>FA!H$171</f>
        <v>0</v>
      </c>
      <c r="V86" s="274"/>
      <c r="W86" s="374"/>
      <c r="X86" s="375"/>
      <c r="Y86" s="30" t="s">
        <v>603</v>
      </c>
      <c r="Z86" s="376"/>
      <c r="AA86" s="240"/>
      <c r="AB86" s="345">
        <v>1</v>
      </c>
      <c r="AC86" s="271"/>
      <c r="AD86" s="272"/>
      <c r="AE86" s="273"/>
      <c r="AF86" s="273"/>
      <c r="AG86" s="274"/>
      <c r="AH86" s="275"/>
      <c r="AI86" s="272"/>
      <c r="AJ86" s="276"/>
      <c r="AK86" s="277"/>
      <c r="AL86" s="278"/>
      <c r="AM86" s="277"/>
      <c r="AN86" s="279" t="str">
        <f t="shared" si="6"/>
        <v/>
      </c>
      <c r="AO86" s="279"/>
      <c r="AP86" s="279" t="str">
        <f t="shared" si="9"/>
        <v/>
      </c>
      <c r="AQ86" s="279"/>
      <c r="AR86" s="305">
        <f>'预算书-初步'!$F$10</f>
        <v>0.09</v>
      </c>
      <c r="AT86" s="272"/>
      <c r="BC86" s="272" t="s">
        <v>521</v>
      </c>
      <c r="BD86" s="346">
        <v>1168</v>
      </c>
      <c r="BE86" s="347" t="s">
        <v>522</v>
      </c>
    </row>
    <row r="87" s="52" customFormat="1" ht="15.75" customHeight="1" spans="1:57">
      <c r="A87" s="227"/>
      <c r="B87" s="332"/>
      <c r="C87" s="228"/>
      <c r="D87" s="333"/>
      <c r="E87" s="334"/>
      <c r="F87" s="229"/>
      <c r="G87" s="333"/>
      <c r="H87" s="335"/>
      <c r="I87" s="229"/>
      <c r="J87" s="229"/>
      <c r="K87" s="336"/>
      <c r="L87" s="337"/>
      <c r="M87" s="337"/>
      <c r="N87" s="337"/>
      <c r="O87" s="337"/>
      <c r="P87" s="337"/>
      <c r="Q87" s="372">
        <v>4005</v>
      </c>
      <c r="R87" s="271">
        <f t="shared" si="8"/>
        <v>0</v>
      </c>
      <c r="S87" s="339">
        <f t="shared" si="10"/>
        <v>0</v>
      </c>
      <c r="T87" s="373"/>
      <c r="U87" s="373">
        <f>FA!H$172</f>
        <v>0</v>
      </c>
      <c r="V87" s="274"/>
      <c r="W87" s="374"/>
      <c r="X87" s="375"/>
      <c r="Y87" s="30" t="s">
        <v>604</v>
      </c>
      <c r="Z87" s="376"/>
      <c r="AA87" s="240"/>
      <c r="AB87" s="345">
        <v>1</v>
      </c>
      <c r="AC87" s="271"/>
      <c r="AD87" s="272"/>
      <c r="AE87" s="273"/>
      <c r="AF87" s="273"/>
      <c r="AG87" s="274"/>
      <c r="AH87" s="275"/>
      <c r="AI87" s="272"/>
      <c r="AJ87" s="276"/>
      <c r="AK87" s="277"/>
      <c r="AL87" s="278"/>
      <c r="AM87" s="277"/>
      <c r="AN87" s="279" t="str">
        <f t="shared" si="6"/>
        <v/>
      </c>
      <c r="AO87" s="279"/>
      <c r="AP87" s="279" t="str">
        <f t="shared" si="9"/>
        <v/>
      </c>
      <c r="AQ87" s="279"/>
      <c r="AR87" s="305">
        <f>'预算书-初步'!$F$10</f>
        <v>0.09</v>
      </c>
      <c r="AT87" s="272"/>
      <c r="BC87" s="272" t="s">
        <v>521</v>
      </c>
      <c r="BD87" s="346">
        <v>1169</v>
      </c>
      <c r="BE87" s="347" t="s">
        <v>522</v>
      </c>
    </row>
    <row r="88" s="52" customFormat="1" spans="1:57">
      <c r="A88" s="227"/>
      <c r="B88" s="332"/>
      <c r="C88" s="228"/>
      <c r="D88" s="333"/>
      <c r="E88" s="334"/>
      <c r="F88" s="229"/>
      <c r="G88" s="333"/>
      <c r="H88" s="335"/>
      <c r="I88" s="229"/>
      <c r="J88" s="229"/>
      <c r="K88" s="336"/>
      <c r="L88" s="337"/>
      <c r="M88" s="337"/>
      <c r="N88" s="337"/>
      <c r="O88" s="337"/>
      <c r="P88" s="337"/>
      <c r="Q88" s="372">
        <v>4006</v>
      </c>
      <c r="R88" s="271">
        <f t="shared" si="8"/>
        <v>0</v>
      </c>
      <c r="S88" s="339">
        <f t="shared" si="10"/>
        <v>0</v>
      </c>
      <c r="T88" s="373"/>
      <c r="U88" s="373">
        <f>FA!H$173</f>
        <v>0</v>
      </c>
      <c r="V88" s="274"/>
      <c r="W88" s="374"/>
      <c r="X88" s="375"/>
      <c r="Y88" s="36" t="s">
        <v>605</v>
      </c>
      <c r="Z88" s="376"/>
      <c r="AA88" s="240"/>
      <c r="AB88" s="345">
        <v>1</v>
      </c>
      <c r="AC88" s="271"/>
      <c r="AD88" s="272"/>
      <c r="AE88" s="273"/>
      <c r="AF88" s="273"/>
      <c r="AG88" s="274"/>
      <c r="AH88" s="275"/>
      <c r="AI88" s="272"/>
      <c r="AJ88" s="276"/>
      <c r="AK88" s="277"/>
      <c r="AL88" s="278"/>
      <c r="AM88" s="277"/>
      <c r="AN88" s="279" t="str">
        <f t="shared" si="6"/>
        <v/>
      </c>
      <c r="AO88" s="279"/>
      <c r="AP88" s="279" t="str">
        <f t="shared" si="9"/>
        <v/>
      </c>
      <c r="AQ88" s="279"/>
      <c r="AR88" s="305">
        <f>'预算书-初步'!$F$10</f>
        <v>0.09</v>
      </c>
      <c r="AT88" s="272"/>
      <c r="BC88" s="272" t="s">
        <v>521</v>
      </c>
      <c r="BD88" s="346">
        <v>1170</v>
      </c>
      <c r="BE88" s="347" t="s">
        <v>522</v>
      </c>
    </row>
    <row r="89" s="52" customFormat="1" spans="1:57">
      <c r="A89" s="227"/>
      <c r="B89" s="332"/>
      <c r="C89" s="228"/>
      <c r="D89" s="333"/>
      <c r="E89" s="334"/>
      <c r="F89" s="229"/>
      <c r="G89" s="333"/>
      <c r="H89" s="335"/>
      <c r="I89" s="229"/>
      <c r="J89" s="229"/>
      <c r="K89" s="336"/>
      <c r="L89" s="337"/>
      <c r="M89" s="337"/>
      <c r="N89" s="337"/>
      <c r="O89" s="337"/>
      <c r="P89" s="337"/>
      <c r="Q89" s="377">
        <v>6003</v>
      </c>
      <c r="R89" s="271">
        <f t="shared" si="8"/>
        <v>0</v>
      </c>
      <c r="S89" s="339">
        <f t="shared" si="10"/>
        <v>0</v>
      </c>
      <c r="T89" s="373"/>
      <c r="U89" s="373">
        <f>FA!H$19</f>
        <v>0</v>
      </c>
      <c r="V89" s="274"/>
      <c r="W89" s="374"/>
      <c r="X89" s="375"/>
      <c r="Y89" s="36" t="s">
        <v>606</v>
      </c>
      <c r="Z89" s="376"/>
      <c r="AA89" s="240"/>
      <c r="AB89" s="345">
        <v>1</v>
      </c>
      <c r="AC89" s="271"/>
      <c r="AD89" s="272"/>
      <c r="AE89" s="273"/>
      <c r="AF89" s="273"/>
      <c r="AG89" s="274"/>
      <c r="AH89" s="275"/>
      <c r="AI89" s="272"/>
      <c r="AJ89" s="276"/>
      <c r="AK89" s="277"/>
      <c r="AL89" s="278"/>
      <c r="AM89" s="277"/>
      <c r="AN89" s="279" t="str">
        <f t="shared" si="6"/>
        <v/>
      </c>
      <c r="AO89" s="279"/>
      <c r="AP89" s="279" t="str">
        <f t="shared" si="9"/>
        <v/>
      </c>
      <c r="AQ89" s="279"/>
      <c r="AR89" s="305">
        <f>'预算书-初步'!$F$10</f>
        <v>0.09</v>
      </c>
      <c r="AT89" s="272"/>
      <c r="BC89" s="272" t="s">
        <v>521</v>
      </c>
      <c r="BD89" s="346">
        <v>1008</v>
      </c>
      <c r="BE89" s="347" t="s">
        <v>522</v>
      </c>
    </row>
    <row r="90" s="52" customFormat="1" spans="1:57">
      <c r="A90" s="227"/>
      <c r="B90" s="332"/>
      <c r="C90" s="228"/>
      <c r="D90" s="333"/>
      <c r="E90" s="334"/>
      <c r="F90" s="229"/>
      <c r="G90" s="333"/>
      <c r="H90" s="335"/>
      <c r="I90" s="229"/>
      <c r="J90" s="229"/>
      <c r="K90" s="336"/>
      <c r="L90" s="337"/>
      <c r="M90" s="337"/>
      <c r="N90" s="337"/>
      <c r="O90" s="337"/>
      <c r="P90" s="337"/>
      <c r="Q90" s="377">
        <v>6004</v>
      </c>
      <c r="R90" s="271">
        <f t="shared" si="8"/>
        <v>0</v>
      </c>
      <c r="S90" s="339">
        <f t="shared" si="10"/>
        <v>0</v>
      </c>
      <c r="T90" s="373"/>
      <c r="U90" s="373">
        <f>FA!H$20</f>
        <v>0</v>
      </c>
      <c r="V90" s="274"/>
      <c r="W90" s="374"/>
      <c r="X90" s="375"/>
      <c r="Y90" s="36" t="s">
        <v>607</v>
      </c>
      <c r="Z90" s="376"/>
      <c r="AA90" s="240"/>
      <c r="AB90" s="345">
        <v>1</v>
      </c>
      <c r="AC90" s="271"/>
      <c r="AD90" s="272"/>
      <c r="AE90" s="273"/>
      <c r="AF90" s="273"/>
      <c r="AG90" s="274"/>
      <c r="AH90" s="275"/>
      <c r="AI90" s="272"/>
      <c r="AJ90" s="276"/>
      <c r="AK90" s="277"/>
      <c r="AL90" s="278"/>
      <c r="AM90" s="277"/>
      <c r="AN90" s="279" t="str">
        <f t="shared" si="6"/>
        <v/>
      </c>
      <c r="AO90" s="279"/>
      <c r="AP90" s="279" t="str">
        <f t="shared" si="9"/>
        <v/>
      </c>
      <c r="AQ90" s="279"/>
      <c r="AR90" s="305">
        <f>'预算书-初步'!$F$10</f>
        <v>0.09</v>
      </c>
      <c r="AT90" s="272"/>
      <c r="BC90" s="272" t="s">
        <v>521</v>
      </c>
      <c r="BD90" s="346">
        <v>1009</v>
      </c>
      <c r="BE90" s="347" t="s">
        <v>522</v>
      </c>
    </row>
    <row r="91" s="52" customFormat="1" spans="1:57">
      <c r="A91" s="227"/>
      <c r="B91" s="332"/>
      <c r="C91" s="228"/>
      <c r="D91" s="333"/>
      <c r="E91" s="334"/>
      <c r="F91" s="229"/>
      <c r="G91" s="333"/>
      <c r="H91" s="335"/>
      <c r="I91" s="229"/>
      <c r="J91" s="229"/>
      <c r="K91" s="336"/>
      <c r="L91" s="337"/>
      <c r="M91" s="337"/>
      <c r="N91" s="337"/>
      <c r="O91" s="337"/>
      <c r="P91" s="337"/>
      <c r="Q91" s="377">
        <v>6005</v>
      </c>
      <c r="R91" s="271">
        <f t="shared" si="8"/>
        <v>0</v>
      </c>
      <c r="S91" s="339">
        <f t="shared" si="10"/>
        <v>0</v>
      </c>
      <c r="T91" s="373"/>
      <c r="U91" s="373">
        <f>FA!H$21</f>
        <v>0</v>
      </c>
      <c r="V91" s="274"/>
      <c r="W91" s="374"/>
      <c r="X91" s="375"/>
      <c r="Y91" s="36" t="s">
        <v>608</v>
      </c>
      <c r="Z91" s="376"/>
      <c r="AA91" s="240"/>
      <c r="AB91" s="345">
        <v>1</v>
      </c>
      <c r="AC91" s="271"/>
      <c r="AD91" s="272"/>
      <c r="AE91" s="273"/>
      <c r="AF91" s="273"/>
      <c r="AG91" s="274"/>
      <c r="AH91" s="275"/>
      <c r="AI91" s="272"/>
      <c r="AJ91" s="276"/>
      <c r="AK91" s="277"/>
      <c r="AL91" s="278"/>
      <c r="AM91" s="277"/>
      <c r="AN91" s="279" t="str">
        <f t="shared" si="6"/>
        <v/>
      </c>
      <c r="AO91" s="279"/>
      <c r="AP91" s="279" t="str">
        <f t="shared" si="9"/>
        <v/>
      </c>
      <c r="AQ91" s="279"/>
      <c r="AR91" s="305">
        <f>'预算书-初步'!$F$10</f>
        <v>0.09</v>
      </c>
      <c r="AT91" s="272"/>
      <c r="BC91" s="272" t="s">
        <v>521</v>
      </c>
      <c r="BD91" s="346">
        <v>1010</v>
      </c>
      <c r="BE91" s="347" t="s">
        <v>522</v>
      </c>
    </row>
    <row r="92" s="52" customFormat="1" spans="1:57">
      <c r="A92" s="227"/>
      <c r="B92" s="332"/>
      <c r="C92" s="228"/>
      <c r="D92" s="333"/>
      <c r="E92" s="334"/>
      <c r="F92" s="229"/>
      <c r="G92" s="333"/>
      <c r="H92" s="335"/>
      <c r="I92" s="229"/>
      <c r="J92" s="229"/>
      <c r="K92" s="336"/>
      <c r="L92" s="337"/>
      <c r="M92" s="337"/>
      <c r="N92" s="337"/>
      <c r="O92" s="337"/>
      <c r="P92" s="337"/>
      <c r="Q92" s="372">
        <v>6006</v>
      </c>
      <c r="R92" s="271">
        <f t="shared" si="8"/>
        <v>0</v>
      </c>
      <c r="S92" s="339">
        <f t="shared" si="10"/>
        <v>0</v>
      </c>
      <c r="T92" s="373"/>
      <c r="U92" s="373">
        <f>FA!H$22</f>
        <v>0</v>
      </c>
      <c r="V92" s="274"/>
      <c r="W92" s="374"/>
      <c r="X92" s="375"/>
      <c r="Y92" s="30" t="s">
        <v>609</v>
      </c>
      <c r="Z92" s="376"/>
      <c r="AA92" s="240"/>
      <c r="AB92" s="345">
        <v>1</v>
      </c>
      <c r="AC92" s="271"/>
      <c r="AD92" s="272"/>
      <c r="AE92" s="273"/>
      <c r="AF92" s="273"/>
      <c r="AG92" s="274"/>
      <c r="AH92" s="275"/>
      <c r="AI92" s="272"/>
      <c r="AJ92" s="276"/>
      <c r="AK92" s="277"/>
      <c r="AL92" s="278"/>
      <c r="AM92" s="277"/>
      <c r="AN92" s="279" t="str">
        <f t="shared" si="6"/>
        <v/>
      </c>
      <c r="AO92" s="279"/>
      <c r="AP92" s="279" t="str">
        <f t="shared" si="9"/>
        <v/>
      </c>
      <c r="AQ92" s="279"/>
      <c r="AR92" s="305">
        <f>'预算书-初步'!$F$10</f>
        <v>0.09</v>
      </c>
      <c r="AT92" s="272"/>
      <c r="BC92" s="272" t="s">
        <v>521</v>
      </c>
      <c r="BD92" s="346">
        <v>1011</v>
      </c>
      <c r="BE92" s="347" t="s">
        <v>522</v>
      </c>
    </row>
    <row r="93" s="52" customFormat="1" spans="1:57">
      <c r="A93" s="227"/>
      <c r="B93" s="332"/>
      <c r="C93" s="228"/>
      <c r="D93" s="333"/>
      <c r="E93" s="334"/>
      <c r="F93" s="229"/>
      <c r="G93" s="333"/>
      <c r="H93" s="335"/>
      <c r="I93" s="229"/>
      <c r="J93" s="229"/>
      <c r="K93" s="336"/>
      <c r="L93" s="337"/>
      <c r="M93" s="337"/>
      <c r="N93" s="337"/>
      <c r="O93" s="337"/>
      <c r="P93" s="337"/>
      <c r="Q93" s="372">
        <v>6007</v>
      </c>
      <c r="R93" s="271">
        <f t="shared" si="8"/>
        <v>0</v>
      </c>
      <c r="S93" s="339">
        <f t="shared" si="10"/>
        <v>0</v>
      </c>
      <c r="T93" s="373"/>
      <c r="U93" s="373">
        <f>FA!H$23</f>
        <v>0</v>
      </c>
      <c r="V93" s="274"/>
      <c r="W93" s="374"/>
      <c r="X93" s="375"/>
      <c r="Y93" s="30" t="s">
        <v>610</v>
      </c>
      <c r="Z93" s="376"/>
      <c r="AA93" s="240"/>
      <c r="AB93" s="345">
        <v>1</v>
      </c>
      <c r="AC93" s="271"/>
      <c r="AD93" s="272"/>
      <c r="AE93" s="273"/>
      <c r="AF93" s="273"/>
      <c r="AG93" s="274"/>
      <c r="AH93" s="275"/>
      <c r="AI93" s="272"/>
      <c r="AJ93" s="276"/>
      <c r="AK93" s="277"/>
      <c r="AL93" s="278"/>
      <c r="AM93" s="277"/>
      <c r="AN93" s="279" t="str">
        <f t="shared" si="6"/>
        <v/>
      </c>
      <c r="AO93" s="279"/>
      <c r="AP93" s="279" t="str">
        <f t="shared" si="9"/>
        <v/>
      </c>
      <c r="AQ93" s="279"/>
      <c r="AR93" s="305">
        <f>'预算书-初步'!$F$10</f>
        <v>0.09</v>
      </c>
      <c r="AT93" s="272"/>
      <c r="BC93" s="272" t="s">
        <v>521</v>
      </c>
      <c r="BD93" s="346">
        <v>1012</v>
      </c>
      <c r="BE93" s="347" t="s">
        <v>522</v>
      </c>
    </row>
    <row r="94" s="52" customFormat="1" spans="1:57">
      <c r="A94" s="227"/>
      <c r="B94" s="332"/>
      <c r="C94" s="228"/>
      <c r="D94" s="333"/>
      <c r="E94" s="334"/>
      <c r="F94" s="229"/>
      <c r="G94" s="333"/>
      <c r="H94" s="335"/>
      <c r="I94" s="229"/>
      <c r="J94" s="229"/>
      <c r="K94" s="336"/>
      <c r="L94" s="337"/>
      <c r="M94" s="337"/>
      <c r="N94" s="337"/>
      <c r="O94" s="337"/>
      <c r="P94" s="337"/>
      <c r="Q94" s="372">
        <v>8310</v>
      </c>
      <c r="R94" s="271">
        <f t="shared" si="8"/>
        <v>0</v>
      </c>
      <c r="S94" s="339">
        <f t="shared" si="10"/>
        <v>0</v>
      </c>
      <c r="T94" s="373"/>
      <c r="U94" s="373">
        <f>FA!H$116</f>
        <v>0</v>
      </c>
      <c r="V94" s="274"/>
      <c r="W94" s="374"/>
      <c r="X94" s="375"/>
      <c r="Y94" s="30" t="s">
        <v>611</v>
      </c>
      <c r="Z94" s="376"/>
      <c r="AA94" s="240"/>
      <c r="AB94" s="345">
        <v>1</v>
      </c>
      <c r="AC94" s="271"/>
      <c r="AD94" s="272"/>
      <c r="AE94" s="273"/>
      <c r="AF94" s="273"/>
      <c r="AG94" s="274"/>
      <c r="AH94" s="275"/>
      <c r="AI94" s="272"/>
      <c r="AJ94" s="276"/>
      <c r="AK94" s="277"/>
      <c r="AL94" s="278"/>
      <c r="AM94" s="277"/>
      <c r="AN94" s="279" t="str">
        <f t="shared" si="6"/>
        <v/>
      </c>
      <c r="AO94" s="279"/>
      <c r="AP94" s="279" t="str">
        <f t="shared" si="9"/>
        <v/>
      </c>
      <c r="AQ94" s="279"/>
      <c r="AR94" s="305">
        <f>'预算书-初步'!$F$10</f>
        <v>0.09</v>
      </c>
      <c r="AT94" s="272"/>
      <c r="BC94" s="272" t="s">
        <v>521</v>
      </c>
      <c r="BD94" s="346">
        <v>1105</v>
      </c>
      <c r="BE94" s="347" t="s">
        <v>522</v>
      </c>
    </row>
    <row r="95" s="52" customFormat="1" ht="15.75" customHeight="1" spans="1:57">
      <c r="A95" s="227"/>
      <c r="B95" s="332"/>
      <c r="C95" s="228"/>
      <c r="D95" s="333"/>
      <c r="E95" s="334"/>
      <c r="F95" s="229"/>
      <c r="G95" s="333"/>
      <c r="H95" s="335"/>
      <c r="I95" s="229"/>
      <c r="J95" s="229"/>
      <c r="K95" s="336"/>
      <c r="L95" s="337"/>
      <c r="M95" s="337"/>
      <c r="N95" s="337"/>
      <c r="O95" s="337"/>
      <c r="P95" s="337"/>
      <c r="Q95" s="372">
        <v>8457</v>
      </c>
      <c r="R95" s="271">
        <f t="shared" si="8"/>
        <v>0</v>
      </c>
      <c r="S95" s="339">
        <f t="shared" si="10"/>
        <v>0</v>
      </c>
      <c r="T95" s="373"/>
      <c r="U95" s="373">
        <f>FA!H$150</f>
        <v>0</v>
      </c>
      <c r="V95" s="274"/>
      <c r="W95" s="374"/>
      <c r="X95" s="375"/>
      <c r="Y95" s="30" t="s">
        <v>612</v>
      </c>
      <c r="Z95" s="376"/>
      <c r="AA95" s="240"/>
      <c r="AB95" s="345">
        <v>1</v>
      </c>
      <c r="AC95" s="271"/>
      <c r="AD95" s="272"/>
      <c r="AE95" s="273"/>
      <c r="AF95" s="273"/>
      <c r="AG95" s="274"/>
      <c r="AH95" s="275"/>
      <c r="AI95" s="272"/>
      <c r="AJ95" s="276"/>
      <c r="AK95" s="277"/>
      <c r="AL95" s="278"/>
      <c r="AM95" s="277"/>
      <c r="AN95" s="279" t="str">
        <f t="shared" si="6"/>
        <v/>
      </c>
      <c r="AO95" s="279"/>
      <c r="AP95" s="279" t="str">
        <f t="shared" si="9"/>
        <v/>
      </c>
      <c r="AQ95" s="279"/>
      <c r="AR95" s="305">
        <f>'预算书-初步'!$F$10</f>
        <v>0.09</v>
      </c>
      <c r="AT95" s="272"/>
      <c r="BC95" s="272" t="s">
        <v>521</v>
      </c>
      <c r="BD95" s="346">
        <v>1139</v>
      </c>
      <c r="BE95" s="347" t="s">
        <v>522</v>
      </c>
    </row>
    <row r="96" s="52" customFormat="1" spans="1:57">
      <c r="A96" s="227"/>
      <c r="B96" s="332"/>
      <c r="C96" s="228"/>
      <c r="D96" s="333"/>
      <c r="E96" s="334"/>
      <c r="F96" s="229"/>
      <c r="G96" s="333"/>
      <c r="H96" s="335"/>
      <c r="I96" s="229"/>
      <c r="J96" s="229"/>
      <c r="K96" s="336"/>
      <c r="L96" s="337"/>
      <c r="M96" s="337"/>
      <c r="N96" s="337"/>
      <c r="O96" s="337"/>
      <c r="P96" s="337"/>
      <c r="Q96" s="372">
        <v>8500</v>
      </c>
      <c r="R96" s="271">
        <f t="shared" si="8"/>
        <v>0</v>
      </c>
      <c r="S96" s="339">
        <f t="shared" si="10"/>
        <v>0</v>
      </c>
      <c r="T96" s="373"/>
      <c r="U96" s="373">
        <f>FA!H$160</f>
        <v>0</v>
      </c>
      <c r="V96" s="274"/>
      <c r="W96" s="374"/>
      <c r="X96" s="375"/>
      <c r="Y96" s="30" t="s">
        <v>613</v>
      </c>
      <c r="Z96" s="376"/>
      <c r="AA96" s="240"/>
      <c r="AB96" s="345">
        <v>1</v>
      </c>
      <c r="AC96" s="271"/>
      <c r="AD96" s="272"/>
      <c r="AE96" s="273"/>
      <c r="AF96" s="273"/>
      <c r="AG96" s="274"/>
      <c r="AH96" s="275"/>
      <c r="AI96" s="272"/>
      <c r="AJ96" s="276"/>
      <c r="AK96" s="277"/>
      <c r="AL96" s="278"/>
      <c r="AM96" s="277"/>
      <c r="AN96" s="279" t="str">
        <f t="shared" si="6"/>
        <v/>
      </c>
      <c r="AO96" s="279"/>
      <c r="AP96" s="279" t="str">
        <f t="shared" si="9"/>
        <v/>
      </c>
      <c r="AQ96" s="378"/>
      <c r="AR96" s="305">
        <f>'预算书-初步'!$F$10</f>
        <v>0.09</v>
      </c>
      <c r="AT96" s="272"/>
      <c r="BC96" s="272" t="s">
        <v>521</v>
      </c>
      <c r="BD96" s="346">
        <v>1157</v>
      </c>
      <c r="BE96" s="347" t="s">
        <v>522</v>
      </c>
    </row>
    <row r="97" s="52" customFormat="1" spans="1:57">
      <c r="A97" s="227"/>
      <c r="B97" s="332"/>
      <c r="C97" s="228"/>
      <c r="D97" s="333"/>
      <c r="E97" s="334"/>
      <c r="F97" s="229"/>
      <c r="G97" s="333"/>
      <c r="H97" s="335"/>
      <c r="I97" s="229"/>
      <c r="J97" s="229"/>
      <c r="K97" s="336"/>
      <c r="L97" s="337"/>
      <c r="M97" s="337"/>
      <c r="N97" s="337"/>
      <c r="O97" s="337"/>
      <c r="P97" s="337"/>
      <c r="Q97" s="379">
        <v>9999</v>
      </c>
      <c r="R97" s="271">
        <f t="shared" si="8"/>
        <v>0</v>
      </c>
      <c r="S97" s="339">
        <f t="shared" si="10"/>
        <v>0</v>
      </c>
      <c r="T97" s="373"/>
      <c r="U97" s="373">
        <f>FA!H$24</f>
        <v>0</v>
      </c>
      <c r="V97" s="274"/>
      <c r="W97" s="374"/>
      <c r="X97" s="375"/>
      <c r="Y97" s="44" t="s">
        <v>40</v>
      </c>
      <c r="Z97" s="376"/>
      <c r="AA97" s="240"/>
      <c r="AB97" s="345">
        <v>1</v>
      </c>
      <c r="AC97" s="271"/>
      <c r="AD97" s="272"/>
      <c r="AE97" s="273"/>
      <c r="AF97" s="273"/>
      <c r="AG97" s="274"/>
      <c r="AH97" s="275"/>
      <c r="AI97" s="272"/>
      <c r="AJ97" s="276"/>
      <c r="AK97" s="277"/>
      <c r="AL97" s="278"/>
      <c r="AM97" s="277"/>
      <c r="AN97" s="279"/>
      <c r="AO97" s="279"/>
      <c r="AP97" s="279"/>
      <c r="AQ97" s="378"/>
      <c r="AR97" s="305">
        <f>'预算书-初步'!$F$10</f>
        <v>0.09</v>
      </c>
      <c r="AT97" s="272"/>
      <c r="BC97" s="272" t="s">
        <v>521</v>
      </c>
      <c r="BD97" s="380">
        <v>1013</v>
      </c>
      <c r="BE97" s="347" t="s">
        <v>522</v>
      </c>
    </row>
    <row r="98" s="52" customFormat="1" spans="1:57">
      <c r="A98" s="227"/>
      <c r="B98" s="332"/>
      <c r="C98" s="228"/>
      <c r="D98" s="333"/>
      <c r="E98" s="334"/>
      <c r="F98" s="229"/>
      <c r="G98" s="333"/>
      <c r="H98" s="335"/>
      <c r="I98" s="229"/>
      <c r="J98" s="229"/>
      <c r="K98" s="336"/>
      <c r="L98" s="337"/>
      <c r="M98" s="337"/>
      <c r="N98" s="337"/>
      <c r="O98" s="337"/>
      <c r="P98" s="337"/>
      <c r="Q98" s="379">
        <v>7001</v>
      </c>
      <c r="R98" s="271">
        <f t="shared" si="8"/>
        <v>0</v>
      </c>
      <c r="S98" s="339">
        <f t="shared" si="10"/>
        <v>0</v>
      </c>
      <c r="T98" s="373"/>
      <c r="U98" s="373">
        <f>FA!H$25</f>
        <v>0</v>
      </c>
      <c r="V98" s="274"/>
      <c r="W98" s="374"/>
      <c r="X98" s="375"/>
      <c r="Y98" s="44" t="s">
        <v>614</v>
      </c>
      <c r="Z98" s="376"/>
      <c r="AA98" s="240"/>
      <c r="AB98" s="345">
        <v>1</v>
      </c>
      <c r="AC98" s="271"/>
      <c r="AD98" s="272"/>
      <c r="AE98" s="273"/>
      <c r="AF98" s="273"/>
      <c r="AG98" s="274"/>
      <c r="AH98" s="275"/>
      <c r="AI98" s="272"/>
      <c r="AJ98" s="276"/>
      <c r="AK98" s="277"/>
      <c r="AL98" s="278"/>
      <c r="AM98" s="277"/>
      <c r="AN98" s="279"/>
      <c r="AO98" s="279"/>
      <c r="AP98" s="279"/>
      <c r="AQ98" s="378"/>
      <c r="AR98" s="305">
        <f>'预算书-初步'!$F$10</f>
        <v>0.09</v>
      </c>
      <c r="AT98" s="272"/>
      <c r="BC98" s="272" t="s">
        <v>521</v>
      </c>
      <c r="BD98" s="380">
        <v>1014</v>
      </c>
      <c r="BE98" s="347" t="s">
        <v>522</v>
      </c>
    </row>
    <row r="99" s="52" customFormat="1" spans="1:57">
      <c r="A99" s="227"/>
      <c r="B99" s="332"/>
      <c r="C99" s="228"/>
      <c r="D99" s="333"/>
      <c r="E99" s="334"/>
      <c r="F99" s="229"/>
      <c r="G99" s="333"/>
      <c r="H99" s="335"/>
      <c r="I99" s="229"/>
      <c r="J99" s="229"/>
      <c r="K99" s="336"/>
      <c r="L99" s="337"/>
      <c r="M99" s="337"/>
      <c r="N99" s="337"/>
      <c r="O99" s="337"/>
      <c r="P99" s="337"/>
      <c r="Q99" s="379">
        <v>7012</v>
      </c>
      <c r="R99" s="271">
        <f t="shared" si="8"/>
        <v>0</v>
      </c>
      <c r="S99" s="339">
        <f t="shared" si="10"/>
        <v>0</v>
      </c>
      <c r="T99" s="373"/>
      <c r="U99" s="373">
        <f>FA!H$26</f>
        <v>0</v>
      </c>
      <c r="V99" s="274"/>
      <c r="W99" s="374"/>
      <c r="X99" s="375"/>
      <c r="Y99" s="45" t="s">
        <v>615</v>
      </c>
      <c r="Z99" s="376"/>
      <c r="AA99" s="240"/>
      <c r="AB99" s="345">
        <v>1</v>
      </c>
      <c r="AC99" s="271"/>
      <c r="AD99" s="272"/>
      <c r="AE99" s="273"/>
      <c r="AF99" s="273"/>
      <c r="AG99" s="274"/>
      <c r="AH99" s="275"/>
      <c r="AI99" s="272"/>
      <c r="AJ99" s="276"/>
      <c r="AK99" s="277"/>
      <c r="AL99" s="278"/>
      <c r="AM99" s="277"/>
      <c r="AN99" s="279"/>
      <c r="AO99" s="279"/>
      <c r="AP99" s="279"/>
      <c r="AQ99" s="378"/>
      <c r="AR99" s="305">
        <f>'预算书-初步'!$F$10</f>
        <v>0.09</v>
      </c>
      <c r="AT99" s="272"/>
      <c r="BC99" s="272" t="s">
        <v>521</v>
      </c>
      <c r="BD99" s="380">
        <v>1015</v>
      </c>
      <c r="BE99" s="347" t="s">
        <v>522</v>
      </c>
    </row>
    <row r="100" s="52" customFormat="1" ht="15.75" customHeight="1" spans="1:57">
      <c r="A100" s="227"/>
      <c r="B100" s="332"/>
      <c r="C100" s="228"/>
      <c r="D100" s="333"/>
      <c r="E100" s="334"/>
      <c r="F100" s="229"/>
      <c r="G100" s="333"/>
      <c r="H100" s="335"/>
      <c r="I100" s="229"/>
      <c r="J100" s="229"/>
      <c r="K100" s="336"/>
      <c r="L100" s="337"/>
      <c r="M100" s="337"/>
      <c r="N100" s="337"/>
      <c r="O100" s="337"/>
      <c r="P100" s="337"/>
      <c r="Q100" s="381">
        <v>1650</v>
      </c>
      <c r="R100" s="271">
        <f t="shared" si="8"/>
        <v>0</v>
      </c>
      <c r="S100" s="339">
        <f t="shared" si="10"/>
        <v>0</v>
      </c>
      <c r="T100" s="373"/>
      <c r="U100" s="373">
        <f>FA!H$89</f>
        <v>0</v>
      </c>
      <c r="V100" s="274"/>
      <c r="W100" s="374"/>
      <c r="X100" s="375"/>
      <c r="Y100" s="45" t="s">
        <v>616</v>
      </c>
      <c r="Z100" s="376"/>
      <c r="AA100" s="240"/>
      <c r="AB100" s="345">
        <v>1</v>
      </c>
      <c r="AC100" s="271"/>
      <c r="AD100" s="272"/>
      <c r="AE100" s="273"/>
      <c r="AF100" s="273"/>
      <c r="AG100" s="274"/>
      <c r="AH100" s="275"/>
      <c r="AI100" s="272"/>
      <c r="AJ100" s="276"/>
      <c r="AK100" s="277"/>
      <c r="AL100" s="278"/>
      <c r="AM100" s="277"/>
      <c r="AN100" s="279"/>
      <c r="AO100" s="279"/>
      <c r="AP100" s="279"/>
      <c r="AQ100" s="378"/>
      <c r="AR100" s="305">
        <f>'预算书-初步'!$F$10</f>
        <v>0.09</v>
      </c>
      <c r="AT100" s="272"/>
      <c r="BC100" s="272" t="s">
        <v>521</v>
      </c>
      <c r="BD100" s="380">
        <v>1078</v>
      </c>
      <c r="BE100" s="347" t="s">
        <v>522</v>
      </c>
    </row>
    <row r="101" s="52" customFormat="1" ht="15.75" customHeight="1" spans="1:57">
      <c r="A101" s="227"/>
      <c r="B101" s="332"/>
      <c r="C101" s="228"/>
      <c r="D101" s="333"/>
      <c r="E101" s="334"/>
      <c r="F101" s="229"/>
      <c r="G101" s="333"/>
      <c r="H101" s="335"/>
      <c r="I101" s="229"/>
      <c r="J101" s="229"/>
      <c r="K101" s="336"/>
      <c r="L101" s="337"/>
      <c r="M101" s="337"/>
      <c r="N101" s="337"/>
      <c r="O101" s="337"/>
      <c r="P101" s="337"/>
      <c r="Q101" s="47">
        <v>3711</v>
      </c>
      <c r="R101" s="271">
        <f t="shared" si="8"/>
        <v>0</v>
      </c>
      <c r="S101" s="292">
        <f t="shared" si="10"/>
        <v>0</v>
      </c>
      <c r="T101" s="370"/>
      <c r="U101" s="370">
        <f>SUMIF(其他!$A$9:$A$65,$Q101,其他!$E$9:$E$65)</f>
        <v>0</v>
      </c>
      <c r="V101" s="274"/>
      <c r="W101" s="371"/>
      <c r="X101" s="276"/>
      <c r="Y101" s="45" t="s">
        <v>617</v>
      </c>
      <c r="Z101" s="376"/>
      <c r="AA101" s="240"/>
      <c r="AB101" s="345">
        <v>1</v>
      </c>
      <c r="AC101" s="271"/>
      <c r="AD101" s="272"/>
      <c r="AE101" s="273"/>
      <c r="AF101" s="273"/>
      <c r="AG101" s="274"/>
      <c r="AH101" s="275"/>
      <c r="AI101" s="272"/>
      <c r="AJ101" s="276"/>
      <c r="AK101" s="277"/>
      <c r="AL101" s="278"/>
      <c r="AM101" s="277"/>
      <c r="AN101" s="279"/>
      <c r="AO101" s="279"/>
      <c r="AP101" s="279"/>
      <c r="AQ101" s="378"/>
      <c r="AR101" s="305">
        <f>'预算书-初步'!$F$10</f>
        <v>0.09</v>
      </c>
      <c r="AT101" s="272"/>
      <c r="BC101" s="272" t="s">
        <v>521</v>
      </c>
      <c r="BD101" s="382">
        <v>1082</v>
      </c>
      <c r="BE101" s="383" t="s">
        <v>522</v>
      </c>
    </row>
    <row r="102" s="52" customFormat="1" ht="15.75" customHeight="1" spans="1:57">
      <c r="A102" s="227"/>
      <c r="B102" s="332"/>
      <c r="C102" s="228"/>
      <c r="D102" s="333"/>
      <c r="E102" s="334"/>
      <c r="F102" s="229"/>
      <c r="G102" s="333"/>
      <c r="H102" s="335"/>
      <c r="I102" s="229"/>
      <c r="J102" s="229"/>
      <c r="K102" s="336"/>
      <c r="L102" s="337"/>
      <c r="M102" s="337"/>
      <c r="N102" s="337"/>
      <c r="O102" s="337"/>
      <c r="P102" s="337"/>
      <c r="Q102" s="47">
        <v>3712</v>
      </c>
      <c r="R102" s="271">
        <f t="shared" si="8"/>
        <v>0</v>
      </c>
      <c r="S102" s="292">
        <f t="shared" si="10"/>
        <v>0</v>
      </c>
      <c r="T102" s="370"/>
      <c r="U102" s="370">
        <f>SUMIF(其他!$A$9:$A$65,$Q102,其他!$E$9:$E$65)</f>
        <v>0</v>
      </c>
      <c r="V102" s="274"/>
      <c r="W102" s="371"/>
      <c r="X102" s="276"/>
      <c r="Y102" s="45" t="s">
        <v>618</v>
      </c>
      <c r="Z102" s="376"/>
      <c r="AA102" s="240"/>
      <c r="AB102" s="345">
        <v>1</v>
      </c>
      <c r="AC102" s="271"/>
      <c r="AD102" s="272"/>
      <c r="AE102" s="273"/>
      <c r="AF102" s="273"/>
      <c r="AG102" s="274"/>
      <c r="AH102" s="275"/>
      <c r="AI102" s="272"/>
      <c r="AJ102" s="276"/>
      <c r="AK102" s="277"/>
      <c r="AL102" s="278"/>
      <c r="AM102" s="277"/>
      <c r="AN102" s="279"/>
      <c r="AO102" s="279"/>
      <c r="AP102" s="279"/>
      <c r="AQ102" s="378"/>
      <c r="AR102" s="305">
        <f>'预算书-初步'!$F$10</f>
        <v>0.09</v>
      </c>
      <c r="AT102" s="272"/>
      <c r="BC102" s="272" t="s">
        <v>521</v>
      </c>
      <c r="BD102" s="382">
        <v>1082</v>
      </c>
      <c r="BE102" s="383" t="s">
        <v>522</v>
      </c>
    </row>
    <row r="103" s="52" customFormat="1" ht="15.75" customHeight="1" spans="1:57">
      <c r="A103" s="227"/>
      <c r="B103" s="332"/>
      <c r="C103" s="228"/>
      <c r="D103" s="333"/>
      <c r="E103" s="334"/>
      <c r="F103" s="229"/>
      <c r="G103" s="333"/>
      <c r="H103" s="335"/>
      <c r="I103" s="229"/>
      <c r="J103" s="229"/>
      <c r="K103" s="336"/>
      <c r="L103" s="337"/>
      <c r="M103" s="337"/>
      <c r="N103" s="337"/>
      <c r="O103" s="337"/>
      <c r="P103" s="337"/>
      <c r="Q103" s="47">
        <v>3713</v>
      </c>
      <c r="R103" s="271">
        <f t="shared" si="8"/>
        <v>0</v>
      </c>
      <c r="S103" s="292">
        <f t="shared" si="10"/>
        <v>0</v>
      </c>
      <c r="T103" s="370"/>
      <c r="U103" s="370">
        <f>SUMIF(其他!$A$9:$A$65,$Q103,其他!$E$9:$E$65)</f>
        <v>0</v>
      </c>
      <c r="V103" s="274"/>
      <c r="W103" s="371"/>
      <c r="X103" s="276"/>
      <c r="Y103" s="45" t="s">
        <v>619</v>
      </c>
      <c r="Z103" s="376"/>
      <c r="AA103" s="240"/>
      <c r="AB103" s="345">
        <v>1</v>
      </c>
      <c r="AC103" s="271"/>
      <c r="AD103" s="272"/>
      <c r="AE103" s="273"/>
      <c r="AF103" s="273"/>
      <c r="AG103" s="274"/>
      <c r="AH103" s="275"/>
      <c r="AI103" s="272"/>
      <c r="AJ103" s="276"/>
      <c r="AK103" s="277"/>
      <c r="AL103" s="278"/>
      <c r="AM103" s="277"/>
      <c r="AN103" s="279"/>
      <c r="AO103" s="279"/>
      <c r="AP103" s="279"/>
      <c r="AQ103" s="378"/>
      <c r="AR103" s="305">
        <f>'预算书-初步'!$F$10</f>
        <v>0.09</v>
      </c>
      <c r="AT103" s="272"/>
      <c r="BC103" s="272" t="s">
        <v>521</v>
      </c>
      <c r="BD103" s="382">
        <v>1082</v>
      </c>
      <c r="BE103" s="383" t="s">
        <v>522</v>
      </c>
    </row>
    <row r="104" s="52" customFormat="1" ht="15.75" customHeight="1" spans="1:57">
      <c r="A104" s="227"/>
      <c r="B104" s="332"/>
      <c r="C104" s="228"/>
      <c r="D104" s="333"/>
      <c r="E104" s="334"/>
      <c r="F104" s="229"/>
      <c r="G104" s="333"/>
      <c r="H104" s="335"/>
      <c r="I104" s="229"/>
      <c r="J104" s="229"/>
      <c r="K104" s="336"/>
      <c r="L104" s="337"/>
      <c r="M104" s="337"/>
      <c r="N104" s="337"/>
      <c r="O104" s="337"/>
      <c r="P104" s="337"/>
      <c r="Q104" s="47">
        <v>3714</v>
      </c>
      <c r="R104" s="271">
        <f t="shared" si="8"/>
        <v>0</v>
      </c>
      <c r="S104" s="292">
        <f t="shared" si="10"/>
        <v>0</v>
      </c>
      <c r="T104" s="370"/>
      <c r="U104" s="370">
        <f>SUMIF(其他!$A$9:$A$65,$Q104,其他!$E$9:$E$65)</f>
        <v>0</v>
      </c>
      <c r="V104" s="274"/>
      <c r="W104" s="371"/>
      <c r="X104" s="276"/>
      <c r="Y104" s="45" t="s">
        <v>620</v>
      </c>
      <c r="Z104" s="376"/>
      <c r="AA104" s="240"/>
      <c r="AB104" s="345">
        <v>1</v>
      </c>
      <c r="AC104" s="271"/>
      <c r="AD104" s="272"/>
      <c r="AE104" s="273"/>
      <c r="AF104" s="273"/>
      <c r="AG104" s="274"/>
      <c r="AH104" s="275"/>
      <c r="AI104" s="272"/>
      <c r="AJ104" s="276"/>
      <c r="AK104" s="277"/>
      <c r="AL104" s="278"/>
      <c r="AM104" s="277"/>
      <c r="AN104" s="279"/>
      <c r="AO104" s="279"/>
      <c r="AP104" s="279"/>
      <c r="AQ104" s="378"/>
      <c r="AR104" s="305">
        <f>'预算书-初步'!$F$10</f>
        <v>0.09</v>
      </c>
      <c r="AT104" s="272"/>
      <c r="BC104" s="272" t="s">
        <v>521</v>
      </c>
      <c r="BD104" s="382">
        <v>1082</v>
      </c>
      <c r="BE104" s="383" t="s">
        <v>522</v>
      </c>
    </row>
    <row r="105" s="52" customFormat="1" ht="15.75" customHeight="1" spans="1:57">
      <c r="A105" s="227"/>
      <c r="B105" s="332"/>
      <c r="C105" s="228"/>
      <c r="D105" s="333"/>
      <c r="E105" s="334"/>
      <c r="F105" s="229"/>
      <c r="G105" s="333"/>
      <c r="H105" s="335"/>
      <c r="I105" s="229"/>
      <c r="J105" s="229"/>
      <c r="K105" s="336"/>
      <c r="L105" s="337"/>
      <c r="M105" s="337"/>
      <c r="N105" s="337"/>
      <c r="O105" s="337"/>
      <c r="P105" s="337"/>
      <c r="Q105" s="47">
        <v>3792</v>
      </c>
      <c r="R105" s="271">
        <f t="shared" si="8"/>
        <v>0</v>
      </c>
      <c r="S105" s="292">
        <f t="shared" si="10"/>
        <v>0</v>
      </c>
      <c r="T105" s="370"/>
      <c r="U105" s="370">
        <f>SUMIF(其他!$A$9:$A$65,$Q105,其他!$E$9:$E$65)</f>
        <v>0</v>
      </c>
      <c r="V105" s="274"/>
      <c r="W105" s="371"/>
      <c r="X105" s="276"/>
      <c r="Y105" s="45" t="s">
        <v>621</v>
      </c>
      <c r="Z105" s="376"/>
      <c r="AA105" s="240"/>
      <c r="AB105" s="345">
        <v>1</v>
      </c>
      <c r="AC105" s="271"/>
      <c r="AD105" s="272"/>
      <c r="AE105" s="273"/>
      <c r="AF105" s="273"/>
      <c r="AG105" s="274"/>
      <c r="AH105" s="275"/>
      <c r="AI105" s="272"/>
      <c r="AJ105" s="276"/>
      <c r="AK105" s="277"/>
      <c r="AL105" s="278"/>
      <c r="AM105" s="277"/>
      <c r="AN105" s="279"/>
      <c r="AO105" s="279"/>
      <c r="AP105" s="279"/>
      <c r="AQ105" s="378"/>
      <c r="AR105" s="305">
        <f>'预算书-初步'!$F$10</f>
        <v>0.09</v>
      </c>
      <c r="AT105" s="272"/>
      <c r="BC105" s="272" t="s">
        <v>521</v>
      </c>
      <c r="BD105" s="382">
        <v>1085</v>
      </c>
      <c r="BE105" s="383" t="s">
        <v>522</v>
      </c>
    </row>
    <row r="106" s="52" customFormat="1" ht="15.75" customHeight="1" spans="1:57">
      <c r="A106" s="227"/>
      <c r="B106" s="332"/>
      <c r="C106" s="228"/>
      <c r="D106" s="333"/>
      <c r="E106" s="334"/>
      <c r="F106" s="229"/>
      <c r="G106" s="333"/>
      <c r="H106" s="335"/>
      <c r="I106" s="229"/>
      <c r="J106" s="229"/>
      <c r="K106" s="336"/>
      <c r="L106" s="337"/>
      <c r="M106" s="337"/>
      <c r="N106" s="337"/>
      <c r="O106" s="337"/>
      <c r="P106" s="337"/>
      <c r="Q106" s="47">
        <v>3793</v>
      </c>
      <c r="R106" s="271">
        <f t="shared" si="8"/>
        <v>0</v>
      </c>
      <c r="S106" s="292">
        <f t="shared" si="10"/>
        <v>0</v>
      </c>
      <c r="T106" s="370"/>
      <c r="U106" s="370">
        <f>SUMIF(其他!$A$9:$A$65,$Q106,其他!$E$9:$E$65)</f>
        <v>0</v>
      </c>
      <c r="V106" s="274"/>
      <c r="W106" s="371"/>
      <c r="X106" s="276"/>
      <c r="Y106" s="45" t="s">
        <v>622</v>
      </c>
      <c r="Z106" s="376"/>
      <c r="AA106" s="240"/>
      <c r="AB106" s="345">
        <v>1</v>
      </c>
      <c r="AC106" s="271"/>
      <c r="AD106" s="272"/>
      <c r="AE106" s="273"/>
      <c r="AF106" s="273"/>
      <c r="AG106" s="274"/>
      <c r="AH106" s="275"/>
      <c r="AI106" s="272"/>
      <c r="AJ106" s="276"/>
      <c r="AK106" s="277"/>
      <c r="AL106" s="278"/>
      <c r="AM106" s="277"/>
      <c r="AN106" s="279"/>
      <c r="AO106" s="279"/>
      <c r="AP106" s="279"/>
      <c r="AQ106" s="378"/>
      <c r="AR106" s="305">
        <f>'预算书-初步'!$F$10</f>
        <v>0.09</v>
      </c>
      <c r="AT106" s="272"/>
      <c r="BC106" s="272" t="s">
        <v>521</v>
      </c>
      <c r="BD106" s="382">
        <v>1085</v>
      </c>
      <c r="BE106" s="383" t="s">
        <v>522</v>
      </c>
    </row>
    <row r="107" s="52" customFormat="1" ht="15.75" customHeight="1" spans="1:57">
      <c r="A107" s="227"/>
      <c r="B107" s="332"/>
      <c r="C107" s="228"/>
      <c r="D107" s="333"/>
      <c r="E107" s="334"/>
      <c r="F107" s="229"/>
      <c r="G107" s="333"/>
      <c r="H107" s="335"/>
      <c r="I107" s="229"/>
      <c r="J107" s="229"/>
      <c r="K107" s="336"/>
      <c r="L107" s="337"/>
      <c r="M107" s="337"/>
      <c r="N107" s="337"/>
      <c r="O107" s="337"/>
      <c r="P107" s="337"/>
      <c r="Q107" s="47">
        <v>3794</v>
      </c>
      <c r="R107" s="271">
        <f t="shared" si="8"/>
        <v>0</v>
      </c>
      <c r="S107" s="292">
        <f t="shared" si="10"/>
        <v>0</v>
      </c>
      <c r="T107" s="370"/>
      <c r="U107" s="370">
        <f>SUMIF(其他!$A$9:$A$65,$Q107,其他!$E$9:$E$65)</f>
        <v>0</v>
      </c>
      <c r="V107" s="274"/>
      <c r="W107" s="371"/>
      <c r="X107" s="276"/>
      <c r="Y107" s="45" t="s">
        <v>623</v>
      </c>
      <c r="Z107" s="376"/>
      <c r="AA107" s="240"/>
      <c r="AB107" s="345">
        <v>1</v>
      </c>
      <c r="AC107" s="271"/>
      <c r="AD107" s="272"/>
      <c r="AE107" s="273"/>
      <c r="AF107" s="273"/>
      <c r="AG107" s="274"/>
      <c r="AH107" s="275"/>
      <c r="AI107" s="272"/>
      <c r="AJ107" s="276"/>
      <c r="AK107" s="277"/>
      <c r="AL107" s="278"/>
      <c r="AM107" s="277"/>
      <c r="AN107" s="279"/>
      <c r="AO107" s="279"/>
      <c r="AP107" s="279"/>
      <c r="AQ107" s="378"/>
      <c r="AR107" s="305">
        <f>'预算书-初步'!$F$10</f>
        <v>0.09</v>
      </c>
      <c r="AT107" s="272"/>
      <c r="BC107" s="272" t="s">
        <v>521</v>
      </c>
      <c r="BD107" s="382">
        <v>1085</v>
      </c>
      <c r="BE107" s="383" t="s">
        <v>522</v>
      </c>
    </row>
    <row r="108" s="52" customFormat="1" ht="15.75" customHeight="1" spans="1:57">
      <c r="A108" s="227"/>
      <c r="B108" s="332"/>
      <c r="C108" s="228"/>
      <c r="D108" s="333"/>
      <c r="E108" s="334"/>
      <c r="F108" s="229"/>
      <c r="G108" s="333"/>
      <c r="H108" s="335"/>
      <c r="I108" s="229"/>
      <c r="J108" s="229"/>
      <c r="K108" s="336"/>
      <c r="L108" s="337"/>
      <c r="M108" s="337"/>
      <c r="N108" s="337"/>
      <c r="O108" s="337"/>
      <c r="P108" s="337"/>
      <c r="Q108" s="384">
        <v>8110</v>
      </c>
      <c r="R108" s="271">
        <f t="shared" si="8"/>
        <v>0</v>
      </c>
      <c r="S108" s="339">
        <f t="shared" si="10"/>
        <v>0</v>
      </c>
      <c r="T108" s="373"/>
      <c r="U108" s="373">
        <f>FA!H$99</f>
        <v>0</v>
      </c>
      <c r="V108" s="274"/>
      <c r="W108" s="374"/>
      <c r="X108" s="375"/>
      <c r="Y108" s="45" t="s">
        <v>624</v>
      </c>
      <c r="Z108" s="376"/>
      <c r="AA108" s="240"/>
      <c r="AB108" s="345">
        <v>1</v>
      </c>
      <c r="AC108" s="271"/>
      <c r="AD108" s="272"/>
      <c r="AE108" s="273"/>
      <c r="AF108" s="273"/>
      <c r="AG108" s="274"/>
      <c r="AH108" s="275"/>
      <c r="AI108" s="272"/>
      <c r="AJ108" s="276"/>
      <c r="AK108" s="277"/>
      <c r="AL108" s="278"/>
      <c r="AM108" s="277"/>
      <c r="AN108" s="279"/>
      <c r="AO108" s="279"/>
      <c r="AP108" s="279"/>
      <c r="AQ108" s="378"/>
      <c r="AR108" s="305">
        <f>'预算书-初步'!$F$10</f>
        <v>0.09</v>
      </c>
      <c r="AT108" s="272"/>
      <c r="BC108" s="272" t="s">
        <v>521</v>
      </c>
      <c r="BD108" s="380">
        <v>1088</v>
      </c>
      <c r="BE108" s="347" t="s">
        <v>522</v>
      </c>
    </row>
    <row r="109" s="52" customFormat="1" ht="15.75" customHeight="1" spans="1:57">
      <c r="A109" s="227"/>
      <c r="B109" s="332"/>
      <c r="C109" s="228"/>
      <c r="D109" s="333"/>
      <c r="E109" s="334"/>
      <c r="F109" s="229"/>
      <c r="G109" s="333"/>
      <c r="H109" s="335"/>
      <c r="I109" s="229"/>
      <c r="J109" s="229"/>
      <c r="K109" s="336"/>
      <c r="L109" s="337"/>
      <c r="M109" s="337"/>
      <c r="N109" s="337"/>
      <c r="O109" s="337"/>
      <c r="P109" s="337"/>
      <c r="Q109" s="384">
        <v>8120</v>
      </c>
      <c r="R109" s="271">
        <f t="shared" si="8"/>
        <v>0</v>
      </c>
      <c r="S109" s="339">
        <f t="shared" si="10"/>
        <v>0</v>
      </c>
      <c r="T109" s="373"/>
      <c r="U109" s="373">
        <f>FA!H$100</f>
        <v>0</v>
      </c>
      <c r="V109" s="274"/>
      <c r="W109" s="374"/>
      <c r="X109" s="375"/>
      <c r="Y109" s="385" t="s">
        <v>625</v>
      </c>
      <c r="Z109" s="376"/>
      <c r="AA109" s="240"/>
      <c r="AB109" s="345">
        <v>1</v>
      </c>
      <c r="AC109" s="271"/>
      <c r="AD109" s="272"/>
      <c r="AE109" s="273"/>
      <c r="AF109" s="273"/>
      <c r="AG109" s="274"/>
      <c r="AH109" s="275"/>
      <c r="AI109" s="272"/>
      <c r="AJ109" s="276"/>
      <c r="AK109" s="277"/>
      <c r="AL109" s="278"/>
      <c r="AM109" s="277"/>
      <c r="AN109" s="279"/>
      <c r="AO109" s="279"/>
      <c r="AP109" s="279"/>
      <c r="AQ109" s="378"/>
      <c r="AR109" s="305">
        <f>'预算书-初步'!$F$10</f>
        <v>0.09</v>
      </c>
      <c r="AT109" s="272"/>
      <c r="BC109" s="272" t="s">
        <v>521</v>
      </c>
      <c r="BD109" s="380">
        <v>1089</v>
      </c>
      <c r="BE109" s="347" t="s">
        <v>522</v>
      </c>
    </row>
    <row r="110" s="52" customFormat="1" ht="15.75" customHeight="1" spans="1:57">
      <c r="A110" s="227"/>
      <c r="B110" s="332"/>
      <c r="C110" s="228"/>
      <c r="D110" s="333"/>
      <c r="E110" s="334"/>
      <c r="F110" s="229"/>
      <c r="G110" s="333"/>
      <c r="H110" s="335"/>
      <c r="I110" s="229"/>
      <c r="J110" s="229"/>
      <c r="K110" s="336"/>
      <c r="L110" s="337"/>
      <c r="M110" s="337"/>
      <c r="N110" s="337"/>
      <c r="O110" s="337"/>
      <c r="P110" s="337"/>
      <c r="Q110" s="384">
        <v>8130</v>
      </c>
      <c r="R110" s="271">
        <f t="shared" si="8"/>
        <v>0</v>
      </c>
      <c r="S110" s="339">
        <f t="shared" si="10"/>
        <v>0</v>
      </c>
      <c r="T110" s="373"/>
      <c r="U110" s="373">
        <f>FA!H$101</f>
        <v>0</v>
      </c>
      <c r="V110" s="274"/>
      <c r="W110" s="374"/>
      <c r="X110" s="375"/>
      <c r="Y110" s="365" t="s">
        <v>626</v>
      </c>
      <c r="Z110" s="376"/>
      <c r="AA110" s="240"/>
      <c r="AB110" s="345">
        <v>1</v>
      </c>
      <c r="AC110" s="271"/>
      <c r="AD110" s="272"/>
      <c r="AE110" s="273"/>
      <c r="AF110" s="273"/>
      <c r="AG110" s="274"/>
      <c r="AH110" s="275"/>
      <c r="AI110" s="272"/>
      <c r="AJ110" s="276"/>
      <c r="AK110" s="277"/>
      <c r="AL110" s="278"/>
      <c r="AM110" s="277"/>
      <c r="AN110" s="279"/>
      <c r="AO110" s="279"/>
      <c r="AP110" s="279"/>
      <c r="AQ110" s="378"/>
      <c r="AR110" s="305">
        <f>'预算书-初步'!$F$10</f>
        <v>0.09</v>
      </c>
      <c r="AT110" s="272"/>
      <c r="BC110" s="272" t="s">
        <v>521</v>
      </c>
      <c r="BD110" s="380">
        <v>1090</v>
      </c>
      <c r="BE110" s="347" t="s">
        <v>522</v>
      </c>
    </row>
    <row r="111" s="52" customFormat="1" ht="15.75" customHeight="1" spans="1:57">
      <c r="A111" s="227"/>
      <c r="B111" s="332"/>
      <c r="C111" s="228"/>
      <c r="D111" s="333"/>
      <c r="E111" s="334"/>
      <c r="F111" s="229"/>
      <c r="G111" s="333"/>
      <c r="H111" s="335"/>
      <c r="I111" s="229"/>
      <c r="J111" s="229"/>
      <c r="K111" s="336"/>
      <c r="L111" s="337"/>
      <c r="M111" s="337"/>
      <c r="N111" s="337"/>
      <c r="O111" s="337"/>
      <c r="P111" s="337"/>
      <c r="Q111" s="384">
        <v>8140</v>
      </c>
      <c r="R111" s="271">
        <f t="shared" si="8"/>
        <v>0</v>
      </c>
      <c r="S111" s="339">
        <f t="shared" si="10"/>
        <v>0</v>
      </c>
      <c r="T111" s="373"/>
      <c r="U111" s="373">
        <f>FA!H$102</f>
        <v>0</v>
      </c>
      <c r="V111" s="274"/>
      <c r="W111" s="374"/>
      <c r="X111" s="375"/>
      <c r="Y111" s="385" t="s">
        <v>627</v>
      </c>
      <c r="Z111" s="376"/>
      <c r="AA111" s="240"/>
      <c r="AB111" s="345">
        <v>1</v>
      </c>
      <c r="AC111" s="271"/>
      <c r="AD111" s="272"/>
      <c r="AE111" s="273"/>
      <c r="AF111" s="273"/>
      <c r="AG111" s="274"/>
      <c r="AH111" s="275"/>
      <c r="AI111" s="272"/>
      <c r="AJ111" s="276"/>
      <c r="AK111" s="277"/>
      <c r="AL111" s="278"/>
      <c r="AM111" s="277"/>
      <c r="AN111" s="279"/>
      <c r="AO111" s="279"/>
      <c r="AP111" s="279"/>
      <c r="AQ111" s="378"/>
      <c r="AR111" s="305">
        <f>'预算书-初步'!$F$10</f>
        <v>0.09</v>
      </c>
      <c r="AT111" s="272"/>
      <c r="BC111" s="272" t="s">
        <v>521</v>
      </c>
      <c r="BD111" s="380">
        <v>1091</v>
      </c>
      <c r="BE111" s="347" t="s">
        <v>522</v>
      </c>
    </row>
    <row r="112" s="52" customFormat="1" ht="15.75" customHeight="1" spans="1:57">
      <c r="A112" s="227"/>
      <c r="B112" s="332"/>
      <c r="C112" s="228"/>
      <c r="D112" s="333"/>
      <c r="E112" s="334"/>
      <c r="F112" s="229"/>
      <c r="G112" s="333"/>
      <c r="H112" s="335"/>
      <c r="I112" s="229"/>
      <c r="J112" s="229"/>
      <c r="K112" s="336"/>
      <c r="L112" s="337"/>
      <c r="M112" s="337"/>
      <c r="N112" s="337"/>
      <c r="O112" s="337"/>
      <c r="P112" s="337"/>
      <c r="Q112" s="384">
        <v>8150</v>
      </c>
      <c r="R112" s="271">
        <f t="shared" si="8"/>
        <v>0</v>
      </c>
      <c r="S112" s="339">
        <f t="shared" si="10"/>
        <v>0</v>
      </c>
      <c r="T112" s="373"/>
      <c r="U112" s="373">
        <f>FA!H$103</f>
        <v>0</v>
      </c>
      <c r="V112" s="274"/>
      <c r="W112" s="374"/>
      <c r="X112" s="375"/>
      <c r="Y112" s="365" t="s">
        <v>628</v>
      </c>
      <c r="Z112" s="376"/>
      <c r="AA112" s="240"/>
      <c r="AB112" s="345">
        <v>1</v>
      </c>
      <c r="AC112" s="271"/>
      <c r="AD112" s="272"/>
      <c r="AE112" s="273"/>
      <c r="AF112" s="273"/>
      <c r="AG112" s="274"/>
      <c r="AH112" s="275"/>
      <c r="AI112" s="272"/>
      <c r="AJ112" s="276"/>
      <c r="AK112" s="277"/>
      <c r="AL112" s="278"/>
      <c r="AM112" s="277"/>
      <c r="AN112" s="279"/>
      <c r="AO112" s="279"/>
      <c r="AP112" s="279"/>
      <c r="AQ112" s="378"/>
      <c r="AR112" s="305">
        <f>'预算书-初步'!$F$10</f>
        <v>0.09</v>
      </c>
      <c r="AT112" s="272"/>
      <c r="BC112" s="272" t="s">
        <v>521</v>
      </c>
      <c r="BD112" s="380">
        <v>1092</v>
      </c>
      <c r="BE112" s="347" t="s">
        <v>522</v>
      </c>
    </row>
    <row r="113" s="52" customFormat="1" ht="15.75" customHeight="1" spans="1:57">
      <c r="A113" s="227"/>
      <c r="B113" s="332"/>
      <c r="C113" s="228"/>
      <c r="D113" s="333"/>
      <c r="E113" s="334"/>
      <c r="F113" s="229"/>
      <c r="G113" s="333"/>
      <c r="H113" s="335"/>
      <c r="I113" s="229"/>
      <c r="J113" s="229"/>
      <c r="K113" s="336"/>
      <c r="L113" s="337"/>
      <c r="M113" s="337"/>
      <c r="N113" s="337"/>
      <c r="O113" s="337"/>
      <c r="P113" s="337"/>
      <c r="Q113" s="384">
        <v>8160</v>
      </c>
      <c r="R113" s="271">
        <f t="shared" si="8"/>
        <v>0</v>
      </c>
      <c r="S113" s="339">
        <f t="shared" si="10"/>
        <v>0</v>
      </c>
      <c r="T113" s="373"/>
      <c r="U113" s="373">
        <f>FA!H$104</f>
        <v>0</v>
      </c>
      <c r="V113" s="274"/>
      <c r="W113" s="374"/>
      <c r="X113" s="375"/>
      <c r="Y113" s="365" t="s">
        <v>629</v>
      </c>
      <c r="Z113" s="376"/>
      <c r="AA113" s="240"/>
      <c r="AB113" s="345">
        <v>1</v>
      </c>
      <c r="AC113" s="271"/>
      <c r="AD113" s="272"/>
      <c r="AE113" s="273"/>
      <c r="AF113" s="273"/>
      <c r="AG113" s="274"/>
      <c r="AH113" s="275"/>
      <c r="AI113" s="272"/>
      <c r="AJ113" s="276"/>
      <c r="AK113" s="277"/>
      <c r="AL113" s="278"/>
      <c r="AM113" s="277"/>
      <c r="AN113" s="279"/>
      <c r="AO113" s="279"/>
      <c r="AP113" s="279"/>
      <c r="AQ113" s="378"/>
      <c r="AR113" s="305">
        <f>'预算书-初步'!$F$10</f>
        <v>0.09</v>
      </c>
      <c r="AT113" s="272"/>
      <c r="BC113" s="272" t="s">
        <v>521</v>
      </c>
      <c r="BD113" s="380">
        <v>1093</v>
      </c>
      <c r="BE113" s="347" t="s">
        <v>522</v>
      </c>
    </row>
    <row r="114" s="52" customFormat="1" ht="15.75" customHeight="1" spans="1:57">
      <c r="A114" s="227"/>
      <c r="B114" s="332"/>
      <c r="C114" s="228"/>
      <c r="D114" s="333"/>
      <c r="E114" s="334"/>
      <c r="F114" s="229"/>
      <c r="G114" s="333"/>
      <c r="H114" s="335"/>
      <c r="I114" s="229"/>
      <c r="J114" s="229"/>
      <c r="K114" s="336"/>
      <c r="L114" s="337"/>
      <c r="M114" s="337"/>
      <c r="N114" s="337"/>
      <c r="O114" s="337"/>
      <c r="P114" s="337"/>
      <c r="Q114" s="384">
        <v>8170</v>
      </c>
      <c r="R114" s="271">
        <f t="shared" si="8"/>
        <v>0</v>
      </c>
      <c r="S114" s="339">
        <f t="shared" si="10"/>
        <v>0</v>
      </c>
      <c r="T114" s="373"/>
      <c r="U114" s="373">
        <f>FA!H$105</f>
        <v>0</v>
      </c>
      <c r="V114" s="274"/>
      <c r="W114" s="374"/>
      <c r="X114" s="375"/>
      <c r="Y114" s="365" t="s">
        <v>630</v>
      </c>
      <c r="Z114" s="376"/>
      <c r="AA114" s="240"/>
      <c r="AB114" s="345">
        <v>1</v>
      </c>
      <c r="AC114" s="271"/>
      <c r="AD114" s="272"/>
      <c r="AE114" s="273"/>
      <c r="AF114" s="273"/>
      <c r="AG114" s="274"/>
      <c r="AH114" s="275"/>
      <c r="AI114" s="272"/>
      <c r="AJ114" s="276"/>
      <c r="AK114" s="277"/>
      <c r="AL114" s="278"/>
      <c r="AM114" s="277"/>
      <c r="AN114" s="279"/>
      <c r="AO114" s="279"/>
      <c r="AP114" s="279"/>
      <c r="AQ114" s="378"/>
      <c r="AR114" s="305">
        <f>'预算书-初步'!$F$10</f>
        <v>0.09</v>
      </c>
      <c r="AT114" s="272"/>
      <c r="BC114" s="272" t="s">
        <v>521</v>
      </c>
      <c r="BD114" s="380">
        <v>1094</v>
      </c>
      <c r="BE114" s="347" t="s">
        <v>522</v>
      </c>
    </row>
    <row r="115" s="52" customFormat="1" ht="15.75" customHeight="1" spans="1:57">
      <c r="A115" s="227"/>
      <c r="B115" s="332"/>
      <c r="C115" s="228"/>
      <c r="D115" s="333"/>
      <c r="E115" s="334"/>
      <c r="F115" s="229"/>
      <c r="G115" s="333"/>
      <c r="H115" s="335"/>
      <c r="I115" s="229"/>
      <c r="J115" s="229"/>
      <c r="K115" s="336"/>
      <c r="L115" s="337"/>
      <c r="M115" s="337"/>
      <c r="N115" s="337"/>
      <c r="O115" s="337"/>
      <c r="P115" s="337"/>
      <c r="Q115" s="384">
        <v>8180</v>
      </c>
      <c r="R115" s="271">
        <f t="shared" si="8"/>
        <v>0</v>
      </c>
      <c r="S115" s="339">
        <f t="shared" si="10"/>
        <v>0</v>
      </c>
      <c r="T115" s="373"/>
      <c r="U115" s="373">
        <f>FA!H$106</f>
        <v>0</v>
      </c>
      <c r="V115" s="274"/>
      <c r="W115" s="374"/>
      <c r="X115" s="375"/>
      <c r="Y115" s="386" t="s">
        <v>631</v>
      </c>
      <c r="Z115" s="376"/>
      <c r="AA115" s="240"/>
      <c r="AB115" s="345">
        <v>1</v>
      </c>
      <c r="AC115" s="271"/>
      <c r="AD115" s="272"/>
      <c r="AE115" s="273"/>
      <c r="AF115" s="273"/>
      <c r="AG115" s="274"/>
      <c r="AH115" s="275"/>
      <c r="AI115" s="272"/>
      <c r="AJ115" s="276"/>
      <c r="AK115" s="277"/>
      <c r="AL115" s="278"/>
      <c r="AM115" s="277"/>
      <c r="AN115" s="279"/>
      <c r="AO115" s="279"/>
      <c r="AP115" s="279"/>
      <c r="AQ115" s="378"/>
      <c r="AR115" s="305">
        <f>'预算书-初步'!$F$10</f>
        <v>0.09</v>
      </c>
      <c r="AT115" s="272"/>
      <c r="BC115" s="272" t="s">
        <v>521</v>
      </c>
      <c r="BD115" s="380">
        <v>1095</v>
      </c>
      <c r="BE115" s="347" t="s">
        <v>522</v>
      </c>
    </row>
    <row r="116" s="52" customFormat="1" ht="15.75" customHeight="1" spans="1:57">
      <c r="A116" s="227"/>
      <c r="B116" s="332"/>
      <c r="C116" s="228"/>
      <c r="D116" s="333"/>
      <c r="E116" s="334"/>
      <c r="F116" s="229"/>
      <c r="G116" s="333"/>
      <c r="H116" s="335"/>
      <c r="I116" s="229"/>
      <c r="J116" s="229"/>
      <c r="K116" s="336"/>
      <c r="L116" s="337"/>
      <c r="M116" s="337"/>
      <c r="N116" s="337"/>
      <c r="O116" s="337"/>
      <c r="P116" s="337"/>
      <c r="Q116" s="384">
        <v>8190</v>
      </c>
      <c r="R116" s="271">
        <f t="shared" si="8"/>
        <v>0</v>
      </c>
      <c r="S116" s="339">
        <f t="shared" si="10"/>
        <v>0</v>
      </c>
      <c r="T116" s="373"/>
      <c r="U116" s="373">
        <f>FA!H$107</f>
        <v>0</v>
      </c>
      <c r="V116" s="274"/>
      <c r="W116" s="374"/>
      <c r="X116" s="375"/>
      <c r="Y116" s="45" t="s">
        <v>632</v>
      </c>
      <c r="Z116" s="376"/>
      <c r="AA116" s="240"/>
      <c r="AB116" s="345">
        <v>1</v>
      </c>
      <c r="AC116" s="271"/>
      <c r="AD116" s="272"/>
      <c r="AE116" s="273"/>
      <c r="AF116" s="273"/>
      <c r="AG116" s="274"/>
      <c r="AH116" s="275"/>
      <c r="AI116" s="272"/>
      <c r="AJ116" s="276"/>
      <c r="AK116" s="277"/>
      <c r="AL116" s="278"/>
      <c r="AM116" s="277"/>
      <c r="AN116" s="279"/>
      <c r="AO116" s="279"/>
      <c r="AP116" s="279"/>
      <c r="AQ116" s="378"/>
      <c r="AR116" s="305">
        <f>'预算书-初步'!$F$10</f>
        <v>0.09</v>
      </c>
      <c r="AT116" s="272"/>
      <c r="BC116" s="272" t="s">
        <v>521</v>
      </c>
      <c r="BD116" s="380">
        <v>1096</v>
      </c>
      <c r="BE116" s="347" t="s">
        <v>522</v>
      </c>
    </row>
    <row r="117" s="52" customFormat="1" ht="15.75" customHeight="1" spans="1:57">
      <c r="A117" s="227"/>
      <c r="B117" s="332"/>
      <c r="C117" s="228"/>
      <c r="D117" s="333"/>
      <c r="E117" s="334"/>
      <c r="F117" s="229"/>
      <c r="G117" s="333"/>
      <c r="H117" s="335"/>
      <c r="I117" s="229"/>
      <c r="J117" s="229"/>
      <c r="K117" s="336"/>
      <c r="L117" s="337"/>
      <c r="M117" s="337"/>
      <c r="N117" s="337"/>
      <c r="O117" s="337"/>
      <c r="P117" s="337"/>
      <c r="Q117" s="46">
        <v>8210</v>
      </c>
      <c r="R117" s="271">
        <f t="shared" si="8"/>
        <v>0</v>
      </c>
      <c r="S117" s="292">
        <f t="shared" si="10"/>
        <v>0</v>
      </c>
      <c r="T117" s="370"/>
      <c r="U117" s="370">
        <f>SUMIF(其他!$A$9:$A$65,$Q117,其他!$E$9:$E$65)</f>
        <v>0</v>
      </c>
      <c r="V117" s="274"/>
      <c r="W117" s="371"/>
      <c r="X117" s="276"/>
      <c r="Y117" s="45" t="s">
        <v>633</v>
      </c>
      <c r="Z117" s="376"/>
      <c r="AA117" s="240"/>
      <c r="AB117" s="345">
        <v>1</v>
      </c>
      <c r="AC117" s="271"/>
      <c r="AD117" s="272"/>
      <c r="AE117" s="273"/>
      <c r="AF117" s="273"/>
      <c r="AG117" s="274"/>
      <c r="AH117" s="275"/>
      <c r="AI117" s="272"/>
      <c r="AJ117" s="276"/>
      <c r="AK117" s="277"/>
      <c r="AL117" s="278"/>
      <c r="AM117" s="277"/>
      <c r="AN117" s="279"/>
      <c r="AO117" s="279"/>
      <c r="AP117" s="279"/>
      <c r="AQ117" s="378"/>
      <c r="AR117" s="305">
        <f>'预算书-初步'!$F$10</f>
        <v>0.09</v>
      </c>
      <c r="AT117" s="272"/>
      <c r="BC117" s="272" t="s">
        <v>521</v>
      </c>
      <c r="BD117" s="382">
        <v>1098</v>
      </c>
      <c r="BE117" s="383" t="s">
        <v>522</v>
      </c>
    </row>
    <row r="118" s="52" customFormat="1" ht="15.75" customHeight="1" spans="1:57">
      <c r="A118" s="227"/>
      <c r="B118" s="332"/>
      <c r="C118" s="228"/>
      <c r="D118" s="333"/>
      <c r="E118" s="334"/>
      <c r="F118" s="229"/>
      <c r="G118" s="333"/>
      <c r="H118" s="335"/>
      <c r="I118" s="229"/>
      <c r="J118" s="229"/>
      <c r="K118" s="336"/>
      <c r="L118" s="337"/>
      <c r="M118" s="337"/>
      <c r="N118" s="337"/>
      <c r="O118" s="337"/>
      <c r="P118" s="337"/>
      <c r="Q118" s="387">
        <v>8220</v>
      </c>
      <c r="R118" s="271">
        <f t="shared" si="8"/>
        <v>0</v>
      </c>
      <c r="S118" s="292">
        <f t="shared" si="10"/>
        <v>0</v>
      </c>
      <c r="T118" s="370"/>
      <c r="U118" s="370">
        <f>SUMIF(其他!$A$9:$A$65,$Q118,其他!$E$9:$E$65)</f>
        <v>0</v>
      </c>
      <c r="V118" s="274"/>
      <c r="W118" s="371"/>
      <c r="X118" s="276"/>
      <c r="Y118" s="45" t="s">
        <v>634</v>
      </c>
      <c r="Z118" s="376"/>
      <c r="AA118" s="240"/>
      <c r="AB118" s="345">
        <v>1</v>
      </c>
      <c r="AC118" s="271"/>
      <c r="AD118" s="272"/>
      <c r="AE118" s="273"/>
      <c r="AF118" s="273"/>
      <c r="AG118" s="274"/>
      <c r="AH118" s="275"/>
      <c r="AI118" s="272"/>
      <c r="AJ118" s="276"/>
      <c r="AK118" s="277"/>
      <c r="AL118" s="278"/>
      <c r="AM118" s="277"/>
      <c r="AN118" s="279"/>
      <c r="AO118" s="279"/>
      <c r="AP118" s="279"/>
      <c r="AQ118" s="378"/>
      <c r="AR118" s="305">
        <f>'预算书-初步'!$F$10</f>
        <v>0.09</v>
      </c>
      <c r="AT118" s="272"/>
      <c r="BC118" s="272" t="s">
        <v>521</v>
      </c>
      <c r="BD118" s="382">
        <v>1098</v>
      </c>
      <c r="BE118" s="383" t="s">
        <v>522</v>
      </c>
    </row>
    <row r="119" s="52" customFormat="1" ht="15.75" customHeight="1" spans="1:57">
      <c r="A119" s="227"/>
      <c r="B119" s="332"/>
      <c r="C119" s="228"/>
      <c r="D119" s="333"/>
      <c r="E119" s="334"/>
      <c r="F119" s="229"/>
      <c r="G119" s="333"/>
      <c r="H119" s="335"/>
      <c r="I119" s="229"/>
      <c r="J119" s="229"/>
      <c r="K119" s="336"/>
      <c r="L119" s="337"/>
      <c r="M119" s="337"/>
      <c r="N119" s="337"/>
      <c r="O119" s="337"/>
      <c r="P119" s="337"/>
      <c r="Q119" s="387">
        <v>8230</v>
      </c>
      <c r="R119" s="271">
        <f t="shared" si="8"/>
        <v>0</v>
      </c>
      <c r="S119" s="292">
        <f t="shared" si="10"/>
        <v>0</v>
      </c>
      <c r="T119" s="370"/>
      <c r="U119" s="370">
        <f>SUMIF(其他!$A$9:$A$65,$Q119,其他!$E$9:$E$65)</f>
        <v>0</v>
      </c>
      <c r="V119" s="274"/>
      <c r="W119" s="371"/>
      <c r="X119" s="276"/>
      <c r="Y119" s="45" t="s">
        <v>635</v>
      </c>
      <c r="Z119" s="376"/>
      <c r="AA119" s="240"/>
      <c r="AB119" s="345">
        <v>1</v>
      </c>
      <c r="AC119" s="271"/>
      <c r="AD119" s="272"/>
      <c r="AE119" s="273"/>
      <c r="AF119" s="273"/>
      <c r="AG119" s="274"/>
      <c r="AH119" s="275"/>
      <c r="AI119" s="272"/>
      <c r="AJ119" s="276"/>
      <c r="AK119" s="277"/>
      <c r="AL119" s="278"/>
      <c r="AM119" s="277"/>
      <c r="AN119" s="279"/>
      <c r="AO119" s="279"/>
      <c r="AP119" s="279"/>
      <c r="AQ119" s="378"/>
      <c r="AR119" s="305">
        <f>'预算书-初步'!$F$10</f>
        <v>0.09</v>
      </c>
      <c r="AT119" s="272"/>
      <c r="BC119" s="272" t="s">
        <v>521</v>
      </c>
      <c r="BD119" s="382">
        <v>1098</v>
      </c>
      <c r="BE119" s="383" t="s">
        <v>522</v>
      </c>
    </row>
    <row r="120" s="52" customFormat="1" ht="15.75" customHeight="1" spans="1:57">
      <c r="A120" s="227"/>
      <c r="B120" s="332"/>
      <c r="C120" s="228"/>
      <c r="D120" s="333"/>
      <c r="E120" s="334"/>
      <c r="F120" s="229"/>
      <c r="G120" s="333"/>
      <c r="H120" s="335"/>
      <c r="I120" s="229"/>
      <c r="J120" s="229"/>
      <c r="K120" s="336"/>
      <c r="L120" s="337"/>
      <c r="M120" s="337"/>
      <c r="N120" s="337"/>
      <c r="O120" s="337"/>
      <c r="P120" s="337"/>
      <c r="Q120" s="381">
        <v>8240</v>
      </c>
      <c r="R120" s="271">
        <f t="shared" si="8"/>
        <v>0</v>
      </c>
      <c r="S120" s="339">
        <f t="shared" si="10"/>
        <v>0</v>
      </c>
      <c r="T120" s="373"/>
      <c r="U120" s="373">
        <f>FA!H$110</f>
        <v>0</v>
      </c>
      <c r="V120" s="274"/>
      <c r="W120" s="374"/>
      <c r="X120" s="375"/>
      <c r="Y120" s="45" t="s">
        <v>636</v>
      </c>
      <c r="Z120" s="376"/>
      <c r="AA120" s="240"/>
      <c r="AB120" s="345">
        <v>1</v>
      </c>
      <c r="AC120" s="271"/>
      <c r="AD120" s="272"/>
      <c r="AE120" s="273"/>
      <c r="AF120" s="273"/>
      <c r="AG120" s="274"/>
      <c r="AH120" s="275"/>
      <c r="AI120" s="272"/>
      <c r="AJ120" s="276"/>
      <c r="AK120" s="277"/>
      <c r="AL120" s="278"/>
      <c r="AM120" s="277"/>
      <c r="AN120" s="279"/>
      <c r="AO120" s="279"/>
      <c r="AP120" s="279"/>
      <c r="AQ120" s="378"/>
      <c r="AR120" s="305">
        <f>'预算书-初步'!$F$10</f>
        <v>0.09</v>
      </c>
      <c r="AT120" s="272"/>
      <c r="BC120" s="272" t="s">
        <v>521</v>
      </c>
      <c r="BD120" s="380">
        <v>1099</v>
      </c>
      <c r="BE120" s="347" t="s">
        <v>522</v>
      </c>
    </row>
    <row r="121" s="52" customFormat="1" ht="15.75" customHeight="1" spans="1:57">
      <c r="A121" s="227"/>
      <c r="B121" s="332"/>
      <c r="C121" s="228"/>
      <c r="D121" s="333"/>
      <c r="E121" s="334"/>
      <c r="F121" s="229"/>
      <c r="G121" s="333"/>
      <c r="H121" s="335"/>
      <c r="I121" s="229"/>
      <c r="J121" s="229"/>
      <c r="K121" s="336"/>
      <c r="L121" s="337"/>
      <c r="M121" s="337"/>
      <c r="N121" s="337"/>
      <c r="O121" s="337"/>
      <c r="P121" s="337"/>
      <c r="Q121" s="381">
        <v>8250</v>
      </c>
      <c r="R121" s="271">
        <f t="shared" si="8"/>
        <v>0</v>
      </c>
      <c r="S121" s="339">
        <f t="shared" si="10"/>
        <v>0</v>
      </c>
      <c r="T121" s="373"/>
      <c r="U121" s="373">
        <f>FA!H$111</f>
        <v>0</v>
      </c>
      <c r="V121" s="274"/>
      <c r="W121" s="374"/>
      <c r="X121" s="375"/>
      <c r="Y121" s="45" t="s">
        <v>637</v>
      </c>
      <c r="Z121" s="376"/>
      <c r="AA121" s="240"/>
      <c r="AB121" s="345">
        <v>1</v>
      </c>
      <c r="AC121" s="271"/>
      <c r="AD121" s="272"/>
      <c r="AE121" s="273"/>
      <c r="AF121" s="273"/>
      <c r="AG121" s="274"/>
      <c r="AH121" s="275"/>
      <c r="AI121" s="272"/>
      <c r="AJ121" s="276"/>
      <c r="AK121" s="277"/>
      <c r="AL121" s="278"/>
      <c r="AM121" s="277"/>
      <c r="AN121" s="279"/>
      <c r="AO121" s="279"/>
      <c r="AP121" s="279"/>
      <c r="AQ121" s="378"/>
      <c r="AR121" s="305">
        <f>'预算书-初步'!$F$10</f>
        <v>0.09</v>
      </c>
      <c r="AT121" s="272"/>
      <c r="BC121" s="272" t="s">
        <v>521</v>
      </c>
      <c r="BD121" s="380">
        <v>1100</v>
      </c>
      <c r="BE121" s="347" t="s">
        <v>522</v>
      </c>
    </row>
    <row r="122" s="52" customFormat="1" ht="15.75" customHeight="1" spans="1:57">
      <c r="A122" s="227"/>
      <c r="B122" s="332"/>
      <c r="C122" s="228"/>
      <c r="D122" s="333"/>
      <c r="E122" s="334"/>
      <c r="F122" s="229"/>
      <c r="G122" s="333"/>
      <c r="H122" s="335"/>
      <c r="I122" s="229"/>
      <c r="J122" s="229"/>
      <c r="K122" s="336"/>
      <c r="L122" s="337"/>
      <c r="M122" s="337"/>
      <c r="N122" s="337"/>
      <c r="O122" s="337"/>
      <c r="P122" s="337"/>
      <c r="Q122" s="384">
        <v>8260</v>
      </c>
      <c r="R122" s="271">
        <f t="shared" si="8"/>
        <v>0</v>
      </c>
      <c r="S122" s="339">
        <f t="shared" si="10"/>
        <v>0</v>
      </c>
      <c r="T122" s="373"/>
      <c r="U122" s="373">
        <f>FA!H$112</f>
        <v>0</v>
      </c>
      <c r="V122" s="274"/>
      <c r="W122" s="374"/>
      <c r="X122" s="375"/>
      <c r="Y122" s="45" t="s">
        <v>638</v>
      </c>
      <c r="Z122" s="376"/>
      <c r="AA122" s="240"/>
      <c r="AB122" s="345">
        <v>1</v>
      </c>
      <c r="AC122" s="271"/>
      <c r="AD122" s="272"/>
      <c r="AE122" s="273"/>
      <c r="AF122" s="273"/>
      <c r="AG122" s="274"/>
      <c r="AH122" s="275"/>
      <c r="AI122" s="272"/>
      <c r="AJ122" s="276"/>
      <c r="AK122" s="277"/>
      <c r="AL122" s="278"/>
      <c r="AM122" s="277"/>
      <c r="AN122" s="279"/>
      <c r="AO122" s="279"/>
      <c r="AP122" s="279"/>
      <c r="AQ122" s="378"/>
      <c r="AR122" s="305">
        <f>'预算书-初步'!$F$10</f>
        <v>0.09</v>
      </c>
      <c r="AT122" s="272"/>
      <c r="BC122" s="272" t="s">
        <v>521</v>
      </c>
      <c r="BD122" s="380">
        <v>1101</v>
      </c>
      <c r="BE122" s="347" t="s">
        <v>522</v>
      </c>
    </row>
    <row r="123" s="52" customFormat="1" ht="15.75" customHeight="1" spans="1:57">
      <c r="A123" s="227"/>
      <c r="B123" s="332"/>
      <c r="C123" s="228"/>
      <c r="D123" s="333"/>
      <c r="E123" s="334"/>
      <c r="F123" s="229"/>
      <c r="G123" s="333"/>
      <c r="H123" s="335"/>
      <c r="I123" s="229"/>
      <c r="J123" s="229"/>
      <c r="K123" s="336"/>
      <c r="L123" s="337"/>
      <c r="M123" s="337"/>
      <c r="N123" s="337"/>
      <c r="O123" s="337"/>
      <c r="P123" s="337"/>
      <c r="Q123" s="384">
        <v>8431</v>
      </c>
      <c r="R123" s="271">
        <f t="shared" si="8"/>
        <v>0</v>
      </c>
      <c r="S123" s="339">
        <f t="shared" si="10"/>
        <v>0</v>
      </c>
      <c r="T123" s="373"/>
      <c r="U123" s="373">
        <f>SUMIF(其他!$A$9:$A$65,$Q123,其他!$E$9:$E$65)</f>
        <v>0</v>
      </c>
      <c r="V123" s="274"/>
      <c r="W123" s="374"/>
      <c r="X123" s="375"/>
      <c r="Y123" s="45" t="s">
        <v>639</v>
      </c>
      <c r="Z123" s="376"/>
      <c r="AA123" s="240"/>
      <c r="AB123" s="345">
        <v>1</v>
      </c>
      <c r="AC123" s="271"/>
      <c r="AD123" s="272"/>
      <c r="AE123" s="273"/>
      <c r="AF123" s="273"/>
      <c r="AG123" s="274"/>
      <c r="AH123" s="275"/>
      <c r="AI123" s="272"/>
      <c r="AJ123" s="276"/>
      <c r="AK123" s="277"/>
      <c r="AL123" s="278"/>
      <c r="AM123" s="277"/>
      <c r="AN123" s="279"/>
      <c r="AO123" s="279"/>
      <c r="AP123" s="279"/>
      <c r="AQ123" s="378"/>
      <c r="AR123" s="305">
        <f>'预算书-初步'!$F$10</f>
        <v>0.09</v>
      </c>
      <c r="AT123" s="272"/>
      <c r="BC123" s="272" t="s">
        <v>521</v>
      </c>
      <c r="BD123" s="380">
        <v>1102</v>
      </c>
      <c r="BE123" s="347" t="s">
        <v>522</v>
      </c>
    </row>
    <row r="124" s="52" customFormat="1" ht="15.75" customHeight="1" spans="1:57">
      <c r="A124" s="227"/>
      <c r="B124" s="332"/>
      <c r="C124" s="228"/>
      <c r="D124" s="333"/>
      <c r="E124" s="334"/>
      <c r="F124" s="229"/>
      <c r="G124" s="333"/>
      <c r="H124" s="335"/>
      <c r="I124" s="229"/>
      <c r="J124" s="229"/>
      <c r="K124" s="336"/>
      <c r="L124" s="337"/>
      <c r="M124" s="337"/>
      <c r="N124" s="337"/>
      <c r="O124" s="337"/>
      <c r="P124" s="337"/>
      <c r="Q124" s="384">
        <v>8432</v>
      </c>
      <c r="R124" s="271">
        <f t="shared" si="8"/>
        <v>0</v>
      </c>
      <c r="S124" s="339">
        <f t="shared" si="10"/>
        <v>0</v>
      </c>
      <c r="T124" s="373"/>
      <c r="U124" s="373">
        <f>SUMIF(其他!$A$9:$A$65,$Q124,其他!$E$9:$E$65)</f>
        <v>0</v>
      </c>
      <c r="V124" s="274"/>
      <c r="W124" s="374"/>
      <c r="X124" s="375"/>
      <c r="Y124" s="45" t="s">
        <v>640</v>
      </c>
      <c r="Z124" s="376"/>
      <c r="AA124" s="240"/>
      <c r="AB124" s="345">
        <v>1</v>
      </c>
      <c r="AC124" s="271"/>
      <c r="AD124" s="272"/>
      <c r="AE124" s="273"/>
      <c r="AF124" s="273"/>
      <c r="AG124" s="274"/>
      <c r="AH124" s="275"/>
      <c r="AI124" s="272"/>
      <c r="AJ124" s="276"/>
      <c r="AK124" s="277"/>
      <c r="AL124" s="278"/>
      <c r="AM124" s="277"/>
      <c r="AN124" s="279"/>
      <c r="AO124" s="279"/>
      <c r="AP124" s="279"/>
      <c r="AQ124" s="378"/>
      <c r="AR124" s="305">
        <f>'预算书-初步'!$F$10</f>
        <v>0.09</v>
      </c>
      <c r="AT124" s="272"/>
      <c r="BC124" s="272" t="s">
        <v>521</v>
      </c>
      <c r="BD124" s="380">
        <v>1102</v>
      </c>
      <c r="BE124" s="347" t="s">
        <v>522</v>
      </c>
    </row>
    <row r="125" s="52" customFormat="1" ht="15.75" customHeight="1" spans="1:57">
      <c r="A125" s="227"/>
      <c r="B125" s="332"/>
      <c r="C125" s="228"/>
      <c r="D125" s="333"/>
      <c r="E125" s="334"/>
      <c r="F125" s="229"/>
      <c r="G125" s="333"/>
      <c r="H125" s="335"/>
      <c r="I125" s="229"/>
      <c r="J125" s="229"/>
      <c r="K125" s="336"/>
      <c r="L125" s="337"/>
      <c r="M125" s="337"/>
      <c r="N125" s="337"/>
      <c r="O125" s="337"/>
      <c r="P125" s="337"/>
      <c r="Q125" s="384">
        <v>8433</v>
      </c>
      <c r="R125" s="271">
        <f t="shared" si="8"/>
        <v>0</v>
      </c>
      <c r="S125" s="339">
        <f t="shared" si="10"/>
        <v>0</v>
      </c>
      <c r="T125" s="373"/>
      <c r="U125" s="373">
        <f>SUMIF(其他!$A$9:$A$65,$Q125,其他!$E$9:$E$65)</f>
        <v>0</v>
      </c>
      <c r="V125" s="274"/>
      <c r="W125" s="374"/>
      <c r="X125" s="375"/>
      <c r="Y125" s="45" t="s">
        <v>641</v>
      </c>
      <c r="Z125" s="376"/>
      <c r="AA125" s="240"/>
      <c r="AB125" s="345">
        <v>1</v>
      </c>
      <c r="AC125" s="271"/>
      <c r="AD125" s="272"/>
      <c r="AE125" s="273"/>
      <c r="AF125" s="273"/>
      <c r="AG125" s="274"/>
      <c r="AH125" s="275"/>
      <c r="AI125" s="272"/>
      <c r="AJ125" s="276"/>
      <c r="AK125" s="277"/>
      <c r="AL125" s="278"/>
      <c r="AM125" s="277"/>
      <c r="AN125" s="279"/>
      <c r="AO125" s="279"/>
      <c r="AP125" s="279"/>
      <c r="AQ125" s="378"/>
      <c r="AR125" s="305">
        <f>'预算书-初步'!$F$10</f>
        <v>0.09</v>
      </c>
      <c r="AT125" s="272"/>
      <c r="BC125" s="272" t="s">
        <v>521</v>
      </c>
      <c r="BD125" s="380">
        <v>1102</v>
      </c>
      <c r="BE125" s="347" t="s">
        <v>522</v>
      </c>
    </row>
    <row r="126" s="52" customFormat="1" ht="15.75" customHeight="1" spans="1:57">
      <c r="A126" s="227"/>
      <c r="B126" s="332"/>
      <c r="C126" s="228"/>
      <c r="D126" s="333"/>
      <c r="E126" s="334"/>
      <c r="F126" s="229"/>
      <c r="G126" s="333"/>
      <c r="H126" s="335"/>
      <c r="I126" s="229"/>
      <c r="J126" s="229"/>
      <c r="K126" s="336"/>
      <c r="L126" s="337"/>
      <c r="M126" s="337"/>
      <c r="N126" s="337"/>
      <c r="O126" s="337"/>
      <c r="P126" s="337"/>
      <c r="Q126" s="384">
        <v>8434</v>
      </c>
      <c r="R126" s="271">
        <f t="shared" si="8"/>
        <v>0</v>
      </c>
      <c r="S126" s="339">
        <f t="shared" si="10"/>
        <v>0</v>
      </c>
      <c r="T126" s="373"/>
      <c r="U126" s="373">
        <f>SUMIF(其他!$A$9:$A$65,$Q126,其他!$E$9:$E$65)</f>
        <v>0</v>
      </c>
      <c r="V126" s="274"/>
      <c r="W126" s="374"/>
      <c r="X126" s="375"/>
      <c r="Y126" s="386" t="s">
        <v>642</v>
      </c>
      <c r="Z126" s="376"/>
      <c r="AA126" s="240"/>
      <c r="AB126" s="345">
        <v>1</v>
      </c>
      <c r="AC126" s="271"/>
      <c r="AD126" s="272"/>
      <c r="AE126" s="273"/>
      <c r="AF126" s="273"/>
      <c r="AG126" s="274"/>
      <c r="AH126" s="275"/>
      <c r="AI126" s="272"/>
      <c r="AJ126" s="276"/>
      <c r="AK126" s="277"/>
      <c r="AL126" s="278"/>
      <c r="AM126" s="277"/>
      <c r="AN126" s="279"/>
      <c r="AO126" s="279"/>
      <c r="AP126" s="279"/>
      <c r="AQ126" s="378"/>
      <c r="AR126" s="305">
        <f>'预算书-初步'!$F$10</f>
        <v>0.09</v>
      </c>
      <c r="AT126" s="272"/>
      <c r="BC126" s="272" t="s">
        <v>521</v>
      </c>
      <c r="BD126" s="380">
        <v>1102</v>
      </c>
      <c r="BE126" s="347" t="s">
        <v>522</v>
      </c>
    </row>
    <row r="127" s="52" customFormat="1" ht="15.75" customHeight="1" spans="1:57">
      <c r="A127" s="227"/>
      <c r="B127" s="332"/>
      <c r="C127" s="228"/>
      <c r="D127" s="333"/>
      <c r="E127" s="334"/>
      <c r="F127" s="229"/>
      <c r="G127" s="333"/>
      <c r="H127" s="335"/>
      <c r="I127" s="229"/>
      <c r="J127" s="229"/>
      <c r="K127" s="336"/>
      <c r="L127" s="337"/>
      <c r="M127" s="337"/>
      <c r="N127" s="337"/>
      <c r="O127" s="337"/>
      <c r="P127" s="337"/>
      <c r="Q127" s="384">
        <v>8435</v>
      </c>
      <c r="R127" s="271">
        <f t="shared" si="8"/>
        <v>0</v>
      </c>
      <c r="S127" s="339">
        <f t="shared" si="10"/>
        <v>0</v>
      </c>
      <c r="T127" s="373"/>
      <c r="U127" s="373">
        <f>SUMIF(其他!$A$9:$A$65,$Q127,其他!$E$9:$E$65)</f>
        <v>0</v>
      </c>
      <c r="V127" s="274"/>
      <c r="W127" s="374"/>
      <c r="X127" s="375"/>
      <c r="Y127" s="385" t="s">
        <v>643</v>
      </c>
      <c r="Z127" s="376"/>
      <c r="AA127" s="240"/>
      <c r="AB127" s="345">
        <v>1</v>
      </c>
      <c r="AC127" s="271"/>
      <c r="AD127" s="272"/>
      <c r="AE127" s="273"/>
      <c r="AF127" s="273"/>
      <c r="AG127" s="274"/>
      <c r="AH127" s="275"/>
      <c r="AI127" s="272"/>
      <c r="AJ127" s="276"/>
      <c r="AK127" s="277"/>
      <c r="AL127" s="278"/>
      <c r="AM127" s="277"/>
      <c r="AN127" s="279"/>
      <c r="AO127" s="279"/>
      <c r="AP127" s="279"/>
      <c r="AQ127" s="378"/>
      <c r="AR127" s="305">
        <f>'预算书-初步'!$F$10</f>
        <v>0.09</v>
      </c>
      <c r="AT127" s="272"/>
      <c r="BC127" s="272" t="s">
        <v>521</v>
      </c>
      <c r="BD127" s="380">
        <v>1102</v>
      </c>
      <c r="BE127" s="347" t="s">
        <v>522</v>
      </c>
    </row>
    <row r="128" s="52" customFormat="1" ht="15.75" customHeight="1" spans="1:57">
      <c r="A128" s="227"/>
      <c r="B128" s="332"/>
      <c r="C128" s="228"/>
      <c r="D128" s="333"/>
      <c r="E128" s="334"/>
      <c r="F128" s="229"/>
      <c r="G128" s="333"/>
      <c r="H128" s="335"/>
      <c r="I128" s="229"/>
      <c r="J128" s="229"/>
      <c r="K128" s="336"/>
      <c r="L128" s="337"/>
      <c r="M128" s="337"/>
      <c r="N128" s="337"/>
      <c r="O128" s="337"/>
      <c r="P128" s="337"/>
      <c r="Q128" s="384">
        <v>8436</v>
      </c>
      <c r="R128" s="271">
        <f t="shared" si="8"/>
        <v>0</v>
      </c>
      <c r="S128" s="339">
        <f t="shared" si="10"/>
        <v>0</v>
      </c>
      <c r="T128" s="373"/>
      <c r="U128" s="373">
        <f>SUMIF(其他!$A$9:$A$65,$Q128,其他!$E$9:$E$65)</f>
        <v>0</v>
      </c>
      <c r="V128" s="274"/>
      <c r="W128" s="374"/>
      <c r="X128" s="375"/>
      <c r="Y128" s="385" t="s">
        <v>644</v>
      </c>
      <c r="Z128" s="376"/>
      <c r="AA128" s="240"/>
      <c r="AB128" s="345">
        <v>1</v>
      </c>
      <c r="AC128" s="271"/>
      <c r="AD128" s="272"/>
      <c r="AE128" s="273"/>
      <c r="AF128" s="273"/>
      <c r="AG128" s="274"/>
      <c r="AH128" s="275"/>
      <c r="AI128" s="272"/>
      <c r="AJ128" s="276"/>
      <c r="AK128" s="277"/>
      <c r="AL128" s="278"/>
      <c r="AM128" s="277"/>
      <c r="AN128" s="279"/>
      <c r="AO128" s="279"/>
      <c r="AP128" s="279"/>
      <c r="AQ128" s="378"/>
      <c r="AR128" s="305">
        <f>'预算书-初步'!$F$10</f>
        <v>0.09</v>
      </c>
      <c r="AT128" s="272"/>
      <c r="BC128" s="272" t="s">
        <v>521</v>
      </c>
      <c r="BD128" s="380">
        <v>1102</v>
      </c>
      <c r="BE128" s="347" t="s">
        <v>522</v>
      </c>
    </row>
    <row r="129" s="52" customFormat="1" ht="15.75" customHeight="1" spans="1:57">
      <c r="A129" s="227"/>
      <c r="B129" s="332"/>
      <c r="C129" s="228"/>
      <c r="D129" s="333"/>
      <c r="E129" s="334"/>
      <c r="F129" s="229"/>
      <c r="G129" s="333"/>
      <c r="H129" s="335"/>
      <c r="I129" s="229"/>
      <c r="J129" s="229"/>
      <c r="K129" s="336"/>
      <c r="L129" s="337"/>
      <c r="M129" s="337"/>
      <c r="N129" s="337"/>
      <c r="O129" s="337"/>
      <c r="P129" s="337"/>
      <c r="Q129" s="384">
        <v>8280</v>
      </c>
      <c r="R129" s="271">
        <f t="shared" si="8"/>
        <v>0</v>
      </c>
      <c r="S129" s="339">
        <f t="shared" si="10"/>
        <v>0</v>
      </c>
      <c r="T129" s="373"/>
      <c r="U129" s="373">
        <f>FA!H$114</f>
        <v>0</v>
      </c>
      <c r="V129" s="274"/>
      <c r="W129" s="374"/>
      <c r="X129" s="375"/>
      <c r="Y129" s="385" t="s">
        <v>645</v>
      </c>
      <c r="Z129" s="376"/>
      <c r="AA129" s="240"/>
      <c r="AB129" s="345">
        <v>1</v>
      </c>
      <c r="AC129" s="271"/>
      <c r="AD129" s="272"/>
      <c r="AE129" s="273"/>
      <c r="AF129" s="273"/>
      <c r="AG129" s="274"/>
      <c r="AH129" s="275"/>
      <c r="AI129" s="272"/>
      <c r="AJ129" s="276"/>
      <c r="AK129" s="277"/>
      <c r="AL129" s="278"/>
      <c r="AM129" s="277"/>
      <c r="AN129" s="279"/>
      <c r="AO129" s="279"/>
      <c r="AP129" s="279"/>
      <c r="AQ129" s="378"/>
      <c r="AR129" s="305">
        <f>'预算书-初步'!$F$10</f>
        <v>0.09</v>
      </c>
      <c r="AT129" s="272"/>
      <c r="BC129" s="272" t="s">
        <v>521</v>
      </c>
      <c r="BD129" s="380">
        <v>1103</v>
      </c>
      <c r="BE129" s="347" t="s">
        <v>522</v>
      </c>
    </row>
    <row r="130" s="52" customFormat="1" ht="15.75" customHeight="1" spans="1:57">
      <c r="A130" s="227"/>
      <c r="B130" s="332"/>
      <c r="C130" s="228"/>
      <c r="D130" s="333"/>
      <c r="E130" s="334"/>
      <c r="F130" s="229"/>
      <c r="G130" s="333"/>
      <c r="H130" s="335"/>
      <c r="I130" s="229"/>
      <c r="J130" s="229"/>
      <c r="K130" s="336"/>
      <c r="L130" s="337"/>
      <c r="M130" s="337"/>
      <c r="N130" s="337"/>
      <c r="O130" s="337"/>
      <c r="P130" s="337"/>
      <c r="Q130" s="384">
        <v>8321</v>
      </c>
      <c r="R130" s="271">
        <f t="shared" si="8"/>
        <v>0</v>
      </c>
      <c r="S130" s="339">
        <f t="shared" si="10"/>
        <v>0</v>
      </c>
      <c r="T130" s="373"/>
      <c r="U130" s="373">
        <f>FA!H$117</f>
        <v>0</v>
      </c>
      <c r="V130" s="274"/>
      <c r="W130" s="374"/>
      <c r="X130" s="375"/>
      <c r="Y130" s="385" t="s">
        <v>646</v>
      </c>
      <c r="Z130" s="376"/>
      <c r="AA130" s="240"/>
      <c r="AB130" s="345">
        <v>1</v>
      </c>
      <c r="AC130" s="271"/>
      <c r="AD130" s="272"/>
      <c r="AE130" s="273"/>
      <c r="AF130" s="273"/>
      <c r="AG130" s="274"/>
      <c r="AH130" s="275"/>
      <c r="AI130" s="272"/>
      <c r="AJ130" s="276"/>
      <c r="AK130" s="277"/>
      <c r="AL130" s="278"/>
      <c r="AM130" s="277"/>
      <c r="AN130" s="279"/>
      <c r="AO130" s="279"/>
      <c r="AP130" s="279"/>
      <c r="AQ130" s="378"/>
      <c r="AR130" s="305">
        <f>'预算书-初步'!$F$10</f>
        <v>0.09</v>
      </c>
      <c r="AT130" s="272"/>
      <c r="BC130" s="272" t="s">
        <v>521</v>
      </c>
      <c r="BD130" s="380">
        <v>1106</v>
      </c>
      <c r="BE130" s="347" t="s">
        <v>522</v>
      </c>
    </row>
    <row r="131" s="52" customFormat="1" ht="15.75" customHeight="1" spans="1:57">
      <c r="A131" s="227"/>
      <c r="B131" s="332"/>
      <c r="C131" s="228"/>
      <c r="D131" s="333"/>
      <c r="E131" s="334"/>
      <c r="F131" s="229"/>
      <c r="G131" s="333"/>
      <c r="H131" s="335"/>
      <c r="I131" s="229"/>
      <c r="J131" s="229"/>
      <c r="K131" s="336"/>
      <c r="L131" s="337"/>
      <c r="M131" s="337"/>
      <c r="N131" s="337"/>
      <c r="O131" s="337"/>
      <c r="P131" s="337"/>
      <c r="Q131" s="384">
        <v>8322</v>
      </c>
      <c r="R131" s="271">
        <f t="shared" si="8"/>
        <v>0</v>
      </c>
      <c r="S131" s="339">
        <f t="shared" si="10"/>
        <v>0</v>
      </c>
      <c r="T131" s="373"/>
      <c r="U131" s="373">
        <f>FA!H$118</f>
        <v>0</v>
      </c>
      <c r="V131" s="274"/>
      <c r="W131" s="374"/>
      <c r="X131" s="375"/>
      <c r="Y131" s="385" t="s">
        <v>647</v>
      </c>
      <c r="Z131" s="376"/>
      <c r="AA131" s="240"/>
      <c r="AB131" s="345">
        <v>1</v>
      </c>
      <c r="AC131" s="271"/>
      <c r="AD131" s="272"/>
      <c r="AE131" s="273"/>
      <c r="AF131" s="273"/>
      <c r="AG131" s="274"/>
      <c r="AH131" s="275"/>
      <c r="AI131" s="272"/>
      <c r="AJ131" s="276"/>
      <c r="AK131" s="277"/>
      <c r="AL131" s="278"/>
      <c r="AM131" s="277"/>
      <c r="AN131" s="279"/>
      <c r="AO131" s="279"/>
      <c r="AP131" s="279"/>
      <c r="AQ131" s="378"/>
      <c r="AR131" s="305">
        <f>'预算书-初步'!$F$10</f>
        <v>0.09</v>
      </c>
      <c r="AT131" s="272"/>
      <c r="BC131" s="272" t="s">
        <v>521</v>
      </c>
      <c r="BD131" s="380">
        <v>1107</v>
      </c>
      <c r="BE131" s="347" t="s">
        <v>522</v>
      </c>
    </row>
    <row r="132" s="52" customFormat="1" ht="15.75" customHeight="1" spans="1:57">
      <c r="A132" s="227"/>
      <c r="B132" s="332"/>
      <c r="C132" s="228"/>
      <c r="D132" s="333"/>
      <c r="E132" s="334"/>
      <c r="F132" s="229"/>
      <c r="G132" s="333"/>
      <c r="H132" s="335"/>
      <c r="I132" s="229"/>
      <c r="J132" s="229"/>
      <c r="K132" s="336"/>
      <c r="L132" s="337"/>
      <c r="M132" s="337"/>
      <c r="N132" s="337"/>
      <c r="O132" s="337"/>
      <c r="P132" s="337"/>
      <c r="Q132" s="384">
        <v>8323</v>
      </c>
      <c r="R132" s="271">
        <f t="shared" si="8"/>
        <v>0</v>
      </c>
      <c r="S132" s="339">
        <f t="shared" si="10"/>
        <v>0</v>
      </c>
      <c r="T132" s="373"/>
      <c r="U132" s="373">
        <f>SUMIF(其他!$A$9:$A$65,$Q132,其他!$E$9:$E$65)</f>
        <v>0</v>
      </c>
      <c r="V132" s="274"/>
      <c r="W132" s="374"/>
      <c r="X132" s="375"/>
      <c r="Y132" s="45" t="s">
        <v>648</v>
      </c>
      <c r="Z132" s="376"/>
      <c r="AA132" s="240"/>
      <c r="AB132" s="345">
        <v>1</v>
      </c>
      <c r="AC132" s="271"/>
      <c r="AD132" s="272"/>
      <c r="AE132" s="273"/>
      <c r="AF132" s="273"/>
      <c r="AG132" s="274"/>
      <c r="AH132" s="275"/>
      <c r="AI132" s="272"/>
      <c r="AJ132" s="276"/>
      <c r="AK132" s="277"/>
      <c r="AL132" s="278"/>
      <c r="AM132" s="277"/>
      <c r="AN132" s="279"/>
      <c r="AO132" s="279"/>
      <c r="AP132" s="279"/>
      <c r="AQ132" s="378"/>
      <c r="AR132" s="305">
        <f>'预算书-初步'!$F$10</f>
        <v>0.09</v>
      </c>
      <c r="AT132" s="272"/>
      <c r="BC132" s="272" t="s">
        <v>521</v>
      </c>
      <c r="BD132" s="380">
        <v>1108</v>
      </c>
      <c r="BE132" s="347" t="s">
        <v>522</v>
      </c>
    </row>
    <row r="133" s="52" customFormat="1" ht="15.75" customHeight="1" spans="1:57">
      <c r="A133" s="227"/>
      <c r="B133" s="332"/>
      <c r="C133" s="228"/>
      <c r="D133" s="333"/>
      <c r="E133" s="334"/>
      <c r="F133" s="229"/>
      <c r="G133" s="333"/>
      <c r="H133" s="335"/>
      <c r="I133" s="229"/>
      <c r="J133" s="229"/>
      <c r="K133" s="336"/>
      <c r="L133" s="337"/>
      <c r="M133" s="337"/>
      <c r="N133" s="337"/>
      <c r="O133" s="337"/>
      <c r="P133" s="337"/>
      <c r="Q133" s="384">
        <v>8324</v>
      </c>
      <c r="R133" s="271">
        <f t="shared" si="8"/>
        <v>0</v>
      </c>
      <c r="S133" s="339">
        <f t="shared" si="10"/>
        <v>0</v>
      </c>
      <c r="T133" s="373"/>
      <c r="U133" s="373">
        <f>SUMIF(其他!$A$9:$A$65,$Q133,其他!$E$9:$E$65)</f>
        <v>0</v>
      </c>
      <c r="V133" s="274"/>
      <c r="W133" s="374"/>
      <c r="X133" s="375"/>
      <c r="Y133" s="385" t="s">
        <v>649</v>
      </c>
      <c r="Z133" s="376"/>
      <c r="AA133" s="240"/>
      <c r="AB133" s="345">
        <v>1</v>
      </c>
      <c r="AC133" s="271"/>
      <c r="AD133" s="272"/>
      <c r="AE133" s="273"/>
      <c r="AF133" s="273"/>
      <c r="AG133" s="274"/>
      <c r="AH133" s="275"/>
      <c r="AI133" s="272"/>
      <c r="AJ133" s="276"/>
      <c r="AK133" s="277"/>
      <c r="AL133" s="278"/>
      <c r="AM133" s="277"/>
      <c r="AN133" s="279"/>
      <c r="AO133" s="279"/>
      <c r="AP133" s="279"/>
      <c r="AQ133" s="378"/>
      <c r="AR133" s="305">
        <f>'预算书-初步'!$F$10</f>
        <v>0.09</v>
      </c>
      <c r="AT133" s="272"/>
      <c r="BC133" s="272" t="s">
        <v>521</v>
      </c>
      <c r="BD133" s="380">
        <v>1108</v>
      </c>
      <c r="BE133" s="347" t="s">
        <v>522</v>
      </c>
    </row>
    <row r="134" s="52" customFormat="1" ht="15.75" customHeight="1" spans="1:57">
      <c r="A134" s="227"/>
      <c r="B134" s="332"/>
      <c r="C134" s="228"/>
      <c r="D134" s="333"/>
      <c r="E134" s="334"/>
      <c r="F134" s="229"/>
      <c r="G134" s="333"/>
      <c r="H134" s="335"/>
      <c r="I134" s="229"/>
      <c r="J134" s="229"/>
      <c r="K134" s="336"/>
      <c r="L134" s="337"/>
      <c r="M134" s="337"/>
      <c r="N134" s="337"/>
      <c r="O134" s="337"/>
      <c r="P134" s="337"/>
      <c r="Q134" s="384">
        <v>8325</v>
      </c>
      <c r="R134" s="271">
        <f t="shared" ref="R134:R197" si="11">ROUND(U134*(1+AR134),0)</f>
        <v>0</v>
      </c>
      <c r="S134" s="339">
        <f t="shared" si="10"/>
        <v>0</v>
      </c>
      <c r="T134" s="373"/>
      <c r="U134" s="373">
        <f>FA!H$120</f>
        <v>0</v>
      </c>
      <c r="V134" s="274"/>
      <c r="W134" s="374"/>
      <c r="X134" s="375"/>
      <c r="Y134" s="388" t="s">
        <v>650</v>
      </c>
      <c r="Z134" s="376"/>
      <c r="AA134" s="240"/>
      <c r="AB134" s="345">
        <v>1</v>
      </c>
      <c r="AC134" s="271"/>
      <c r="AD134" s="272"/>
      <c r="AE134" s="273"/>
      <c r="AF134" s="273"/>
      <c r="AG134" s="274"/>
      <c r="AH134" s="275"/>
      <c r="AI134" s="272"/>
      <c r="AJ134" s="276"/>
      <c r="AK134" s="277"/>
      <c r="AL134" s="278"/>
      <c r="AM134" s="277"/>
      <c r="AN134" s="279"/>
      <c r="AO134" s="279"/>
      <c r="AP134" s="279"/>
      <c r="AQ134" s="378"/>
      <c r="AR134" s="305">
        <f>'预算书-初步'!$F$10</f>
        <v>0.09</v>
      </c>
      <c r="AT134" s="272"/>
      <c r="BC134" s="272" t="s">
        <v>521</v>
      </c>
      <c r="BD134" s="380">
        <v>1109</v>
      </c>
      <c r="BE134" s="347" t="s">
        <v>522</v>
      </c>
    </row>
    <row r="135" s="52" customFormat="1" ht="15.75" customHeight="1" spans="1:57">
      <c r="A135" s="227"/>
      <c r="B135" s="332"/>
      <c r="C135" s="228"/>
      <c r="D135" s="333"/>
      <c r="E135" s="334"/>
      <c r="F135" s="229"/>
      <c r="G135" s="333"/>
      <c r="H135" s="335"/>
      <c r="I135" s="229"/>
      <c r="J135" s="229"/>
      <c r="K135" s="336"/>
      <c r="L135" s="337"/>
      <c r="M135" s="337"/>
      <c r="N135" s="337"/>
      <c r="O135" s="337"/>
      <c r="P135" s="337"/>
      <c r="Q135" s="384">
        <v>8326</v>
      </c>
      <c r="R135" s="271">
        <f t="shared" si="11"/>
        <v>0</v>
      </c>
      <c r="S135" s="339">
        <f t="shared" si="10"/>
        <v>0</v>
      </c>
      <c r="T135" s="373"/>
      <c r="U135" s="373">
        <f>FA!H$121</f>
        <v>0</v>
      </c>
      <c r="V135" s="274"/>
      <c r="W135" s="374"/>
      <c r="X135" s="375"/>
      <c r="Y135" s="45" t="s">
        <v>651</v>
      </c>
      <c r="Z135" s="376"/>
      <c r="AA135" s="240"/>
      <c r="AB135" s="345">
        <v>1</v>
      </c>
      <c r="AC135" s="271"/>
      <c r="AD135" s="272"/>
      <c r="AE135" s="273"/>
      <c r="AF135" s="273"/>
      <c r="AG135" s="274"/>
      <c r="AH135" s="275"/>
      <c r="AI135" s="272"/>
      <c r="AJ135" s="276"/>
      <c r="AK135" s="277"/>
      <c r="AL135" s="278"/>
      <c r="AM135" s="277"/>
      <c r="AN135" s="279"/>
      <c r="AO135" s="279"/>
      <c r="AP135" s="279"/>
      <c r="AQ135" s="378"/>
      <c r="AR135" s="305">
        <f>'预算书-初步'!$F$10</f>
        <v>0.09</v>
      </c>
      <c r="AT135" s="272"/>
      <c r="BC135" s="272" t="s">
        <v>521</v>
      </c>
      <c r="BD135" s="380">
        <v>1110</v>
      </c>
      <c r="BE135" s="347" t="s">
        <v>522</v>
      </c>
    </row>
    <row r="136" s="52" customFormat="1" ht="15.75" customHeight="1" spans="1:57">
      <c r="A136" s="227"/>
      <c r="B136" s="332"/>
      <c r="C136" s="228"/>
      <c r="D136" s="333"/>
      <c r="E136" s="334"/>
      <c r="F136" s="229"/>
      <c r="G136" s="333"/>
      <c r="H136" s="335"/>
      <c r="I136" s="229"/>
      <c r="J136" s="229"/>
      <c r="K136" s="336"/>
      <c r="L136" s="337"/>
      <c r="M136" s="337"/>
      <c r="N136" s="337"/>
      <c r="O136" s="337"/>
      <c r="P136" s="337"/>
      <c r="Q136" s="384">
        <v>8327</v>
      </c>
      <c r="R136" s="271">
        <f t="shared" si="11"/>
        <v>0</v>
      </c>
      <c r="S136" s="339">
        <f t="shared" si="10"/>
        <v>0</v>
      </c>
      <c r="T136" s="373"/>
      <c r="U136" s="373">
        <f>FA!H$122</f>
        <v>0</v>
      </c>
      <c r="V136" s="274"/>
      <c r="W136" s="374"/>
      <c r="X136" s="375"/>
      <c r="Y136" s="385" t="s">
        <v>652</v>
      </c>
      <c r="Z136" s="376"/>
      <c r="AA136" s="240"/>
      <c r="AB136" s="345">
        <v>1</v>
      </c>
      <c r="AC136" s="271"/>
      <c r="AD136" s="272"/>
      <c r="AE136" s="273"/>
      <c r="AF136" s="273"/>
      <c r="AG136" s="274"/>
      <c r="AH136" s="275"/>
      <c r="AI136" s="272"/>
      <c r="AJ136" s="276"/>
      <c r="AK136" s="277"/>
      <c r="AL136" s="278"/>
      <c r="AM136" s="277"/>
      <c r="AN136" s="279"/>
      <c r="AO136" s="279"/>
      <c r="AP136" s="279"/>
      <c r="AQ136" s="378"/>
      <c r="AR136" s="305">
        <f>'预算书-初步'!$F$10</f>
        <v>0.09</v>
      </c>
      <c r="AT136" s="272"/>
      <c r="BC136" s="272" t="s">
        <v>521</v>
      </c>
      <c r="BD136" s="380">
        <v>1111</v>
      </c>
      <c r="BE136" s="347" t="s">
        <v>522</v>
      </c>
    </row>
    <row r="137" s="52" customFormat="1" ht="15.75" customHeight="1" spans="1:57">
      <c r="A137" s="227"/>
      <c r="B137" s="332"/>
      <c r="C137" s="228"/>
      <c r="D137" s="333"/>
      <c r="E137" s="334"/>
      <c r="F137" s="229"/>
      <c r="G137" s="333"/>
      <c r="H137" s="335"/>
      <c r="I137" s="229"/>
      <c r="J137" s="229"/>
      <c r="K137" s="336"/>
      <c r="L137" s="337"/>
      <c r="M137" s="337"/>
      <c r="N137" s="337"/>
      <c r="O137" s="337"/>
      <c r="P137" s="337"/>
      <c r="Q137" s="384">
        <v>8328</v>
      </c>
      <c r="R137" s="271">
        <f t="shared" si="11"/>
        <v>0</v>
      </c>
      <c r="S137" s="339">
        <f t="shared" si="10"/>
        <v>0</v>
      </c>
      <c r="T137" s="373"/>
      <c r="U137" s="373">
        <f>FA!H$123</f>
        <v>0</v>
      </c>
      <c r="V137" s="274"/>
      <c r="W137" s="374"/>
      <c r="X137" s="375"/>
      <c r="Y137" s="45" t="s">
        <v>653</v>
      </c>
      <c r="Z137" s="376"/>
      <c r="AA137" s="240"/>
      <c r="AB137" s="345">
        <v>1</v>
      </c>
      <c r="AC137" s="271"/>
      <c r="AD137" s="272"/>
      <c r="AE137" s="273"/>
      <c r="AF137" s="273"/>
      <c r="AG137" s="274"/>
      <c r="AH137" s="275"/>
      <c r="AI137" s="272"/>
      <c r="AJ137" s="276"/>
      <c r="AK137" s="277"/>
      <c r="AL137" s="278"/>
      <c r="AM137" s="277"/>
      <c r="AN137" s="279"/>
      <c r="AO137" s="279"/>
      <c r="AP137" s="279"/>
      <c r="AQ137" s="378"/>
      <c r="AR137" s="305">
        <f>'预算书-初步'!$F$10</f>
        <v>0.09</v>
      </c>
      <c r="AT137" s="272"/>
      <c r="BC137" s="272" t="s">
        <v>521</v>
      </c>
      <c r="BD137" s="380">
        <v>1112</v>
      </c>
      <c r="BE137" s="347" t="s">
        <v>522</v>
      </c>
    </row>
    <row r="138" s="52" customFormat="1" ht="15.75" customHeight="1" spans="1:57">
      <c r="A138" s="227"/>
      <c r="B138" s="332"/>
      <c r="C138" s="228"/>
      <c r="D138" s="333"/>
      <c r="E138" s="334"/>
      <c r="F138" s="229"/>
      <c r="G138" s="333"/>
      <c r="H138" s="335"/>
      <c r="I138" s="229"/>
      <c r="J138" s="229"/>
      <c r="K138" s="336"/>
      <c r="L138" s="337"/>
      <c r="M138" s="337"/>
      <c r="N138" s="337"/>
      <c r="O138" s="337"/>
      <c r="P138" s="337"/>
      <c r="Q138" s="384">
        <v>8331</v>
      </c>
      <c r="R138" s="271">
        <f t="shared" si="11"/>
        <v>0</v>
      </c>
      <c r="S138" s="339">
        <f t="shared" si="10"/>
        <v>0</v>
      </c>
      <c r="T138" s="373"/>
      <c r="U138" s="373">
        <f>FA!H$124</f>
        <v>0</v>
      </c>
      <c r="V138" s="274"/>
      <c r="W138" s="374"/>
      <c r="X138" s="375"/>
      <c r="Y138" s="45" t="s">
        <v>654</v>
      </c>
      <c r="Z138" s="376"/>
      <c r="AA138" s="240"/>
      <c r="AB138" s="345">
        <v>1</v>
      </c>
      <c r="AC138" s="271"/>
      <c r="AD138" s="272"/>
      <c r="AE138" s="273"/>
      <c r="AF138" s="273"/>
      <c r="AG138" s="274"/>
      <c r="AH138" s="275"/>
      <c r="AI138" s="272"/>
      <c r="AJ138" s="276"/>
      <c r="AK138" s="277"/>
      <c r="AL138" s="278"/>
      <c r="AM138" s="277"/>
      <c r="AN138" s="279"/>
      <c r="AO138" s="279"/>
      <c r="AP138" s="279"/>
      <c r="AQ138" s="378"/>
      <c r="AR138" s="305">
        <f>'预算书-初步'!$F$10</f>
        <v>0.09</v>
      </c>
      <c r="AT138" s="272"/>
      <c r="BC138" s="272" t="s">
        <v>521</v>
      </c>
      <c r="BD138" s="380">
        <v>1113</v>
      </c>
      <c r="BE138" s="347" t="s">
        <v>522</v>
      </c>
    </row>
    <row r="139" s="52" customFormat="1" ht="15.75" customHeight="1" spans="1:57">
      <c r="A139" s="227"/>
      <c r="B139" s="332"/>
      <c r="C139" s="228"/>
      <c r="D139" s="333"/>
      <c r="E139" s="334"/>
      <c r="F139" s="229"/>
      <c r="G139" s="333"/>
      <c r="H139" s="335"/>
      <c r="I139" s="229"/>
      <c r="J139" s="229"/>
      <c r="K139" s="336"/>
      <c r="L139" s="337"/>
      <c r="M139" s="337"/>
      <c r="N139" s="337"/>
      <c r="O139" s="337"/>
      <c r="P139" s="337"/>
      <c r="Q139" s="384">
        <v>8332</v>
      </c>
      <c r="R139" s="271">
        <f t="shared" si="11"/>
        <v>0</v>
      </c>
      <c r="S139" s="339">
        <f t="shared" si="10"/>
        <v>0</v>
      </c>
      <c r="T139" s="373"/>
      <c r="U139" s="373">
        <f>FA!H$125</f>
        <v>0</v>
      </c>
      <c r="V139" s="274"/>
      <c r="W139" s="374"/>
      <c r="X139" s="375"/>
      <c r="Y139" s="45" t="s">
        <v>655</v>
      </c>
      <c r="Z139" s="376"/>
      <c r="AA139" s="240"/>
      <c r="AB139" s="345">
        <v>1</v>
      </c>
      <c r="AC139" s="271"/>
      <c r="AD139" s="272"/>
      <c r="AE139" s="273"/>
      <c r="AF139" s="273"/>
      <c r="AG139" s="274"/>
      <c r="AH139" s="275"/>
      <c r="AI139" s="272"/>
      <c r="AJ139" s="276"/>
      <c r="AK139" s="277"/>
      <c r="AL139" s="278"/>
      <c r="AM139" s="277"/>
      <c r="AN139" s="279"/>
      <c r="AO139" s="279"/>
      <c r="AP139" s="279"/>
      <c r="AQ139" s="378"/>
      <c r="AR139" s="305">
        <f>'预算书-初步'!$F$10</f>
        <v>0.09</v>
      </c>
      <c r="AT139" s="272"/>
      <c r="BC139" s="272" t="s">
        <v>521</v>
      </c>
      <c r="BD139" s="380">
        <v>1114</v>
      </c>
      <c r="BE139" s="347" t="s">
        <v>522</v>
      </c>
    </row>
    <row r="140" s="52" customFormat="1" ht="15.75" customHeight="1" spans="1:57">
      <c r="A140" s="227"/>
      <c r="B140" s="332"/>
      <c r="C140" s="228"/>
      <c r="D140" s="333"/>
      <c r="E140" s="334"/>
      <c r="F140" s="229"/>
      <c r="G140" s="333"/>
      <c r="H140" s="335"/>
      <c r="I140" s="229"/>
      <c r="J140" s="229"/>
      <c r="K140" s="336"/>
      <c r="L140" s="337"/>
      <c r="M140" s="337"/>
      <c r="N140" s="337"/>
      <c r="O140" s="337"/>
      <c r="P140" s="337"/>
      <c r="Q140" s="384">
        <v>8333</v>
      </c>
      <c r="R140" s="271">
        <f t="shared" si="11"/>
        <v>0</v>
      </c>
      <c r="S140" s="339">
        <f t="shared" si="10"/>
        <v>0</v>
      </c>
      <c r="T140" s="373"/>
      <c r="U140" s="373">
        <f>FA!H$126</f>
        <v>0</v>
      </c>
      <c r="V140" s="274"/>
      <c r="W140" s="374"/>
      <c r="X140" s="375"/>
      <c r="Y140" s="388" t="s">
        <v>656</v>
      </c>
      <c r="Z140" s="376"/>
      <c r="AA140" s="240"/>
      <c r="AB140" s="345">
        <v>1</v>
      </c>
      <c r="AC140" s="271"/>
      <c r="AD140" s="272"/>
      <c r="AE140" s="273"/>
      <c r="AF140" s="273"/>
      <c r="AG140" s="274"/>
      <c r="AH140" s="275"/>
      <c r="AI140" s="272"/>
      <c r="AJ140" s="276"/>
      <c r="AK140" s="277"/>
      <c r="AL140" s="278"/>
      <c r="AM140" s="277"/>
      <c r="AN140" s="279"/>
      <c r="AO140" s="279"/>
      <c r="AP140" s="279"/>
      <c r="AQ140" s="378"/>
      <c r="AR140" s="305">
        <f>'预算书-初步'!$F$10</f>
        <v>0.09</v>
      </c>
      <c r="AT140" s="272"/>
      <c r="BC140" s="272" t="s">
        <v>521</v>
      </c>
      <c r="BD140" s="380">
        <v>1115</v>
      </c>
      <c r="BE140" s="347" t="s">
        <v>522</v>
      </c>
    </row>
    <row r="141" s="52" customFormat="1" ht="15.75" customHeight="1" spans="1:57">
      <c r="A141" s="227"/>
      <c r="B141" s="332"/>
      <c r="C141" s="228"/>
      <c r="D141" s="333"/>
      <c r="E141" s="334"/>
      <c r="F141" s="229"/>
      <c r="G141" s="333"/>
      <c r="H141" s="335"/>
      <c r="I141" s="229"/>
      <c r="J141" s="229"/>
      <c r="K141" s="336"/>
      <c r="L141" s="337"/>
      <c r="M141" s="337"/>
      <c r="N141" s="337"/>
      <c r="O141" s="337"/>
      <c r="P141" s="337"/>
      <c r="Q141" s="384">
        <v>8334</v>
      </c>
      <c r="R141" s="271">
        <f t="shared" si="11"/>
        <v>0</v>
      </c>
      <c r="S141" s="339">
        <f t="shared" si="10"/>
        <v>0</v>
      </c>
      <c r="T141" s="373"/>
      <c r="U141" s="373">
        <f>FA!H$127</f>
        <v>0</v>
      </c>
      <c r="V141" s="274"/>
      <c r="W141" s="374"/>
      <c r="X141" s="375"/>
      <c r="Y141" s="388" t="s">
        <v>657</v>
      </c>
      <c r="Z141" s="376"/>
      <c r="AA141" s="240"/>
      <c r="AB141" s="345">
        <v>1</v>
      </c>
      <c r="AC141" s="271"/>
      <c r="AD141" s="272"/>
      <c r="AE141" s="273"/>
      <c r="AF141" s="273"/>
      <c r="AG141" s="274"/>
      <c r="AH141" s="275"/>
      <c r="AI141" s="272"/>
      <c r="AJ141" s="276"/>
      <c r="AK141" s="277"/>
      <c r="AL141" s="278"/>
      <c r="AM141" s="277"/>
      <c r="AN141" s="279"/>
      <c r="AO141" s="279"/>
      <c r="AP141" s="279"/>
      <c r="AQ141" s="378"/>
      <c r="AR141" s="305">
        <f>'预算书-初步'!$F$10</f>
        <v>0.09</v>
      </c>
      <c r="AT141" s="272"/>
      <c r="BC141" s="272" t="s">
        <v>521</v>
      </c>
      <c r="BD141" s="380">
        <v>1116</v>
      </c>
      <c r="BE141" s="347" t="s">
        <v>522</v>
      </c>
    </row>
    <row r="142" s="52" customFormat="1" ht="15.75" customHeight="1" spans="1:57">
      <c r="A142" s="227"/>
      <c r="B142" s="332"/>
      <c r="C142" s="228"/>
      <c r="D142" s="333"/>
      <c r="E142" s="334"/>
      <c r="F142" s="229"/>
      <c r="G142" s="333"/>
      <c r="H142" s="335"/>
      <c r="I142" s="229"/>
      <c r="J142" s="229"/>
      <c r="K142" s="336"/>
      <c r="L142" s="337"/>
      <c r="M142" s="337"/>
      <c r="N142" s="337"/>
      <c r="O142" s="337"/>
      <c r="P142" s="337"/>
      <c r="Q142" s="384">
        <v>8335</v>
      </c>
      <c r="R142" s="271">
        <f t="shared" si="11"/>
        <v>0</v>
      </c>
      <c r="S142" s="339">
        <f t="shared" si="10"/>
        <v>0</v>
      </c>
      <c r="T142" s="373"/>
      <c r="U142" s="373">
        <f>FA!H$128</f>
        <v>0</v>
      </c>
      <c r="V142" s="274"/>
      <c r="W142" s="374"/>
      <c r="X142" s="375"/>
      <c r="Y142" s="45" t="s">
        <v>658</v>
      </c>
      <c r="Z142" s="376"/>
      <c r="AA142" s="240"/>
      <c r="AB142" s="345">
        <v>1</v>
      </c>
      <c r="AC142" s="271"/>
      <c r="AD142" s="272"/>
      <c r="AE142" s="273"/>
      <c r="AF142" s="273"/>
      <c r="AG142" s="274"/>
      <c r="AH142" s="275"/>
      <c r="AI142" s="272"/>
      <c r="AJ142" s="276"/>
      <c r="AK142" s="277"/>
      <c r="AL142" s="278"/>
      <c r="AM142" s="277"/>
      <c r="AN142" s="279"/>
      <c r="AO142" s="279"/>
      <c r="AP142" s="279"/>
      <c r="AQ142" s="378"/>
      <c r="AR142" s="305">
        <f>'预算书-初步'!$F$10</f>
        <v>0.09</v>
      </c>
      <c r="AT142" s="272"/>
      <c r="BC142" s="272" t="s">
        <v>521</v>
      </c>
      <c r="BD142" s="380">
        <v>1117</v>
      </c>
      <c r="BE142" s="347" t="s">
        <v>522</v>
      </c>
    </row>
    <row r="143" s="52" customFormat="1" ht="15.75" customHeight="1" spans="1:57">
      <c r="A143" s="227"/>
      <c r="B143" s="332"/>
      <c r="C143" s="228"/>
      <c r="D143" s="333"/>
      <c r="E143" s="334"/>
      <c r="F143" s="229"/>
      <c r="G143" s="333"/>
      <c r="H143" s="335"/>
      <c r="I143" s="229"/>
      <c r="J143" s="229"/>
      <c r="K143" s="336"/>
      <c r="L143" s="337"/>
      <c r="M143" s="337"/>
      <c r="N143" s="337"/>
      <c r="O143" s="337"/>
      <c r="P143" s="337"/>
      <c r="Q143" s="384">
        <v>8351</v>
      </c>
      <c r="R143" s="271">
        <f t="shared" si="11"/>
        <v>0</v>
      </c>
      <c r="S143" s="339">
        <f t="shared" si="10"/>
        <v>0</v>
      </c>
      <c r="T143" s="373"/>
      <c r="U143" s="373">
        <f>FA!H$129</f>
        <v>0</v>
      </c>
      <c r="V143" s="274"/>
      <c r="W143" s="374"/>
      <c r="X143" s="375"/>
      <c r="Y143" s="388" t="s">
        <v>659</v>
      </c>
      <c r="Z143" s="376"/>
      <c r="AA143" s="240"/>
      <c r="AB143" s="345">
        <v>1</v>
      </c>
      <c r="AC143" s="271"/>
      <c r="AD143" s="272"/>
      <c r="AE143" s="273"/>
      <c r="AF143" s="273"/>
      <c r="AG143" s="274"/>
      <c r="AH143" s="275"/>
      <c r="AI143" s="272"/>
      <c r="AJ143" s="276"/>
      <c r="AK143" s="277"/>
      <c r="AL143" s="278"/>
      <c r="AM143" s="277"/>
      <c r="AN143" s="279"/>
      <c r="AO143" s="279"/>
      <c r="AP143" s="279"/>
      <c r="AQ143" s="378"/>
      <c r="AR143" s="305">
        <f>'预算书-初步'!$F$10</f>
        <v>0.09</v>
      </c>
      <c r="AT143" s="272"/>
      <c r="BC143" s="272" t="s">
        <v>521</v>
      </c>
      <c r="BD143" s="380">
        <v>1118</v>
      </c>
      <c r="BE143" s="347" t="s">
        <v>522</v>
      </c>
    </row>
    <row r="144" s="52" customFormat="1" ht="15.75" customHeight="1" spans="1:57">
      <c r="A144" s="227"/>
      <c r="B144" s="332"/>
      <c r="C144" s="228"/>
      <c r="D144" s="333"/>
      <c r="E144" s="334"/>
      <c r="F144" s="229"/>
      <c r="G144" s="333"/>
      <c r="H144" s="335"/>
      <c r="I144" s="229"/>
      <c r="J144" s="229"/>
      <c r="K144" s="336"/>
      <c r="L144" s="337"/>
      <c r="M144" s="337"/>
      <c r="N144" s="337"/>
      <c r="O144" s="337"/>
      <c r="P144" s="337"/>
      <c r="Q144" s="384">
        <v>8341</v>
      </c>
      <c r="R144" s="271">
        <f t="shared" si="11"/>
        <v>0</v>
      </c>
      <c r="S144" s="339">
        <f t="shared" si="10"/>
        <v>0</v>
      </c>
      <c r="T144" s="373"/>
      <c r="U144" s="373">
        <f>SUMIF(其他!$A$9:$A$65,$Q144,其他!$E$9:$E$65)</f>
        <v>0</v>
      </c>
      <c r="V144" s="274"/>
      <c r="W144" s="374"/>
      <c r="X144" s="375"/>
      <c r="Y144" s="388" t="s">
        <v>660</v>
      </c>
      <c r="Z144" s="376"/>
      <c r="AA144" s="240"/>
      <c r="AB144" s="345">
        <v>1</v>
      </c>
      <c r="AC144" s="271"/>
      <c r="AD144" s="272"/>
      <c r="AE144" s="273"/>
      <c r="AF144" s="273"/>
      <c r="AG144" s="274"/>
      <c r="AH144" s="275"/>
      <c r="AI144" s="272"/>
      <c r="AJ144" s="276"/>
      <c r="AK144" s="277"/>
      <c r="AL144" s="278"/>
      <c r="AM144" s="277"/>
      <c r="AN144" s="279"/>
      <c r="AO144" s="279"/>
      <c r="AP144" s="279"/>
      <c r="AQ144" s="378"/>
      <c r="AR144" s="305">
        <f>'预算书-初步'!$F$10</f>
        <v>0.09</v>
      </c>
      <c r="AT144" s="272"/>
      <c r="BC144" s="272" t="s">
        <v>521</v>
      </c>
      <c r="BD144" s="380">
        <v>1119</v>
      </c>
      <c r="BE144" s="347" t="s">
        <v>522</v>
      </c>
    </row>
    <row r="145" s="52" customFormat="1" ht="15.75" customHeight="1" spans="1:57">
      <c r="A145" s="227"/>
      <c r="B145" s="332"/>
      <c r="C145" s="228"/>
      <c r="D145" s="333"/>
      <c r="E145" s="334"/>
      <c r="F145" s="229"/>
      <c r="G145" s="333"/>
      <c r="H145" s="335"/>
      <c r="I145" s="229"/>
      <c r="J145" s="229"/>
      <c r="K145" s="336"/>
      <c r="L145" s="337"/>
      <c r="M145" s="337"/>
      <c r="N145" s="337"/>
      <c r="O145" s="337"/>
      <c r="P145" s="337"/>
      <c r="Q145" s="384">
        <v>8342</v>
      </c>
      <c r="R145" s="271">
        <f t="shared" si="11"/>
        <v>0</v>
      </c>
      <c r="S145" s="339">
        <f t="shared" si="10"/>
        <v>0</v>
      </c>
      <c r="T145" s="373"/>
      <c r="U145" s="373">
        <f>SUMIF(其他!$A$9:$A$65,$Q145,其他!$E$9:$E$65)</f>
        <v>0</v>
      </c>
      <c r="V145" s="274"/>
      <c r="W145" s="374"/>
      <c r="X145" s="375"/>
      <c r="Y145" s="45" t="s">
        <v>661</v>
      </c>
      <c r="Z145" s="376"/>
      <c r="AA145" s="240"/>
      <c r="AB145" s="345">
        <v>1</v>
      </c>
      <c r="AC145" s="271"/>
      <c r="AD145" s="272"/>
      <c r="AE145" s="273"/>
      <c r="AF145" s="273"/>
      <c r="AG145" s="274"/>
      <c r="AH145" s="275"/>
      <c r="AI145" s="272"/>
      <c r="AJ145" s="276"/>
      <c r="AK145" s="277"/>
      <c r="AL145" s="278"/>
      <c r="AM145" s="277"/>
      <c r="AN145" s="279"/>
      <c r="AO145" s="279"/>
      <c r="AP145" s="279"/>
      <c r="AQ145" s="378"/>
      <c r="AR145" s="305">
        <f>'预算书-初步'!$F$10</f>
        <v>0.09</v>
      </c>
      <c r="AT145" s="272"/>
      <c r="BC145" s="272" t="s">
        <v>521</v>
      </c>
      <c r="BD145" s="380">
        <v>1119</v>
      </c>
      <c r="BE145" s="347" t="s">
        <v>522</v>
      </c>
    </row>
    <row r="146" s="52" customFormat="1" ht="15.75" customHeight="1" spans="1:57">
      <c r="A146" s="227"/>
      <c r="B146" s="332"/>
      <c r="C146" s="228"/>
      <c r="D146" s="333"/>
      <c r="E146" s="334"/>
      <c r="F146" s="229"/>
      <c r="G146" s="333"/>
      <c r="H146" s="335"/>
      <c r="I146" s="229"/>
      <c r="J146" s="229"/>
      <c r="K146" s="336"/>
      <c r="L146" s="337"/>
      <c r="M146" s="337"/>
      <c r="N146" s="337"/>
      <c r="O146" s="337"/>
      <c r="P146" s="337"/>
      <c r="Q146" s="384">
        <v>8343</v>
      </c>
      <c r="R146" s="271">
        <f t="shared" si="11"/>
        <v>0</v>
      </c>
      <c r="S146" s="339">
        <f t="shared" si="10"/>
        <v>0</v>
      </c>
      <c r="T146" s="373"/>
      <c r="U146" s="373">
        <f>SUMIF(其他!$A$9:$A$65,$Q146,其他!$E$9:$E$65)</f>
        <v>0</v>
      </c>
      <c r="V146" s="274"/>
      <c r="W146" s="374"/>
      <c r="X146" s="375"/>
      <c r="Y146" s="45" t="s">
        <v>662</v>
      </c>
      <c r="Z146" s="376"/>
      <c r="AA146" s="240"/>
      <c r="AB146" s="345">
        <v>1</v>
      </c>
      <c r="AC146" s="271"/>
      <c r="AD146" s="272"/>
      <c r="AE146" s="273"/>
      <c r="AF146" s="273"/>
      <c r="AG146" s="274"/>
      <c r="AH146" s="275"/>
      <c r="AI146" s="272"/>
      <c r="AJ146" s="276"/>
      <c r="AK146" s="277"/>
      <c r="AL146" s="278"/>
      <c r="AM146" s="277"/>
      <c r="AN146" s="279"/>
      <c r="AO146" s="279"/>
      <c r="AP146" s="279"/>
      <c r="AQ146" s="378"/>
      <c r="AR146" s="305">
        <f>'预算书-初步'!$F$10</f>
        <v>0.09</v>
      </c>
      <c r="AT146" s="272"/>
      <c r="BC146" s="272" t="s">
        <v>521</v>
      </c>
      <c r="BD146" s="380">
        <v>1119</v>
      </c>
      <c r="BE146" s="347" t="s">
        <v>522</v>
      </c>
    </row>
    <row r="147" s="52" customFormat="1" ht="15.75" customHeight="1" spans="1:57">
      <c r="A147" s="227"/>
      <c r="B147" s="332"/>
      <c r="C147" s="228"/>
      <c r="D147" s="333"/>
      <c r="E147" s="334"/>
      <c r="F147" s="229"/>
      <c r="G147" s="333"/>
      <c r="H147" s="335"/>
      <c r="I147" s="229"/>
      <c r="J147" s="229"/>
      <c r="K147" s="336"/>
      <c r="L147" s="337"/>
      <c r="M147" s="337"/>
      <c r="N147" s="337"/>
      <c r="O147" s="337"/>
      <c r="P147" s="337"/>
      <c r="Q147" s="384">
        <v>8344</v>
      </c>
      <c r="R147" s="271">
        <f t="shared" si="11"/>
        <v>0</v>
      </c>
      <c r="S147" s="339">
        <f t="shared" si="10"/>
        <v>0</v>
      </c>
      <c r="T147" s="373"/>
      <c r="U147" s="373">
        <f>SUMIF(其他!$A$9:$A$65,"8344",其他!$E$9:$E$65)</f>
        <v>0</v>
      </c>
      <c r="V147" s="274"/>
      <c r="W147" s="374"/>
      <c r="X147" s="375"/>
      <c r="Y147" s="385" t="s">
        <v>663</v>
      </c>
      <c r="Z147" s="376"/>
      <c r="AA147" s="240"/>
      <c r="AB147" s="345">
        <v>1</v>
      </c>
      <c r="AC147" s="271"/>
      <c r="AD147" s="272"/>
      <c r="AE147" s="273"/>
      <c r="AF147" s="273"/>
      <c r="AG147" s="274"/>
      <c r="AH147" s="275"/>
      <c r="AI147" s="272"/>
      <c r="AJ147" s="276"/>
      <c r="AK147" s="277"/>
      <c r="AL147" s="278"/>
      <c r="AM147" s="277"/>
      <c r="AN147" s="279"/>
      <c r="AO147" s="279"/>
      <c r="AP147" s="279"/>
      <c r="AQ147" s="378"/>
      <c r="AR147" s="305">
        <f>'预算书-初步'!$F$10</f>
        <v>0.09</v>
      </c>
      <c r="AT147" s="272"/>
      <c r="BC147" s="272" t="s">
        <v>521</v>
      </c>
      <c r="BD147" s="380">
        <v>1120</v>
      </c>
      <c r="BE147" s="347" t="s">
        <v>522</v>
      </c>
    </row>
    <row r="148" s="52" customFormat="1" ht="15.75" customHeight="1" spans="1:57">
      <c r="A148" s="227"/>
      <c r="B148" s="332"/>
      <c r="C148" s="228"/>
      <c r="D148" s="333"/>
      <c r="E148" s="334"/>
      <c r="F148" s="229"/>
      <c r="G148" s="333"/>
      <c r="H148" s="335"/>
      <c r="I148" s="229"/>
      <c r="J148" s="229"/>
      <c r="K148" s="336"/>
      <c r="L148" s="337"/>
      <c r="M148" s="337"/>
      <c r="N148" s="337"/>
      <c r="O148" s="337"/>
      <c r="P148" s="337"/>
      <c r="Q148" s="384">
        <v>8345</v>
      </c>
      <c r="R148" s="271">
        <f t="shared" si="11"/>
        <v>0</v>
      </c>
      <c r="S148" s="339">
        <f t="shared" si="10"/>
        <v>0</v>
      </c>
      <c r="T148" s="373"/>
      <c r="U148" s="373">
        <f>SUMIF(其他!$A$9:$A$65,"8345",其他!$E$9:$E$65)</f>
        <v>0</v>
      </c>
      <c r="V148" s="274"/>
      <c r="W148" s="374"/>
      <c r="X148" s="375"/>
      <c r="Y148" s="385" t="s">
        <v>664</v>
      </c>
      <c r="Z148" s="376"/>
      <c r="AA148" s="240"/>
      <c r="AB148" s="345">
        <v>1</v>
      </c>
      <c r="AC148" s="271"/>
      <c r="AD148" s="272"/>
      <c r="AE148" s="273"/>
      <c r="AF148" s="273"/>
      <c r="AG148" s="274"/>
      <c r="AH148" s="275"/>
      <c r="AI148" s="272"/>
      <c r="AJ148" s="276"/>
      <c r="AK148" s="277"/>
      <c r="AL148" s="278"/>
      <c r="AM148" s="277"/>
      <c r="AN148" s="279"/>
      <c r="AO148" s="279"/>
      <c r="AP148" s="279"/>
      <c r="AQ148" s="378"/>
      <c r="AR148" s="305">
        <f>'预算书-初步'!$F$10</f>
        <v>0.09</v>
      </c>
      <c r="AT148" s="272"/>
      <c r="BC148" s="272" t="s">
        <v>521</v>
      </c>
      <c r="BD148" s="380">
        <v>1120</v>
      </c>
      <c r="BE148" s="347" t="s">
        <v>522</v>
      </c>
    </row>
    <row r="149" s="52" customFormat="1" ht="15.75" customHeight="1" spans="1:57">
      <c r="A149" s="227"/>
      <c r="B149" s="332"/>
      <c r="C149" s="228"/>
      <c r="D149" s="333"/>
      <c r="E149" s="334"/>
      <c r="F149" s="229"/>
      <c r="G149" s="333"/>
      <c r="H149" s="335"/>
      <c r="I149" s="229"/>
      <c r="J149" s="229"/>
      <c r="K149" s="336"/>
      <c r="L149" s="337"/>
      <c r="M149" s="337"/>
      <c r="N149" s="337"/>
      <c r="O149" s="337"/>
      <c r="P149" s="337"/>
      <c r="Q149" s="384">
        <v>8346</v>
      </c>
      <c r="R149" s="271">
        <f t="shared" si="11"/>
        <v>0</v>
      </c>
      <c r="S149" s="339">
        <f t="shared" si="10"/>
        <v>0</v>
      </c>
      <c r="T149" s="373"/>
      <c r="U149" s="373">
        <f>SUMIF(其他!$A$9:$A$65,"8346",其他!$E$9:$E$65)</f>
        <v>0</v>
      </c>
      <c r="V149" s="274"/>
      <c r="W149" s="374"/>
      <c r="X149" s="375"/>
      <c r="Y149" s="45" t="s">
        <v>665</v>
      </c>
      <c r="Z149" s="376"/>
      <c r="AA149" s="240"/>
      <c r="AB149" s="345">
        <v>1</v>
      </c>
      <c r="AC149" s="271"/>
      <c r="AD149" s="272"/>
      <c r="AE149" s="273"/>
      <c r="AF149" s="273"/>
      <c r="AG149" s="274"/>
      <c r="AH149" s="275"/>
      <c r="AI149" s="272"/>
      <c r="AJ149" s="276"/>
      <c r="AK149" s="277"/>
      <c r="AL149" s="278"/>
      <c r="AM149" s="277"/>
      <c r="AN149" s="279"/>
      <c r="AO149" s="279"/>
      <c r="AP149" s="279"/>
      <c r="AQ149" s="378"/>
      <c r="AR149" s="305">
        <f>'预算书-初步'!$F$10</f>
        <v>0.09</v>
      </c>
      <c r="AT149" s="272"/>
      <c r="BC149" s="272" t="s">
        <v>521</v>
      </c>
      <c r="BD149" s="380">
        <v>1120</v>
      </c>
      <c r="BE149" s="347" t="s">
        <v>522</v>
      </c>
    </row>
    <row r="150" s="52" customFormat="1" ht="15.75" customHeight="1" spans="1:57">
      <c r="A150" s="227"/>
      <c r="B150" s="332"/>
      <c r="C150" s="228"/>
      <c r="D150" s="333"/>
      <c r="E150" s="334"/>
      <c r="F150" s="229"/>
      <c r="G150" s="333"/>
      <c r="H150" s="335"/>
      <c r="I150" s="229"/>
      <c r="J150" s="229"/>
      <c r="K150" s="336"/>
      <c r="L150" s="337"/>
      <c r="M150" s="337"/>
      <c r="N150" s="337"/>
      <c r="O150" s="337"/>
      <c r="P150" s="337"/>
      <c r="Q150" s="384">
        <v>8347</v>
      </c>
      <c r="R150" s="271">
        <f t="shared" si="11"/>
        <v>0</v>
      </c>
      <c r="S150" s="339">
        <f t="shared" si="10"/>
        <v>0</v>
      </c>
      <c r="T150" s="373"/>
      <c r="U150" s="373">
        <f>SUMIF(其他!$A$9:$A$65,"8347",其他!$E$9:$E$65)</f>
        <v>0</v>
      </c>
      <c r="V150" s="274"/>
      <c r="W150" s="374"/>
      <c r="X150" s="375"/>
      <c r="Y150" s="45" t="s">
        <v>666</v>
      </c>
      <c r="Z150" s="376"/>
      <c r="AA150" s="240"/>
      <c r="AB150" s="345">
        <v>1</v>
      </c>
      <c r="AC150" s="271"/>
      <c r="AD150" s="272"/>
      <c r="AE150" s="273"/>
      <c r="AF150" s="273"/>
      <c r="AG150" s="274"/>
      <c r="AH150" s="275"/>
      <c r="AI150" s="272"/>
      <c r="AJ150" s="276"/>
      <c r="AK150" s="277"/>
      <c r="AL150" s="278"/>
      <c r="AM150" s="277"/>
      <c r="AN150" s="279"/>
      <c r="AO150" s="279"/>
      <c r="AP150" s="279"/>
      <c r="AQ150" s="378"/>
      <c r="AR150" s="305">
        <f>'预算书-初步'!$F$10</f>
        <v>0.09</v>
      </c>
      <c r="AT150" s="272"/>
      <c r="BC150" s="272" t="s">
        <v>521</v>
      </c>
      <c r="BD150" s="380">
        <v>1120</v>
      </c>
      <c r="BE150" s="347" t="s">
        <v>522</v>
      </c>
    </row>
    <row r="151" s="52" customFormat="1" ht="15.75" customHeight="1" spans="1:57">
      <c r="A151" s="227"/>
      <c r="B151" s="332"/>
      <c r="C151" s="228"/>
      <c r="D151" s="333"/>
      <c r="E151" s="334"/>
      <c r="F151" s="229"/>
      <c r="G151" s="333"/>
      <c r="H151" s="335"/>
      <c r="I151" s="229"/>
      <c r="J151" s="229"/>
      <c r="K151" s="336"/>
      <c r="L151" s="337"/>
      <c r="M151" s="337"/>
      <c r="N151" s="337"/>
      <c r="O151" s="337"/>
      <c r="P151" s="337"/>
      <c r="Q151" s="384">
        <v>8348</v>
      </c>
      <c r="R151" s="271">
        <f t="shared" si="11"/>
        <v>0</v>
      </c>
      <c r="S151" s="339">
        <f t="shared" si="10"/>
        <v>0</v>
      </c>
      <c r="T151" s="373"/>
      <c r="U151" s="373">
        <f>SUMIF(其他!$A$9:$A$65,"8348",其他!$E$9:$E$65)</f>
        <v>0</v>
      </c>
      <c r="V151" s="274"/>
      <c r="W151" s="374"/>
      <c r="X151" s="375"/>
      <c r="Y151" s="45" t="s">
        <v>667</v>
      </c>
      <c r="Z151" s="376"/>
      <c r="AA151" s="240"/>
      <c r="AB151" s="345">
        <v>1</v>
      </c>
      <c r="AC151" s="271"/>
      <c r="AD151" s="272"/>
      <c r="AE151" s="273"/>
      <c r="AF151" s="273"/>
      <c r="AG151" s="274"/>
      <c r="AH151" s="275"/>
      <c r="AI151" s="272"/>
      <c r="AJ151" s="276"/>
      <c r="AK151" s="277"/>
      <c r="AL151" s="278"/>
      <c r="AM151" s="277"/>
      <c r="AN151" s="279"/>
      <c r="AO151" s="279"/>
      <c r="AP151" s="279"/>
      <c r="AQ151" s="378"/>
      <c r="AR151" s="305">
        <f>'预算书-初步'!$F$10</f>
        <v>0.09</v>
      </c>
      <c r="AT151" s="272"/>
      <c r="BC151" s="272" t="s">
        <v>521</v>
      </c>
      <c r="BD151" s="380">
        <v>1120</v>
      </c>
      <c r="BE151" s="347" t="s">
        <v>522</v>
      </c>
    </row>
    <row r="152" s="52" customFormat="1" ht="15.75" customHeight="1" spans="1:57">
      <c r="A152" s="227"/>
      <c r="B152" s="332"/>
      <c r="C152" s="228"/>
      <c r="D152" s="333"/>
      <c r="E152" s="334"/>
      <c r="F152" s="229"/>
      <c r="G152" s="333"/>
      <c r="H152" s="335"/>
      <c r="I152" s="229"/>
      <c r="J152" s="229"/>
      <c r="K152" s="336"/>
      <c r="L152" s="337"/>
      <c r="M152" s="337"/>
      <c r="N152" s="337"/>
      <c r="O152" s="337"/>
      <c r="P152" s="337"/>
      <c r="Q152" s="384">
        <v>8349</v>
      </c>
      <c r="R152" s="271">
        <f t="shared" si="11"/>
        <v>0</v>
      </c>
      <c r="S152" s="339">
        <f t="shared" si="10"/>
        <v>0</v>
      </c>
      <c r="T152" s="373"/>
      <c r="U152" s="373">
        <f>SUMIF(其他!$A$9:$A$65,"8349",其他!$E$9:$E$65)</f>
        <v>0</v>
      </c>
      <c r="V152" s="274"/>
      <c r="W152" s="374"/>
      <c r="X152" s="375"/>
      <c r="Y152" s="45" t="s">
        <v>668</v>
      </c>
      <c r="Z152" s="376"/>
      <c r="AA152" s="240"/>
      <c r="AB152" s="345">
        <v>1</v>
      </c>
      <c r="AC152" s="271"/>
      <c r="AD152" s="272"/>
      <c r="AE152" s="273"/>
      <c r="AF152" s="273"/>
      <c r="AG152" s="274"/>
      <c r="AH152" s="275"/>
      <c r="AI152" s="272"/>
      <c r="AJ152" s="276"/>
      <c r="AK152" s="277"/>
      <c r="AL152" s="278"/>
      <c r="AM152" s="277"/>
      <c r="AN152" s="279"/>
      <c r="AO152" s="279"/>
      <c r="AP152" s="279"/>
      <c r="AQ152" s="378"/>
      <c r="AR152" s="305">
        <f>'预算书-初步'!$F$10</f>
        <v>0.09</v>
      </c>
      <c r="AT152" s="272"/>
      <c r="BC152" s="272" t="s">
        <v>521</v>
      </c>
      <c r="BD152" s="380">
        <v>1120</v>
      </c>
      <c r="BE152" s="347" t="s">
        <v>522</v>
      </c>
    </row>
    <row r="153" s="52" customFormat="1" ht="15.75" customHeight="1" spans="1:57">
      <c r="A153" s="227"/>
      <c r="B153" s="332"/>
      <c r="C153" s="228"/>
      <c r="D153" s="333"/>
      <c r="E153" s="334"/>
      <c r="F153" s="229"/>
      <c r="G153" s="333"/>
      <c r="H153" s="335"/>
      <c r="I153" s="229"/>
      <c r="J153" s="229"/>
      <c r="K153" s="336"/>
      <c r="L153" s="337"/>
      <c r="M153" s="337"/>
      <c r="N153" s="337"/>
      <c r="O153" s="337"/>
      <c r="P153" s="337"/>
      <c r="Q153" s="384">
        <v>8352</v>
      </c>
      <c r="R153" s="271">
        <f t="shared" si="11"/>
        <v>960</v>
      </c>
      <c r="S153" s="339">
        <f t="shared" si="10"/>
        <v>0</v>
      </c>
      <c r="T153" s="373"/>
      <c r="U153" s="389">
        <f>SUMIF(其他!$A$9:$A$65,"8352",其他!$E$9:$E$65)+SUMIFS('预算书-初步'!P14:P2600,'预算书-初步'!A14:A2600,123,'预算书-初步'!C14:C2600,8352)</f>
        <v>881</v>
      </c>
      <c r="V153" s="274"/>
      <c r="W153" s="374"/>
      <c r="X153" s="375"/>
      <c r="Y153" s="45" t="s">
        <v>669</v>
      </c>
      <c r="Z153" s="376"/>
      <c r="AA153" s="240"/>
      <c r="AB153" s="345">
        <v>1</v>
      </c>
      <c r="AC153" s="271"/>
      <c r="AD153" s="272"/>
      <c r="AE153" s="273"/>
      <c r="AF153" s="273"/>
      <c r="AG153" s="274"/>
      <c r="AH153" s="275"/>
      <c r="AI153" s="272"/>
      <c r="AJ153" s="276"/>
      <c r="AK153" s="277"/>
      <c r="AL153" s="278"/>
      <c r="AM153" s="277"/>
      <c r="AN153" s="279"/>
      <c r="AO153" s="279"/>
      <c r="AP153" s="279"/>
      <c r="AQ153" s="378"/>
      <c r="AR153" s="305">
        <f>'预算书-初步'!$F$10</f>
        <v>0.09</v>
      </c>
      <c r="AT153" s="272"/>
      <c r="BC153" s="272" t="s">
        <v>521</v>
      </c>
      <c r="BD153" s="380">
        <v>1121</v>
      </c>
      <c r="BE153" s="347" t="s">
        <v>522</v>
      </c>
    </row>
    <row r="154" s="52" customFormat="1" ht="15.75" customHeight="1" spans="1:57">
      <c r="A154" s="227"/>
      <c r="B154" s="332"/>
      <c r="C154" s="228"/>
      <c r="D154" s="333"/>
      <c r="E154" s="334"/>
      <c r="F154" s="229"/>
      <c r="G154" s="333"/>
      <c r="H154" s="335"/>
      <c r="I154" s="229"/>
      <c r="J154" s="229"/>
      <c r="K154" s="336"/>
      <c r="L154" s="337"/>
      <c r="M154" s="337"/>
      <c r="N154" s="337"/>
      <c r="O154" s="337"/>
      <c r="P154" s="337"/>
      <c r="Q154" s="384">
        <v>8353</v>
      </c>
      <c r="R154" s="271">
        <f t="shared" si="11"/>
        <v>0</v>
      </c>
      <c r="S154" s="339">
        <f t="shared" si="10"/>
        <v>0</v>
      </c>
      <c r="T154" s="373"/>
      <c r="U154" s="373">
        <f>SUMIF(其他!$A$9:$A$65,"8353",其他!$E$9:$E$65)+SUMIFS('预算书-初步'!P14:P2600,'预算书-初步'!A14:A2600,123,'预算书-初步'!D14:D2600,8353)</f>
        <v>0</v>
      </c>
      <c r="V154" s="274"/>
      <c r="W154" s="374"/>
      <c r="X154" s="375"/>
      <c r="Y154" s="45" t="s">
        <v>670</v>
      </c>
      <c r="Z154" s="376"/>
      <c r="AA154" s="240"/>
      <c r="AB154" s="345">
        <v>1</v>
      </c>
      <c r="AC154" s="271"/>
      <c r="AD154" s="272"/>
      <c r="AE154" s="273"/>
      <c r="AF154" s="273"/>
      <c r="AG154" s="274"/>
      <c r="AH154" s="275"/>
      <c r="AI154" s="272"/>
      <c r="AJ154" s="276"/>
      <c r="AK154" s="277"/>
      <c r="AL154" s="278"/>
      <c r="AM154" s="277"/>
      <c r="AN154" s="279"/>
      <c r="AO154" s="279"/>
      <c r="AP154" s="279"/>
      <c r="AQ154" s="378"/>
      <c r="AR154" s="305">
        <f>'预算书-初步'!$F$10</f>
        <v>0.09</v>
      </c>
      <c r="AT154" s="272"/>
      <c r="BC154" s="272" t="s">
        <v>521</v>
      </c>
      <c r="BD154" s="380">
        <v>1121</v>
      </c>
      <c r="BE154" s="347" t="s">
        <v>522</v>
      </c>
    </row>
    <row r="155" s="52" customFormat="1" ht="15.75" customHeight="1" spans="1:57">
      <c r="A155" s="227"/>
      <c r="B155" s="332"/>
      <c r="C155" s="228"/>
      <c r="D155" s="333"/>
      <c r="E155" s="334"/>
      <c r="F155" s="229"/>
      <c r="G155" s="333"/>
      <c r="H155" s="335"/>
      <c r="I155" s="229"/>
      <c r="J155" s="229"/>
      <c r="K155" s="336"/>
      <c r="L155" s="337"/>
      <c r="M155" s="337"/>
      <c r="N155" s="337"/>
      <c r="O155" s="337"/>
      <c r="P155" s="337"/>
      <c r="Q155" s="384">
        <v>8354</v>
      </c>
      <c r="R155" s="271">
        <f t="shared" si="11"/>
        <v>0</v>
      </c>
      <c r="S155" s="339">
        <f t="shared" si="10"/>
        <v>0</v>
      </c>
      <c r="T155" s="373"/>
      <c r="U155" s="373">
        <f>SUMIF(其他!$A$9:$A$65,"8354",其他!$E$9:$E$65)</f>
        <v>0</v>
      </c>
      <c r="V155" s="274"/>
      <c r="W155" s="374"/>
      <c r="X155" s="375"/>
      <c r="Y155" s="45" t="s">
        <v>671</v>
      </c>
      <c r="Z155" s="376"/>
      <c r="AA155" s="240"/>
      <c r="AB155" s="345">
        <v>1</v>
      </c>
      <c r="AC155" s="271"/>
      <c r="AD155" s="272"/>
      <c r="AE155" s="273"/>
      <c r="AF155" s="273"/>
      <c r="AG155" s="274"/>
      <c r="AH155" s="275"/>
      <c r="AI155" s="272"/>
      <c r="AJ155" s="276"/>
      <c r="AK155" s="277"/>
      <c r="AL155" s="278"/>
      <c r="AM155" s="277"/>
      <c r="AN155" s="279"/>
      <c r="AO155" s="279"/>
      <c r="AP155" s="279"/>
      <c r="AQ155" s="378"/>
      <c r="AR155" s="305">
        <f>'预算书-初步'!$F$10</f>
        <v>0.09</v>
      </c>
      <c r="AT155" s="272"/>
      <c r="BC155" s="272" t="s">
        <v>521</v>
      </c>
      <c r="BD155" s="380">
        <v>1121</v>
      </c>
      <c r="BE155" s="347" t="s">
        <v>522</v>
      </c>
    </row>
    <row r="156" s="52" customFormat="1" ht="15.75" customHeight="1" spans="1:57">
      <c r="A156" s="227"/>
      <c r="B156" s="332"/>
      <c r="C156" s="228"/>
      <c r="D156" s="333"/>
      <c r="E156" s="334"/>
      <c r="F156" s="229"/>
      <c r="G156" s="333"/>
      <c r="H156" s="335"/>
      <c r="I156" s="229"/>
      <c r="J156" s="229"/>
      <c r="K156" s="336"/>
      <c r="L156" s="337"/>
      <c r="M156" s="337"/>
      <c r="N156" s="337"/>
      <c r="O156" s="337"/>
      <c r="P156" s="337"/>
      <c r="Q156" s="384">
        <v>8355</v>
      </c>
      <c r="R156" s="271">
        <f t="shared" si="11"/>
        <v>0</v>
      </c>
      <c r="S156" s="339">
        <f t="shared" si="10"/>
        <v>0</v>
      </c>
      <c r="T156" s="373"/>
      <c r="U156" s="373">
        <f>SUMIF(其他!$A$9:$A$65,"8355",其他!$E$9:$E$65)</f>
        <v>0</v>
      </c>
      <c r="V156" s="274"/>
      <c r="W156" s="374"/>
      <c r="X156" s="375"/>
      <c r="Y156" s="365" t="s">
        <v>672</v>
      </c>
      <c r="Z156" s="376"/>
      <c r="AA156" s="240"/>
      <c r="AB156" s="345">
        <v>1</v>
      </c>
      <c r="AC156" s="271"/>
      <c r="AD156" s="272"/>
      <c r="AE156" s="273"/>
      <c r="AF156" s="273"/>
      <c r="AG156" s="274"/>
      <c r="AH156" s="275"/>
      <c r="AI156" s="272"/>
      <c r="AJ156" s="276"/>
      <c r="AK156" s="277"/>
      <c r="AL156" s="278"/>
      <c r="AM156" s="277"/>
      <c r="AN156" s="279"/>
      <c r="AO156" s="279"/>
      <c r="AP156" s="279"/>
      <c r="AQ156" s="378"/>
      <c r="AR156" s="305">
        <f>'预算书-初步'!$F$10</f>
        <v>0.09</v>
      </c>
      <c r="AT156" s="272"/>
      <c r="BC156" s="272" t="s">
        <v>521</v>
      </c>
      <c r="BD156" s="380">
        <v>1121</v>
      </c>
      <c r="BE156" s="347" t="s">
        <v>522</v>
      </c>
    </row>
    <row r="157" s="52" customFormat="1" ht="15.75" customHeight="1" spans="1:57">
      <c r="A157" s="227"/>
      <c r="B157" s="332"/>
      <c r="C157" s="228"/>
      <c r="D157" s="333"/>
      <c r="E157" s="334"/>
      <c r="F157" s="229"/>
      <c r="G157" s="333"/>
      <c r="H157" s="335"/>
      <c r="I157" s="229"/>
      <c r="J157" s="229"/>
      <c r="K157" s="336"/>
      <c r="L157" s="337"/>
      <c r="M157" s="337"/>
      <c r="N157" s="337"/>
      <c r="O157" s="337"/>
      <c r="P157" s="337"/>
      <c r="Q157" s="384">
        <v>8357</v>
      </c>
      <c r="R157" s="271">
        <f t="shared" si="11"/>
        <v>0</v>
      </c>
      <c r="S157" s="339">
        <f t="shared" si="10"/>
        <v>0</v>
      </c>
      <c r="T157" s="373"/>
      <c r="U157" s="373">
        <f>FA!H$133</f>
        <v>0</v>
      </c>
      <c r="V157" s="274"/>
      <c r="W157" s="374"/>
      <c r="X157" s="375"/>
      <c r="Y157" s="390" t="s">
        <v>673</v>
      </c>
      <c r="Z157" s="376"/>
      <c r="AA157" s="240"/>
      <c r="AB157" s="345">
        <v>1</v>
      </c>
      <c r="AC157" s="271"/>
      <c r="AD157" s="272"/>
      <c r="AE157" s="273"/>
      <c r="AF157" s="273"/>
      <c r="AG157" s="274"/>
      <c r="AH157" s="275"/>
      <c r="AI157" s="272"/>
      <c r="AJ157" s="276"/>
      <c r="AK157" s="277"/>
      <c r="AL157" s="278"/>
      <c r="AM157" s="277"/>
      <c r="AN157" s="279"/>
      <c r="AO157" s="279"/>
      <c r="AP157" s="279"/>
      <c r="AQ157" s="378"/>
      <c r="AR157" s="305">
        <f>'预算书-初步'!$F$10</f>
        <v>0.09</v>
      </c>
      <c r="AT157" s="272"/>
      <c r="BC157" s="272" t="s">
        <v>521</v>
      </c>
      <c r="BD157" s="380">
        <v>1122</v>
      </c>
      <c r="BE157" s="347" t="s">
        <v>522</v>
      </c>
    </row>
    <row r="158" s="52" customFormat="1" ht="15.75" customHeight="1" spans="1:57">
      <c r="A158" s="227"/>
      <c r="B158" s="332"/>
      <c r="C158" s="228"/>
      <c r="D158" s="333"/>
      <c r="E158" s="334"/>
      <c r="F158" s="229"/>
      <c r="G158" s="333"/>
      <c r="H158" s="335"/>
      <c r="I158" s="229"/>
      <c r="J158" s="229"/>
      <c r="K158" s="336"/>
      <c r="L158" s="337"/>
      <c r="M158" s="337"/>
      <c r="N158" s="337"/>
      <c r="O158" s="337"/>
      <c r="P158" s="337"/>
      <c r="Q158" s="381">
        <v>8361</v>
      </c>
      <c r="R158" s="271">
        <f t="shared" si="11"/>
        <v>0</v>
      </c>
      <c r="S158" s="339">
        <f t="shared" si="10"/>
        <v>0</v>
      </c>
      <c r="T158" s="373"/>
      <c r="U158" s="373">
        <f>SUMIF(其他!$A$9:$A$65,"8361",其他!$E$9:$E$65)</f>
        <v>0</v>
      </c>
      <c r="V158" s="274"/>
      <c r="W158" s="374"/>
      <c r="X158" s="375"/>
      <c r="Y158" s="45" t="s">
        <v>674</v>
      </c>
      <c r="Z158" s="376"/>
      <c r="AA158" s="240"/>
      <c r="AB158" s="345">
        <v>1</v>
      </c>
      <c r="AC158" s="271"/>
      <c r="AD158" s="272"/>
      <c r="AE158" s="273"/>
      <c r="AF158" s="273"/>
      <c r="AG158" s="274"/>
      <c r="AH158" s="275"/>
      <c r="AI158" s="272"/>
      <c r="AJ158" s="276"/>
      <c r="AK158" s="277"/>
      <c r="AL158" s="278"/>
      <c r="AM158" s="277"/>
      <c r="AN158" s="279"/>
      <c r="AO158" s="279"/>
      <c r="AP158" s="279"/>
      <c r="AQ158" s="378"/>
      <c r="AR158" s="305">
        <f>'预算书-初步'!$F$10</f>
        <v>0.09</v>
      </c>
      <c r="AT158" s="272"/>
      <c r="BC158" s="272" t="s">
        <v>521</v>
      </c>
      <c r="BD158" s="380">
        <v>1123</v>
      </c>
      <c r="BE158" s="347" t="s">
        <v>522</v>
      </c>
    </row>
    <row r="159" s="52" customFormat="1" ht="15.75" customHeight="1" spans="1:57">
      <c r="A159" s="227"/>
      <c r="B159" s="332"/>
      <c r="C159" s="228"/>
      <c r="D159" s="333"/>
      <c r="E159" s="334"/>
      <c r="F159" s="229"/>
      <c r="G159" s="333"/>
      <c r="H159" s="335"/>
      <c r="I159" s="229"/>
      <c r="J159" s="229"/>
      <c r="K159" s="336"/>
      <c r="L159" s="337"/>
      <c r="M159" s="337"/>
      <c r="N159" s="337"/>
      <c r="O159" s="337"/>
      <c r="P159" s="337"/>
      <c r="Q159" s="381">
        <v>8362</v>
      </c>
      <c r="R159" s="271">
        <f t="shared" si="11"/>
        <v>0</v>
      </c>
      <c r="S159" s="339">
        <f t="shared" si="10"/>
        <v>0</v>
      </c>
      <c r="T159" s="373"/>
      <c r="U159" s="373">
        <f>SUMIF(其他!$A$9:$A$65,"8362",其他!$E$9:$E$65)</f>
        <v>0</v>
      </c>
      <c r="V159" s="274"/>
      <c r="W159" s="374"/>
      <c r="X159" s="375"/>
      <c r="Y159" s="45" t="s">
        <v>675</v>
      </c>
      <c r="Z159" s="376"/>
      <c r="AA159" s="240"/>
      <c r="AB159" s="345">
        <v>1</v>
      </c>
      <c r="AC159" s="271"/>
      <c r="AD159" s="272"/>
      <c r="AE159" s="273"/>
      <c r="AF159" s="273"/>
      <c r="AG159" s="274"/>
      <c r="AH159" s="275"/>
      <c r="AI159" s="272"/>
      <c r="AJ159" s="276"/>
      <c r="AK159" s="277"/>
      <c r="AL159" s="278"/>
      <c r="AM159" s="277"/>
      <c r="AN159" s="279"/>
      <c r="AO159" s="279"/>
      <c r="AP159" s="279"/>
      <c r="AQ159" s="378"/>
      <c r="AR159" s="305">
        <f>'预算书-初步'!$F$10</f>
        <v>0.09</v>
      </c>
      <c r="AT159" s="272"/>
      <c r="BC159" s="272" t="s">
        <v>521</v>
      </c>
      <c r="BD159" s="380">
        <v>1123</v>
      </c>
      <c r="BE159" s="347" t="s">
        <v>522</v>
      </c>
    </row>
    <row r="160" s="52" customFormat="1" ht="15.75" customHeight="1" spans="1:57">
      <c r="A160" s="227"/>
      <c r="B160" s="332"/>
      <c r="C160" s="228"/>
      <c r="D160" s="333"/>
      <c r="E160" s="334"/>
      <c r="F160" s="229"/>
      <c r="G160" s="333"/>
      <c r="H160" s="335"/>
      <c r="I160" s="229"/>
      <c r="J160" s="229"/>
      <c r="K160" s="336"/>
      <c r="L160" s="337"/>
      <c r="M160" s="337"/>
      <c r="N160" s="337"/>
      <c r="O160" s="337"/>
      <c r="P160" s="337"/>
      <c r="Q160" s="381">
        <v>8391</v>
      </c>
      <c r="R160" s="271">
        <f t="shared" si="11"/>
        <v>0</v>
      </c>
      <c r="S160" s="339">
        <f t="shared" si="10"/>
        <v>0</v>
      </c>
      <c r="T160" s="373"/>
      <c r="U160" s="373">
        <f>FA!H$135</f>
        <v>0</v>
      </c>
      <c r="V160" s="274"/>
      <c r="W160" s="374"/>
      <c r="X160" s="375"/>
      <c r="Y160" s="45" t="s">
        <v>676</v>
      </c>
      <c r="Z160" s="376"/>
      <c r="AA160" s="240"/>
      <c r="AB160" s="345">
        <v>1</v>
      </c>
      <c r="AC160" s="271"/>
      <c r="AD160" s="272"/>
      <c r="AE160" s="273"/>
      <c r="AF160" s="273"/>
      <c r="AG160" s="274"/>
      <c r="AH160" s="275"/>
      <c r="AI160" s="272"/>
      <c r="AJ160" s="276"/>
      <c r="AK160" s="277"/>
      <c r="AL160" s="278"/>
      <c r="AM160" s="277"/>
      <c r="AN160" s="279"/>
      <c r="AO160" s="279"/>
      <c r="AP160" s="279"/>
      <c r="AQ160" s="378"/>
      <c r="AR160" s="305">
        <f>'预算书-初步'!$F$10</f>
        <v>0.09</v>
      </c>
      <c r="AT160" s="272"/>
      <c r="BC160" s="272" t="s">
        <v>521</v>
      </c>
      <c r="BD160" s="380">
        <v>1124</v>
      </c>
      <c r="BE160" s="347" t="s">
        <v>522</v>
      </c>
    </row>
    <row r="161" s="52" customFormat="1" ht="15.75" customHeight="1" spans="1:57">
      <c r="A161" s="227"/>
      <c r="B161" s="332"/>
      <c r="C161" s="228"/>
      <c r="D161" s="333"/>
      <c r="E161" s="334"/>
      <c r="F161" s="229"/>
      <c r="G161" s="333"/>
      <c r="H161" s="335"/>
      <c r="I161" s="229"/>
      <c r="J161" s="229"/>
      <c r="K161" s="336"/>
      <c r="L161" s="337"/>
      <c r="M161" s="337"/>
      <c r="N161" s="337"/>
      <c r="O161" s="337"/>
      <c r="P161" s="337"/>
      <c r="Q161" s="381">
        <v>8392</v>
      </c>
      <c r="R161" s="271">
        <f t="shared" si="11"/>
        <v>0</v>
      </c>
      <c r="S161" s="339">
        <f t="shared" si="10"/>
        <v>0</v>
      </c>
      <c r="T161" s="373"/>
      <c r="U161" s="373">
        <f>SUMIF(其他!$A$9:$A$65,"8392",其他!$E$9:$E$65)</f>
        <v>0</v>
      </c>
      <c r="V161" s="274"/>
      <c r="W161" s="374"/>
      <c r="X161" s="375"/>
      <c r="Y161" s="45" t="s">
        <v>677</v>
      </c>
      <c r="Z161" s="376"/>
      <c r="AA161" s="240"/>
      <c r="AB161" s="345">
        <v>1</v>
      </c>
      <c r="AC161" s="271"/>
      <c r="AD161" s="272"/>
      <c r="AE161" s="273"/>
      <c r="AF161" s="273"/>
      <c r="AG161" s="274"/>
      <c r="AH161" s="275"/>
      <c r="AI161" s="272"/>
      <c r="AJ161" s="276"/>
      <c r="AK161" s="277"/>
      <c r="AL161" s="278"/>
      <c r="AM161" s="277"/>
      <c r="AN161" s="279"/>
      <c r="AO161" s="279"/>
      <c r="AP161" s="279"/>
      <c r="AQ161" s="378"/>
      <c r="AR161" s="305">
        <f>'预算书-初步'!$F$10</f>
        <v>0.09</v>
      </c>
      <c r="AT161" s="272"/>
      <c r="BC161" s="272" t="s">
        <v>521</v>
      </c>
      <c r="BD161" s="380">
        <v>1125</v>
      </c>
      <c r="BE161" s="347" t="s">
        <v>522</v>
      </c>
    </row>
    <row r="162" s="52" customFormat="1" ht="15.75" customHeight="1" spans="1:57">
      <c r="A162" s="227"/>
      <c r="B162" s="332"/>
      <c r="C162" s="228"/>
      <c r="D162" s="333"/>
      <c r="E162" s="334"/>
      <c r="F162" s="229"/>
      <c r="G162" s="333"/>
      <c r="H162" s="335"/>
      <c r="I162" s="229"/>
      <c r="J162" s="229"/>
      <c r="K162" s="336"/>
      <c r="L162" s="337"/>
      <c r="M162" s="337"/>
      <c r="N162" s="337"/>
      <c r="O162" s="337"/>
      <c r="P162" s="337"/>
      <c r="Q162" s="381">
        <v>8393</v>
      </c>
      <c r="R162" s="271">
        <f t="shared" si="11"/>
        <v>0</v>
      </c>
      <c r="S162" s="339">
        <f t="shared" si="10"/>
        <v>0</v>
      </c>
      <c r="T162" s="373"/>
      <c r="U162" s="373">
        <f>SUMIF(其他!$A$9:$A$65,"8393",其他!$E$9:$E$65)</f>
        <v>0</v>
      </c>
      <c r="V162" s="274"/>
      <c r="W162" s="374"/>
      <c r="X162" s="375"/>
      <c r="Y162" s="45" t="s">
        <v>678</v>
      </c>
      <c r="Z162" s="376"/>
      <c r="AA162" s="240"/>
      <c r="AB162" s="345">
        <v>1</v>
      </c>
      <c r="AC162" s="271"/>
      <c r="AD162" s="272"/>
      <c r="AE162" s="273"/>
      <c r="AF162" s="273"/>
      <c r="AG162" s="274"/>
      <c r="AH162" s="275"/>
      <c r="AI162" s="272"/>
      <c r="AJ162" s="276"/>
      <c r="AK162" s="277"/>
      <c r="AL162" s="278"/>
      <c r="AM162" s="277"/>
      <c r="AN162" s="279"/>
      <c r="AO162" s="279"/>
      <c r="AP162" s="279"/>
      <c r="AQ162" s="378"/>
      <c r="AR162" s="305">
        <f>'预算书-初步'!$F$10</f>
        <v>0.09</v>
      </c>
      <c r="AT162" s="272"/>
      <c r="BC162" s="272" t="s">
        <v>521</v>
      </c>
      <c r="BD162" s="380">
        <v>1125</v>
      </c>
      <c r="BE162" s="347" t="s">
        <v>522</v>
      </c>
    </row>
    <row r="163" s="52" customFormat="1" ht="15.75" customHeight="1" spans="1:57">
      <c r="A163" s="227"/>
      <c r="B163" s="332"/>
      <c r="C163" s="228"/>
      <c r="D163" s="333"/>
      <c r="E163" s="334"/>
      <c r="F163" s="229"/>
      <c r="G163" s="333"/>
      <c r="H163" s="335"/>
      <c r="I163" s="229"/>
      <c r="J163" s="229"/>
      <c r="K163" s="336"/>
      <c r="L163" s="337"/>
      <c r="M163" s="337"/>
      <c r="N163" s="337"/>
      <c r="O163" s="337"/>
      <c r="P163" s="337"/>
      <c r="Q163" s="381">
        <v>8394</v>
      </c>
      <c r="R163" s="271">
        <f t="shared" si="11"/>
        <v>0</v>
      </c>
      <c r="S163" s="339">
        <f t="shared" si="10"/>
        <v>0</v>
      </c>
      <c r="T163" s="373"/>
      <c r="U163" s="373">
        <f>SUMIF(其他!$A$9:$A$65,"8394",其他!$E$9:$E$65)</f>
        <v>0</v>
      </c>
      <c r="V163" s="274"/>
      <c r="W163" s="374"/>
      <c r="X163" s="375"/>
      <c r="Y163" s="45" t="s">
        <v>679</v>
      </c>
      <c r="Z163" s="376"/>
      <c r="AA163" s="240"/>
      <c r="AB163" s="345">
        <v>1</v>
      </c>
      <c r="AC163" s="271"/>
      <c r="AD163" s="272"/>
      <c r="AE163" s="273"/>
      <c r="AF163" s="273"/>
      <c r="AG163" s="274"/>
      <c r="AH163" s="275"/>
      <c r="AI163" s="272"/>
      <c r="AJ163" s="276"/>
      <c r="AK163" s="277"/>
      <c r="AL163" s="278"/>
      <c r="AM163" s="277"/>
      <c r="AN163" s="279"/>
      <c r="AO163" s="279"/>
      <c r="AP163" s="279"/>
      <c r="AQ163" s="378"/>
      <c r="AR163" s="305">
        <f>'预算书-初步'!$F$10</f>
        <v>0.09</v>
      </c>
      <c r="AT163" s="272"/>
      <c r="BC163" s="272" t="s">
        <v>521</v>
      </c>
      <c r="BD163" s="380">
        <v>1125</v>
      </c>
      <c r="BE163" s="347" t="s">
        <v>522</v>
      </c>
    </row>
    <row r="164" s="52" customFormat="1" ht="15.75" customHeight="1" spans="1:57">
      <c r="A164" s="227"/>
      <c r="B164" s="332"/>
      <c r="C164" s="228"/>
      <c r="D164" s="333"/>
      <c r="E164" s="334"/>
      <c r="F164" s="229"/>
      <c r="G164" s="333"/>
      <c r="H164" s="335"/>
      <c r="I164" s="229"/>
      <c r="J164" s="229"/>
      <c r="K164" s="336"/>
      <c r="L164" s="337"/>
      <c r="M164" s="337"/>
      <c r="N164" s="337"/>
      <c r="O164" s="337"/>
      <c r="P164" s="337"/>
      <c r="Q164" s="381">
        <v>8329</v>
      </c>
      <c r="R164" s="271">
        <f t="shared" si="11"/>
        <v>0</v>
      </c>
      <c r="S164" s="339">
        <f t="shared" si="10"/>
        <v>0</v>
      </c>
      <c r="T164" s="373"/>
      <c r="U164" s="373">
        <f>FA!H$137</f>
        <v>0</v>
      </c>
      <c r="V164" s="274"/>
      <c r="W164" s="374"/>
      <c r="X164" s="375"/>
      <c r="Y164" s="388" t="s">
        <v>680</v>
      </c>
      <c r="Z164" s="376"/>
      <c r="AA164" s="240"/>
      <c r="AB164" s="345">
        <v>1</v>
      </c>
      <c r="AC164" s="271"/>
      <c r="AD164" s="272"/>
      <c r="AE164" s="273"/>
      <c r="AF164" s="273"/>
      <c r="AG164" s="274"/>
      <c r="AH164" s="275"/>
      <c r="AI164" s="272"/>
      <c r="AJ164" s="276"/>
      <c r="AK164" s="277"/>
      <c r="AL164" s="278"/>
      <c r="AM164" s="277"/>
      <c r="AN164" s="279"/>
      <c r="AO164" s="279"/>
      <c r="AP164" s="279"/>
      <c r="AQ164" s="378"/>
      <c r="AR164" s="305">
        <f>'预算书-初步'!$F$10</f>
        <v>0.09</v>
      </c>
      <c r="AT164" s="272"/>
      <c r="BC164" s="272" t="s">
        <v>521</v>
      </c>
      <c r="BD164" s="380">
        <v>1126</v>
      </c>
      <c r="BE164" s="347" t="s">
        <v>522</v>
      </c>
    </row>
    <row r="165" s="52" customFormat="1" ht="15.75" customHeight="1" spans="1:57">
      <c r="A165" s="227"/>
      <c r="B165" s="332"/>
      <c r="C165" s="228"/>
      <c r="D165" s="333"/>
      <c r="E165" s="334"/>
      <c r="F165" s="229"/>
      <c r="G165" s="333"/>
      <c r="H165" s="335"/>
      <c r="I165" s="229"/>
      <c r="J165" s="229"/>
      <c r="K165" s="336"/>
      <c r="L165" s="337"/>
      <c r="M165" s="337"/>
      <c r="N165" s="337"/>
      <c r="O165" s="337"/>
      <c r="P165" s="337"/>
      <c r="Q165" s="381">
        <v>8330</v>
      </c>
      <c r="R165" s="271">
        <f t="shared" si="11"/>
        <v>0</v>
      </c>
      <c r="S165" s="339">
        <f t="shared" ref="S165:S183" si="12">$S$5</f>
        <v>0</v>
      </c>
      <c r="T165" s="373"/>
      <c r="U165" s="373">
        <f>FA!H$138</f>
        <v>0</v>
      </c>
      <c r="V165" s="274"/>
      <c r="W165" s="374"/>
      <c r="X165" s="375"/>
      <c r="Y165" s="45" t="s">
        <v>681</v>
      </c>
      <c r="Z165" s="376"/>
      <c r="AA165" s="240"/>
      <c r="AB165" s="345">
        <v>1</v>
      </c>
      <c r="AC165" s="271"/>
      <c r="AD165" s="272"/>
      <c r="AE165" s="273"/>
      <c r="AF165" s="273"/>
      <c r="AG165" s="274"/>
      <c r="AH165" s="275"/>
      <c r="AI165" s="272"/>
      <c r="AJ165" s="276"/>
      <c r="AK165" s="277"/>
      <c r="AL165" s="278"/>
      <c r="AM165" s="277"/>
      <c r="AN165" s="279"/>
      <c r="AO165" s="279"/>
      <c r="AP165" s="279"/>
      <c r="AQ165" s="378"/>
      <c r="AR165" s="305">
        <f>'预算书-初步'!$F$10</f>
        <v>0.09</v>
      </c>
      <c r="AT165" s="272"/>
      <c r="BC165" s="272" t="s">
        <v>521</v>
      </c>
      <c r="BD165" s="380">
        <v>1127</v>
      </c>
      <c r="BE165" s="347" t="s">
        <v>522</v>
      </c>
    </row>
    <row r="166" s="52" customFormat="1" ht="15.75" customHeight="1" spans="1:57">
      <c r="A166" s="227"/>
      <c r="B166" s="332"/>
      <c r="C166" s="228"/>
      <c r="D166" s="333"/>
      <c r="E166" s="334"/>
      <c r="F166" s="229"/>
      <c r="G166" s="333"/>
      <c r="H166" s="335"/>
      <c r="I166" s="229"/>
      <c r="J166" s="229"/>
      <c r="K166" s="336"/>
      <c r="L166" s="337"/>
      <c r="M166" s="337"/>
      <c r="N166" s="337"/>
      <c r="O166" s="337"/>
      <c r="P166" s="337"/>
      <c r="Q166" s="381">
        <v>8440</v>
      </c>
      <c r="R166" s="271">
        <f t="shared" si="11"/>
        <v>0</v>
      </c>
      <c r="S166" s="339">
        <f t="shared" si="12"/>
        <v>0</v>
      </c>
      <c r="T166" s="373"/>
      <c r="U166" s="373">
        <f>FA!H$144</f>
        <v>0</v>
      </c>
      <c r="V166" s="274"/>
      <c r="W166" s="374"/>
      <c r="X166" s="375"/>
      <c r="Y166" s="385" t="s">
        <v>682</v>
      </c>
      <c r="Z166" s="376"/>
      <c r="AA166" s="240"/>
      <c r="AB166" s="345">
        <v>1</v>
      </c>
      <c r="AC166" s="271"/>
      <c r="AD166" s="272"/>
      <c r="AE166" s="273"/>
      <c r="AF166" s="273"/>
      <c r="AG166" s="274"/>
      <c r="AH166" s="275"/>
      <c r="AI166" s="272"/>
      <c r="AJ166" s="276"/>
      <c r="AK166" s="277"/>
      <c r="AL166" s="278"/>
      <c r="AM166" s="277"/>
      <c r="AN166" s="279"/>
      <c r="AO166" s="279"/>
      <c r="AP166" s="279"/>
      <c r="AQ166" s="378"/>
      <c r="AR166" s="305">
        <f>'预算书-初步'!$F$10</f>
        <v>0.09</v>
      </c>
      <c r="AT166" s="272"/>
      <c r="BC166" s="272" t="s">
        <v>521</v>
      </c>
      <c r="BD166" s="380">
        <v>1133</v>
      </c>
      <c r="BE166" s="347" t="s">
        <v>522</v>
      </c>
    </row>
    <row r="167" s="52" customFormat="1" ht="15.75" customHeight="1" spans="1:57">
      <c r="A167" s="227"/>
      <c r="B167" s="332"/>
      <c r="C167" s="228"/>
      <c r="D167" s="333"/>
      <c r="E167" s="334"/>
      <c r="F167" s="229"/>
      <c r="G167" s="333"/>
      <c r="H167" s="335"/>
      <c r="I167" s="229"/>
      <c r="J167" s="229"/>
      <c r="K167" s="336"/>
      <c r="L167" s="337"/>
      <c r="M167" s="337"/>
      <c r="N167" s="337"/>
      <c r="O167" s="337"/>
      <c r="P167" s="337"/>
      <c r="Q167" s="381">
        <v>8437</v>
      </c>
      <c r="R167" s="271">
        <f t="shared" si="11"/>
        <v>0</v>
      </c>
      <c r="S167" s="339">
        <f t="shared" si="12"/>
        <v>0</v>
      </c>
      <c r="T167" s="373"/>
      <c r="U167" s="373">
        <f>FA!H$145</f>
        <v>0</v>
      </c>
      <c r="V167" s="274"/>
      <c r="W167" s="374"/>
      <c r="X167" s="375"/>
      <c r="Y167" s="45" t="s">
        <v>683</v>
      </c>
      <c r="Z167" s="376"/>
      <c r="AA167" s="240"/>
      <c r="AB167" s="345">
        <v>1</v>
      </c>
      <c r="AC167" s="271"/>
      <c r="AD167" s="272"/>
      <c r="AE167" s="273"/>
      <c r="AF167" s="273"/>
      <c r="AG167" s="274"/>
      <c r="AH167" s="275"/>
      <c r="AI167" s="272"/>
      <c r="AJ167" s="276"/>
      <c r="AK167" s="277"/>
      <c r="AL167" s="278"/>
      <c r="AM167" s="277"/>
      <c r="AN167" s="279"/>
      <c r="AO167" s="279"/>
      <c r="AP167" s="279"/>
      <c r="AQ167" s="378"/>
      <c r="AR167" s="305">
        <f>'预算书-初步'!$F$10</f>
        <v>0.09</v>
      </c>
      <c r="AT167" s="272"/>
      <c r="BC167" s="272" t="s">
        <v>521</v>
      </c>
      <c r="BD167" s="380">
        <v>1134</v>
      </c>
      <c r="BE167" s="347" t="s">
        <v>522</v>
      </c>
    </row>
    <row r="168" s="52" customFormat="1" ht="15.75" customHeight="1" spans="1:57">
      <c r="A168" s="227"/>
      <c r="B168" s="332"/>
      <c r="C168" s="228"/>
      <c r="D168" s="333"/>
      <c r="E168" s="334"/>
      <c r="F168" s="229"/>
      <c r="G168" s="333"/>
      <c r="H168" s="335"/>
      <c r="I168" s="229"/>
      <c r="J168" s="229"/>
      <c r="K168" s="336"/>
      <c r="L168" s="337"/>
      <c r="M168" s="337"/>
      <c r="N168" s="337"/>
      <c r="O168" s="337"/>
      <c r="P168" s="337"/>
      <c r="Q168" s="381">
        <v>8441</v>
      </c>
      <c r="R168" s="271">
        <f t="shared" si="11"/>
        <v>0</v>
      </c>
      <c r="S168" s="339">
        <f t="shared" si="12"/>
        <v>0</v>
      </c>
      <c r="T168" s="373"/>
      <c r="U168" s="373">
        <f>FA!H$146</f>
        <v>0</v>
      </c>
      <c r="V168" s="274"/>
      <c r="W168" s="374"/>
      <c r="X168" s="375"/>
      <c r="Y168" s="388" t="s">
        <v>684</v>
      </c>
      <c r="Z168" s="376"/>
      <c r="AA168" s="240"/>
      <c r="AB168" s="345">
        <v>1</v>
      </c>
      <c r="AC168" s="271"/>
      <c r="AD168" s="272"/>
      <c r="AE168" s="273"/>
      <c r="AF168" s="273"/>
      <c r="AG168" s="274"/>
      <c r="AH168" s="275"/>
      <c r="AI168" s="272"/>
      <c r="AJ168" s="276"/>
      <c r="AK168" s="277"/>
      <c r="AL168" s="278"/>
      <c r="AM168" s="277"/>
      <c r="AN168" s="279"/>
      <c r="AO168" s="279"/>
      <c r="AP168" s="279"/>
      <c r="AQ168" s="378"/>
      <c r="AR168" s="305">
        <f>'预算书-初步'!$F$10</f>
        <v>0.09</v>
      </c>
      <c r="AT168" s="272"/>
      <c r="BC168" s="272" t="s">
        <v>521</v>
      </c>
      <c r="BD168" s="380">
        <v>1135</v>
      </c>
      <c r="BE168" s="347" t="s">
        <v>522</v>
      </c>
    </row>
    <row r="169" s="52" customFormat="1" ht="15.75" customHeight="1" spans="1:57">
      <c r="A169" s="227"/>
      <c r="B169" s="332"/>
      <c r="C169" s="228"/>
      <c r="D169" s="333"/>
      <c r="E169" s="334"/>
      <c r="F169" s="229"/>
      <c r="G169" s="333"/>
      <c r="H169" s="335"/>
      <c r="I169" s="229"/>
      <c r="J169" s="229"/>
      <c r="K169" s="336"/>
      <c r="L169" s="337"/>
      <c r="M169" s="337"/>
      <c r="N169" s="337"/>
      <c r="O169" s="337"/>
      <c r="P169" s="337"/>
      <c r="Q169" s="381">
        <v>8420</v>
      </c>
      <c r="R169" s="271">
        <f t="shared" si="11"/>
        <v>0</v>
      </c>
      <c r="S169" s="339">
        <f t="shared" si="12"/>
        <v>0</v>
      </c>
      <c r="T169" s="373"/>
      <c r="U169" s="373">
        <f>FA!H$148</f>
        <v>0</v>
      </c>
      <c r="V169" s="274"/>
      <c r="W169" s="374"/>
      <c r="X169" s="375"/>
      <c r="Y169" s="45" t="s">
        <v>685</v>
      </c>
      <c r="Z169" s="376"/>
      <c r="AA169" s="240"/>
      <c r="AB169" s="345">
        <v>1</v>
      </c>
      <c r="AC169" s="271"/>
      <c r="AD169" s="272"/>
      <c r="AE169" s="273"/>
      <c r="AF169" s="273"/>
      <c r="AG169" s="274"/>
      <c r="AH169" s="275"/>
      <c r="AI169" s="272"/>
      <c r="AJ169" s="276"/>
      <c r="AK169" s="277"/>
      <c r="AL169" s="278"/>
      <c r="AM169" s="277"/>
      <c r="AN169" s="279"/>
      <c r="AO169" s="279"/>
      <c r="AP169" s="279"/>
      <c r="AQ169" s="378"/>
      <c r="AR169" s="305">
        <f>'预算书-初步'!$F$10</f>
        <v>0.09</v>
      </c>
      <c r="AT169" s="272"/>
      <c r="BC169" s="272" t="s">
        <v>521</v>
      </c>
      <c r="BD169" s="380">
        <v>1137</v>
      </c>
      <c r="BE169" s="347" t="s">
        <v>522</v>
      </c>
    </row>
    <row r="170" s="52" customFormat="1" ht="15.75" customHeight="1" spans="1:57">
      <c r="A170" s="227"/>
      <c r="B170" s="332"/>
      <c r="C170" s="228"/>
      <c r="D170" s="333"/>
      <c r="E170" s="334"/>
      <c r="F170" s="229"/>
      <c r="G170" s="333"/>
      <c r="H170" s="335"/>
      <c r="I170" s="229"/>
      <c r="J170" s="229"/>
      <c r="K170" s="336"/>
      <c r="L170" s="337"/>
      <c r="M170" s="337"/>
      <c r="N170" s="337"/>
      <c r="O170" s="337"/>
      <c r="P170" s="337"/>
      <c r="Q170" s="381">
        <v>8450</v>
      </c>
      <c r="R170" s="271">
        <f t="shared" si="11"/>
        <v>0</v>
      </c>
      <c r="S170" s="339">
        <f t="shared" si="12"/>
        <v>0</v>
      </c>
      <c r="T170" s="373"/>
      <c r="U170" s="373">
        <f>FA!H$149</f>
        <v>0</v>
      </c>
      <c r="V170" s="274"/>
      <c r="W170" s="374"/>
      <c r="X170" s="375"/>
      <c r="Y170" s="388" t="s">
        <v>686</v>
      </c>
      <c r="Z170" s="376"/>
      <c r="AA170" s="240"/>
      <c r="AB170" s="345">
        <v>1</v>
      </c>
      <c r="AC170" s="271"/>
      <c r="AD170" s="272"/>
      <c r="AE170" s="273"/>
      <c r="AF170" s="273"/>
      <c r="AG170" s="274"/>
      <c r="AH170" s="275"/>
      <c r="AI170" s="272"/>
      <c r="AJ170" s="276"/>
      <c r="AK170" s="277"/>
      <c r="AL170" s="278"/>
      <c r="AM170" s="277"/>
      <c r="AN170" s="279"/>
      <c r="AO170" s="279"/>
      <c r="AP170" s="279"/>
      <c r="AQ170" s="378"/>
      <c r="AR170" s="305">
        <f>'预算书-初步'!$F$10</f>
        <v>0.09</v>
      </c>
      <c r="AT170" s="272"/>
      <c r="BC170" s="272" t="s">
        <v>521</v>
      </c>
      <c r="BD170" s="380">
        <v>1138</v>
      </c>
      <c r="BE170" s="347" t="s">
        <v>522</v>
      </c>
    </row>
    <row r="171" s="52" customFormat="1" ht="15.75" customHeight="1" spans="1:57">
      <c r="A171" s="227"/>
      <c r="B171" s="332"/>
      <c r="C171" s="228"/>
      <c r="D171" s="333"/>
      <c r="E171" s="334"/>
      <c r="F171" s="229"/>
      <c r="G171" s="333"/>
      <c r="H171" s="335"/>
      <c r="I171" s="229"/>
      <c r="J171" s="229"/>
      <c r="K171" s="336"/>
      <c r="L171" s="337"/>
      <c r="M171" s="337"/>
      <c r="N171" s="337"/>
      <c r="O171" s="337"/>
      <c r="P171" s="337"/>
      <c r="Q171" s="381">
        <v>8493</v>
      </c>
      <c r="R171" s="271">
        <f t="shared" si="11"/>
        <v>0</v>
      </c>
      <c r="S171" s="339">
        <f t="shared" si="12"/>
        <v>0</v>
      </c>
      <c r="T171" s="373"/>
      <c r="U171" s="373">
        <f>FA!H$155</f>
        <v>0</v>
      </c>
      <c r="V171" s="274"/>
      <c r="W171" s="374"/>
      <c r="X171" s="375"/>
      <c r="Y171" s="365" t="s">
        <v>687</v>
      </c>
      <c r="Z171" s="376"/>
      <c r="AA171" s="240"/>
      <c r="AB171" s="345">
        <v>1</v>
      </c>
      <c r="AC171" s="271"/>
      <c r="AD171" s="272"/>
      <c r="AE171" s="273"/>
      <c r="AF171" s="273"/>
      <c r="AG171" s="274"/>
      <c r="AH171" s="275"/>
      <c r="AI171" s="272"/>
      <c r="AJ171" s="276"/>
      <c r="AK171" s="277"/>
      <c r="AL171" s="278"/>
      <c r="AM171" s="277"/>
      <c r="AN171" s="279"/>
      <c r="AO171" s="279"/>
      <c r="AP171" s="279"/>
      <c r="AQ171" s="378"/>
      <c r="AR171" s="305">
        <f>'预算书-初步'!$F$10</f>
        <v>0.09</v>
      </c>
      <c r="AT171" s="272"/>
      <c r="BC171" s="272" t="s">
        <v>521</v>
      </c>
      <c r="BD171" s="380">
        <v>1152</v>
      </c>
      <c r="BE171" s="347" t="s">
        <v>522</v>
      </c>
    </row>
    <row r="172" s="52" customFormat="1" ht="15.75" customHeight="1" spans="1:57">
      <c r="A172" s="227"/>
      <c r="B172" s="332"/>
      <c r="C172" s="228"/>
      <c r="D172" s="333"/>
      <c r="E172" s="334"/>
      <c r="F172" s="229"/>
      <c r="G172" s="333"/>
      <c r="H172" s="335"/>
      <c r="I172" s="229"/>
      <c r="J172" s="229"/>
      <c r="K172" s="336"/>
      <c r="L172" s="337"/>
      <c r="M172" s="337"/>
      <c r="N172" s="337"/>
      <c r="O172" s="337"/>
      <c r="P172" s="337"/>
      <c r="Q172" s="381">
        <v>8494</v>
      </c>
      <c r="R172" s="271">
        <f t="shared" si="11"/>
        <v>0</v>
      </c>
      <c r="S172" s="339">
        <f t="shared" si="12"/>
        <v>0</v>
      </c>
      <c r="T172" s="373"/>
      <c r="U172" s="373">
        <f>FA!H$156</f>
        <v>0</v>
      </c>
      <c r="V172" s="274"/>
      <c r="W172" s="374"/>
      <c r="X172" s="375"/>
      <c r="Y172" s="365" t="s">
        <v>688</v>
      </c>
      <c r="Z172" s="376"/>
      <c r="AA172" s="240"/>
      <c r="AB172" s="345">
        <v>1</v>
      </c>
      <c r="AC172" s="271"/>
      <c r="AD172" s="272"/>
      <c r="AE172" s="273"/>
      <c r="AF172" s="273"/>
      <c r="AG172" s="274"/>
      <c r="AH172" s="275"/>
      <c r="AI172" s="272"/>
      <c r="AJ172" s="276"/>
      <c r="AK172" s="277"/>
      <c r="AL172" s="278"/>
      <c r="AM172" s="277"/>
      <c r="AN172" s="279"/>
      <c r="AO172" s="279"/>
      <c r="AP172" s="279"/>
      <c r="AQ172" s="378"/>
      <c r="AR172" s="305">
        <f>'预算书-初步'!$F$10</f>
        <v>0.09</v>
      </c>
      <c r="AT172" s="272"/>
      <c r="BC172" s="272" t="s">
        <v>521</v>
      </c>
      <c r="BD172" s="380">
        <v>1153</v>
      </c>
      <c r="BE172" s="347" t="s">
        <v>522</v>
      </c>
    </row>
    <row r="173" s="52" customFormat="1" ht="15.75" customHeight="1" spans="1:57">
      <c r="A173" s="227"/>
      <c r="B173" s="332"/>
      <c r="C173" s="228"/>
      <c r="D173" s="333"/>
      <c r="E173" s="334"/>
      <c r="F173" s="229"/>
      <c r="G173" s="333"/>
      <c r="H173" s="335"/>
      <c r="I173" s="229"/>
      <c r="J173" s="229"/>
      <c r="K173" s="336"/>
      <c r="L173" s="337"/>
      <c r="M173" s="337"/>
      <c r="N173" s="337"/>
      <c r="O173" s="337"/>
      <c r="P173" s="337"/>
      <c r="Q173" s="391">
        <v>2910</v>
      </c>
      <c r="R173" s="271">
        <f t="shared" si="11"/>
        <v>0</v>
      </c>
      <c r="S173" s="339">
        <f t="shared" si="12"/>
        <v>0</v>
      </c>
      <c r="T173" s="373"/>
      <c r="U173" s="373">
        <f>SUMIF(其他!$A$9:$A$65,"2910",其他!$E$9:$E$65)</f>
        <v>0</v>
      </c>
      <c r="V173" s="274"/>
      <c r="W173" s="374"/>
      <c r="X173" s="375"/>
      <c r="Y173" s="45" t="s">
        <v>689</v>
      </c>
      <c r="Z173" s="376"/>
      <c r="AA173" s="240"/>
      <c r="AB173" s="345">
        <v>1</v>
      </c>
      <c r="AC173" s="271"/>
      <c r="AD173" s="272"/>
      <c r="AE173" s="273"/>
      <c r="AF173" s="273"/>
      <c r="AG173" s="274"/>
      <c r="AH173" s="275"/>
      <c r="AI173" s="272"/>
      <c r="AJ173" s="276"/>
      <c r="AK173" s="277"/>
      <c r="AL173" s="278"/>
      <c r="AM173" s="277"/>
      <c r="AN173" s="279"/>
      <c r="AO173" s="279"/>
      <c r="AP173" s="279"/>
      <c r="AQ173" s="378"/>
      <c r="AR173" s="305">
        <f>'预算书-初步'!$F$10</f>
        <v>0.09</v>
      </c>
      <c r="AT173" s="272"/>
      <c r="BC173" s="272" t="s">
        <v>521</v>
      </c>
      <c r="BD173" s="380">
        <v>1160</v>
      </c>
      <c r="BE173" s="347" t="s">
        <v>522</v>
      </c>
    </row>
    <row r="174" s="52" customFormat="1" ht="15.75" customHeight="1" spans="1:57">
      <c r="A174" s="227"/>
      <c r="B174" s="332"/>
      <c r="C174" s="228"/>
      <c r="D174" s="333"/>
      <c r="E174" s="334"/>
      <c r="F174" s="229"/>
      <c r="G174" s="333"/>
      <c r="H174" s="335"/>
      <c r="I174" s="229"/>
      <c r="J174" s="229"/>
      <c r="K174" s="336"/>
      <c r="L174" s="337"/>
      <c r="M174" s="337"/>
      <c r="N174" s="337"/>
      <c r="O174" s="337"/>
      <c r="P174" s="337"/>
      <c r="Q174" s="391">
        <v>2920</v>
      </c>
      <c r="R174" s="271">
        <f t="shared" si="11"/>
        <v>0</v>
      </c>
      <c r="S174" s="339">
        <f t="shared" si="12"/>
        <v>0</v>
      </c>
      <c r="T174" s="373"/>
      <c r="U174" s="373">
        <f>SUMIF(其他!$A$9:$A$65,"2920",其他!$E$9:$E$65)</f>
        <v>0</v>
      </c>
      <c r="V174" s="274"/>
      <c r="W174" s="374"/>
      <c r="X174" s="375"/>
      <c r="Y174" s="45" t="s">
        <v>690</v>
      </c>
      <c r="Z174" s="376"/>
      <c r="AA174" s="240"/>
      <c r="AB174" s="345">
        <v>1</v>
      </c>
      <c r="AC174" s="271"/>
      <c r="AD174" s="272"/>
      <c r="AE174" s="273"/>
      <c r="AF174" s="273"/>
      <c r="AG174" s="274"/>
      <c r="AH174" s="275"/>
      <c r="AI174" s="272"/>
      <c r="AJ174" s="276"/>
      <c r="AK174" s="277"/>
      <c r="AL174" s="278"/>
      <c r="AM174" s="277"/>
      <c r="AN174" s="279"/>
      <c r="AO174" s="279"/>
      <c r="AP174" s="279"/>
      <c r="AQ174" s="378"/>
      <c r="AR174" s="305">
        <f>'预算书-初步'!$F$10</f>
        <v>0.09</v>
      </c>
      <c r="AT174" s="272"/>
      <c r="BC174" s="272" t="s">
        <v>521</v>
      </c>
      <c r="BD174" s="380">
        <v>1160</v>
      </c>
      <c r="BE174" s="347" t="s">
        <v>522</v>
      </c>
    </row>
    <row r="175" s="52" customFormat="1" ht="15.75" customHeight="1" spans="1:57">
      <c r="A175" s="227"/>
      <c r="B175" s="332"/>
      <c r="C175" s="228"/>
      <c r="D175" s="333"/>
      <c r="E175" s="334"/>
      <c r="F175" s="229"/>
      <c r="G175" s="333"/>
      <c r="H175" s="335"/>
      <c r="I175" s="229"/>
      <c r="J175" s="229"/>
      <c r="K175" s="336"/>
      <c r="L175" s="337"/>
      <c r="M175" s="337"/>
      <c r="N175" s="337"/>
      <c r="O175" s="337"/>
      <c r="P175" s="337"/>
      <c r="Q175" s="391">
        <v>2930</v>
      </c>
      <c r="R175" s="271">
        <f t="shared" si="11"/>
        <v>0</v>
      </c>
      <c r="S175" s="339">
        <f t="shared" si="12"/>
        <v>0</v>
      </c>
      <c r="T175" s="373"/>
      <c r="U175" s="373">
        <f>SUMIF(其他!$A$9:$A$65,"2930",其他!$E$9:$E$65)</f>
        <v>0</v>
      </c>
      <c r="V175" s="274"/>
      <c r="W175" s="374"/>
      <c r="X175" s="375"/>
      <c r="Y175" s="45" t="s">
        <v>691</v>
      </c>
      <c r="Z175" s="376"/>
      <c r="AA175" s="240"/>
      <c r="AB175" s="345">
        <v>1</v>
      </c>
      <c r="AC175" s="271"/>
      <c r="AD175" s="272"/>
      <c r="AE175" s="273"/>
      <c r="AF175" s="273"/>
      <c r="AG175" s="274"/>
      <c r="AH175" s="275"/>
      <c r="AI175" s="272"/>
      <c r="AJ175" s="276"/>
      <c r="AK175" s="277"/>
      <c r="AL175" s="278"/>
      <c r="AM175" s="277"/>
      <c r="AN175" s="279"/>
      <c r="AO175" s="279"/>
      <c r="AP175" s="279"/>
      <c r="AQ175" s="378"/>
      <c r="AR175" s="305">
        <f>'预算书-初步'!$F$10</f>
        <v>0.09</v>
      </c>
      <c r="AT175" s="272"/>
      <c r="BC175" s="272" t="s">
        <v>521</v>
      </c>
      <c r="BD175" s="380">
        <v>1160</v>
      </c>
      <c r="BE175" s="347" t="s">
        <v>522</v>
      </c>
    </row>
    <row r="176" s="52" customFormat="1" ht="15.75" customHeight="1" spans="1:57">
      <c r="A176" s="227"/>
      <c r="B176" s="332"/>
      <c r="C176" s="228"/>
      <c r="D176" s="333"/>
      <c r="E176" s="334"/>
      <c r="F176" s="229"/>
      <c r="G176" s="333"/>
      <c r="H176" s="335"/>
      <c r="I176" s="229"/>
      <c r="J176" s="229"/>
      <c r="K176" s="336"/>
      <c r="L176" s="337"/>
      <c r="M176" s="337"/>
      <c r="N176" s="337"/>
      <c r="O176" s="337"/>
      <c r="P176" s="337"/>
      <c r="Q176" s="391">
        <v>2940</v>
      </c>
      <c r="R176" s="271">
        <f t="shared" si="11"/>
        <v>0</v>
      </c>
      <c r="S176" s="339">
        <f t="shared" si="12"/>
        <v>0</v>
      </c>
      <c r="T176" s="373"/>
      <c r="U176" s="373">
        <f>SUMIF(其他!$A$9:$A$65,"2940",其他!$E$9:$E$65)</f>
        <v>0</v>
      </c>
      <c r="V176" s="274"/>
      <c r="W176" s="374"/>
      <c r="X176" s="375"/>
      <c r="Y176" s="45" t="s">
        <v>692</v>
      </c>
      <c r="Z176" s="376"/>
      <c r="AA176" s="240"/>
      <c r="AB176" s="345">
        <v>1</v>
      </c>
      <c r="AC176" s="271"/>
      <c r="AD176" s="272"/>
      <c r="AE176" s="273"/>
      <c r="AF176" s="273"/>
      <c r="AG176" s="274"/>
      <c r="AH176" s="275"/>
      <c r="AI176" s="272"/>
      <c r="AJ176" s="276"/>
      <c r="AK176" s="277"/>
      <c r="AL176" s="278"/>
      <c r="AM176" s="277"/>
      <c r="AN176" s="279"/>
      <c r="AO176" s="279"/>
      <c r="AP176" s="279"/>
      <c r="AQ176" s="378"/>
      <c r="AR176" s="305">
        <f>'预算书-初步'!$F$10</f>
        <v>0.09</v>
      </c>
      <c r="AT176" s="272"/>
      <c r="BC176" s="272" t="s">
        <v>521</v>
      </c>
      <c r="BD176" s="380">
        <v>1160</v>
      </c>
      <c r="BE176" s="347" t="s">
        <v>522</v>
      </c>
    </row>
    <row r="177" s="52" customFormat="1" ht="15.75" customHeight="1" spans="1:57">
      <c r="A177" s="227"/>
      <c r="B177" s="332"/>
      <c r="C177" s="228"/>
      <c r="D177" s="333"/>
      <c r="E177" s="334"/>
      <c r="F177" s="229"/>
      <c r="G177" s="333"/>
      <c r="H177" s="335"/>
      <c r="I177" s="229"/>
      <c r="J177" s="229"/>
      <c r="K177" s="336"/>
      <c r="L177" s="337"/>
      <c r="M177" s="337"/>
      <c r="N177" s="337"/>
      <c r="O177" s="337"/>
      <c r="P177" s="337"/>
      <c r="Q177" s="391">
        <v>2950</v>
      </c>
      <c r="R177" s="271">
        <f t="shared" si="11"/>
        <v>0</v>
      </c>
      <c r="S177" s="339">
        <f t="shared" si="12"/>
        <v>0</v>
      </c>
      <c r="T177" s="373"/>
      <c r="U177" s="373">
        <f>SUMIF(其他!$A$9:$A$65,"2950",其他!$E$9:$E$65)</f>
        <v>0</v>
      </c>
      <c r="V177" s="274"/>
      <c r="W177" s="374"/>
      <c r="X177" s="375"/>
      <c r="Y177" s="45" t="s">
        <v>693</v>
      </c>
      <c r="Z177" s="376"/>
      <c r="AA177" s="240"/>
      <c r="AB177" s="345">
        <v>1</v>
      </c>
      <c r="AC177" s="271"/>
      <c r="AD177" s="272"/>
      <c r="AE177" s="273"/>
      <c r="AF177" s="273"/>
      <c r="AG177" s="274"/>
      <c r="AH177" s="275"/>
      <c r="AI177" s="272"/>
      <c r="AJ177" s="276"/>
      <c r="AK177" s="277"/>
      <c r="AL177" s="278"/>
      <c r="AM177" s="277"/>
      <c r="AN177" s="279"/>
      <c r="AO177" s="279"/>
      <c r="AP177" s="279"/>
      <c r="AQ177" s="378"/>
      <c r="AR177" s="305">
        <f>'预算书-初步'!$F$10</f>
        <v>0.09</v>
      </c>
      <c r="AT177" s="272"/>
      <c r="BC177" s="272" t="s">
        <v>521</v>
      </c>
      <c r="BD177" s="380">
        <v>1160</v>
      </c>
      <c r="BE177" s="347" t="s">
        <v>522</v>
      </c>
    </row>
    <row r="178" s="52" customFormat="1" ht="15.75" customHeight="1" spans="1:57">
      <c r="A178" s="227"/>
      <c r="B178" s="332"/>
      <c r="C178" s="228"/>
      <c r="D178" s="333"/>
      <c r="E178" s="334"/>
      <c r="F178" s="229"/>
      <c r="G178" s="333"/>
      <c r="H178" s="335"/>
      <c r="I178" s="229"/>
      <c r="J178" s="229"/>
      <c r="K178" s="336"/>
      <c r="L178" s="337"/>
      <c r="M178" s="337"/>
      <c r="N178" s="337"/>
      <c r="O178" s="337"/>
      <c r="P178" s="337"/>
      <c r="Q178" s="384">
        <v>2992</v>
      </c>
      <c r="R178" s="271">
        <f t="shared" si="11"/>
        <v>0</v>
      </c>
      <c r="S178" s="339">
        <f t="shared" si="12"/>
        <v>0</v>
      </c>
      <c r="T178" s="373"/>
      <c r="U178" s="373">
        <f>SUMIF(其他!$A$9:$A$65,"2992",其他!$E$9:$E$65)</f>
        <v>0</v>
      </c>
      <c r="V178" s="274"/>
      <c r="W178" s="374"/>
      <c r="X178" s="375"/>
      <c r="Y178" s="45" t="s">
        <v>694</v>
      </c>
      <c r="Z178" s="376"/>
      <c r="AA178" s="240"/>
      <c r="AB178" s="345">
        <v>1</v>
      </c>
      <c r="AC178" s="271"/>
      <c r="AD178" s="272"/>
      <c r="AE178" s="273"/>
      <c r="AF178" s="273"/>
      <c r="AG178" s="274"/>
      <c r="AH178" s="275"/>
      <c r="AI178" s="272"/>
      <c r="AJ178" s="276"/>
      <c r="AK178" s="277"/>
      <c r="AL178" s="278"/>
      <c r="AM178" s="277"/>
      <c r="AN178" s="279"/>
      <c r="AO178" s="279"/>
      <c r="AP178" s="279"/>
      <c r="AQ178" s="378"/>
      <c r="AR178" s="305">
        <f>'预算书-初步'!$F$10</f>
        <v>0.09</v>
      </c>
      <c r="AT178" s="272"/>
      <c r="BC178" s="272" t="s">
        <v>521</v>
      </c>
      <c r="BD178" s="380">
        <v>1163</v>
      </c>
      <c r="BE178" s="347" t="s">
        <v>522</v>
      </c>
    </row>
    <row r="179" s="52" customFormat="1" ht="15.75" customHeight="1" spans="1:57">
      <c r="A179" s="227"/>
      <c r="B179" s="332"/>
      <c r="C179" s="228"/>
      <c r="D179" s="333"/>
      <c r="E179" s="334"/>
      <c r="F179" s="229"/>
      <c r="G179" s="333"/>
      <c r="H179" s="335"/>
      <c r="I179" s="229"/>
      <c r="J179" s="229"/>
      <c r="K179" s="336"/>
      <c r="L179" s="337"/>
      <c r="M179" s="337"/>
      <c r="N179" s="337"/>
      <c r="O179" s="337"/>
      <c r="P179" s="337"/>
      <c r="Q179" s="384">
        <v>2993</v>
      </c>
      <c r="R179" s="271">
        <f t="shared" si="11"/>
        <v>0</v>
      </c>
      <c r="S179" s="339">
        <f t="shared" si="12"/>
        <v>0</v>
      </c>
      <c r="T179" s="373"/>
      <c r="U179" s="373">
        <f>SUMIF(其他!$A$9:$A$65,"2993",其他!$E$9:$E$65)</f>
        <v>0</v>
      </c>
      <c r="V179" s="274"/>
      <c r="W179" s="374"/>
      <c r="X179" s="375"/>
      <c r="Y179" s="45" t="s">
        <v>695</v>
      </c>
      <c r="Z179" s="376"/>
      <c r="AA179" s="240"/>
      <c r="AB179" s="345">
        <v>1</v>
      </c>
      <c r="AC179" s="271"/>
      <c r="AD179" s="272"/>
      <c r="AE179" s="273"/>
      <c r="AF179" s="273"/>
      <c r="AG179" s="274"/>
      <c r="AH179" s="275"/>
      <c r="AI179" s="272"/>
      <c r="AJ179" s="276"/>
      <c r="AK179" s="277"/>
      <c r="AL179" s="278"/>
      <c r="AM179" s="277"/>
      <c r="AN179" s="279"/>
      <c r="AO179" s="279"/>
      <c r="AP179" s="279"/>
      <c r="AQ179" s="378"/>
      <c r="AR179" s="305">
        <f>'预算书-初步'!$F$10</f>
        <v>0.09</v>
      </c>
      <c r="AT179" s="272"/>
      <c r="BC179" s="272" t="s">
        <v>521</v>
      </c>
      <c r="BD179" s="380">
        <v>1163</v>
      </c>
      <c r="BE179" s="347" t="s">
        <v>522</v>
      </c>
    </row>
    <row r="180" s="52" customFormat="1" ht="15.75" customHeight="1" spans="1:57">
      <c r="A180" s="227"/>
      <c r="B180" s="332"/>
      <c r="C180" s="228"/>
      <c r="D180" s="333"/>
      <c r="E180" s="334"/>
      <c r="F180" s="229"/>
      <c r="G180" s="333"/>
      <c r="H180" s="335"/>
      <c r="I180" s="229"/>
      <c r="J180" s="229"/>
      <c r="K180" s="336"/>
      <c r="L180" s="337"/>
      <c r="M180" s="337"/>
      <c r="N180" s="337"/>
      <c r="O180" s="337"/>
      <c r="P180" s="337"/>
      <c r="Q180" s="384">
        <v>2994</v>
      </c>
      <c r="R180" s="271">
        <f t="shared" si="11"/>
        <v>0</v>
      </c>
      <c r="S180" s="339">
        <f t="shared" si="12"/>
        <v>0</v>
      </c>
      <c r="T180" s="373"/>
      <c r="U180" s="373">
        <f>SUMIF(其他!$A$9:$A$65,"2994",其他!$E$9:$E$65)</f>
        <v>0</v>
      </c>
      <c r="V180" s="274"/>
      <c r="W180" s="374"/>
      <c r="X180" s="375"/>
      <c r="Y180" s="45" t="s">
        <v>696</v>
      </c>
      <c r="Z180" s="376"/>
      <c r="AA180" s="240"/>
      <c r="AB180" s="345">
        <v>1</v>
      </c>
      <c r="AC180" s="271"/>
      <c r="AD180" s="272"/>
      <c r="AE180" s="273"/>
      <c r="AF180" s="273"/>
      <c r="AG180" s="274"/>
      <c r="AH180" s="275"/>
      <c r="AI180" s="272"/>
      <c r="AJ180" s="276"/>
      <c r="AK180" s="277"/>
      <c r="AL180" s="278"/>
      <c r="AM180" s="277"/>
      <c r="AN180" s="279"/>
      <c r="AO180" s="279"/>
      <c r="AP180" s="279"/>
      <c r="AQ180" s="378"/>
      <c r="AR180" s="305">
        <f>'预算书-初步'!$F$10</f>
        <v>0.09</v>
      </c>
      <c r="AT180" s="272"/>
      <c r="BC180" s="272" t="s">
        <v>521</v>
      </c>
      <c r="BD180" s="380">
        <v>1163</v>
      </c>
      <c r="BE180" s="347" t="s">
        <v>522</v>
      </c>
    </row>
    <row r="181" s="52" customFormat="1" spans="1:57">
      <c r="A181" s="227"/>
      <c r="B181" s="332"/>
      <c r="C181" s="228"/>
      <c r="D181" s="333"/>
      <c r="E181" s="334"/>
      <c r="F181" s="229"/>
      <c r="G181" s="333"/>
      <c r="H181" s="335"/>
      <c r="I181" s="229"/>
      <c r="J181" s="229"/>
      <c r="K181" s="336"/>
      <c r="L181" s="337"/>
      <c r="M181" s="337"/>
      <c r="N181" s="337"/>
      <c r="O181" s="337"/>
      <c r="P181" s="337"/>
      <c r="Q181" s="384">
        <v>4992</v>
      </c>
      <c r="R181" s="271">
        <f t="shared" si="11"/>
        <v>0</v>
      </c>
      <c r="S181" s="339">
        <f t="shared" si="12"/>
        <v>0</v>
      </c>
      <c r="T181" s="373"/>
      <c r="U181" s="373">
        <f>SUMIF(其他!$A$9:$A$65,"4992",其他!$E$9:$E$65)</f>
        <v>0</v>
      </c>
      <c r="V181" s="274"/>
      <c r="W181" s="374"/>
      <c r="X181" s="375"/>
      <c r="Y181" s="45" t="s">
        <v>697</v>
      </c>
      <c r="Z181" s="376"/>
      <c r="AA181" s="240"/>
      <c r="AB181" s="345">
        <v>1</v>
      </c>
      <c r="AC181" s="271"/>
      <c r="AD181" s="272"/>
      <c r="AE181" s="273"/>
      <c r="AF181" s="273"/>
      <c r="AG181" s="274"/>
      <c r="AH181" s="275"/>
      <c r="AI181" s="272"/>
      <c r="AJ181" s="276"/>
      <c r="AK181" s="277"/>
      <c r="AL181" s="278"/>
      <c r="AM181" s="277"/>
      <c r="AN181" s="279"/>
      <c r="AO181" s="279"/>
      <c r="AP181" s="279"/>
      <c r="AQ181" s="378"/>
      <c r="AR181" s="305">
        <f>'预算书-初步'!$F$10</f>
        <v>0.09</v>
      </c>
      <c r="AT181" s="272"/>
      <c r="BC181" s="272" t="s">
        <v>521</v>
      </c>
      <c r="BD181" s="380">
        <v>1174</v>
      </c>
      <c r="BE181" s="347" t="s">
        <v>522</v>
      </c>
    </row>
    <row r="182" s="52" customFormat="1" spans="1:57">
      <c r="A182" s="227"/>
      <c r="B182" s="332"/>
      <c r="C182" s="228"/>
      <c r="D182" s="333"/>
      <c r="E182" s="334"/>
      <c r="F182" s="229"/>
      <c r="G182" s="333"/>
      <c r="H182" s="335"/>
      <c r="I182" s="229"/>
      <c r="J182" s="229"/>
      <c r="K182" s="336"/>
      <c r="L182" s="337"/>
      <c r="M182" s="337"/>
      <c r="N182" s="337"/>
      <c r="O182" s="337"/>
      <c r="P182" s="337"/>
      <c r="Q182" s="384">
        <v>4993</v>
      </c>
      <c r="R182" s="271">
        <f t="shared" si="11"/>
        <v>0</v>
      </c>
      <c r="S182" s="339">
        <f t="shared" si="12"/>
        <v>0</v>
      </c>
      <c r="T182" s="373"/>
      <c r="U182" s="373">
        <f>SUMIF(其他!$A$9:$A$65,"4993",其他!$E$9:$E$65)</f>
        <v>0</v>
      </c>
      <c r="V182" s="274"/>
      <c r="W182" s="374"/>
      <c r="X182" s="375"/>
      <c r="Y182" s="45" t="s">
        <v>698</v>
      </c>
      <c r="Z182" s="376"/>
      <c r="AA182" s="240"/>
      <c r="AB182" s="345">
        <v>1</v>
      </c>
      <c r="AC182" s="271"/>
      <c r="AD182" s="272"/>
      <c r="AE182" s="273"/>
      <c r="AF182" s="273"/>
      <c r="AG182" s="274"/>
      <c r="AH182" s="275"/>
      <c r="AI182" s="272"/>
      <c r="AJ182" s="276"/>
      <c r="AK182" s="277"/>
      <c r="AL182" s="278"/>
      <c r="AM182" s="277"/>
      <c r="AN182" s="279"/>
      <c r="AO182" s="279"/>
      <c r="AP182" s="279"/>
      <c r="AQ182" s="378"/>
      <c r="AR182" s="305">
        <f>'预算书-初步'!$F$10</f>
        <v>0.09</v>
      </c>
      <c r="AT182" s="272"/>
      <c r="BC182" s="272" t="s">
        <v>521</v>
      </c>
      <c r="BD182" s="380">
        <v>1174</v>
      </c>
      <c r="BE182" s="347" t="s">
        <v>522</v>
      </c>
    </row>
    <row r="183" s="52" customFormat="1" spans="1:57">
      <c r="A183" s="227"/>
      <c r="B183" s="332"/>
      <c r="C183" s="228"/>
      <c r="D183" s="333"/>
      <c r="E183" s="334"/>
      <c r="F183" s="229"/>
      <c r="G183" s="333"/>
      <c r="H183" s="335"/>
      <c r="I183" s="229"/>
      <c r="J183" s="229"/>
      <c r="K183" s="336"/>
      <c r="L183" s="337"/>
      <c r="M183" s="337"/>
      <c r="N183" s="337"/>
      <c r="O183" s="337"/>
      <c r="P183" s="337"/>
      <c r="Q183" s="384">
        <v>4994</v>
      </c>
      <c r="R183" s="271">
        <f t="shared" si="11"/>
        <v>0</v>
      </c>
      <c r="S183" s="339">
        <f t="shared" si="12"/>
        <v>0</v>
      </c>
      <c r="T183" s="373"/>
      <c r="U183" s="373">
        <f>SUMIF(其他!$A$9:$A$65,"4994",其他!$E$9:$E$65)</f>
        <v>0</v>
      </c>
      <c r="V183" s="274"/>
      <c r="W183" s="374"/>
      <c r="X183" s="375"/>
      <c r="Y183" s="45" t="s">
        <v>699</v>
      </c>
      <c r="Z183" s="376"/>
      <c r="AA183" s="240"/>
      <c r="AB183" s="345">
        <v>1</v>
      </c>
      <c r="AC183" s="271"/>
      <c r="AD183" s="272"/>
      <c r="AE183" s="273"/>
      <c r="AF183" s="273"/>
      <c r="AG183" s="274"/>
      <c r="AH183" s="275"/>
      <c r="AI183" s="272"/>
      <c r="AJ183" s="276"/>
      <c r="AK183" s="277"/>
      <c r="AL183" s="278"/>
      <c r="AM183" s="277"/>
      <c r="AN183" s="279"/>
      <c r="AO183" s="279"/>
      <c r="AP183" s="279"/>
      <c r="AQ183" s="378"/>
      <c r="AR183" s="305">
        <f>'预算书-初步'!$F$10</f>
        <v>0.09</v>
      </c>
      <c r="AT183" s="272"/>
      <c r="BC183" s="272" t="s">
        <v>521</v>
      </c>
      <c r="BD183" s="380">
        <v>1174</v>
      </c>
      <c r="BE183" s="347" t="s">
        <v>522</v>
      </c>
    </row>
    <row r="184" s="52" customFormat="1" ht="15.75" customHeight="1" spans="1:57">
      <c r="A184" s="227"/>
      <c r="B184" s="332"/>
      <c r="C184" s="228"/>
      <c r="D184" s="333"/>
      <c r="E184" s="334"/>
      <c r="F184" s="229"/>
      <c r="G184" s="333"/>
      <c r="H184" s="335"/>
      <c r="I184" s="229"/>
      <c r="J184" s="229"/>
      <c r="K184" s="336"/>
      <c r="L184" s="337"/>
      <c r="M184" s="337"/>
      <c r="N184" s="337"/>
      <c r="O184" s="337"/>
      <c r="P184" s="337"/>
      <c r="Q184" s="338">
        <v>6002</v>
      </c>
      <c r="R184" s="271">
        <f t="shared" si="11"/>
        <v>0</v>
      </c>
      <c r="S184" s="339">
        <v>0</v>
      </c>
      <c r="T184" s="340"/>
      <c r="U184" s="341">
        <f>FA!I$16</f>
        <v>0</v>
      </c>
      <c r="V184" s="274"/>
      <c r="W184" s="342"/>
      <c r="X184" s="343"/>
      <c r="Y184" s="6" t="s">
        <v>520</v>
      </c>
      <c r="Z184" s="344"/>
      <c r="AA184" s="240"/>
      <c r="AB184" s="345">
        <v>1</v>
      </c>
      <c r="AC184" s="271"/>
      <c r="AD184" s="272"/>
      <c r="AE184" s="273"/>
      <c r="AF184" s="273"/>
      <c r="AG184" s="274"/>
      <c r="AH184" s="275"/>
      <c r="AI184" s="272"/>
      <c r="AJ184" s="276"/>
      <c r="AK184" s="277"/>
      <c r="AL184" s="278"/>
      <c r="AM184" s="277"/>
      <c r="AN184" s="279"/>
      <c r="AO184" s="279"/>
      <c r="AP184" s="279"/>
      <c r="AQ184" s="279"/>
      <c r="AR184" s="305">
        <f>'预算书-初步'!$F$10</f>
        <v>0.09</v>
      </c>
      <c r="AT184" s="272">
        <v>12</v>
      </c>
      <c r="BC184" s="272" t="s">
        <v>521</v>
      </c>
      <c r="BD184" s="346">
        <v>1005</v>
      </c>
      <c r="BE184" s="392" t="s">
        <v>700</v>
      </c>
    </row>
    <row r="185" s="52" customFormat="1" ht="15.75" customHeight="1" spans="1:57">
      <c r="A185" s="227"/>
      <c r="B185" s="332"/>
      <c r="C185" s="228"/>
      <c r="D185" s="333"/>
      <c r="E185" s="334"/>
      <c r="F185" s="229"/>
      <c r="G185" s="333"/>
      <c r="H185" s="335"/>
      <c r="I185" s="229"/>
      <c r="J185" s="229"/>
      <c r="K185" s="336"/>
      <c r="L185" s="337"/>
      <c r="M185" s="337"/>
      <c r="N185" s="337"/>
      <c r="O185" s="337"/>
      <c r="P185" s="337"/>
      <c r="Q185" s="338">
        <v>6002</v>
      </c>
      <c r="R185" s="271">
        <f t="shared" si="11"/>
        <v>0</v>
      </c>
      <c r="S185" s="339">
        <f>$S$5</f>
        <v>0</v>
      </c>
      <c r="T185" s="340"/>
      <c r="U185" s="341">
        <f>FA!I$17</f>
        <v>0</v>
      </c>
      <c r="V185" s="274"/>
      <c r="W185" s="342"/>
      <c r="X185" s="343"/>
      <c r="Y185" s="6" t="s">
        <v>523</v>
      </c>
      <c r="Z185" s="344"/>
      <c r="AA185" s="240"/>
      <c r="AB185" s="345">
        <v>1</v>
      </c>
      <c r="AC185" s="271"/>
      <c r="AD185" s="272"/>
      <c r="AE185" s="273"/>
      <c r="AF185" s="273"/>
      <c r="AG185" s="274"/>
      <c r="AH185" s="275"/>
      <c r="AI185" s="272"/>
      <c r="AJ185" s="276"/>
      <c r="AK185" s="277"/>
      <c r="AL185" s="278"/>
      <c r="AM185" s="277"/>
      <c r="AN185" s="279" t="str">
        <f>IF(AK185&lt;&gt;0,"N","")</f>
        <v/>
      </c>
      <c r="AO185" s="279"/>
      <c r="AP185" s="279" t="str">
        <f>IF(F185&lt;&gt;0,"Y","")</f>
        <v/>
      </c>
      <c r="AQ185" s="279"/>
      <c r="AR185" s="305">
        <f>'预算书-初步'!$F$10</f>
        <v>0.09</v>
      </c>
      <c r="AT185" s="272">
        <v>20</v>
      </c>
      <c r="BC185" s="272" t="s">
        <v>521</v>
      </c>
      <c r="BD185" s="346">
        <v>1006</v>
      </c>
      <c r="BE185" s="347" t="s">
        <v>700</v>
      </c>
    </row>
    <row r="186" s="52" customFormat="1" ht="15.75" customHeight="1" spans="1:57">
      <c r="A186" s="227"/>
      <c r="B186" s="332"/>
      <c r="C186" s="228"/>
      <c r="D186" s="333"/>
      <c r="E186" s="334"/>
      <c r="F186" s="229"/>
      <c r="G186" s="333"/>
      <c r="H186" s="335"/>
      <c r="I186" s="229"/>
      <c r="J186" s="229"/>
      <c r="K186" s="336"/>
      <c r="L186" s="337"/>
      <c r="M186" s="337"/>
      <c r="N186" s="337"/>
      <c r="O186" s="337"/>
      <c r="P186" s="337"/>
      <c r="Q186" s="338">
        <v>6002</v>
      </c>
      <c r="R186" s="271">
        <f t="shared" si="11"/>
        <v>0</v>
      </c>
      <c r="S186" s="339">
        <f t="shared" ref="S186:S252" si="13">$S$5</f>
        <v>0</v>
      </c>
      <c r="T186" s="340"/>
      <c r="U186" s="341">
        <f>FA!I$18</f>
        <v>0</v>
      </c>
      <c r="V186" s="274"/>
      <c r="W186" s="342"/>
      <c r="X186" s="343"/>
      <c r="Y186" s="6" t="s">
        <v>524</v>
      </c>
      <c r="Z186" s="344"/>
      <c r="AA186" s="240"/>
      <c r="AB186" s="345">
        <v>1</v>
      </c>
      <c r="AC186" s="271"/>
      <c r="AD186" s="272"/>
      <c r="AE186" s="273"/>
      <c r="AF186" s="273"/>
      <c r="AG186" s="274"/>
      <c r="AH186" s="275"/>
      <c r="AI186" s="272"/>
      <c r="AJ186" s="276"/>
      <c r="AK186" s="277"/>
      <c r="AL186" s="278"/>
      <c r="AM186" s="277"/>
      <c r="AN186" s="279" t="str">
        <f>IF(AK186&lt;&gt;0,"N","")</f>
        <v/>
      </c>
      <c r="AO186" s="279"/>
      <c r="AP186" s="279" t="str">
        <f>IF(F186&lt;&gt;0,"Y","")</f>
        <v/>
      </c>
      <c r="AQ186" s="279"/>
      <c r="AR186" s="305">
        <f>'预算书-初步'!$F$10</f>
        <v>0.09</v>
      </c>
      <c r="AT186" s="272">
        <v>23</v>
      </c>
      <c r="BC186" s="272" t="s">
        <v>521</v>
      </c>
      <c r="BD186" s="346">
        <v>1007</v>
      </c>
      <c r="BE186" s="347" t="s">
        <v>700</v>
      </c>
    </row>
    <row r="187" s="52" customFormat="1" ht="15.75" customHeight="1" spans="1:57">
      <c r="A187" s="227"/>
      <c r="B187" s="332"/>
      <c r="C187" s="228"/>
      <c r="D187" s="333"/>
      <c r="E187" s="334"/>
      <c r="F187" s="229"/>
      <c r="G187" s="333"/>
      <c r="H187" s="335"/>
      <c r="I187" s="229"/>
      <c r="J187" s="229"/>
      <c r="K187" s="336"/>
      <c r="L187" s="337"/>
      <c r="M187" s="337"/>
      <c r="N187" s="337"/>
      <c r="O187" s="337"/>
      <c r="P187" s="337"/>
      <c r="Q187" s="338">
        <v>1220</v>
      </c>
      <c r="R187" s="271">
        <f t="shared" si="11"/>
        <v>0</v>
      </c>
      <c r="S187" s="339">
        <f t="shared" si="13"/>
        <v>0</v>
      </c>
      <c r="T187" s="340"/>
      <c r="U187" s="341">
        <f>FA!I$36</f>
        <v>0</v>
      </c>
      <c r="V187" s="274"/>
      <c r="W187" s="342"/>
      <c r="X187" s="343"/>
      <c r="Y187" s="6" t="s">
        <v>525</v>
      </c>
      <c r="Z187" s="344"/>
      <c r="AA187" s="240"/>
      <c r="AB187" s="345">
        <v>1</v>
      </c>
      <c r="AC187" s="271"/>
      <c r="AD187" s="272"/>
      <c r="AE187" s="273"/>
      <c r="AF187" s="273"/>
      <c r="AG187" s="274"/>
      <c r="AH187" s="275"/>
      <c r="AI187" s="272"/>
      <c r="AJ187" s="276"/>
      <c r="AK187" s="277"/>
      <c r="AL187" s="278"/>
      <c r="AM187" s="277"/>
      <c r="AN187" s="279"/>
      <c r="AO187" s="279"/>
      <c r="AP187" s="279"/>
      <c r="AQ187" s="279"/>
      <c r="AR187" s="305">
        <f>'预算书-初步'!$F$10</f>
        <v>0.09</v>
      </c>
      <c r="AT187" s="272"/>
      <c r="BC187" s="272" t="s">
        <v>521</v>
      </c>
      <c r="BD187" s="346">
        <v>1025</v>
      </c>
      <c r="BE187" s="347" t="s">
        <v>700</v>
      </c>
    </row>
    <row r="188" s="52" customFormat="1" ht="15.75" customHeight="1" spans="1:57">
      <c r="A188" s="227"/>
      <c r="B188" s="332"/>
      <c r="C188" s="228"/>
      <c r="D188" s="333"/>
      <c r="E188" s="334"/>
      <c r="F188" s="229"/>
      <c r="G188" s="333"/>
      <c r="H188" s="335"/>
      <c r="I188" s="229"/>
      <c r="J188" s="229"/>
      <c r="K188" s="336"/>
      <c r="L188" s="337"/>
      <c r="M188" s="337"/>
      <c r="N188" s="337"/>
      <c r="O188" s="337"/>
      <c r="P188" s="337"/>
      <c r="Q188" s="338">
        <v>1314</v>
      </c>
      <c r="R188" s="271">
        <f t="shared" si="11"/>
        <v>0</v>
      </c>
      <c r="S188" s="339">
        <f t="shared" si="13"/>
        <v>0</v>
      </c>
      <c r="T188" s="340"/>
      <c r="U188" s="341">
        <f>FA!I$42</f>
        <v>0</v>
      </c>
      <c r="V188" s="274"/>
      <c r="W188" s="342"/>
      <c r="X188" s="343"/>
      <c r="Y188" s="6" t="s">
        <v>526</v>
      </c>
      <c r="Z188" s="344"/>
      <c r="AA188" s="240"/>
      <c r="AB188" s="345">
        <v>1</v>
      </c>
      <c r="AC188" s="271"/>
      <c r="AD188" s="272"/>
      <c r="AE188" s="273"/>
      <c r="AF188" s="273"/>
      <c r="AG188" s="274"/>
      <c r="AH188" s="275"/>
      <c r="AI188" s="272"/>
      <c r="AJ188" s="276"/>
      <c r="AK188" s="277"/>
      <c r="AL188" s="278"/>
      <c r="AM188" s="277"/>
      <c r="AN188" s="279"/>
      <c r="AO188" s="279"/>
      <c r="AP188" s="279"/>
      <c r="AQ188" s="279"/>
      <c r="AR188" s="305">
        <f>'预算书-初步'!$F$10</f>
        <v>0.09</v>
      </c>
      <c r="AT188" s="272"/>
      <c r="BC188" s="272" t="s">
        <v>521</v>
      </c>
      <c r="BD188" s="348">
        <v>1031</v>
      </c>
      <c r="BE188" s="347" t="s">
        <v>700</v>
      </c>
    </row>
    <row r="189" s="52" customFormat="1" ht="15.75" customHeight="1" spans="1:57">
      <c r="A189" s="227"/>
      <c r="B189" s="332"/>
      <c r="C189" s="228"/>
      <c r="D189" s="333"/>
      <c r="E189" s="334"/>
      <c r="F189" s="229"/>
      <c r="G189" s="333"/>
      <c r="H189" s="335"/>
      <c r="I189" s="229"/>
      <c r="J189" s="229"/>
      <c r="K189" s="336"/>
      <c r="L189" s="337"/>
      <c r="M189" s="337"/>
      <c r="N189" s="337"/>
      <c r="O189" s="337"/>
      <c r="P189" s="337"/>
      <c r="Q189" s="338">
        <v>1320</v>
      </c>
      <c r="R189" s="271">
        <f t="shared" si="11"/>
        <v>0</v>
      </c>
      <c r="S189" s="339">
        <f t="shared" si="13"/>
        <v>0</v>
      </c>
      <c r="T189" s="340"/>
      <c r="U189" s="341">
        <f>FA!I$43</f>
        <v>0</v>
      </c>
      <c r="V189" s="274"/>
      <c r="W189" s="342"/>
      <c r="X189" s="343"/>
      <c r="Y189" s="6" t="s">
        <v>527</v>
      </c>
      <c r="Z189" s="344"/>
      <c r="AA189" s="240"/>
      <c r="AB189" s="345">
        <v>1</v>
      </c>
      <c r="AC189" s="271"/>
      <c r="AD189" s="272"/>
      <c r="AE189" s="273"/>
      <c r="AF189" s="273"/>
      <c r="AG189" s="274"/>
      <c r="AH189" s="275"/>
      <c r="AI189" s="272"/>
      <c r="AJ189" s="276"/>
      <c r="AK189" s="277"/>
      <c r="AL189" s="278"/>
      <c r="AM189" s="277"/>
      <c r="AN189" s="279"/>
      <c r="AO189" s="279"/>
      <c r="AP189" s="279"/>
      <c r="AQ189" s="279"/>
      <c r="AR189" s="305">
        <f>'预算书-初步'!$F$10</f>
        <v>0.09</v>
      </c>
      <c r="AT189" s="272"/>
      <c r="BC189" s="272" t="s">
        <v>521</v>
      </c>
      <c r="BD189" s="348">
        <v>1032</v>
      </c>
      <c r="BE189" s="347" t="s">
        <v>700</v>
      </c>
    </row>
    <row r="190" s="52" customFormat="1" ht="15.75" customHeight="1" spans="1:57">
      <c r="A190" s="227"/>
      <c r="B190" s="332"/>
      <c r="C190" s="228"/>
      <c r="D190" s="333"/>
      <c r="E190" s="334"/>
      <c r="F190" s="229"/>
      <c r="G190" s="333"/>
      <c r="H190" s="335"/>
      <c r="I190" s="229"/>
      <c r="J190" s="229"/>
      <c r="K190" s="336"/>
      <c r="L190" s="337"/>
      <c r="M190" s="337"/>
      <c r="N190" s="337"/>
      <c r="O190" s="337"/>
      <c r="P190" s="337"/>
      <c r="Q190" s="338">
        <v>1350</v>
      </c>
      <c r="R190" s="271">
        <f t="shared" si="11"/>
        <v>0</v>
      </c>
      <c r="S190" s="339">
        <f t="shared" si="13"/>
        <v>0</v>
      </c>
      <c r="T190" s="340"/>
      <c r="U190" s="341">
        <f>FA!I$46</f>
        <v>0</v>
      </c>
      <c r="V190" s="274"/>
      <c r="W190" s="342"/>
      <c r="X190" s="343"/>
      <c r="Y190" s="6" t="s">
        <v>528</v>
      </c>
      <c r="Z190" s="344"/>
      <c r="AA190" s="240"/>
      <c r="AB190" s="345">
        <v>1</v>
      </c>
      <c r="AC190" s="271"/>
      <c r="AD190" s="272"/>
      <c r="AE190" s="273"/>
      <c r="AF190" s="273"/>
      <c r="AG190" s="274"/>
      <c r="AH190" s="275"/>
      <c r="AI190" s="272"/>
      <c r="AJ190" s="276"/>
      <c r="AK190" s="277"/>
      <c r="AL190" s="278"/>
      <c r="AM190" s="277"/>
      <c r="AN190" s="279"/>
      <c r="AO190" s="279"/>
      <c r="AP190" s="279"/>
      <c r="AQ190" s="279"/>
      <c r="AR190" s="305">
        <f>'预算书-初步'!$F$10</f>
        <v>0.09</v>
      </c>
      <c r="AT190" s="272"/>
      <c r="BC190" s="272" t="s">
        <v>521</v>
      </c>
      <c r="BD190" s="348">
        <v>1035</v>
      </c>
      <c r="BE190" s="347" t="s">
        <v>700</v>
      </c>
    </row>
    <row r="191" s="52" customFormat="1" ht="15.75" customHeight="1" spans="1:57">
      <c r="A191" s="227"/>
      <c r="B191" s="332"/>
      <c r="C191" s="228"/>
      <c r="D191" s="333"/>
      <c r="E191" s="334"/>
      <c r="F191" s="229"/>
      <c r="G191" s="333"/>
      <c r="H191" s="335"/>
      <c r="I191" s="229"/>
      <c r="J191" s="229"/>
      <c r="K191" s="336"/>
      <c r="L191" s="337"/>
      <c r="M191" s="337"/>
      <c r="N191" s="337"/>
      <c r="O191" s="337"/>
      <c r="P191" s="337"/>
      <c r="Q191" s="338">
        <v>1360</v>
      </c>
      <c r="R191" s="271">
        <f t="shared" si="11"/>
        <v>0</v>
      </c>
      <c r="S191" s="339">
        <f t="shared" si="13"/>
        <v>0</v>
      </c>
      <c r="T191" s="340"/>
      <c r="U191" s="341">
        <f>FA!I$47</f>
        <v>0</v>
      </c>
      <c r="V191" s="274"/>
      <c r="W191" s="342"/>
      <c r="X191" s="343"/>
      <c r="Y191" s="6" t="s">
        <v>529</v>
      </c>
      <c r="Z191" s="344"/>
      <c r="AA191" s="240"/>
      <c r="AB191" s="345">
        <v>1</v>
      </c>
      <c r="AC191" s="271"/>
      <c r="AD191" s="272"/>
      <c r="AE191" s="273"/>
      <c r="AF191" s="273"/>
      <c r="AG191" s="274"/>
      <c r="AH191" s="275"/>
      <c r="AI191" s="272"/>
      <c r="AJ191" s="276"/>
      <c r="AK191" s="277"/>
      <c r="AL191" s="278"/>
      <c r="AM191" s="277"/>
      <c r="AN191" s="279"/>
      <c r="AO191" s="279"/>
      <c r="AP191" s="279"/>
      <c r="AQ191" s="279"/>
      <c r="AR191" s="305">
        <f>'预算书-初步'!$F$10</f>
        <v>0.09</v>
      </c>
      <c r="AT191" s="272"/>
      <c r="BC191" s="272" t="s">
        <v>521</v>
      </c>
      <c r="BD191" s="348">
        <v>1036</v>
      </c>
      <c r="BE191" s="347" t="s">
        <v>700</v>
      </c>
    </row>
    <row r="192" s="52" customFormat="1" ht="15.75" customHeight="1" spans="1:57">
      <c r="A192" s="227"/>
      <c r="B192" s="332"/>
      <c r="C192" s="228"/>
      <c r="D192" s="333"/>
      <c r="E192" s="334"/>
      <c r="F192" s="229"/>
      <c r="G192" s="333"/>
      <c r="H192" s="335"/>
      <c r="I192" s="229"/>
      <c r="J192" s="229"/>
      <c r="K192" s="336"/>
      <c r="L192" s="337"/>
      <c r="M192" s="337"/>
      <c r="N192" s="337"/>
      <c r="O192" s="337"/>
      <c r="P192" s="337"/>
      <c r="Q192" s="338">
        <v>1410</v>
      </c>
      <c r="R192" s="271">
        <f t="shared" si="11"/>
        <v>0</v>
      </c>
      <c r="S192" s="339">
        <f t="shared" si="13"/>
        <v>0</v>
      </c>
      <c r="T192" s="340"/>
      <c r="U192" s="341">
        <f>FA!I$49</f>
        <v>0</v>
      </c>
      <c r="V192" s="274"/>
      <c r="W192" s="342"/>
      <c r="X192" s="343"/>
      <c r="Y192" s="6" t="s">
        <v>530</v>
      </c>
      <c r="Z192" s="344"/>
      <c r="AA192" s="240"/>
      <c r="AB192" s="345">
        <v>1</v>
      </c>
      <c r="AC192" s="271"/>
      <c r="AD192" s="272"/>
      <c r="AE192" s="273"/>
      <c r="AF192" s="273"/>
      <c r="AG192" s="274"/>
      <c r="AH192" s="275"/>
      <c r="AI192" s="272"/>
      <c r="AJ192" s="276"/>
      <c r="AK192" s="277"/>
      <c r="AL192" s="278"/>
      <c r="AM192" s="277"/>
      <c r="AN192" s="279"/>
      <c r="AO192" s="279"/>
      <c r="AP192" s="279"/>
      <c r="AQ192" s="279"/>
      <c r="AR192" s="305">
        <f>'预算书-初步'!$F$10</f>
        <v>0.09</v>
      </c>
      <c r="AT192" s="272"/>
      <c r="BC192" s="272" t="s">
        <v>521</v>
      </c>
      <c r="BD192" s="348">
        <v>1038</v>
      </c>
      <c r="BE192" s="347" t="s">
        <v>700</v>
      </c>
    </row>
    <row r="193" s="52" customFormat="1" ht="15.75" customHeight="1" spans="1:57">
      <c r="A193" s="227"/>
      <c r="B193" s="332"/>
      <c r="C193" s="228"/>
      <c r="D193" s="333"/>
      <c r="E193" s="334"/>
      <c r="F193" s="229"/>
      <c r="G193" s="333"/>
      <c r="H193" s="335"/>
      <c r="I193" s="229"/>
      <c r="J193" s="229"/>
      <c r="K193" s="336"/>
      <c r="L193" s="337"/>
      <c r="M193" s="337"/>
      <c r="N193" s="337"/>
      <c r="O193" s="337"/>
      <c r="P193" s="337"/>
      <c r="Q193" s="338">
        <v>1420</v>
      </c>
      <c r="R193" s="271">
        <f t="shared" si="11"/>
        <v>0</v>
      </c>
      <c r="S193" s="339">
        <f t="shared" si="13"/>
        <v>0</v>
      </c>
      <c r="T193" s="340"/>
      <c r="U193" s="341">
        <f>FA!I$50</f>
        <v>0</v>
      </c>
      <c r="V193" s="274"/>
      <c r="W193" s="342"/>
      <c r="X193" s="343"/>
      <c r="Y193" s="6" t="s">
        <v>531</v>
      </c>
      <c r="Z193" s="344"/>
      <c r="AA193" s="240"/>
      <c r="AB193" s="345">
        <v>1</v>
      </c>
      <c r="AC193" s="271"/>
      <c r="AD193" s="272"/>
      <c r="AE193" s="273"/>
      <c r="AF193" s="273"/>
      <c r="AG193" s="274"/>
      <c r="AH193" s="275"/>
      <c r="AI193" s="272"/>
      <c r="AJ193" s="276"/>
      <c r="AK193" s="277"/>
      <c r="AL193" s="278"/>
      <c r="AM193" s="277"/>
      <c r="AN193" s="279"/>
      <c r="AO193" s="279"/>
      <c r="AP193" s="279"/>
      <c r="AQ193" s="279"/>
      <c r="AR193" s="305">
        <f>'预算书-初步'!$F$10</f>
        <v>0.09</v>
      </c>
      <c r="AT193" s="272"/>
      <c r="BC193" s="272" t="s">
        <v>521</v>
      </c>
      <c r="BD193" s="348">
        <v>1039</v>
      </c>
      <c r="BE193" s="347" t="s">
        <v>700</v>
      </c>
    </row>
    <row r="194" s="52" customFormat="1" ht="15.75" customHeight="1" spans="1:57">
      <c r="A194" s="227"/>
      <c r="B194" s="332"/>
      <c r="C194" s="228"/>
      <c r="D194" s="333"/>
      <c r="E194" s="334"/>
      <c r="F194" s="229"/>
      <c r="G194" s="333"/>
      <c r="H194" s="335"/>
      <c r="I194" s="229"/>
      <c r="J194" s="229"/>
      <c r="K194" s="336"/>
      <c r="L194" s="337"/>
      <c r="M194" s="337"/>
      <c r="N194" s="337"/>
      <c r="O194" s="337"/>
      <c r="P194" s="337"/>
      <c r="Q194" s="338">
        <v>1510</v>
      </c>
      <c r="R194" s="271">
        <f t="shared" si="11"/>
        <v>0</v>
      </c>
      <c r="S194" s="339">
        <f t="shared" si="13"/>
        <v>0</v>
      </c>
      <c r="T194" s="340"/>
      <c r="U194" s="341">
        <f>FA!I$53</f>
        <v>0</v>
      </c>
      <c r="V194" s="274"/>
      <c r="W194" s="342"/>
      <c r="X194" s="343"/>
      <c r="Y194" s="6" t="s">
        <v>532</v>
      </c>
      <c r="Z194" s="344"/>
      <c r="AA194" s="240"/>
      <c r="AB194" s="345">
        <v>1</v>
      </c>
      <c r="AC194" s="271"/>
      <c r="AD194" s="272"/>
      <c r="AE194" s="273"/>
      <c r="AF194" s="273"/>
      <c r="AG194" s="274"/>
      <c r="AH194" s="275"/>
      <c r="AI194" s="272"/>
      <c r="AJ194" s="276"/>
      <c r="AK194" s="277"/>
      <c r="AL194" s="278"/>
      <c r="AM194" s="277"/>
      <c r="AN194" s="279" t="str">
        <f t="shared" ref="AN194:AN206" si="14">IF(AK194&lt;&gt;0,"N","")</f>
        <v/>
      </c>
      <c r="AO194" s="279"/>
      <c r="AP194" s="279" t="str">
        <f t="shared" ref="AP194:AP206" si="15">IF(F194&lt;&gt;0,"Y","")</f>
        <v/>
      </c>
      <c r="AQ194" s="279"/>
      <c r="AR194" s="305">
        <f>'预算书-初步'!$F$10</f>
        <v>0.09</v>
      </c>
      <c r="AT194" s="272"/>
      <c r="BC194" s="272" t="s">
        <v>521</v>
      </c>
      <c r="BD194" s="348">
        <v>1042</v>
      </c>
      <c r="BE194" s="347" t="s">
        <v>700</v>
      </c>
    </row>
    <row r="195" s="52" customFormat="1" ht="15.75" customHeight="1" spans="1:57">
      <c r="A195" s="227"/>
      <c r="B195" s="332"/>
      <c r="C195" s="228"/>
      <c r="D195" s="333"/>
      <c r="E195" s="334"/>
      <c r="F195" s="229"/>
      <c r="G195" s="333"/>
      <c r="H195" s="335"/>
      <c r="I195" s="229"/>
      <c r="J195" s="229"/>
      <c r="K195" s="336"/>
      <c r="L195" s="337"/>
      <c r="M195" s="337"/>
      <c r="N195" s="337"/>
      <c r="O195" s="337"/>
      <c r="P195" s="337"/>
      <c r="Q195" s="338">
        <v>1520</v>
      </c>
      <c r="R195" s="271">
        <f t="shared" si="11"/>
        <v>0</v>
      </c>
      <c r="S195" s="339">
        <f t="shared" si="13"/>
        <v>0</v>
      </c>
      <c r="T195" s="340"/>
      <c r="U195" s="341">
        <f>FA!I$54</f>
        <v>0</v>
      </c>
      <c r="V195" s="274"/>
      <c r="W195" s="342"/>
      <c r="X195" s="343"/>
      <c r="Y195" s="6" t="s">
        <v>533</v>
      </c>
      <c r="Z195" s="344"/>
      <c r="AA195" s="240"/>
      <c r="AB195" s="345">
        <v>1</v>
      </c>
      <c r="AC195" s="271"/>
      <c r="AD195" s="272"/>
      <c r="AE195" s="273"/>
      <c r="AF195" s="273"/>
      <c r="AG195" s="274"/>
      <c r="AH195" s="275"/>
      <c r="AI195" s="272"/>
      <c r="AJ195" s="276"/>
      <c r="AK195" s="277"/>
      <c r="AL195" s="278"/>
      <c r="AM195" s="277"/>
      <c r="AN195" s="279" t="str">
        <f t="shared" si="14"/>
        <v/>
      </c>
      <c r="AO195" s="279"/>
      <c r="AP195" s="279" t="str">
        <f t="shared" si="15"/>
        <v/>
      </c>
      <c r="AQ195" s="279"/>
      <c r="AR195" s="305">
        <f>'预算书-初步'!$F$10</f>
        <v>0.09</v>
      </c>
      <c r="AT195" s="272"/>
      <c r="BC195" s="272" t="s">
        <v>521</v>
      </c>
      <c r="BD195" s="348">
        <v>1043</v>
      </c>
      <c r="BE195" s="347" t="s">
        <v>700</v>
      </c>
    </row>
    <row r="196" s="52" customFormat="1" ht="15.75" customHeight="1" spans="1:57">
      <c r="A196" s="227"/>
      <c r="B196" s="332"/>
      <c r="C196" s="228"/>
      <c r="D196" s="333"/>
      <c r="E196" s="334"/>
      <c r="F196" s="229"/>
      <c r="G196" s="333"/>
      <c r="H196" s="335"/>
      <c r="I196" s="229"/>
      <c r="J196" s="229"/>
      <c r="K196" s="336"/>
      <c r="L196" s="337"/>
      <c r="M196" s="337"/>
      <c r="N196" s="337"/>
      <c r="O196" s="337"/>
      <c r="P196" s="337"/>
      <c r="Q196" s="338">
        <v>1530</v>
      </c>
      <c r="R196" s="271">
        <f t="shared" si="11"/>
        <v>0</v>
      </c>
      <c r="S196" s="339">
        <f t="shared" si="13"/>
        <v>0</v>
      </c>
      <c r="T196" s="340"/>
      <c r="U196" s="341">
        <f>FA!I$55</f>
        <v>0</v>
      </c>
      <c r="V196" s="274"/>
      <c r="W196" s="342"/>
      <c r="X196" s="343"/>
      <c r="Y196" s="6" t="s">
        <v>534</v>
      </c>
      <c r="Z196" s="344"/>
      <c r="AA196" s="240"/>
      <c r="AB196" s="345">
        <v>1</v>
      </c>
      <c r="AC196" s="271"/>
      <c r="AD196" s="272"/>
      <c r="AE196" s="273"/>
      <c r="AF196" s="273"/>
      <c r="AG196" s="274"/>
      <c r="AH196" s="275"/>
      <c r="AI196" s="272"/>
      <c r="AJ196" s="276"/>
      <c r="AK196" s="277"/>
      <c r="AL196" s="278"/>
      <c r="AM196" s="277"/>
      <c r="AN196" s="279" t="str">
        <f t="shared" si="14"/>
        <v/>
      </c>
      <c r="AO196" s="279"/>
      <c r="AP196" s="279" t="str">
        <f t="shared" si="15"/>
        <v/>
      </c>
      <c r="AQ196" s="279"/>
      <c r="AR196" s="305">
        <f>'预算书-初步'!$F$10</f>
        <v>0.09</v>
      </c>
      <c r="AT196" s="272"/>
      <c r="BC196" s="272" t="s">
        <v>521</v>
      </c>
      <c r="BD196" s="348">
        <v>1044</v>
      </c>
      <c r="BE196" s="347" t="s">
        <v>700</v>
      </c>
    </row>
    <row r="197" s="52" customFormat="1" ht="15.75" customHeight="1" spans="1:57">
      <c r="A197" s="227"/>
      <c r="B197" s="332"/>
      <c r="C197" s="228"/>
      <c r="D197" s="333"/>
      <c r="E197" s="334"/>
      <c r="F197" s="229"/>
      <c r="G197" s="333"/>
      <c r="H197" s="335"/>
      <c r="I197" s="229"/>
      <c r="J197" s="229"/>
      <c r="K197" s="336"/>
      <c r="L197" s="337"/>
      <c r="M197" s="337"/>
      <c r="N197" s="337"/>
      <c r="O197" s="337"/>
      <c r="P197" s="337"/>
      <c r="Q197" s="338">
        <v>1531</v>
      </c>
      <c r="R197" s="271">
        <f t="shared" si="11"/>
        <v>0</v>
      </c>
      <c r="S197" s="339">
        <f t="shared" si="13"/>
        <v>0</v>
      </c>
      <c r="T197" s="340"/>
      <c r="U197" s="341">
        <f>FA!I$56</f>
        <v>0</v>
      </c>
      <c r="V197" s="274"/>
      <c r="W197" s="342"/>
      <c r="X197" s="343"/>
      <c r="Y197" s="6" t="s">
        <v>535</v>
      </c>
      <c r="Z197" s="344"/>
      <c r="AA197" s="240"/>
      <c r="AB197" s="345">
        <v>1</v>
      </c>
      <c r="AC197" s="271"/>
      <c r="AD197" s="272"/>
      <c r="AE197" s="273"/>
      <c r="AF197" s="273"/>
      <c r="AG197" s="274"/>
      <c r="AH197" s="275"/>
      <c r="AI197" s="272"/>
      <c r="AJ197" s="276"/>
      <c r="AK197" s="277"/>
      <c r="AL197" s="278"/>
      <c r="AM197" s="277"/>
      <c r="AN197" s="279" t="str">
        <f t="shared" si="14"/>
        <v/>
      </c>
      <c r="AO197" s="279"/>
      <c r="AP197" s="279" t="str">
        <f t="shared" si="15"/>
        <v/>
      </c>
      <c r="AQ197" s="279"/>
      <c r="AR197" s="305">
        <f>'预算书-初步'!$F$10</f>
        <v>0.09</v>
      </c>
      <c r="AT197" s="272"/>
      <c r="BC197" s="272" t="s">
        <v>521</v>
      </c>
      <c r="BD197" s="348">
        <v>1045</v>
      </c>
      <c r="BE197" s="347" t="s">
        <v>700</v>
      </c>
    </row>
    <row r="198" s="52" customFormat="1" ht="15.75" customHeight="1" spans="1:57">
      <c r="A198" s="227"/>
      <c r="B198" s="332"/>
      <c r="C198" s="228"/>
      <c r="D198" s="333"/>
      <c r="E198" s="334"/>
      <c r="F198" s="229"/>
      <c r="G198" s="333"/>
      <c r="H198" s="335"/>
      <c r="I198" s="229"/>
      <c r="J198" s="229"/>
      <c r="K198" s="336"/>
      <c r="L198" s="337"/>
      <c r="M198" s="337"/>
      <c r="N198" s="337"/>
      <c r="O198" s="337"/>
      <c r="P198" s="337"/>
      <c r="Q198" s="338">
        <v>1532</v>
      </c>
      <c r="R198" s="271">
        <f t="shared" ref="R198:R261" si="16">ROUND(U198*(1+AR198),0)</f>
        <v>0</v>
      </c>
      <c r="S198" s="339">
        <f t="shared" si="13"/>
        <v>0</v>
      </c>
      <c r="T198" s="340"/>
      <c r="U198" s="341">
        <f>FA!I$57</f>
        <v>0</v>
      </c>
      <c r="V198" s="274"/>
      <c r="W198" s="342"/>
      <c r="X198" s="343"/>
      <c r="Y198" s="6" t="s">
        <v>536</v>
      </c>
      <c r="Z198" s="344"/>
      <c r="AA198" s="240"/>
      <c r="AB198" s="345">
        <v>1</v>
      </c>
      <c r="AC198" s="271"/>
      <c r="AD198" s="272"/>
      <c r="AE198" s="273"/>
      <c r="AF198" s="273"/>
      <c r="AG198" s="274"/>
      <c r="AH198" s="275"/>
      <c r="AI198" s="272"/>
      <c r="AJ198" s="276"/>
      <c r="AK198" s="277"/>
      <c r="AL198" s="278"/>
      <c r="AM198" s="277"/>
      <c r="AN198" s="279" t="str">
        <f t="shared" si="14"/>
        <v/>
      </c>
      <c r="AO198" s="279"/>
      <c r="AP198" s="279" t="str">
        <f t="shared" si="15"/>
        <v/>
      </c>
      <c r="AQ198" s="279"/>
      <c r="AR198" s="305">
        <f>'预算书-初步'!$F$10</f>
        <v>0.09</v>
      </c>
      <c r="AT198" s="272"/>
      <c r="BC198" s="272" t="s">
        <v>521</v>
      </c>
      <c r="BD198" s="348">
        <v>1046</v>
      </c>
      <c r="BE198" s="347" t="s">
        <v>700</v>
      </c>
    </row>
    <row r="199" s="52" customFormat="1" ht="15.75" customHeight="1" spans="1:57">
      <c r="A199" s="227"/>
      <c r="B199" s="332"/>
      <c r="C199" s="228"/>
      <c r="D199" s="333"/>
      <c r="E199" s="334"/>
      <c r="F199" s="229"/>
      <c r="G199" s="333"/>
      <c r="H199" s="335"/>
      <c r="I199" s="229"/>
      <c r="J199" s="229"/>
      <c r="K199" s="336"/>
      <c r="L199" s="337"/>
      <c r="M199" s="337"/>
      <c r="N199" s="337"/>
      <c r="O199" s="337"/>
      <c r="P199" s="337"/>
      <c r="Q199" s="338">
        <v>1533</v>
      </c>
      <c r="R199" s="271">
        <f t="shared" si="16"/>
        <v>0</v>
      </c>
      <c r="S199" s="339">
        <f t="shared" si="13"/>
        <v>0</v>
      </c>
      <c r="T199" s="340"/>
      <c r="U199" s="341">
        <f>FA!I$58</f>
        <v>0</v>
      </c>
      <c r="V199" s="274"/>
      <c r="W199" s="342"/>
      <c r="X199" s="343"/>
      <c r="Y199" s="6" t="s">
        <v>537</v>
      </c>
      <c r="Z199" s="344"/>
      <c r="AA199" s="240"/>
      <c r="AB199" s="345">
        <v>1</v>
      </c>
      <c r="AC199" s="271"/>
      <c r="AD199" s="272"/>
      <c r="AE199" s="273"/>
      <c r="AF199" s="273"/>
      <c r="AG199" s="274"/>
      <c r="AH199" s="275"/>
      <c r="AI199" s="272"/>
      <c r="AJ199" s="276"/>
      <c r="AK199" s="277"/>
      <c r="AL199" s="278"/>
      <c r="AM199" s="277"/>
      <c r="AN199" s="279" t="str">
        <f t="shared" si="14"/>
        <v/>
      </c>
      <c r="AO199" s="279"/>
      <c r="AP199" s="279" t="str">
        <f t="shared" si="15"/>
        <v/>
      </c>
      <c r="AQ199" s="279"/>
      <c r="AR199" s="305">
        <f>'预算书-初步'!$F$10</f>
        <v>0.09</v>
      </c>
      <c r="AT199" s="272"/>
      <c r="BC199" s="272" t="s">
        <v>521</v>
      </c>
      <c r="BD199" s="348">
        <v>1047</v>
      </c>
      <c r="BE199" s="347" t="s">
        <v>700</v>
      </c>
    </row>
    <row r="200" s="52" customFormat="1" ht="15.75" customHeight="1" spans="1:57">
      <c r="A200" s="227"/>
      <c r="B200" s="332"/>
      <c r="C200" s="228"/>
      <c r="D200" s="333"/>
      <c r="E200" s="334"/>
      <c r="F200" s="229"/>
      <c r="G200" s="333"/>
      <c r="H200" s="335"/>
      <c r="I200" s="229"/>
      <c r="J200" s="229"/>
      <c r="K200" s="336"/>
      <c r="L200" s="337"/>
      <c r="M200" s="337"/>
      <c r="N200" s="337"/>
      <c r="O200" s="337"/>
      <c r="P200" s="337"/>
      <c r="Q200" s="338">
        <v>1534</v>
      </c>
      <c r="R200" s="271">
        <f t="shared" si="16"/>
        <v>0</v>
      </c>
      <c r="S200" s="339">
        <f t="shared" si="13"/>
        <v>0</v>
      </c>
      <c r="T200" s="340"/>
      <c r="U200" s="341">
        <f>FA!I$59</f>
        <v>0</v>
      </c>
      <c r="V200" s="274"/>
      <c r="W200" s="342"/>
      <c r="X200" s="343"/>
      <c r="Y200" s="6" t="s">
        <v>538</v>
      </c>
      <c r="Z200" s="344"/>
      <c r="AA200" s="240"/>
      <c r="AB200" s="345">
        <v>1</v>
      </c>
      <c r="AC200" s="271"/>
      <c r="AD200" s="272"/>
      <c r="AE200" s="273"/>
      <c r="AF200" s="273"/>
      <c r="AG200" s="274"/>
      <c r="AH200" s="275"/>
      <c r="AI200" s="272"/>
      <c r="AJ200" s="276"/>
      <c r="AK200" s="277"/>
      <c r="AL200" s="278"/>
      <c r="AM200" s="277"/>
      <c r="AN200" s="279" t="str">
        <f t="shared" si="14"/>
        <v/>
      </c>
      <c r="AO200" s="279"/>
      <c r="AP200" s="279" t="str">
        <f t="shared" si="15"/>
        <v/>
      </c>
      <c r="AQ200" s="279"/>
      <c r="AR200" s="305">
        <f>'预算书-初步'!$F$10</f>
        <v>0.09</v>
      </c>
      <c r="AT200" s="272"/>
      <c r="BC200" s="272" t="s">
        <v>521</v>
      </c>
      <c r="BD200" s="348">
        <v>1048</v>
      </c>
      <c r="BE200" s="347" t="s">
        <v>700</v>
      </c>
    </row>
    <row r="201" s="52" customFormat="1" ht="15.75" customHeight="1" spans="1:57">
      <c r="A201" s="227"/>
      <c r="B201" s="332"/>
      <c r="C201" s="228"/>
      <c r="D201" s="333"/>
      <c r="E201" s="334"/>
      <c r="F201" s="229"/>
      <c r="G201" s="333"/>
      <c r="H201" s="335"/>
      <c r="I201" s="229"/>
      <c r="J201" s="229"/>
      <c r="K201" s="336"/>
      <c r="L201" s="337"/>
      <c r="M201" s="337"/>
      <c r="N201" s="337"/>
      <c r="O201" s="337"/>
      <c r="P201" s="337"/>
      <c r="Q201" s="338">
        <v>1540</v>
      </c>
      <c r="R201" s="271">
        <f t="shared" si="16"/>
        <v>0</v>
      </c>
      <c r="S201" s="339">
        <f t="shared" si="13"/>
        <v>0</v>
      </c>
      <c r="T201" s="340"/>
      <c r="U201" s="341">
        <f>FA!I$60</f>
        <v>0</v>
      </c>
      <c r="V201" s="274"/>
      <c r="W201" s="342"/>
      <c r="X201" s="343"/>
      <c r="Y201" s="6" t="s">
        <v>539</v>
      </c>
      <c r="Z201" s="344"/>
      <c r="AA201" s="240"/>
      <c r="AB201" s="345">
        <v>1</v>
      </c>
      <c r="AC201" s="271"/>
      <c r="AD201" s="272"/>
      <c r="AE201" s="273"/>
      <c r="AF201" s="273"/>
      <c r="AG201" s="274"/>
      <c r="AH201" s="275"/>
      <c r="AI201" s="272"/>
      <c r="AJ201" s="276"/>
      <c r="AK201" s="277"/>
      <c r="AL201" s="278"/>
      <c r="AM201" s="277"/>
      <c r="AN201" s="279" t="str">
        <f t="shared" si="14"/>
        <v/>
      </c>
      <c r="AO201" s="279"/>
      <c r="AP201" s="279" t="str">
        <f t="shared" si="15"/>
        <v/>
      </c>
      <c r="AQ201" s="279"/>
      <c r="AR201" s="305">
        <f>'预算书-初步'!$F$10</f>
        <v>0.09</v>
      </c>
      <c r="AT201" s="272"/>
      <c r="BC201" s="272" t="s">
        <v>521</v>
      </c>
      <c r="BD201" s="348">
        <v>1049</v>
      </c>
      <c r="BE201" s="347" t="s">
        <v>700</v>
      </c>
    </row>
    <row r="202" s="52" customFormat="1" ht="15.75" customHeight="1" spans="1:57">
      <c r="A202" s="227"/>
      <c r="B202" s="332"/>
      <c r="C202" s="228"/>
      <c r="D202" s="333"/>
      <c r="E202" s="334"/>
      <c r="F202" s="229"/>
      <c r="G202" s="333"/>
      <c r="H202" s="335"/>
      <c r="I202" s="229"/>
      <c r="J202" s="229"/>
      <c r="K202" s="336"/>
      <c r="L202" s="337"/>
      <c r="M202" s="337"/>
      <c r="N202" s="337"/>
      <c r="O202" s="337"/>
      <c r="P202" s="337"/>
      <c r="Q202" s="338">
        <v>1611</v>
      </c>
      <c r="R202" s="271">
        <f t="shared" si="16"/>
        <v>0</v>
      </c>
      <c r="S202" s="339">
        <f t="shared" si="13"/>
        <v>0</v>
      </c>
      <c r="T202" s="340"/>
      <c r="U202" s="341">
        <f>FA!I$64</f>
        <v>0</v>
      </c>
      <c r="V202" s="274"/>
      <c r="W202" s="342"/>
      <c r="X202" s="343"/>
      <c r="Y202" s="6" t="s">
        <v>540</v>
      </c>
      <c r="Z202" s="344"/>
      <c r="AA202" s="240"/>
      <c r="AB202" s="345">
        <v>1</v>
      </c>
      <c r="AC202" s="271"/>
      <c r="AD202" s="272"/>
      <c r="AE202" s="273"/>
      <c r="AF202" s="273"/>
      <c r="AG202" s="274"/>
      <c r="AH202" s="275"/>
      <c r="AI202" s="272"/>
      <c r="AJ202" s="276"/>
      <c r="AK202" s="277"/>
      <c r="AL202" s="278"/>
      <c r="AM202" s="277"/>
      <c r="AN202" s="279" t="str">
        <f t="shared" si="14"/>
        <v/>
      </c>
      <c r="AO202" s="279"/>
      <c r="AP202" s="279" t="str">
        <f t="shared" si="15"/>
        <v/>
      </c>
      <c r="AQ202" s="279"/>
      <c r="AR202" s="305">
        <f>'预算书-初步'!$F$10</f>
        <v>0.09</v>
      </c>
      <c r="AT202" s="272"/>
      <c r="BC202" s="272" t="s">
        <v>521</v>
      </c>
      <c r="BD202" s="348">
        <v>1053</v>
      </c>
      <c r="BE202" s="347" t="s">
        <v>700</v>
      </c>
    </row>
    <row r="203" s="52" customFormat="1" ht="15.75" customHeight="1" spans="1:57">
      <c r="A203" s="227"/>
      <c r="B203" s="332"/>
      <c r="C203" s="228"/>
      <c r="D203" s="333"/>
      <c r="E203" s="334"/>
      <c r="F203" s="229"/>
      <c r="G203" s="333"/>
      <c r="H203" s="335"/>
      <c r="I203" s="229"/>
      <c r="J203" s="229"/>
      <c r="K203" s="336"/>
      <c r="L203" s="337"/>
      <c r="M203" s="337"/>
      <c r="N203" s="337"/>
      <c r="O203" s="337"/>
      <c r="P203" s="337"/>
      <c r="Q203" s="338">
        <v>1611</v>
      </c>
      <c r="R203" s="271">
        <f t="shared" si="16"/>
        <v>0</v>
      </c>
      <c r="S203" s="339">
        <f t="shared" si="13"/>
        <v>0</v>
      </c>
      <c r="T203" s="340"/>
      <c r="U203" s="341">
        <f>FA!I$65</f>
        <v>0</v>
      </c>
      <c r="V203" s="274"/>
      <c r="W203" s="342"/>
      <c r="X203" s="343"/>
      <c r="Y203" s="6" t="s">
        <v>541</v>
      </c>
      <c r="Z203" s="344"/>
      <c r="AA203" s="240"/>
      <c r="AB203" s="345">
        <v>1</v>
      </c>
      <c r="AC203" s="271"/>
      <c r="AD203" s="272"/>
      <c r="AE203" s="273"/>
      <c r="AF203" s="273"/>
      <c r="AG203" s="274"/>
      <c r="AH203" s="275"/>
      <c r="AI203" s="272"/>
      <c r="AJ203" s="276"/>
      <c r="AK203" s="277"/>
      <c r="AL203" s="278"/>
      <c r="AM203" s="277"/>
      <c r="AN203" s="279" t="str">
        <f t="shared" si="14"/>
        <v/>
      </c>
      <c r="AO203" s="279"/>
      <c r="AP203" s="279" t="str">
        <f t="shared" si="15"/>
        <v/>
      </c>
      <c r="AQ203" s="279"/>
      <c r="AR203" s="305">
        <f>'预算书-初步'!$F$10</f>
        <v>0.09</v>
      </c>
      <c r="AT203" s="272"/>
      <c r="BC203" s="272" t="s">
        <v>521</v>
      </c>
      <c r="BD203" s="348">
        <v>1054</v>
      </c>
      <c r="BE203" s="347" t="s">
        <v>700</v>
      </c>
    </row>
    <row r="204" s="52" customFormat="1" ht="15.75" customHeight="1" spans="1:57">
      <c r="A204" s="227"/>
      <c r="B204" s="332"/>
      <c r="C204" s="228"/>
      <c r="D204" s="333"/>
      <c r="E204" s="334"/>
      <c r="F204" s="229"/>
      <c r="G204" s="333"/>
      <c r="H204" s="335"/>
      <c r="I204" s="229"/>
      <c r="J204" s="229"/>
      <c r="K204" s="336"/>
      <c r="L204" s="337"/>
      <c r="M204" s="337"/>
      <c r="N204" s="337"/>
      <c r="O204" s="337"/>
      <c r="P204" s="337"/>
      <c r="Q204" s="338">
        <v>1611</v>
      </c>
      <c r="R204" s="271">
        <f t="shared" si="16"/>
        <v>0</v>
      </c>
      <c r="S204" s="339">
        <f t="shared" si="13"/>
        <v>0</v>
      </c>
      <c r="T204" s="340"/>
      <c r="U204" s="341">
        <f>FA!I$66</f>
        <v>0</v>
      </c>
      <c r="V204" s="274"/>
      <c r="W204" s="342"/>
      <c r="X204" s="343"/>
      <c r="Y204" s="6" t="s">
        <v>542</v>
      </c>
      <c r="Z204" s="344"/>
      <c r="AA204" s="240"/>
      <c r="AB204" s="345">
        <v>1</v>
      </c>
      <c r="AC204" s="271"/>
      <c r="AD204" s="272"/>
      <c r="AE204" s="273"/>
      <c r="AF204" s="273"/>
      <c r="AG204" s="274"/>
      <c r="AH204" s="275"/>
      <c r="AI204" s="272"/>
      <c r="AJ204" s="276"/>
      <c r="AK204" s="277"/>
      <c r="AL204" s="278"/>
      <c r="AM204" s="277"/>
      <c r="AN204" s="279" t="str">
        <f t="shared" si="14"/>
        <v/>
      </c>
      <c r="AO204" s="279"/>
      <c r="AP204" s="279" t="str">
        <f t="shared" si="15"/>
        <v/>
      </c>
      <c r="AQ204" s="279"/>
      <c r="AR204" s="305">
        <f>'预算书-初步'!$F$10</f>
        <v>0.09</v>
      </c>
      <c r="AT204" s="272"/>
      <c r="BC204" s="272" t="s">
        <v>521</v>
      </c>
      <c r="BD204" s="348">
        <v>1055</v>
      </c>
      <c r="BE204" s="347" t="s">
        <v>700</v>
      </c>
    </row>
    <row r="205" s="52" customFormat="1" ht="15.75" customHeight="1" spans="1:57">
      <c r="A205" s="227"/>
      <c r="B205" s="332"/>
      <c r="C205" s="228"/>
      <c r="D205" s="333"/>
      <c r="E205" s="334"/>
      <c r="F205" s="229"/>
      <c r="G205" s="333"/>
      <c r="H205" s="335"/>
      <c r="I205" s="229"/>
      <c r="J205" s="229"/>
      <c r="K205" s="336"/>
      <c r="L205" s="337"/>
      <c r="M205" s="337"/>
      <c r="N205" s="337"/>
      <c r="O205" s="337"/>
      <c r="P205" s="337"/>
      <c r="Q205" s="338">
        <v>1611</v>
      </c>
      <c r="R205" s="271">
        <f t="shared" si="16"/>
        <v>0</v>
      </c>
      <c r="S205" s="339">
        <f t="shared" si="13"/>
        <v>0</v>
      </c>
      <c r="T205" s="340"/>
      <c r="U205" s="341">
        <f>FA!I$67</f>
        <v>0</v>
      </c>
      <c r="V205" s="274"/>
      <c r="W205" s="342"/>
      <c r="X205" s="343"/>
      <c r="Y205" s="6" t="s">
        <v>543</v>
      </c>
      <c r="Z205" s="344"/>
      <c r="AA205" s="240"/>
      <c r="AB205" s="345">
        <v>1</v>
      </c>
      <c r="AC205" s="271"/>
      <c r="AD205" s="272"/>
      <c r="AE205" s="273"/>
      <c r="AF205" s="273"/>
      <c r="AG205" s="274"/>
      <c r="AH205" s="275"/>
      <c r="AI205" s="272"/>
      <c r="AJ205" s="276"/>
      <c r="AK205" s="277"/>
      <c r="AL205" s="278"/>
      <c r="AM205" s="277"/>
      <c r="AN205" s="279" t="str">
        <f t="shared" si="14"/>
        <v/>
      </c>
      <c r="AO205" s="279"/>
      <c r="AP205" s="279" t="str">
        <f t="shared" si="15"/>
        <v/>
      </c>
      <c r="AQ205" s="279"/>
      <c r="AR205" s="305">
        <f>'预算书-初步'!$F$10</f>
        <v>0.09</v>
      </c>
      <c r="AT205" s="272"/>
      <c r="BC205" s="272" t="s">
        <v>521</v>
      </c>
      <c r="BD205" s="348">
        <v>1056</v>
      </c>
      <c r="BE205" s="347" t="s">
        <v>700</v>
      </c>
    </row>
    <row r="206" s="52" customFormat="1" ht="15.75" customHeight="1" spans="1:57">
      <c r="A206" s="227"/>
      <c r="B206" s="332"/>
      <c r="C206" s="228"/>
      <c r="D206" s="333"/>
      <c r="E206" s="334"/>
      <c r="F206" s="229"/>
      <c r="G206" s="333"/>
      <c r="H206" s="335"/>
      <c r="I206" s="229"/>
      <c r="J206" s="229"/>
      <c r="K206" s="336"/>
      <c r="L206" s="337"/>
      <c r="M206" s="337"/>
      <c r="N206" s="337"/>
      <c r="O206" s="337"/>
      <c r="P206" s="337"/>
      <c r="Q206" s="338">
        <v>1611</v>
      </c>
      <c r="R206" s="271">
        <f t="shared" si="16"/>
        <v>0</v>
      </c>
      <c r="S206" s="339">
        <f t="shared" si="13"/>
        <v>0</v>
      </c>
      <c r="T206" s="340"/>
      <c r="U206" s="341">
        <f>FA!I$68</f>
        <v>0</v>
      </c>
      <c r="V206" s="274"/>
      <c r="W206" s="342"/>
      <c r="X206" s="343"/>
      <c r="Y206" s="6" t="s">
        <v>544</v>
      </c>
      <c r="Z206" s="344"/>
      <c r="AA206" s="240"/>
      <c r="AB206" s="345">
        <v>1</v>
      </c>
      <c r="AC206" s="271"/>
      <c r="AD206" s="272"/>
      <c r="AE206" s="273"/>
      <c r="AF206" s="273"/>
      <c r="AG206" s="274"/>
      <c r="AH206" s="275"/>
      <c r="AI206" s="272"/>
      <c r="AJ206" s="276"/>
      <c r="AK206" s="277"/>
      <c r="AL206" s="278"/>
      <c r="AM206" s="277"/>
      <c r="AN206" s="279" t="str">
        <f t="shared" si="14"/>
        <v/>
      </c>
      <c r="AO206" s="279"/>
      <c r="AP206" s="279" t="str">
        <f t="shared" si="15"/>
        <v/>
      </c>
      <c r="AQ206" s="279"/>
      <c r="AR206" s="305">
        <f>'预算书-初步'!$F$10</f>
        <v>0.09</v>
      </c>
      <c r="AT206" s="272"/>
      <c r="BC206" s="272" t="s">
        <v>521</v>
      </c>
      <c r="BD206" s="348">
        <v>1057</v>
      </c>
      <c r="BE206" s="347" t="s">
        <v>700</v>
      </c>
    </row>
    <row r="207" s="52" customFormat="1" ht="15.75" customHeight="1" spans="1:57">
      <c r="A207" s="227"/>
      <c r="B207" s="332"/>
      <c r="C207" s="228"/>
      <c r="D207" s="333"/>
      <c r="E207" s="334"/>
      <c r="F207" s="229"/>
      <c r="G207" s="333"/>
      <c r="H207" s="335"/>
      <c r="I207" s="229"/>
      <c r="J207" s="229"/>
      <c r="K207" s="336"/>
      <c r="L207" s="337"/>
      <c r="M207" s="337"/>
      <c r="N207" s="337"/>
      <c r="O207" s="337"/>
      <c r="P207" s="337"/>
      <c r="Q207" s="338">
        <v>1611</v>
      </c>
      <c r="R207" s="271">
        <f t="shared" si="16"/>
        <v>0</v>
      </c>
      <c r="S207" s="339">
        <f t="shared" si="13"/>
        <v>0</v>
      </c>
      <c r="T207" s="340"/>
      <c r="U207" s="341">
        <f>FA!I$69</f>
        <v>0</v>
      </c>
      <c r="V207" s="274"/>
      <c r="W207" s="342"/>
      <c r="X207" s="343"/>
      <c r="Y207" s="6" t="s">
        <v>545</v>
      </c>
      <c r="Z207" s="344"/>
      <c r="AA207" s="240"/>
      <c r="AB207" s="345">
        <v>1</v>
      </c>
      <c r="AC207" s="271"/>
      <c r="AD207" s="272"/>
      <c r="AE207" s="273"/>
      <c r="AF207" s="273"/>
      <c r="AG207" s="274"/>
      <c r="AH207" s="275"/>
      <c r="AI207" s="272"/>
      <c r="AJ207" s="276"/>
      <c r="AK207" s="277"/>
      <c r="AL207" s="278"/>
      <c r="AM207" s="277"/>
      <c r="AN207" s="279"/>
      <c r="AO207" s="279"/>
      <c r="AP207" s="279"/>
      <c r="AQ207" s="279"/>
      <c r="AR207" s="305">
        <f>'预算书-初步'!$F$10</f>
        <v>0.09</v>
      </c>
      <c r="AT207" s="272"/>
      <c r="BC207" s="272" t="s">
        <v>521</v>
      </c>
      <c r="BD207" s="348">
        <v>1058</v>
      </c>
      <c r="BE207" s="347" t="s">
        <v>700</v>
      </c>
    </row>
    <row r="208" s="52" customFormat="1" ht="15.75" customHeight="1" spans="1:57">
      <c r="A208" s="227"/>
      <c r="B208" s="332"/>
      <c r="C208" s="228"/>
      <c r="D208" s="333"/>
      <c r="E208" s="334"/>
      <c r="F208" s="229"/>
      <c r="G208" s="333"/>
      <c r="H208" s="335"/>
      <c r="I208" s="229"/>
      <c r="J208" s="229"/>
      <c r="K208" s="336"/>
      <c r="L208" s="337"/>
      <c r="M208" s="337"/>
      <c r="N208" s="337"/>
      <c r="O208" s="337"/>
      <c r="P208" s="337"/>
      <c r="Q208" s="338">
        <v>1611</v>
      </c>
      <c r="R208" s="271">
        <f t="shared" si="16"/>
        <v>0</v>
      </c>
      <c r="S208" s="339">
        <f t="shared" si="13"/>
        <v>0</v>
      </c>
      <c r="T208" s="340"/>
      <c r="U208" s="341">
        <f>FA!I$70</f>
        <v>0</v>
      </c>
      <c r="V208" s="274"/>
      <c r="W208" s="342"/>
      <c r="X208" s="343"/>
      <c r="Y208" s="349" t="s">
        <v>546</v>
      </c>
      <c r="Z208" s="344"/>
      <c r="AA208" s="240"/>
      <c r="AB208" s="345">
        <v>1</v>
      </c>
      <c r="AC208" s="271"/>
      <c r="AD208" s="272"/>
      <c r="AE208" s="273"/>
      <c r="AF208" s="273"/>
      <c r="AG208" s="274"/>
      <c r="AH208" s="275"/>
      <c r="AI208" s="272"/>
      <c r="AJ208" s="276"/>
      <c r="AK208" s="277"/>
      <c r="AL208" s="278"/>
      <c r="AM208" s="277"/>
      <c r="AN208" s="279"/>
      <c r="AO208" s="279"/>
      <c r="AP208" s="279"/>
      <c r="AQ208" s="279"/>
      <c r="AR208" s="305">
        <f>'预算书-初步'!$F$10</f>
        <v>0.09</v>
      </c>
      <c r="AT208" s="272"/>
      <c r="BC208" s="272" t="s">
        <v>521</v>
      </c>
      <c r="BD208" s="348">
        <v>1059</v>
      </c>
      <c r="BE208" s="347" t="s">
        <v>700</v>
      </c>
    </row>
    <row r="209" s="52" customFormat="1" ht="15.75" customHeight="1" spans="1:57">
      <c r="A209" s="227"/>
      <c r="B209" s="332"/>
      <c r="C209" s="228"/>
      <c r="D209" s="333"/>
      <c r="E209" s="334"/>
      <c r="F209" s="229"/>
      <c r="G209" s="333"/>
      <c r="H209" s="335"/>
      <c r="I209" s="229"/>
      <c r="J209" s="229"/>
      <c r="K209" s="336"/>
      <c r="L209" s="337"/>
      <c r="M209" s="337"/>
      <c r="N209" s="337"/>
      <c r="O209" s="337"/>
      <c r="P209" s="337"/>
      <c r="Q209" s="338">
        <v>1611</v>
      </c>
      <c r="R209" s="271">
        <f t="shared" si="16"/>
        <v>0</v>
      </c>
      <c r="S209" s="339">
        <f t="shared" si="13"/>
        <v>0</v>
      </c>
      <c r="T209" s="340"/>
      <c r="U209" s="341">
        <f>FA!I$71</f>
        <v>0</v>
      </c>
      <c r="V209" s="274"/>
      <c r="W209" s="342"/>
      <c r="X209" s="343"/>
      <c r="Y209" s="349" t="s">
        <v>547</v>
      </c>
      <c r="Z209" s="344"/>
      <c r="AA209" s="240"/>
      <c r="AB209" s="345">
        <v>1</v>
      </c>
      <c r="AC209" s="271"/>
      <c r="AD209" s="272"/>
      <c r="AE209" s="273"/>
      <c r="AF209" s="273"/>
      <c r="AG209" s="274"/>
      <c r="AH209" s="275"/>
      <c r="AI209" s="272"/>
      <c r="AJ209" s="276"/>
      <c r="AK209" s="277"/>
      <c r="AL209" s="278"/>
      <c r="AM209" s="277"/>
      <c r="AN209" s="279"/>
      <c r="AO209" s="279"/>
      <c r="AP209" s="279"/>
      <c r="AQ209" s="279"/>
      <c r="AR209" s="305">
        <f>'预算书-初步'!$F$10</f>
        <v>0.09</v>
      </c>
      <c r="AT209" s="272"/>
      <c r="BC209" s="272" t="s">
        <v>521</v>
      </c>
      <c r="BD209" s="348">
        <v>1060</v>
      </c>
      <c r="BE209" s="347" t="s">
        <v>700</v>
      </c>
    </row>
    <row r="210" s="52" customFormat="1" ht="15.75" customHeight="1" spans="1:57">
      <c r="A210" s="227"/>
      <c r="B210" s="332"/>
      <c r="C210" s="228"/>
      <c r="D210" s="333"/>
      <c r="E210" s="334"/>
      <c r="F210" s="229"/>
      <c r="G210" s="333"/>
      <c r="H210" s="335"/>
      <c r="I210" s="229"/>
      <c r="J210" s="229"/>
      <c r="K210" s="336"/>
      <c r="L210" s="337"/>
      <c r="M210" s="337"/>
      <c r="N210" s="337"/>
      <c r="O210" s="337"/>
      <c r="P210" s="337"/>
      <c r="Q210" s="338">
        <v>1611</v>
      </c>
      <c r="R210" s="271">
        <f t="shared" si="16"/>
        <v>0</v>
      </c>
      <c r="S210" s="339">
        <f t="shared" si="13"/>
        <v>0</v>
      </c>
      <c r="T210" s="340"/>
      <c r="U210" s="341">
        <f>FA!I$72</f>
        <v>0</v>
      </c>
      <c r="V210" s="274"/>
      <c r="W210" s="342"/>
      <c r="X210" s="343"/>
      <c r="Y210" s="349" t="s">
        <v>548</v>
      </c>
      <c r="Z210" s="344"/>
      <c r="AA210" s="240"/>
      <c r="AB210" s="345">
        <v>1</v>
      </c>
      <c r="AC210" s="271"/>
      <c r="AD210" s="272"/>
      <c r="AE210" s="273"/>
      <c r="AF210" s="273"/>
      <c r="AG210" s="274"/>
      <c r="AH210" s="275"/>
      <c r="AI210" s="272"/>
      <c r="AJ210" s="276"/>
      <c r="AK210" s="277"/>
      <c r="AL210" s="278"/>
      <c r="AM210" s="277"/>
      <c r="AN210" s="279" t="str">
        <f>IF(AK210&lt;&gt;0,"N","")</f>
        <v/>
      </c>
      <c r="AO210" s="279"/>
      <c r="AP210" s="279" t="str">
        <f>IF(F210&lt;&gt;0,"Y","")</f>
        <v/>
      </c>
      <c r="AQ210" s="279"/>
      <c r="AR210" s="305">
        <f>'预算书-初步'!$F$10</f>
        <v>0.09</v>
      </c>
      <c r="AT210" s="272"/>
      <c r="BC210" s="272" t="s">
        <v>521</v>
      </c>
      <c r="BD210" s="348">
        <v>1061</v>
      </c>
      <c r="BE210" s="347" t="s">
        <v>700</v>
      </c>
    </row>
    <row r="211" s="52" customFormat="1" ht="15.75" customHeight="1" spans="1:57">
      <c r="A211" s="227"/>
      <c r="B211" s="332"/>
      <c r="C211" s="228"/>
      <c r="D211" s="333"/>
      <c r="E211" s="334"/>
      <c r="F211" s="229"/>
      <c r="G211" s="333"/>
      <c r="H211" s="335"/>
      <c r="I211" s="229"/>
      <c r="J211" s="229"/>
      <c r="K211" s="336"/>
      <c r="L211" s="337"/>
      <c r="M211" s="337"/>
      <c r="N211" s="337"/>
      <c r="O211" s="337"/>
      <c r="P211" s="337"/>
      <c r="Q211" s="338">
        <v>1611</v>
      </c>
      <c r="R211" s="271">
        <f t="shared" si="16"/>
        <v>0</v>
      </c>
      <c r="S211" s="339">
        <f t="shared" si="13"/>
        <v>0</v>
      </c>
      <c r="T211" s="340"/>
      <c r="U211" s="341">
        <f>FA!I$73</f>
        <v>0</v>
      </c>
      <c r="V211" s="274"/>
      <c r="W211" s="342"/>
      <c r="X211" s="343"/>
      <c r="Y211" s="349" t="s">
        <v>549</v>
      </c>
      <c r="Z211" s="344"/>
      <c r="AA211" s="240"/>
      <c r="AB211" s="345">
        <v>1</v>
      </c>
      <c r="AC211" s="271"/>
      <c r="AD211" s="272"/>
      <c r="AE211" s="273"/>
      <c r="AF211" s="273"/>
      <c r="AG211" s="274"/>
      <c r="AH211" s="275"/>
      <c r="AI211" s="272"/>
      <c r="AJ211" s="276"/>
      <c r="AK211" s="277"/>
      <c r="AL211" s="278"/>
      <c r="AM211" s="277"/>
      <c r="AN211" s="279"/>
      <c r="AO211" s="279"/>
      <c r="AP211" s="279"/>
      <c r="AQ211" s="279"/>
      <c r="AR211" s="305">
        <f>'预算书-初步'!$F$10</f>
        <v>0.09</v>
      </c>
      <c r="AT211" s="272"/>
      <c r="BC211" s="272" t="s">
        <v>521</v>
      </c>
      <c r="BD211" s="348">
        <v>1062</v>
      </c>
      <c r="BE211" s="347" t="s">
        <v>700</v>
      </c>
    </row>
    <row r="212" s="52" customFormat="1" ht="15.75" customHeight="1" spans="1:57">
      <c r="A212" s="227"/>
      <c r="B212" s="332"/>
      <c r="C212" s="228"/>
      <c r="D212" s="333"/>
      <c r="E212" s="334"/>
      <c r="F212" s="229"/>
      <c r="G212" s="333"/>
      <c r="H212" s="335"/>
      <c r="I212" s="229"/>
      <c r="J212" s="229"/>
      <c r="K212" s="336"/>
      <c r="L212" s="337"/>
      <c r="M212" s="337"/>
      <c r="N212" s="337"/>
      <c r="O212" s="337"/>
      <c r="P212" s="337"/>
      <c r="Q212" s="338">
        <v>1643</v>
      </c>
      <c r="R212" s="271">
        <f t="shared" si="16"/>
        <v>0</v>
      </c>
      <c r="S212" s="339">
        <f t="shared" si="13"/>
        <v>0</v>
      </c>
      <c r="T212" s="340"/>
      <c r="U212" s="341">
        <f>FA!I$74</f>
        <v>0</v>
      </c>
      <c r="V212" s="274"/>
      <c r="W212" s="342"/>
      <c r="X212" s="343"/>
      <c r="Y212" s="349" t="s">
        <v>550</v>
      </c>
      <c r="Z212" s="344"/>
      <c r="AA212" s="240"/>
      <c r="AB212" s="345">
        <v>1</v>
      </c>
      <c r="AC212" s="271"/>
      <c r="AD212" s="272"/>
      <c r="AE212" s="273"/>
      <c r="AF212" s="273"/>
      <c r="AG212" s="274"/>
      <c r="AH212" s="275"/>
      <c r="AI212" s="272"/>
      <c r="AJ212" s="276"/>
      <c r="AK212" s="277"/>
      <c r="AL212" s="278"/>
      <c r="AM212" s="277"/>
      <c r="AN212" s="279" t="str">
        <f t="shared" ref="AN212:AN225" si="17">IF(AK212&lt;&gt;0,"N","")</f>
        <v/>
      </c>
      <c r="AO212" s="279"/>
      <c r="AP212" s="279" t="str">
        <f t="shared" ref="AP212:AP221" si="18">IF(F212&lt;&gt;0,"Y","")</f>
        <v/>
      </c>
      <c r="AQ212" s="279"/>
      <c r="AR212" s="305">
        <f>'预算书-初步'!$F$10</f>
        <v>0.09</v>
      </c>
      <c r="AT212" s="272"/>
      <c r="BC212" s="272" t="s">
        <v>521</v>
      </c>
      <c r="BD212" s="348">
        <v>1063</v>
      </c>
      <c r="BE212" s="347" t="s">
        <v>700</v>
      </c>
    </row>
    <row r="213" s="52" customFormat="1" ht="15.75" customHeight="1" spans="1:57">
      <c r="A213" s="227"/>
      <c r="B213" s="332"/>
      <c r="C213" s="228"/>
      <c r="D213" s="333"/>
      <c r="E213" s="334"/>
      <c r="F213" s="229"/>
      <c r="G213" s="333"/>
      <c r="H213" s="335"/>
      <c r="I213" s="229"/>
      <c r="J213" s="229"/>
      <c r="K213" s="336"/>
      <c r="L213" s="337"/>
      <c r="M213" s="337"/>
      <c r="N213" s="337"/>
      <c r="O213" s="337"/>
      <c r="P213" s="337"/>
      <c r="Q213" s="350">
        <v>1644</v>
      </c>
      <c r="R213" s="271">
        <f t="shared" si="16"/>
        <v>0</v>
      </c>
      <c r="S213" s="339">
        <f t="shared" si="13"/>
        <v>0</v>
      </c>
      <c r="T213" s="340"/>
      <c r="U213" s="341">
        <f>FA!I$75</f>
        <v>0</v>
      </c>
      <c r="V213" s="274"/>
      <c r="W213" s="342"/>
      <c r="X213" s="343"/>
      <c r="Y213" s="349" t="s">
        <v>551</v>
      </c>
      <c r="Z213" s="344"/>
      <c r="AA213" s="240"/>
      <c r="AB213" s="345">
        <v>1</v>
      </c>
      <c r="AC213" s="271"/>
      <c r="AD213" s="272"/>
      <c r="AE213" s="273"/>
      <c r="AF213" s="273"/>
      <c r="AG213" s="274"/>
      <c r="AH213" s="275"/>
      <c r="AI213" s="272"/>
      <c r="AJ213" s="276"/>
      <c r="AK213" s="277"/>
      <c r="AL213" s="278"/>
      <c r="AM213" s="277"/>
      <c r="AN213" s="279" t="str">
        <f t="shared" si="17"/>
        <v/>
      </c>
      <c r="AO213" s="279"/>
      <c r="AP213" s="279" t="str">
        <f t="shared" si="18"/>
        <v/>
      </c>
      <c r="AQ213" s="279"/>
      <c r="AR213" s="305">
        <f>'预算书-初步'!$F$10</f>
        <v>0.09</v>
      </c>
      <c r="AT213" s="272"/>
      <c r="BC213" s="272" t="s">
        <v>521</v>
      </c>
      <c r="BD213" s="348">
        <v>1064</v>
      </c>
      <c r="BE213" s="347" t="s">
        <v>700</v>
      </c>
    </row>
    <row r="214" s="52" customFormat="1" ht="15.75" customHeight="1" spans="1:57">
      <c r="A214" s="227"/>
      <c r="B214" s="332"/>
      <c r="C214" s="228"/>
      <c r="D214" s="333"/>
      <c r="E214" s="334"/>
      <c r="F214" s="229"/>
      <c r="G214" s="333"/>
      <c r="H214" s="335"/>
      <c r="I214" s="229"/>
      <c r="J214" s="229"/>
      <c r="K214" s="336"/>
      <c r="L214" s="337"/>
      <c r="M214" s="337"/>
      <c r="N214" s="337"/>
      <c r="O214" s="337"/>
      <c r="P214" s="337"/>
      <c r="Q214" s="338">
        <v>1645</v>
      </c>
      <c r="R214" s="271">
        <f t="shared" si="16"/>
        <v>0</v>
      </c>
      <c r="S214" s="339">
        <f t="shared" si="13"/>
        <v>0</v>
      </c>
      <c r="T214" s="340"/>
      <c r="U214" s="341">
        <f>FA!I$76</f>
        <v>0</v>
      </c>
      <c r="V214" s="274"/>
      <c r="W214" s="342"/>
      <c r="X214" s="343"/>
      <c r="Y214" s="349" t="s">
        <v>552</v>
      </c>
      <c r="Z214" s="344"/>
      <c r="AA214" s="240"/>
      <c r="AB214" s="345">
        <v>1</v>
      </c>
      <c r="AC214" s="271"/>
      <c r="AD214" s="272"/>
      <c r="AE214" s="273"/>
      <c r="AF214" s="273"/>
      <c r="AG214" s="274"/>
      <c r="AH214" s="275"/>
      <c r="AI214" s="272"/>
      <c r="AJ214" s="276"/>
      <c r="AK214" s="277"/>
      <c r="AL214" s="278"/>
      <c r="AM214" s="277"/>
      <c r="AN214" s="279" t="str">
        <f t="shared" si="17"/>
        <v/>
      </c>
      <c r="AO214" s="279"/>
      <c r="AP214" s="279" t="str">
        <f t="shared" si="18"/>
        <v/>
      </c>
      <c r="AQ214" s="279"/>
      <c r="AR214" s="305">
        <f>'预算书-初步'!$F$10</f>
        <v>0.09</v>
      </c>
      <c r="AT214" s="272"/>
      <c r="BC214" s="272" t="s">
        <v>521</v>
      </c>
      <c r="BD214" s="348">
        <v>1065</v>
      </c>
      <c r="BE214" s="347" t="s">
        <v>700</v>
      </c>
    </row>
    <row r="215" s="52" customFormat="1" ht="15.75" customHeight="1" spans="1:57">
      <c r="A215" s="227"/>
      <c r="B215" s="332"/>
      <c r="C215" s="228"/>
      <c r="D215" s="333"/>
      <c r="E215" s="334"/>
      <c r="F215" s="229"/>
      <c r="G215" s="333"/>
      <c r="H215" s="335"/>
      <c r="I215" s="229"/>
      <c r="J215" s="229"/>
      <c r="K215" s="336"/>
      <c r="L215" s="337"/>
      <c r="M215" s="337"/>
      <c r="N215" s="337"/>
      <c r="O215" s="337"/>
      <c r="P215" s="337"/>
      <c r="Q215" s="338">
        <v>1612</v>
      </c>
      <c r="R215" s="271">
        <f t="shared" si="16"/>
        <v>0</v>
      </c>
      <c r="S215" s="339">
        <f t="shared" si="13"/>
        <v>0</v>
      </c>
      <c r="T215" s="340"/>
      <c r="U215" s="341">
        <f>FA!I$77</f>
        <v>0</v>
      </c>
      <c r="V215" s="274"/>
      <c r="W215" s="342"/>
      <c r="X215" s="343"/>
      <c r="Y215" s="6" t="s">
        <v>553</v>
      </c>
      <c r="Z215" s="344"/>
      <c r="AA215" s="240"/>
      <c r="AB215" s="345">
        <v>1</v>
      </c>
      <c r="AC215" s="271"/>
      <c r="AD215" s="272"/>
      <c r="AE215" s="273"/>
      <c r="AF215" s="273"/>
      <c r="AG215" s="274"/>
      <c r="AH215" s="275"/>
      <c r="AI215" s="272"/>
      <c r="AJ215" s="276"/>
      <c r="AK215" s="277"/>
      <c r="AL215" s="278"/>
      <c r="AM215" s="277"/>
      <c r="AN215" s="279" t="str">
        <f t="shared" si="17"/>
        <v/>
      </c>
      <c r="AO215" s="279"/>
      <c r="AP215" s="279" t="str">
        <f t="shared" si="18"/>
        <v/>
      </c>
      <c r="AQ215" s="279"/>
      <c r="AR215" s="305">
        <f>'预算书-初步'!$F$10</f>
        <v>0.09</v>
      </c>
      <c r="AT215" s="272"/>
      <c r="BC215" s="272" t="s">
        <v>521</v>
      </c>
      <c r="BD215" s="348">
        <v>1066</v>
      </c>
      <c r="BE215" s="347" t="s">
        <v>700</v>
      </c>
    </row>
    <row r="216" s="52" customFormat="1" ht="15.75" customHeight="1" spans="1:57">
      <c r="A216" s="227"/>
      <c r="B216" s="332"/>
      <c r="C216" s="228"/>
      <c r="D216" s="333"/>
      <c r="E216" s="334"/>
      <c r="F216" s="229"/>
      <c r="G216" s="333"/>
      <c r="H216" s="335"/>
      <c r="I216" s="229"/>
      <c r="J216" s="229"/>
      <c r="K216" s="336"/>
      <c r="L216" s="337"/>
      <c r="M216" s="337"/>
      <c r="N216" s="337"/>
      <c r="O216" s="337"/>
      <c r="P216" s="337"/>
      <c r="Q216" s="338">
        <v>1646</v>
      </c>
      <c r="R216" s="271">
        <f t="shared" si="16"/>
        <v>0</v>
      </c>
      <c r="S216" s="339">
        <f t="shared" si="13"/>
        <v>0</v>
      </c>
      <c r="T216" s="340"/>
      <c r="U216" s="341">
        <f>FA!I$79</f>
        <v>0</v>
      </c>
      <c r="V216" s="274"/>
      <c r="W216" s="342"/>
      <c r="X216" s="343"/>
      <c r="Y216" s="349" t="s">
        <v>554</v>
      </c>
      <c r="Z216" s="344"/>
      <c r="AA216" s="240"/>
      <c r="AB216" s="345">
        <v>1</v>
      </c>
      <c r="AC216" s="271"/>
      <c r="AD216" s="272"/>
      <c r="AE216" s="273"/>
      <c r="AF216" s="273"/>
      <c r="AG216" s="274"/>
      <c r="AH216" s="275"/>
      <c r="AI216" s="272"/>
      <c r="AJ216" s="276"/>
      <c r="AK216" s="277"/>
      <c r="AL216" s="278"/>
      <c r="AM216" s="277"/>
      <c r="AN216" s="279" t="str">
        <f t="shared" si="17"/>
        <v/>
      </c>
      <c r="AO216" s="279"/>
      <c r="AP216" s="279" t="str">
        <f t="shared" si="18"/>
        <v/>
      </c>
      <c r="AQ216" s="279"/>
      <c r="AR216" s="305">
        <f>'预算书-初步'!$F$10</f>
        <v>0.09</v>
      </c>
      <c r="AT216" s="272"/>
      <c r="BC216" s="272" t="s">
        <v>521</v>
      </c>
      <c r="BD216" s="348">
        <v>1068</v>
      </c>
      <c r="BE216" s="347" t="s">
        <v>700</v>
      </c>
    </row>
    <row r="217" s="52" customFormat="1" ht="15.75" customHeight="1" spans="1:57">
      <c r="A217" s="227"/>
      <c r="B217" s="332"/>
      <c r="C217" s="228"/>
      <c r="D217" s="333"/>
      <c r="E217" s="334"/>
      <c r="F217" s="229"/>
      <c r="G217" s="333"/>
      <c r="H217" s="335"/>
      <c r="I217" s="229"/>
      <c r="J217" s="229"/>
      <c r="K217" s="336"/>
      <c r="L217" s="337"/>
      <c r="M217" s="337"/>
      <c r="N217" s="337"/>
      <c r="O217" s="337"/>
      <c r="P217" s="337"/>
      <c r="Q217" s="338">
        <v>1646</v>
      </c>
      <c r="R217" s="271">
        <f t="shared" si="16"/>
        <v>0</v>
      </c>
      <c r="S217" s="339">
        <f t="shared" si="13"/>
        <v>0</v>
      </c>
      <c r="T217" s="340"/>
      <c r="U217" s="341">
        <f>FA!I$80</f>
        <v>0</v>
      </c>
      <c r="V217" s="274"/>
      <c r="W217" s="342"/>
      <c r="X217" s="343"/>
      <c r="Y217" s="6" t="s">
        <v>555</v>
      </c>
      <c r="Z217" s="344"/>
      <c r="AA217" s="240"/>
      <c r="AB217" s="345">
        <v>1</v>
      </c>
      <c r="AC217" s="271"/>
      <c r="AD217" s="272"/>
      <c r="AE217" s="273"/>
      <c r="AF217" s="273"/>
      <c r="AG217" s="274"/>
      <c r="AH217" s="275"/>
      <c r="AI217" s="272"/>
      <c r="AJ217" s="276"/>
      <c r="AK217" s="277"/>
      <c r="AL217" s="278"/>
      <c r="AM217" s="277"/>
      <c r="AN217" s="279" t="str">
        <f t="shared" si="17"/>
        <v/>
      </c>
      <c r="AO217" s="279"/>
      <c r="AP217" s="279" t="str">
        <f t="shared" si="18"/>
        <v/>
      </c>
      <c r="AQ217" s="279"/>
      <c r="AR217" s="305">
        <f>'预算书-初步'!$F$10</f>
        <v>0.09</v>
      </c>
      <c r="AT217" s="272"/>
      <c r="BC217" s="272" t="s">
        <v>521</v>
      </c>
      <c r="BD217" s="348">
        <v>1069</v>
      </c>
      <c r="BE217" s="347" t="s">
        <v>700</v>
      </c>
    </row>
    <row r="218" s="52" customFormat="1" ht="15.75" customHeight="1" spans="1:57">
      <c r="A218" s="227"/>
      <c r="B218" s="332"/>
      <c r="C218" s="228"/>
      <c r="D218" s="333"/>
      <c r="E218" s="334"/>
      <c r="F218" s="229"/>
      <c r="G218" s="333"/>
      <c r="H218" s="335"/>
      <c r="I218" s="229"/>
      <c r="J218" s="229"/>
      <c r="K218" s="336"/>
      <c r="L218" s="337"/>
      <c r="M218" s="337"/>
      <c r="N218" s="337"/>
      <c r="O218" s="337"/>
      <c r="P218" s="337"/>
      <c r="Q218" s="338">
        <v>1613</v>
      </c>
      <c r="R218" s="271">
        <f t="shared" si="16"/>
        <v>0</v>
      </c>
      <c r="S218" s="339">
        <f t="shared" si="13"/>
        <v>0</v>
      </c>
      <c r="T218" s="340"/>
      <c r="U218" s="341">
        <f>FA!I$81</f>
        <v>0</v>
      </c>
      <c r="V218" s="274"/>
      <c r="W218" s="342"/>
      <c r="X218" s="343"/>
      <c r="Y218" s="349" t="s">
        <v>556</v>
      </c>
      <c r="Z218" s="344"/>
      <c r="AA218" s="240"/>
      <c r="AB218" s="345">
        <v>1</v>
      </c>
      <c r="AC218" s="271"/>
      <c r="AD218" s="272"/>
      <c r="AE218" s="273"/>
      <c r="AF218" s="273"/>
      <c r="AG218" s="274"/>
      <c r="AH218" s="275"/>
      <c r="AI218" s="272"/>
      <c r="AJ218" s="276"/>
      <c r="AK218" s="277"/>
      <c r="AL218" s="278"/>
      <c r="AM218" s="277"/>
      <c r="AN218" s="279" t="str">
        <f t="shared" si="17"/>
        <v/>
      </c>
      <c r="AO218" s="279"/>
      <c r="AP218" s="279" t="str">
        <f t="shared" si="18"/>
        <v/>
      </c>
      <c r="AQ218" s="279"/>
      <c r="AR218" s="305">
        <f>'预算书-初步'!$F$10</f>
        <v>0.09</v>
      </c>
      <c r="AT218" s="272"/>
      <c r="BC218" s="272" t="s">
        <v>521</v>
      </c>
      <c r="BD218" s="348">
        <v>1070</v>
      </c>
      <c r="BE218" s="347" t="s">
        <v>700</v>
      </c>
    </row>
    <row r="219" s="52" customFormat="1" ht="15.75" customHeight="1" spans="1:57">
      <c r="A219" s="227"/>
      <c r="B219" s="332"/>
      <c r="C219" s="228"/>
      <c r="D219" s="333"/>
      <c r="E219" s="334"/>
      <c r="F219" s="229"/>
      <c r="G219" s="333"/>
      <c r="H219" s="335"/>
      <c r="I219" s="229"/>
      <c r="J219" s="229"/>
      <c r="K219" s="336"/>
      <c r="L219" s="337"/>
      <c r="M219" s="337"/>
      <c r="N219" s="337"/>
      <c r="O219" s="337"/>
      <c r="P219" s="337"/>
      <c r="Q219" s="338">
        <v>1614</v>
      </c>
      <c r="R219" s="271">
        <f t="shared" si="16"/>
        <v>0</v>
      </c>
      <c r="S219" s="339">
        <f t="shared" si="13"/>
        <v>0</v>
      </c>
      <c r="T219" s="340"/>
      <c r="U219" s="341">
        <f>FA!I$82</f>
        <v>0</v>
      </c>
      <c r="V219" s="274"/>
      <c r="W219" s="342"/>
      <c r="X219" s="343"/>
      <c r="Y219" s="349" t="s">
        <v>557</v>
      </c>
      <c r="Z219" s="344"/>
      <c r="AA219" s="240"/>
      <c r="AB219" s="345">
        <v>1</v>
      </c>
      <c r="AC219" s="271"/>
      <c r="AD219" s="272"/>
      <c r="AE219" s="273"/>
      <c r="AF219" s="273"/>
      <c r="AG219" s="274"/>
      <c r="AH219" s="275"/>
      <c r="AI219" s="272"/>
      <c r="AJ219" s="276"/>
      <c r="AK219" s="277"/>
      <c r="AL219" s="278"/>
      <c r="AM219" s="277"/>
      <c r="AN219" s="279" t="str">
        <f t="shared" si="17"/>
        <v/>
      </c>
      <c r="AO219" s="279"/>
      <c r="AP219" s="279" t="str">
        <f t="shared" si="18"/>
        <v/>
      </c>
      <c r="AQ219" s="279"/>
      <c r="AR219" s="305">
        <f>'预算书-初步'!$F$10</f>
        <v>0.09</v>
      </c>
      <c r="AT219" s="272"/>
      <c r="BC219" s="272" t="s">
        <v>521</v>
      </c>
      <c r="BD219" s="348">
        <v>1071</v>
      </c>
      <c r="BE219" s="347" t="s">
        <v>700</v>
      </c>
    </row>
    <row r="220" s="52" customFormat="1" ht="15.75" customHeight="1" spans="1:57">
      <c r="A220" s="227"/>
      <c r="B220" s="332"/>
      <c r="C220" s="228"/>
      <c r="D220" s="333"/>
      <c r="E220" s="334"/>
      <c r="F220" s="229"/>
      <c r="G220" s="333"/>
      <c r="H220" s="335"/>
      <c r="I220" s="229"/>
      <c r="J220" s="229"/>
      <c r="K220" s="336"/>
      <c r="L220" s="337"/>
      <c r="M220" s="337"/>
      <c r="N220" s="337"/>
      <c r="O220" s="337"/>
      <c r="P220" s="337"/>
      <c r="Q220" s="338">
        <v>1621</v>
      </c>
      <c r="R220" s="271">
        <f t="shared" si="16"/>
        <v>0</v>
      </c>
      <c r="S220" s="339">
        <f t="shared" si="13"/>
        <v>0</v>
      </c>
      <c r="T220" s="340"/>
      <c r="U220" s="341">
        <f>FA!I$84</f>
        <v>0</v>
      </c>
      <c r="V220" s="274"/>
      <c r="W220" s="342"/>
      <c r="X220" s="343"/>
      <c r="Y220" s="349" t="s">
        <v>558</v>
      </c>
      <c r="Z220" s="344"/>
      <c r="AA220" s="240"/>
      <c r="AB220" s="345">
        <v>1</v>
      </c>
      <c r="AC220" s="271"/>
      <c r="AD220" s="272"/>
      <c r="AE220" s="273"/>
      <c r="AF220" s="273"/>
      <c r="AG220" s="274"/>
      <c r="AH220" s="275"/>
      <c r="AI220" s="272"/>
      <c r="AJ220" s="276"/>
      <c r="AK220" s="277"/>
      <c r="AL220" s="278"/>
      <c r="AM220" s="277"/>
      <c r="AN220" s="279" t="str">
        <f t="shared" si="17"/>
        <v/>
      </c>
      <c r="AO220" s="279"/>
      <c r="AP220" s="279" t="str">
        <f t="shared" si="18"/>
        <v/>
      </c>
      <c r="AQ220" s="279"/>
      <c r="AR220" s="305">
        <f>'预算书-初步'!$F$10</f>
        <v>0.09</v>
      </c>
      <c r="AT220" s="272"/>
      <c r="BC220" s="272" t="s">
        <v>521</v>
      </c>
      <c r="BD220" s="348">
        <v>1073</v>
      </c>
      <c r="BE220" s="347" t="s">
        <v>700</v>
      </c>
    </row>
    <row r="221" s="52" customFormat="1" ht="15.75" customHeight="1" spans="1:57">
      <c r="A221" s="227"/>
      <c r="B221" s="332"/>
      <c r="C221" s="228"/>
      <c r="D221" s="333"/>
      <c r="E221" s="334"/>
      <c r="F221" s="229"/>
      <c r="G221" s="333"/>
      <c r="H221" s="335"/>
      <c r="I221" s="229"/>
      <c r="J221" s="229"/>
      <c r="K221" s="336"/>
      <c r="L221" s="337"/>
      <c r="M221" s="337"/>
      <c r="N221" s="337"/>
      <c r="O221" s="337"/>
      <c r="P221" s="337"/>
      <c r="Q221" s="338">
        <v>1622</v>
      </c>
      <c r="R221" s="271">
        <f t="shared" si="16"/>
        <v>0</v>
      </c>
      <c r="S221" s="339">
        <f t="shared" si="13"/>
        <v>0</v>
      </c>
      <c r="T221" s="340"/>
      <c r="U221" s="341">
        <f>FA!I$85</f>
        <v>0</v>
      </c>
      <c r="V221" s="274"/>
      <c r="W221" s="342"/>
      <c r="X221" s="343"/>
      <c r="Y221" s="349" t="s">
        <v>559</v>
      </c>
      <c r="Z221" s="344"/>
      <c r="AA221" s="240"/>
      <c r="AB221" s="345">
        <v>1</v>
      </c>
      <c r="AC221" s="271"/>
      <c r="AD221" s="272"/>
      <c r="AE221" s="273"/>
      <c r="AF221" s="273"/>
      <c r="AG221" s="274"/>
      <c r="AH221" s="275"/>
      <c r="AI221" s="272"/>
      <c r="AJ221" s="276"/>
      <c r="AK221" s="277"/>
      <c r="AL221" s="278"/>
      <c r="AM221" s="277"/>
      <c r="AN221" s="279" t="str">
        <f t="shared" si="17"/>
        <v/>
      </c>
      <c r="AO221" s="279"/>
      <c r="AP221" s="279" t="str">
        <f t="shared" si="18"/>
        <v/>
      </c>
      <c r="AQ221" s="279"/>
      <c r="AR221" s="305">
        <f>'预算书-初步'!$F$10</f>
        <v>0.09</v>
      </c>
      <c r="AT221" s="272"/>
      <c r="BC221" s="272" t="s">
        <v>521</v>
      </c>
      <c r="BD221" s="348">
        <v>1074</v>
      </c>
      <c r="BE221" s="347" t="s">
        <v>700</v>
      </c>
    </row>
    <row r="222" s="52" customFormat="1" ht="15.75" customHeight="1" spans="1:57">
      <c r="A222" s="227"/>
      <c r="B222" s="332"/>
      <c r="C222" s="228"/>
      <c r="D222" s="333"/>
      <c r="E222" s="334"/>
      <c r="F222" s="229"/>
      <c r="G222" s="333"/>
      <c r="H222" s="335"/>
      <c r="I222" s="229"/>
      <c r="J222" s="229"/>
      <c r="K222" s="336"/>
      <c r="L222" s="337"/>
      <c r="M222" s="337"/>
      <c r="N222" s="337"/>
      <c r="O222" s="337"/>
      <c r="P222" s="337"/>
      <c r="Q222" s="338">
        <v>1623</v>
      </c>
      <c r="R222" s="271">
        <f t="shared" si="16"/>
        <v>0</v>
      </c>
      <c r="S222" s="339">
        <f t="shared" si="13"/>
        <v>0</v>
      </c>
      <c r="T222" s="340"/>
      <c r="U222" s="341">
        <f>FA!I$86</f>
        <v>0</v>
      </c>
      <c r="V222" s="274"/>
      <c r="W222" s="342"/>
      <c r="X222" s="343"/>
      <c r="Y222" s="349" t="s">
        <v>560</v>
      </c>
      <c r="Z222" s="344"/>
      <c r="AA222" s="240"/>
      <c r="AB222" s="345">
        <v>1</v>
      </c>
      <c r="AC222" s="271"/>
      <c r="AD222" s="272"/>
      <c r="AE222" s="273"/>
      <c r="AF222" s="273"/>
      <c r="AG222" s="274"/>
      <c r="AH222" s="275"/>
      <c r="AI222" s="272"/>
      <c r="AJ222" s="276"/>
      <c r="AK222" s="277"/>
      <c r="AL222" s="278"/>
      <c r="AM222" s="277"/>
      <c r="AN222" s="279"/>
      <c r="AO222" s="279"/>
      <c r="AP222" s="279"/>
      <c r="AQ222" s="279"/>
      <c r="AR222" s="305">
        <f>'预算书-初步'!$F$10</f>
        <v>0.09</v>
      </c>
      <c r="AT222" s="272"/>
      <c r="BC222" s="272" t="s">
        <v>521</v>
      </c>
      <c r="BD222" s="348">
        <v>1075</v>
      </c>
      <c r="BE222" s="347" t="s">
        <v>700</v>
      </c>
    </row>
    <row r="223" s="52" customFormat="1" ht="15.75" customHeight="1" spans="1:57">
      <c r="A223" s="227"/>
      <c r="B223" s="332"/>
      <c r="C223" s="228"/>
      <c r="D223" s="333"/>
      <c r="E223" s="334"/>
      <c r="F223" s="229"/>
      <c r="G223" s="333"/>
      <c r="H223" s="335"/>
      <c r="I223" s="229"/>
      <c r="J223" s="229"/>
      <c r="K223" s="336"/>
      <c r="L223" s="337"/>
      <c r="M223" s="337"/>
      <c r="N223" s="337"/>
      <c r="O223" s="337"/>
      <c r="P223" s="337"/>
      <c r="Q223" s="338">
        <v>1630</v>
      </c>
      <c r="R223" s="271">
        <f t="shared" si="16"/>
        <v>0</v>
      </c>
      <c r="S223" s="339">
        <f t="shared" si="13"/>
        <v>0</v>
      </c>
      <c r="T223" s="340"/>
      <c r="U223" s="341">
        <f>FA!I$88</f>
        <v>0</v>
      </c>
      <c r="V223" s="274"/>
      <c r="W223" s="342"/>
      <c r="X223" s="343"/>
      <c r="Y223" s="6" t="s">
        <v>561</v>
      </c>
      <c r="Z223" s="344"/>
      <c r="AA223" s="240"/>
      <c r="AB223" s="345">
        <v>1</v>
      </c>
      <c r="AC223" s="271"/>
      <c r="AD223" s="272"/>
      <c r="AE223" s="273"/>
      <c r="AF223" s="273"/>
      <c r="AG223" s="274"/>
      <c r="AH223" s="275"/>
      <c r="AI223" s="272"/>
      <c r="AJ223" s="276"/>
      <c r="AK223" s="277"/>
      <c r="AL223" s="278"/>
      <c r="AM223" s="277"/>
      <c r="AN223" s="279" t="str">
        <f t="shared" si="17"/>
        <v/>
      </c>
      <c r="AO223" s="279"/>
      <c r="AP223" s="279" t="str">
        <f>IF(F223&lt;&gt;0,"Y","")</f>
        <v/>
      </c>
      <c r="AQ223" s="279"/>
      <c r="AR223" s="305">
        <f>'预算书-初步'!$F$10</f>
        <v>0.09</v>
      </c>
      <c r="AT223" s="272"/>
      <c r="BC223" s="272" t="s">
        <v>521</v>
      </c>
      <c r="BD223" s="348">
        <v>1077</v>
      </c>
      <c r="BE223" s="347" t="s">
        <v>700</v>
      </c>
    </row>
    <row r="224" s="52" customFormat="1" ht="15.75" customHeight="1" spans="1:57">
      <c r="A224" s="227"/>
      <c r="B224" s="332"/>
      <c r="C224" s="228"/>
      <c r="D224" s="333"/>
      <c r="E224" s="334"/>
      <c r="F224" s="229"/>
      <c r="G224" s="333"/>
      <c r="H224" s="335"/>
      <c r="I224" s="229"/>
      <c r="J224" s="229"/>
      <c r="K224" s="336"/>
      <c r="L224" s="337"/>
      <c r="M224" s="337"/>
      <c r="N224" s="337"/>
      <c r="O224" s="337"/>
      <c r="P224" s="337"/>
      <c r="Q224" s="338">
        <v>3791</v>
      </c>
      <c r="R224" s="271">
        <f t="shared" si="16"/>
        <v>0</v>
      </c>
      <c r="S224" s="339">
        <f t="shared" si="13"/>
        <v>0</v>
      </c>
      <c r="T224" s="340"/>
      <c r="U224" s="341">
        <f>FA!I$95</f>
        <v>0</v>
      </c>
      <c r="V224" s="274"/>
      <c r="W224" s="342"/>
      <c r="X224" s="343"/>
      <c r="Y224" s="6" t="s">
        <v>562</v>
      </c>
      <c r="Z224" s="344"/>
      <c r="AA224" s="240"/>
      <c r="AB224" s="345">
        <v>1</v>
      </c>
      <c r="AC224" s="271"/>
      <c r="AD224" s="272"/>
      <c r="AE224" s="273"/>
      <c r="AF224" s="273"/>
      <c r="AG224" s="274"/>
      <c r="AH224" s="275"/>
      <c r="AI224" s="272"/>
      <c r="AJ224" s="276"/>
      <c r="AK224" s="277"/>
      <c r="AL224" s="278"/>
      <c r="AM224" s="277"/>
      <c r="AN224" s="279" t="str">
        <f t="shared" si="17"/>
        <v/>
      </c>
      <c r="AO224" s="279"/>
      <c r="AP224" s="279" t="str">
        <f>IF(F224&lt;&gt;0,"Y","")</f>
        <v/>
      </c>
      <c r="AQ224" s="279"/>
      <c r="AR224" s="305">
        <f>'预算书-初步'!$F$10</f>
        <v>0.09</v>
      </c>
      <c r="AT224" s="272"/>
      <c r="BC224" s="272" t="s">
        <v>521</v>
      </c>
      <c r="BD224" s="348">
        <v>1084</v>
      </c>
      <c r="BE224" s="347" t="s">
        <v>700</v>
      </c>
    </row>
    <row r="225" s="52" customFormat="1" ht="15.75" customHeight="1" spans="1:57">
      <c r="A225" s="227"/>
      <c r="B225" s="332"/>
      <c r="C225" s="228"/>
      <c r="D225" s="333"/>
      <c r="E225" s="334"/>
      <c r="F225" s="229"/>
      <c r="G225" s="333"/>
      <c r="H225" s="335"/>
      <c r="I225" s="229"/>
      <c r="J225" s="229"/>
      <c r="K225" s="336"/>
      <c r="L225" s="337"/>
      <c r="M225" s="337"/>
      <c r="N225" s="337"/>
      <c r="O225" s="337"/>
      <c r="P225" s="337"/>
      <c r="Q225" s="338">
        <v>8410</v>
      </c>
      <c r="R225" s="271">
        <f t="shared" si="16"/>
        <v>0</v>
      </c>
      <c r="S225" s="339">
        <f t="shared" si="13"/>
        <v>0</v>
      </c>
      <c r="T225" s="340"/>
      <c r="U225" s="341">
        <f>FA!I$140</f>
        <v>0</v>
      </c>
      <c r="V225" s="274"/>
      <c r="W225" s="342"/>
      <c r="X225" s="343"/>
      <c r="Y225" s="349" t="s">
        <v>563</v>
      </c>
      <c r="Z225" s="344"/>
      <c r="AA225" s="240"/>
      <c r="AB225" s="345">
        <v>1</v>
      </c>
      <c r="AC225" s="271"/>
      <c r="AD225" s="272"/>
      <c r="AE225" s="273"/>
      <c r="AF225" s="273"/>
      <c r="AG225" s="274"/>
      <c r="AH225" s="275"/>
      <c r="AI225" s="272"/>
      <c r="AJ225" s="276"/>
      <c r="AK225" s="277"/>
      <c r="AL225" s="278"/>
      <c r="AM225" s="277"/>
      <c r="AN225" s="279" t="str">
        <f t="shared" si="17"/>
        <v/>
      </c>
      <c r="AO225" s="279"/>
      <c r="AP225" s="279" t="str">
        <f>IF(F225&lt;&gt;0,"Y","")</f>
        <v/>
      </c>
      <c r="AQ225" s="279"/>
      <c r="AR225" s="305">
        <f>'预算书-初步'!$F$10</f>
        <v>0.09</v>
      </c>
      <c r="AT225" s="272"/>
      <c r="BC225" s="272" t="s">
        <v>521</v>
      </c>
      <c r="BD225" s="348">
        <v>1129</v>
      </c>
      <c r="BE225" s="347" t="s">
        <v>700</v>
      </c>
    </row>
    <row r="226" s="52" customFormat="1" spans="1:57">
      <c r="A226" s="227"/>
      <c r="B226" s="332"/>
      <c r="C226" s="228"/>
      <c r="D226" s="333"/>
      <c r="E226" s="334"/>
      <c r="F226" s="229"/>
      <c r="G226" s="333"/>
      <c r="H226" s="335"/>
      <c r="I226" s="229"/>
      <c r="J226" s="229"/>
      <c r="K226" s="336"/>
      <c r="L226" s="337"/>
      <c r="M226" s="337"/>
      <c r="N226" s="337"/>
      <c r="O226" s="337"/>
      <c r="P226" s="337"/>
      <c r="Q226" s="352">
        <v>8421</v>
      </c>
      <c r="R226" s="271">
        <f t="shared" si="16"/>
        <v>0</v>
      </c>
      <c r="S226" s="353">
        <f t="shared" si="13"/>
        <v>0</v>
      </c>
      <c r="T226" s="354"/>
      <c r="U226" s="355"/>
      <c r="V226" s="274"/>
      <c r="W226" s="356"/>
      <c r="X226" s="357"/>
      <c r="Y226" s="6" t="s">
        <v>564</v>
      </c>
      <c r="Z226" s="344"/>
      <c r="AA226" s="240"/>
      <c r="AB226" s="345">
        <v>1</v>
      </c>
      <c r="AC226" s="271"/>
      <c r="AD226" s="272"/>
      <c r="AE226" s="273"/>
      <c r="AF226" s="273"/>
      <c r="AG226" s="274"/>
      <c r="AH226" s="275"/>
      <c r="AI226" s="272"/>
      <c r="AJ226" s="276"/>
      <c r="AK226" s="277"/>
      <c r="AL226" s="278"/>
      <c r="AM226" s="277"/>
      <c r="AN226" s="279"/>
      <c r="AO226" s="279"/>
      <c r="AP226" s="279"/>
      <c r="AQ226" s="279"/>
      <c r="AR226" s="305">
        <f>'预算书-初步'!$F$10</f>
        <v>0.09</v>
      </c>
      <c r="AT226" s="272"/>
      <c r="BC226" s="272" t="s">
        <v>521</v>
      </c>
      <c r="BD226" s="359">
        <v>1130</v>
      </c>
      <c r="BE226" s="347" t="s">
        <v>700</v>
      </c>
    </row>
    <row r="227" s="52" customFormat="1" spans="1:57">
      <c r="A227" s="227"/>
      <c r="B227" s="332"/>
      <c r="C227" s="228"/>
      <c r="D227" s="333"/>
      <c r="E227" s="334"/>
      <c r="F227" s="229"/>
      <c r="G227" s="333"/>
      <c r="H227" s="335"/>
      <c r="I227" s="229"/>
      <c r="J227" s="229"/>
      <c r="K227" s="336"/>
      <c r="L227" s="337"/>
      <c r="M227" s="337"/>
      <c r="N227" s="337"/>
      <c r="O227" s="337"/>
      <c r="P227" s="337"/>
      <c r="Q227" s="352">
        <v>8422</v>
      </c>
      <c r="R227" s="271">
        <f t="shared" si="16"/>
        <v>0</v>
      </c>
      <c r="S227" s="353">
        <f t="shared" si="13"/>
        <v>0</v>
      </c>
      <c r="T227" s="354"/>
      <c r="U227" s="355">
        <f>FA!$I141</f>
        <v>0</v>
      </c>
      <c r="V227" s="274"/>
      <c r="W227" s="356"/>
      <c r="X227" s="357"/>
      <c r="Y227" s="349" t="s">
        <v>565</v>
      </c>
      <c r="Z227" s="344"/>
      <c r="AA227" s="240"/>
      <c r="AB227" s="351">
        <f>SUMIFS(其他!H:H,其他!A:A,Q227,其他!B:B,资产分摊表!BD227)+SUMIFS('预算书-初步'!K13:K1530,'预算书-初步'!A13:A1530,8132,'预算书-初步'!D13:D1530,8422)</f>
        <v>0</v>
      </c>
      <c r="AC227" s="271"/>
      <c r="AD227" s="272"/>
      <c r="AE227" s="273"/>
      <c r="AF227" s="273"/>
      <c r="AG227" s="274"/>
      <c r="AH227" s="275"/>
      <c r="AI227" s="272"/>
      <c r="AJ227" s="276"/>
      <c r="AK227" s="277"/>
      <c r="AL227" s="278"/>
      <c r="AM227" s="277"/>
      <c r="AN227" s="279"/>
      <c r="AO227" s="279"/>
      <c r="AP227" s="279"/>
      <c r="AQ227" s="279"/>
      <c r="AR227" s="305">
        <f>'预算书-初步'!$F$10</f>
        <v>0.09</v>
      </c>
      <c r="AT227" s="272"/>
      <c r="BC227" s="272" t="s">
        <v>521</v>
      </c>
      <c r="BD227" s="359">
        <v>1130</v>
      </c>
      <c r="BE227" s="347" t="s">
        <v>700</v>
      </c>
    </row>
    <row r="228" s="52" customFormat="1" spans="1:57">
      <c r="A228" s="227"/>
      <c r="B228" s="332"/>
      <c r="C228" s="228"/>
      <c r="D228" s="333"/>
      <c r="E228" s="334"/>
      <c r="F228" s="229"/>
      <c r="G228" s="333"/>
      <c r="H228" s="335"/>
      <c r="I228" s="229"/>
      <c r="J228" s="229"/>
      <c r="K228" s="336"/>
      <c r="L228" s="337"/>
      <c r="M228" s="337"/>
      <c r="N228" s="337"/>
      <c r="O228" s="337"/>
      <c r="P228" s="337"/>
      <c r="Q228" s="352">
        <v>8423</v>
      </c>
      <c r="R228" s="271">
        <f t="shared" si="16"/>
        <v>0</v>
      </c>
      <c r="S228" s="353">
        <f t="shared" si="13"/>
        <v>0</v>
      </c>
      <c r="T228" s="354"/>
      <c r="U228" s="355"/>
      <c r="V228" s="274"/>
      <c r="W228" s="356"/>
      <c r="X228" s="357"/>
      <c r="Y228" s="6" t="s">
        <v>566</v>
      </c>
      <c r="Z228" s="344"/>
      <c r="AA228" s="240"/>
      <c r="AB228" s="345">
        <v>1</v>
      </c>
      <c r="AC228" s="271"/>
      <c r="AD228" s="272"/>
      <c r="AE228" s="273"/>
      <c r="AF228" s="273"/>
      <c r="AG228" s="274"/>
      <c r="AH228" s="275"/>
      <c r="AI228" s="272"/>
      <c r="AJ228" s="276"/>
      <c r="AK228" s="277"/>
      <c r="AL228" s="278"/>
      <c r="AM228" s="277"/>
      <c r="AN228" s="279"/>
      <c r="AO228" s="279"/>
      <c r="AP228" s="279"/>
      <c r="AQ228" s="279"/>
      <c r="AR228" s="305">
        <f>'预算书-初步'!$F$10</f>
        <v>0.09</v>
      </c>
      <c r="AT228" s="272"/>
      <c r="BC228" s="272" t="s">
        <v>521</v>
      </c>
      <c r="BD228" s="359">
        <v>1130</v>
      </c>
      <c r="BE228" s="347" t="s">
        <v>700</v>
      </c>
    </row>
    <row r="229" s="52" customFormat="1" ht="15.75" customHeight="1" spans="1:57">
      <c r="A229" s="227"/>
      <c r="B229" s="332"/>
      <c r="C229" s="228"/>
      <c r="D229" s="333"/>
      <c r="E229" s="334"/>
      <c r="F229" s="229"/>
      <c r="G229" s="333"/>
      <c r="H229" s="335"/>
      <c r="I229" s="229"/>
      <c r="J229" s="229"/>
      <c r="K229" s="336"/>
      <c r="L229" s="337"/>
      <c r="M229" s="337"/>
      <c r="N229" s="337"/>
      <c r="O229" s="337"/>
      <c r="P229" s="337"/>
      <c r="Q229" s="338">
        <v>8424</v>
      </c>
      <c r="R229" s="271">
        <f t="shared" si="16"/>
        <v>0</v>
      </c>
      <c r="S229" s="339">
        <f t="shared" si="13"/>
        <v>0</v>
      </c>
      <c r="T229" s="340"/>
      <c r="U229" s="341">
        <f>FA!I$142</f>
        <v>0</v>
      </c>
      <c r="V229" s="274"/>
      <c r="W229" s="342"/>
      <c r="X229" s="343"/>
      <c r="Y229" s="6" t="s">
        <v>567</v>
      </c>
      <c r="Z229" s="344"/>
      <c r="AA229" s="240"/>
      <c r="AB229" s="361">
        <v>1</v>
      </c>
      <c r="AC229" s="271"/>
      <c r="AD229" s="272"/>
      <c r="AE229" s="273"/>
      <c r="AF229" s="273"/>
      <c r="AG229" s="274"/>
      <c r="AH229" s="275"/>
      <c r="AI229" s="272"/>
      <c r="AJ229" s="276"/>
      <c r="AK229" s="277"/>
      <c r="AL229" s="278"/>
      <c r="AM229" s="277"/>
      <c r="AN229" s="279" t="str">
        <f t="shared" ref="AN229:AN247" si="19">IF(AK229&lt;&gt;0,"N","")</f>
        <v/>
      </c>
      <c r="AO229" s="279"/>
      <c r="AP229" s="279" t="str">
        <f t="shared" ref="AP229:AP272" si="20">IF(F229&lt;&gt;0,"Y","")</f>
        <v/>
      </c>
      <c r="AQ229" s="279"/>
      <c r="AR229" s="305">
        <f>'预算书-初步'!$F$10</f>
        <v>0.09</v>
      </c>
      <c r="AT229" s="272"/>
      <c r="BC229" s="272" t="s">
        <v>521</v>
      </c>
      <c r="BD229" s="348">
        <v>1131</v>
      </c>
      <c r="BE229" s="347" t="s">
        <v>700</v>
      </c>
    </row>
    <row r="230" s="52" customFormat="1" ht="15.75" customHeight="1" spans="1:57">
      <c r="A230" s="227"/>
      <c r="B230" s="332"/>
      <c r="C230" s="228"/>
      <c r="D230" s="333"/>
      <c r="E230" s="334"/>
      <c r="F230" s="229"/>
      <c r="G230" s="333"/>
      <c r="H230" s="335"/>
      <c r="I230" s="229"/>
      <c r="J230" s="229"/>
      <c r="K230" s="336"/>
      <c r="L230" s="337"/>
      <c r="M230" s="337"/>
      <c r="N230" s="337"/>
      <c r="O230" s="337"/>
      <c r="P230" s="337"/>
      <c r="Q230" s="338">
        <v>8426</v>
      </c>
      <c r="R230" s="271">
        <f t="shared" si="16"/>
        <v>0</v>
      </c>
      <c r="S230" s="339">
        <f t="shared" si="13"/>
        <v>0</v>
      </c>
      <c r="T230" s="340"/>
      <c r="U230" s="341">
        <f>FA!I$143</f>
        <v>0</v>
      </c>
      <c r="V230" s="274"/>
      <c r="W230" s="342"/>
      <c r="X230" s="343"/>
      <c r="Y230" s="6" t="s">
        <v>568</v>
      </c>
      <c r="Z230" s="344"/>
      <c r="AA230" s="240"/>
      <c r="AB230" s="345">
        <v>1</v>
      </c>
      <c r="AC230" s="271"/>
      <c r="AD230" s="272"/>
      <c r="AE230" s="273"/>
      <c r="AF230" s="273"/>
      <c r="AG230" s="274"/>
      <c r="AH230" s="275"/>
      <c r="AI230" s="272"/>
      <c r="AJ230" s="276"/>
      <c r="AK230" s="277"/>
      <c r="AL230" s="278"/>
      <c r="AM230" s="277"/>
      <c r="AN230" s="279" t="str">
        <f t="shared" si="19"/>
        <v/>
      </c>
      <c r="AO230" s="279"/>
      <c r="AP230" s="279" t="str">
        <f t="shared" si="20"/>
        <v/>
      </c>
      <c r="AQ230" s="279"/>
      <c r="AR230" s="305">
        <f>'预算书-初步'!$F$10</f>
        <v>0.09</v>
      </c>
      <c r="AT230" s="272"/>
      <c r="BC230" s="272" t="s">
        <v>521</v>
      </c>
      <c r="BD230" s="348">
        <v>1132</v>
      </c>
      <c r="BE230" s="347" t="s">
        <v>700</v>
      </c>
    </row>
    <row r="231" s="52" customFormat="1" ht="15.75" customHeight="1" spans="1:57">
      <c r="A231" s="227"/>
      <c r="B231" s="332"/>
      <c r="C231" s="228"/>
      <c r="D231" s="333"/>
      <c r="E231" s="334"/>
      <c r="F231" s="229"/>
      <c r="G231" s="333"/>
      <c r="H231" s="335"/>
      <c r="I231" s="229"/>
      <c r="J231" s="229"/>
      <c r="K231" s="336"/>
      <c r="L231" s="337"/>
      <c r="M231" s="337"/>
      <c r="N231" s="337"/>
      <c r="O231" s="337"/>
      <c r="P231" s="337"/>
      <c r="Q231" s="338">
        <v>8451</v>
      </c>
      <c r="R231" s="271">
        <f t="shared" si="16"/>
        <v>0</v>
      </c>
      <c r="S231" s="339">
        <v>0</v>
      </c>
      <c r="T231" s="340"/>
      <c r="U231" s="364">
        <f>SUMIF(其他!$A$9:$A$65,$Q231,其他!$G$9:$G$65)</f>
        <v>0</v>
      </c>
      <c r="V231" s="274"/>
      <c r="W231" s="342"/>
      <c r="X231" s="343"/>
      <c r="Y231" s="20" t="s">
        <v>570</v>
      </c>
      <c r="Z231" s="345">
        <v>1</v>
      </c>
      <c r="AA231" s="305">
        <v>0</v>
      </c>
      <c r="AB231" s="345">
        <v>1</v>
      </c>
      <c r="AC231" s="272"/>
      <c r="AD231" s="348"/>
      <c r="AL231" s="272" t="s">
        <v>521</v>
      </c>
      <c r="AM231" s="348">
        <v>1136</v>
      </c>
      <c r="AN231" s="347" t="s">
        <v>522</v>
      </c>
      <c r="AO231" s="279"/>
      <c r="AP231" s="279"/>
      <c r="AQ231" s="279"/>
      <c r="AR231" s="305">
        <f>'预算书-初步'!$F$10</f>
        <v>0.09</v>
      </c>
      <c r="AT231" s="272"/>
      <c r="BC231" s="272" t="s">
        <v>521</v>
      </c>
      <c r="BD231" s="348">
        <v>1136</v>
      </c>
      <c r="BE231" s="347" t="s">
        <v>700</v>
      </c>
    </row>
    <row r="232" s="52" customFormat="1" ht="15.75" customHeight="1" spans="1:57">
      <c r="A232" s="227"/>
      <c r="B232" s="332"/>
      <c r="C232" s="228"/>
      <c r="D232" s="333"/>
      <c r="E232" s="334"/>
      <c r="F232" s="229"/>
      <c r="G232" s="333"/>
      <c r="H232" s="335"/>
      <c r="I232" s="229"/>
      <c r="J232" s="229"/>
      <c r="K232" s="336"/>
      <c r="L232" s="337"/>
      <c r="M232" s="337"/>
      <c r="N232" s="337"/>
      <c r="O232" s="337"/>
      <c r="P232" s="337"/>
      <c r="Q232" s="338">
        <v>8452</v>
      </c>
      <c r="R232" s="271">
        <f t="shared" si="16"/>
        <v>0</v>
      </c>
      <c r="S232" s="339">
        <v>0</v>
      </c>
      <c r="T232" s="340"/>
      <c r="U232" s="364">
        <f>SUMIF(其他!$A$9:$A$65,$Q232,其他!$G$9:$G$65)</f>
        <v>0</v>
      </c>
      <c r="V232" s="274"/>
      <c r="W232" s="342"/>
      <c r="X232" s="343"/>
      <c r="Y232" s="20" t="s">
        <v>570</v>
      </c>
      <c r="Z232" s="345">
        <v>1</v>
      </c>
      <c r="AA232" s="305">
        <v>0</v>
      </c>
      <c r="AB232" s="345">
        <v>1</v>
      </c>
      <c r="AC232" s="272"/>
      <c r="AD232" s="348"/>
      <c r="AL232" s="272" t="s">
        <v>521</v>
      </c>
      <c r="AM232" s="348">
        <v>1136</v>
      </c>
      <c r="AN232" s="347" t="s">
        <v>522</v>
      </c>
      <c r="AO232" s="279"/>
      <c r="AP232" s="279"/>
      <c r="AQ232" s="279"/>
      <c r="AR232" s="305">
        <f>'预算书-初步'!$F$10</f>
        <v>0.09</v>
      </c>
      <c r="AT232" s="272"/>
      <c r="BC232" s="272" t="s">
        <v>521</v>
      </c>
      <c r="BD232" s="348">
        <v>1136</v>
      </c>
      <c r="BE232" s="347" t="s">
        <v>700</v>
      </c>
    </row>
    <row r="233" s="52" customFormat="1" ht="15.75" customHeight="1" spans="1:57">
      <c r="A233" s="227"/>
      <c r="B233" s="332"/>
      <c r="C233" s="228"/>
      <c r="D233" s="333"/>
      <c r="E233" s="334"/>
      <c r="F233" s="229"/>
      <c r="G233" s="333"/>
      <c r="H233" s="335"/>
      <c r="I233" s="229"/>
      <c r="J233" s="229"/>
      <c r="K233" s="336"/>
      <c r="L233" s="337"/>
      <c r="M233" s="337"/>
      <c r="N233" s="337"/>
      <c r="O233" s="337"/>
      <c r="P233" s="337"/>
      <c r="Q233" s="338">
        <v>8453</v>
      </c>
      <c r="R233" s="271">
        <f t="shared" si="16"/>
        <v>0</v>
      </c>
      <c r="S233" s="339">
        <v>0</v>
      </c>
      <c r="T233" s="340"/>
      <c r="U233" s="364">
        <f>SUMIF(其他!$A$9:$A$65,$Q233,其他!$G$9:$G$65)</f>
        <v>0</v>
      </c>
      <c r="V233" s="274"/>
      <c r="W233" s="342"/>
      <c r="X233" s="343"/>
      <c r="Y233" s="365" t="s">
        <v>571</v>
      </c>
      <c r="Z233" s="345">
        <v>1</v>
      </c>
      <c r="AA233" s="305">
        <v>0</v>
      </c>
      <c r="AB233" s="345">
        <v>1</v>
      </c>
      <c r="AC233" s="272"/>
      <c r="AD233" s="348"/>
      <c r="AL233" s="272" t="s">
        <v>521</v>
      </c>
      <c r="AM233" s="348">
        <v>1136</v>
      </c>
      <c r="AN233" s="347" t="s">
        <v>522</v>
      </c>
      <c r="AO233" s="279"/>
      <c r="AP233" s="279"/>
      <c r="AQ233" s="279"/>
      <c r="AR233" s="305">
        <f>'预算书-初步'!$F$10</f>
        <v>0.09</v>
      </c>
      <c r="AT233" s="272"/>
      <c r="BC233" s="272" t="s">
        <v>521</v>
      </c>
      <c r="BD233" s="348">
        <v>1136</v>
      </c>
      <c r="BE233" s="347" t="s">
        <v>700</v>
      </c>
    </row>
    <row r="234" s="52" customFormat="1" ht="15.75" customHeight="1" spans="1:57">
      <c r="A234" s="227"/>
      <c r="B234" s="332"/>
      <c r="C234" s="228"/>
      <c r="D234" s="333"/>
      <c r="E234" s="334"/>
      <c r="F234" s="229"/>
      <c r="G234" s="333"/>
      <c r="H234" s="335"/>
      <c r="I234" s="229"/>
      <c r="J234" s="229"/>
      <c r="K234" s="336"/>
      <c r="L234" s="337"/>
      <c r="M234" s="337"/>
      <c r="N234" s="337"/>
      <c r="O234" s="337"/>
      <c r="P234" s="337"/>
      <c r="Q234" s="338">
        <v>8455</v>
      </c>
      <c r="R234" s="271">
        <f t="shared" si="16"/>
        <v>0</v>
      </c>
      <c r="S234" s="339">
        <v>0</v>
      </c>
      <c r="T234" s="340"/>
      <c r="U234" s="364">
        <f>SUMIF(其他!$A$9:$A$65,$Q234,其他!$G$9:$G$65)</f>
        <v>0</v>
      </c>
      <c r="V234" s="274"/>
      <c r="W234" s="342"/>
      <c r="X234" s="343"/>
      <c r="Y234" s="20" t="s">
        <v>572</v>
      </c>
      <c r="Z234" s="345">
        <v>1</v>
      </c>
      <c r="AA234" s="305">
        <v>0</v>
      </c>
      <c r="AB234" s="345">
        <v>1</v>
      </c>
      <c r="AC234" s="272"/>
      <c r="AD234" s="348"/>
      <c r="AL234" s="272" t="s">
        <v>521</v>
      </c>
      <c r="AM234" s="348">
        <v>1136</v>
      </c>
      <c r="AN234" s="347" t="s">
        <v>522</v>
      </c>
      <c r="AO234" s="279"/>
      <c r="AP234" s="279"/>
      <c r="AQ234" s="279"/>
      <c r="AR234" s="305">
        <f>'预算书-初步'!$F$10</f>
        <v>0.09</v>
      </c>
      <c r="AT234" s="272"/>
      <c r="BC234" s="272" t="s">
        <v>521</v>
      </c>
      <c r="BD234" s="348">
        <v>1136</v>
      </c>
      <c r="BE234" s="347" t="s">
        <v>700</v>
      </c>
    </row>
    <row r="235" s="52" customFormat="1" ht="15.75" customHeight="1" spans="1:57">
      <c r="A235" s="227"/>
      <c r="B235" s="332"/>
      <c r="C235" s="228"/>
      <c r="D235" s="333"/>
      <c r="E235" s="334"/>
      <c r="F235" s="229"/>
      <c r="G235" s="333"/>
      <c r="H235" s="335"/>
      <c r="I235" s="229"/>
      <c r="J235" s="229"/>
      <c r="K235" s="336"/>
      <c r="L235" s="337"/>
      <c r="M235" s="337"/>
      <c r="N235" s="337"/>
      <c r="O235" s="337"/>
      <c r="P235" s="337"/>
      <c r="Q235" s="366" t="s">
        <v>573</v>
      </c>
      <c r="R235" s="271">
        <f t="shared" si="16"/>
        <v>0</v>
      </c>
      <c r="S235" s="367">
        <f t="shared" si="13"/>
        <v>0</v>
      </c>
      <c r="T235" s="368"/>
      <c r="U235" s="360">
        <f>+SUMIFS('预算书-初步'!P14:P71,'预算书-初步'!A14:A71,8138,'预算书-初步'!C14:C71,8454)+SUMIF(其他!$A$9:$A$65,$Q235,其他!$G$9:$G$65)</f>
        <v>0</v>
      </c>
      <c r="V235" s="274"/>
      <c r="W235" s="356"/>
      <c r="X235" s="357"/>
      <c r="Y235" s="6" t="s">
        <v>574</v>
      </c>
      <c r="Z235" s="344"/>
      <c r="AA235" s="240"/>
      <c r="AB235" s="351">
        <f>SUMIFS(其他!H:H,其他!A:A,Q235,其他!B:B,资产分摊表!BD235)+SUMIFS('预算书-初步'!K13:K1530,'预算书-初步'!A13:A1530,8138,'预算书-初步'!D13:D1530,8454)</f>
        <v>0</v>
      </c>
      <c r="AC235" s="271"/>
      <c r="AD235" s="272"/>
      <c r="AE235" s="273"/>
      <c r="AF235" s="273"/>
      <c r="AG235" s="274"/>
      <c r="AH235" s="275"/>
      <c r="AI235" s="272"/>
      <c r="AJ235" s="276"/>
      <c r="AK235" s="277"/>
      <c r="AL235" s="278"/>
      <c r="AM235" s="277"/>
      <c r="AN235" s="279" t="str">
        <f t="shared" si="19"/>
        <v/>
      </c>
      <c r="AO235" s="279"/>
      <c r="AP235" s="279" t="str">
        <f t="shared" si="20"/>
        <v/>
      </c>
      <c r="AQ235" s="279"/>
      <c r="AR235" s="305">
        <f>'预算书-初步'!$F$10</f>
        <v>0.09</v>
      </c>
      <c r="AT235" s="272"/>
      <c r="BC235" s="272" t="s">
        <v>521</v>
      </c>
      <c r="BD235" s="359">
        <v>1136</v>
      </c>
      <c r="BE235" s="347" t="s">
        <v>700</v>
      </c>
    </row>
    <row r="236" s="52" customFormat="1" ht="15.75" customHeight="1" spans="1:57">
      <c r="A236" s="227"/>
      <c r="B236" s="332"/>
      <c r="C236" s="228"/>
      <c r="D236" s="333"/>
      <c r="E236" s="334"/>
      <c r="F236" s="229"/>
      <c r="G236" s="333"/>
      <c r="H236" s="335"/>
      <c r="I236" s="229"/>
      <c r="J236" s="229"/>
      <c r="K236" s="336"/>
      <c r="L236" s="337"/>
      <c r="M236" s="337"/>
      <c r="N236" s="337"/>
      <c r="O236" s="337"/>
      <c r="P236" s="337"/>
      <c r="Q236" s="366">
        <v>8456</v>
      </c>
      <c r="R236" s="271">
        <f t="shared" si="16"/>
        <v>0</v>
      </c>
      <c r="S236" s="367">
        <f t="shared" si="13"/>
        <v>0</v>
      </c>
      <c r="T236" s="368"/>
      <c r="U236" s="360">
        <f>+SUMIFS('预算书-初步'!P14:P2600,'预算书-初步'!A14:A2600,8138,'预算书-初步'!C14:C2600,8456)+SUMIF(其他!$A$9:$A$65,$Q236,其他!$G$9:$G$65)</f>
        <v>0</v>
      </c>
      <c r="V236" s="274"/>
      <c r="W236" s="356"/>
      <c r="X236" s="357"/>
      <c r="Y236" s="6" t="s">
        <v>575</v>
      </c>
      <c r="Z236" s="344"/>
      <c r="AA236" s="240"/>
      <c r="AB236" s="351">
        <f>SUMIFS(其他!H:H,其他!A:A,Q235,其他!B:B,资产分摊表!BD235)+SUMIFS('预算书-初步'!K13:K1530,'预算书-初步'!A13:A1530,8138,'预算书-初步'!D13:D1530,8456)</f>
        <v>0</v>
      </c>
      <c r="AC236" s="271"/>
      <c r="AD236" s="272"/>
      <c r="AE236" s="273"/>
      <c r="AF236" s="273"/>
      <c r="AG236" s="274"/>
      <c r="AH236" s="275"/>
      <c r="AI236" s="272"/>
      <c r="AJ236" s="276"/>
      <c r="AK236" s="277"/>
      <c r="AL236" s="278"/>
      <c r="AM236" s="277"/>
      <c r="AN236" s="279" t="str">
        <f t="shared" si="19"/>
        <v/>
      </c>
      <c r="AO236" s="279"/>
      <c r="AP236" s="279" t="str">
        <f t="shared" si="20"/>
        <v/>
      </c>
      <c r="AQ236" s="279"/>
      <c r="AR236" s="305">
        <f>'预算书-初步'!$F$10</f>
        <v>0.09</v>
      </c>
      <c r="AT236" s="272"/>
      <c r="BC236" s="272" t="s">
        <v>521</v>
      </c>
      <c r="BD236" s="359">
        <v>1136</v>
      </c>
      <c r="BE236" s="347" t="s">
        <v>700</v>
      </c>
    </row>
    <row r="237" s="52" customFormat="1" ht="15.75" customHeight="1" spans="1:57">
      <c r="A237" s="227"/>
      <c r="B237" s="332"/>
      <c r="C237" s="228"/>
      <c r="D237" s="333"/>
      <c r="E237" s="334"/>
      <c r="F237" s="229"/>
      <c r="G237" s="333"/>
      <c r="H237" s="335"/>
      <c r="I237" s="229"/>
      <c r="J237" s="229"/>
      <c r="K237" s="336"/>
      <c r="L237" s="337"/>
      <c r="M237" s="337"/>
      <c r="N237" s="337"/>
      <c r="O237" s="337"/>
      <c r="P237" s="337"/>
      <c r="Q237" s="338">
        <v>8425</v>
      </c>
      <c r="R237" s="271">
        <f t="shared" si="16"/>
        <v>0</v>
      </c>
      <c r="S237" s="339">
        <f t="shared" si="13"/>
        <v>0</v>
      </c>
      <c r="T237" s="340"/>
      <c r="U237" s="341">
        <f>FA!I$151</f>
        <v>0</v>
      </c>
      <c r="V237" s="274"/>
      <c r="W237" s="342"/>
      <c r="X237" s="343"/>
      <c r="Y237" s="365" t="s">
        <v>576</v>
      </c>
      <c r="Z237" s="344"/>
      <c r="AA237" s="240"/>
      <c r="AB237" s="345">
        <v>1</v>
      </c>
      <c r="AC237" s="271"/>
      <c r="AD237" s="272"/>
      <c r="AE237" s="273"/>
      <c r="AF237" s="273"/>
      <c r="AG237" s="274"/>
      <c r="AH237" s="275"/>
      <c r="AI237" s="272"/>
      <c r="AJ237" s="276"/>
      <c r="AK237" s="277"/>
      <c r="AL237" s="278"/>
      <c r="AM237" s="277"/>
      <c r="AN237" s="279" t="str">
        <f t="shared" si="19"/>
        <v/>
      </c>
      <c r="AO237" s="279"/>
      <c r="AP237" s="279" t="str">
        <f t="shared" si="20"/>
        <v/>
      </c>
      <c r="AQ237" s="279"/>
      <c r="AR237" s="305">
        <f>'预算书-初步'!$F$10</f>
        <v>0.09</v>
      </c>
      <c r="AT237" s="272"/>
      <c r="BC237" s="272" t="s">
        <v>521</v>
      </c>
      <c r="BD237" s="348">
        <v>1140</v>
      </c>
      <c r="BE237" s="347" t="s">
        <v>700</v>
      </c>
    </row>
    <row r="238" s="52" customFormat="1" ht="15.75" customHeight="1" spans="1:57">
      <c r="A238" s="227"/>
      <c r="B238" s="332"/>
      <c r="C238" s="228"/>
      <c r="D238" s="333"/>
      <c r="E238" s="334"/>
      <c r="F238" s="229"/>
      <c r="G238" s="333"/>
      <c r="H238" s="335"/>
      <c r="I238" s="229"/>
      <c r="J238" s="229"/>
      <c r="K238" s="336"/>
      <c r="L238" s="337"/>
      <c r="M238" s="337"/>
      <c r="N238" s="337"/>
      <c r="O238" s="337"/>
      <c r="P238" s="337"/>
      <c r="Q238" s="338">
        <v>8491</v>
      </c>
      <c r="R238" s="271">
        <f t="shared" si="16"/>
        <v>0</v>
      </c>
      <c r="S238" s="339">
        <f t="shared" si="13"/>
        <v>0</v>
      </c>
      <c r="T238" s="340"/>
      <c r="U238" s="341">
        <f>FA!I$153</f>
        <v>0</v>
      </c>
      <c r="V238" s="274"/>
      <c r="W238" s="342"/>
      <c r="X238" s="343"/>
      <c r="Y238" s="6" t="s">
        <v>577</v>
      </c>
      <c r="Z238" s="344"/>
      <c r="AA238" s="240"/>
      <c r="AB238" s="361">
        <v>1</v>
      </c>
      <c r="AC238" s="271"/>
      <c r="AD238" s="272"/>
      <c r="AE238" s="273"/>
      <c r="AF238" s="273"/>
      <c r="AG238" s="274"/>
      <c r="AH238" s="275"/>
      <c r="AI238" s="272"/>
      <c r="AJ238" s="276"/>
      <c r="AK238" s="277"/>
      <c r="AL238" s="278"/>
      <c r="AM238" s="277"/>
      <c r="AN238" s="279" t="str">
        <f t="shared" si="19"/>
        <v/>
      </c>
      <c r="AO238" s="279"/>
      <c r="AP238" s="279" t="str">
        <f t="shared" si="20"/>
        <v/>
      </c>
      <c r="AQ238" s="279"/>
      <c r="AR238" s="305">
        <f>'预算书-初步'!$F$10</f>
        <v>0.09</v>
      </c>
      <c r="AT238" s="272"/>
      <c r="BC238" s="272" t="s">
        <v>521</v>
      </c>
      <c r="BD238" s="348">
        <v>1150</v>
      </c>
      <c r="BE238" s="347" t="s">
        <v>700</v>
      </c>
    </row>
    <row r="239" s="52" customFormat="1" ht="15.75" customHeight="1" spans="1:57">
      <c r="A239" s="227"/>
      <c r="B239" s="332"/>
      <c r="C239" s="228"/>
      <c r="D239" s="333"/>
      <c r="E239" s="334"/>
      <c r="F239" s="229"/>
      <c r="G239" s="333"/>
      <c r="H239" s="335"/>
      <c r="I239" s="229"/>
      <c r="J239" s="229"/>
      <c r="K239" s="336"/>
      <c r="L239" s="337"/>
      <c r="M239" s="337"/>
      <c r="N239" s="337"/>
      <c r="O239" s="337"/>
      <c r="P239" s="337"/>
      <c r="Q239" s="338">
        <v>8492</v>
      </c>
      <c r="R239" s="271">
        <f t="shared" si="16"/>
        <v>0</v>
      </c>
      <c r="S239" s="339">
        <f t="shared" si="13"/>
        <v>0</v>
      </c>
      <c r="T239" s="340"/>
      <c r="U239" s="341">
        <f>FA!I$154</f>
        <v>0</v>
      </c>
      <c r="V239" s="274"/>
      <c r="W239" s="342"/>
      <c r="X239" s="343"/>
      <c r="Y239" s="365" t="s">
        <v>578</v>
      </c>
      <c r="Z239" s="344"/>
      <c r="AA239" s="240"/>
      <c r="AB239" s="351">
        <f>SUMIFS(其他!H:H,其他!A:A,Q239,其他!B:B,资产分摊表!BD239)+SUMIFS('预算书-初步'!K13:K1530,'预算书-初步'!A13:A1530,8145,'预算书-初步'!D13:D1530,8492)</f>
        <v>0</v>
      </c>
      <c r="AC239" s="271"/>
      <c r="AD239" s="272"/>
      <c r="AE239" s="273"/>
      <c r="AF239" s="273"/>
      <c r="AG239" s="274"/>
      <c r="AH239" s="275"/>
      <c r="AI239" s="272"/>
      <c r="AJ239" s="276"/>
      <c r="AK239" s="277"/>
      <c r="AL239" s="278"/>
      <c r="AM239" s="277"/>
      <c r="AN239" s="279" t="str">
        <f t="shared" si="19"/>
        <v/>
      </c>
      <c r="AO239" s="279"/>
      <c r="AP239" s="279" t="str">
        <f t="shared" si="20"/>
        <v/>
      </c>
      <c r="AQ239" s="279"/>
      <c r="AR239" s="305">
        <f>'预算书-初步'!$F$10</f>
        <v>0.09</v>
      </c>
      <c r="AT239" s="272"/>
      <c r="BC239" s="272" t="s">
        <v>521</v>
      </c>
      <c r="BD239" s="348">
        <v>1151</v>
      </c>
      <c r="BE239" s="347" t="s">
        <v>700</v>
      </c>
    </row>
    <row r="240" s="52" customFormat="1" ht="15.75" customHeight="1" spans="1:57">
      <c r="A240" s="227"/>
      <c r="B240" s="332"/>
      <c r="C240" s="228"/>
      <c r="D240" s="333"/>
      <c r="E240" s="334"/>
      <c r="F240" s="229"/>
      <c r="G240" s="333"/>
      <c r="H240" s="335"/>
      <c r="I240" s="229"/>
      <c r="J240" s="229"/>
      <c r="K240" s="336"/>
      <c r="L240" s="337"/>
      <c r="M240" s="337"/>
      <c r="N240" s="337"/>
      <c r="O240" s="337"/>
      <c r="P240" s="337"/>
      <c r="Q240" s="338">
        <v>8485</v>
      </c>
      <c r="R240" s="271">
        <f t="shared" si="16"/>
        <v>0</v>
      </c>
      <c r="S240" s="339">
        <f t="shared" si="13"/>
        <v>0</v>
      </c>
      <c r="T240" s="340"/>
      <c r="U240" s="341">
        <f>FA!I$157</f>
        <v>0</v>
      </c>
      <c r="V240" s="274"/>
      <c r="W240" s="342"/>
      <c r="X240" s="343"/>
      <c r="Y240" s="349" t="s">
        <v>579</v>
      </c>
      <c r="Z240" s="344"/>
      <c r="AA240" s="240"/>
      <c r="AB240" s="351">
        <f>SUMIFS(其他!H:H,其他!A:A,Q240,其他!B:B,资产分摊表!BD240)+SUMIFS('预算书-初步'!K13:K1530,'预算书-初步'!A13:A1530,8148,'预算书-初步'!D13:D1530,8485)</f>
        <v>0</v>
      </c>
      <c r="AC240" s="271"/>
      <c r="AD240" s="272"/>
      <c r="AE240" s="273"/>
      <c r="AF240" s="273"/>
      <c r="AG240" s="274"/>
      <c r="AH240" s="275"/>
      <c r="AI240" s="272"/>
      <c r="AJ240" s="276"/>
      <c r="AK240" s="277"/>
      <c r="AL240" s="278"/>
      <c r="AM240" s="277"/>
      <c r="AN240" s="279" t="str">
        <f t="shared" si="19"/>
        <v/>
      </c>
      <c r="AO240" s="279"/>
      <c r="AP240" s="279" t="str">
        <f t="shared" si="20"/>
        <v/>
      </c>
      <c r="AQ240" s="279"/>
      <c r="AR240" s="305">
        <f>'预算书-初步'!$F$10</f>
        <v>0.09</v>
      </c>
      <c r="AT240" s="272"/>
      <c r="BC240" s="272" t="s">
        <v>521</v>
      </c>
      <c r="BD240" s="348">
        <v>1154</v>
      </c>
      <c r="BE240" s="347" t="s">
        <v>700</v>
      </c>
    </row>
    <row r="241" s="52" customFormat="1" ht="15.75" customHeight="1" spans="1:57">
      <c r="A241" s="227"/>
      <c r="B241" s="332"/>
      <c r="C241" s="228"/>
      <c r="D241" s="333"/>
      <c r="E241" s="334"/>
      <c r="F241" s="229"/>
      <c r="G241" s="333"/>
      <c r="H241" s="335"/>
      <c r="I241" s="229"/>
      <c r="J241" s="229"/>
      <c r="K241" s="336"/>
      <c r="L241" s="337"/>
      <c r="M241" s="337"/>
      <c r="N241" s="337"/>
      <c r="O241" s="337"/>
      <c r="P241" s="337"/>
      <c r="Q241" s="338">
        <v>8496</v>
      </c>
      <c r="R241" s="271">
        <f t="shared" si="16"/>
        <v>0</v>
      </c>
      <c r="S241" s="339">
        <f t="shared" si="13"/>
        <v>0</v>
      </c>
      <c r="T241" s="340"/>
      <c r="U241" s="341">
        <f>FA!I$158</f>
        <v>0</v>
      </c>
      <c r="V241" s="274"/>
      <c r="W241" s="342"/>
      <c r="X241" s="343"/>
      <c r="Y241" s="6" t="s">
        <v>580</v>
      </c>
      <c r="Z241" s="344"/>
      <c r="AA241" s="240"/>
      <c r="AB241" s="345">
        <v>1</v>
      </c>
      <c r="AC241" s="271"/>
      <c r="AD241" s="272"/>
      <c r="AE241" s="273"/>
      <c r="AF241" s="273"/>
      <c r="AG241" s="274"/>
      <c r="AH241" s="275"/>
      <c r="AI241" s="272"/>
      <c r="AJ241" s="276"/>
      <c r="AK241" s="277"/>
      <c r="AL241" s="278"/>
      <c r="AM241" s="277"/>
      <c r="AN241" s="279" t="str">
        <f t="shared" si="19"/>
        <v/>
      </c>
      <c r="AO241" s="279"/>
      <c r="AP241" s="279" t="str">
        <f t="shared" si="20"/>
        <v/>
      </c>
      <c r="AQ241" s="279"/>
      <c r="AR241" s="305">
        <f>'预算书-初步'!$F$10</f>
        <v>0.09</v>
      </c>
      <c r="AT241" s="272"/>
      <c r="BC241" s="272" t="s">
        <v>521</v>
      </c>
      <c r="BD241" s="348">
        <v>1155</v>
      </c>
      <c r="BE241" s="347" t="s">
        <v>700</v>
      </c>
    </row>
    <row r="242" s="52" customFormat="1" ht="15.75" customHeight="1" spans="1:57">
      <c r="A242" s="227"/>
      <c r="B242" s="332"/>
      <c r="C242" s="228"/>
      <c r="D242" s="333"/>
      <c r="E242" s="334"/>
      <c r="F242" s="229"/>
      <c r="G242" s="333"/>
      <c r="H242" s="335"/>
      <c r="I242" s="229"/>
      <c r="J242" s="229"/>
      <c r="K242" s="336"/>
      <c r="L242" s="337"/>
      <c r="M242" s="337"/>
      <c r="N242" s="337"/>
      <c r="O242" s="337"/>
      <c r="P242" s="337"/>
      <c r="Q242" s="338">
        <v>8497</v>
      </c>
      <c r="R242" s="271">
        <f t="shared" si="16"/>
        <v>0</v>
      </c>
      <c r="S242" s="339">
        <f t="shared" si="13"/>
        <v>0</v>
      </c>
      <c r="T242" s="340"/>
      <c r="U242" s="341">
        <f>FA!I$159</f>
        <v>0</v>
      </c>
      <c r="V242" s="274"/>
      <c r="W242" s="342"/>
      <c r="X242" s="343"/>
      <c r="Y242" s="349" t="s">
        <v>581</v>
      </c>
      <c r="Z242" s="344"/>
      <c r="AA242" s="240"/>
      <c r="AB242" s="345">
        <v>1</v>
      </c>
      <c r="AC242" s="271"/>
      <c r="AD242" s="272"/>
      <c r="AE242" s="273"/>
      <c r="AF242" s="273"/>
      <c r="AG242" s="274"/>
      <c r="AH242" s="275"/>
      <c r="AI242" s="272"/>
      <c r="AJ242" s="276"/>
      <c r="AK242" s="277"/>
      <c r="AL242" s="278"/>
      <c r="AM242" s="277"/>
      <c r="AN242" s="279" t="str">
        <f t="shared" si="19"/>
        <v/>
      </c>
      <c r="AO242" s="279"/>
      <c r="AP242" s="279" t="str">
        <f t="shared" si="20"/>
        <v/>
      </c>
      <c r="AQ242" s="279"/>
      <c r="AR242" s="305">
        <f>'预算书-初步'!$F$10</f>
        <v>0.09</v>
      </c>
      <c r="AT242" s="272"/>
      <c r="BC242" s="272" t="s">
        <v>521</v>
      </c>
      <c r="BD242" s="348">
        <v>1156</v>
      </c>
      <c r="BE242" s="347" t="s">
        <v>700</v>
      </c>
    </row>
    <row r="243" s="52" customFormat="1" ht="15.75" customHeight="1" spans="1:57">
      <c r="A243" s="227"/>
      <c r="B243" s="332"/>
      <c r="C243" s="228"/>
      <c r="D243" s="333"/>
      <c r="E243" s="334"/>
      <c r="F243" s="229"/>
      <c r="G243" s="333"/>
      <c r="H243" s="335"/>
      <c r="I243" s="229"/>
      <c r="J243" s="229"/>
      <c r="K243" s="336"/>
      <c r="L243" s="337"/>
      <c r="M243" s="337"/>
      <c r="N243" s="337"/>
      <c r="O243" s="337"/>
      <c r="P243" s="337"/>
      <c r="Q243" s="338">
        <v>8900</v>
      </c>
      <c r="R243" s="271">
        <f t="shared" si="16"/>
        <v>0</v>
      </c>
      <c r="S243" s="339">
        <f t="shared" si="13"/>
        <v>0</v>
      </c>
      <c r="T243" s="340"/>
      <c r="U243" s="341">
        <f>FA!I$161</f>
        <v>0</v>
      </c>
      <c r="V243" s="274"/>
      <c r="W243" s="342"/>
      <c r="X243" s="343"/>
      <c r="Y243" s="6" t="s">
        <v>582</v>
      </c>
      <c r="Z243" s="344"/>
      <c r="AA243" s="240"/>
      <c r="AB243" s="361">
        <v>1</v>
      </c>
      <c r="AC243" s="271"/>
      <c r="AD243" s="272"/>
      <c r="AE243" s="273"/>
      <c r="AF243" s="273"/>
      <c r="AG243" s="274"/>
      <c r="AH243" s="275"/>
      <c r="AI243" s="272"/>
      <c r="AJ243" s="276"/>
      <c r="AK243" s="277"/>
      <c r="AL243" s="278"/>
      <c r="AM243" s="277"/>
      <c r="AN243" s="279" t="str">
        <f t="shared" si="19"/>
        <v/>
      </c>
      <c r="AO243" s="279"/>
      <c r="AP243" s="279" t="str">
        <f t="shared" si="20"/>
        <v/>
      </c>
      <c r="AQ243" s="279"/>
      <c r="AR243" s="305">
        <f>'预算书-初步'!$F$10</f>
        <v>0.09</v>
      </c>
      <c r="AT243" s="272"/>
      <c r="BC243" s="272" t="s">
        <v>521</v>
      </c>
      <c r="BD243" s="348">
        <v>1158</v>
      </c>
      <c r="BE243" s="347" t="s">
        <v>700</v>
      </c>
    </row>
    <row r="244" s="52" customFormat="1" ht="15.75" customHeight="1" spans="1:57">
      <c r="A244" s="227"/>
      <c r="B244" s="332"/>
      <c r="C244" s="228"/>
      <c r="D244" s="333"/>
      <c r="E244" s="334"/>
      <c r="F244" s="229"/>
      <c r="G244" s="333"/>
      <c r="H244" s="335"/>
      <c r="I244" s="229"/>
      <c r="J244" s="229"/>
      <c r="K244" s="336"/>
      <c r="L244" s="337"/>
      <c r="M244" s="337"/>
      <c r="N244" s="337"/>
      <c r="O244" s="337"/>
      <c r="P244" s="337"/>
      <c r="Q244" s="338">
        <v>2991</v>
      </c>
      <c r="R244" s="271">
        <f t="shared" si="16"/>
        <v>0</v>
      </c>
      <c r="S244" s="339">
        <f t="shared" si="13"/>
        <v>0</v>
      </c>
      <c r="T244" s="340"/>
      <c r="U244" s="341">
        <f>FA!I$165</f>
        <v>0</v>
      </c>
      <c r="V244" s="274"/>
      <c r="W244" s="342"/>
      <c r="X244" s="343"/>
      <c r="Y244" s="6" t="s">
        <v>583</v>
      </c>
      <c r="Z244" s="344"/>
      <c r="AA244" s="240"/>
      <c r="AB244" s="345">
        <v>1</v>
      </c>
      <c r="AC244" s="271"/>
      <c r="AD244" s="272"/>
      <c r="AE244" s="273"/>
      <c r="AF244" s="273"/>
      <c r="AG244" s="274"/>
      <c r="AH244" s="275"/>
      <c r="AI244" s="272"/>
      <c r="AJ244" s="276"/>
      <c r="AK244" s="277"/>
      <c r="AL244" s="278"/>
      <c r="AM244" s="277"/>
      <c r="AN244" s="279" t="str">
        <f t="shared" si="19"/>
        <v/>
      </c>
      <c r="AO244" s="279"/>
      <c r="AP244" s="279" t="str">
        <f t="shared" si="20"/>
        <v/>
      </c>
      <c r="AQ244" s="279"/>
      <c r="AR244" s="305">
        <f>'预算书-初步'!$F$10</f>
        <v>0.09</v>
      </c>
      <c r="AT244" s="272"/>
      <c r="BC244" s="272" t="s">
        <v>521</v>
      </c>
      <c r="BD244" s="359">
        <v>1162</v>
      </c>
      <c r="BE244" s="347" t="s">
        <v>700</v>
      </c>
    </row>
    <row r="245" s="52" customFormat="1" ht="15.75" customHeight="1" spans="1:57">
      <c r="A245" s="227"/>
      <c r="B245" s="332"/>
      <c r="C245" s="228"/>
      <c r="D245" s="333"/>
      <c r="E245" s="334"/>
      <c r="F245" s="229"/>
      <c r="G245" s="333"/>
      <c r="H245" s="335"/>
      <c r="I245" s="229"/>
      <c r="J245" s="229"/>
      <c r="K245" s="336"/>
      <c r="L245" s="337"/>
      <c r="M245" s="337"/>
      <c r="N245" s="337"/>
      <c r="O245" s="337"/>
      <c r="P245" s="337"/>
      <c r="Q245" s="338">
        <v>4007</v>
      </c>
      <c r="R245" s="271">
        <f t="shared" si="16"/>
        <v>0</v>
      </c>
      <c r="S245" s="339">
        <f t="shared" si="13"/>
        <v>0</v>
      </c>
      <c r="T245" s="340"/>
      <c r="U245" s="341">
        <f>FA!I$174</f>
        <v>0</v>
      </c>
      <c r="V245" s="274"/>
      <c r="W245" s="342"/>
      <c r="X245" s="343"/>
      <c r="Y245" s="6" t="s">
        <v>584</v>
      </c>
      <c r="Z245" s="344"/>
      <c r="AA245" s="240"/>
      <c r="AB245" s="345">
        <v>1</v>
      </c>
      <c r="AC245" s="271"/>
      <c r="AD245" s="272"/>
      <c r="AE245" s="273"/>
      <c r="AF245" s="273"/>
      <c r="AG245" s="274"/>
      <c r="AH245" s="275"/>
      <c r="AI245" s="272"/>
      <c r="AJ245" s="276"/>
      <c r="AK245" s="277"/>
      <c r="AL245" s="278"/>
      <c r="AM245" s="277"/>
      <c r="AN245" s="279" t="str">
        <f t="shared" si="19"/>
        <v/>
      </c>
      <c r="AO245" s="279"/>
      <c r="AP245" s="279" t="str">
        <f t="shared" si="20"/>
        <v/>
      </c>
      <c r="AQ245" s="279"/>
      <c r="AR245" s="305">
        <f>'预算书-初步'!$F$10</f>
        <v>0.09</v>
      </c>
      <c r="AT245" s="272"/>
      <c r="BC245" s="272" t="s">
        <v>521</v>
      </c>
      <c r="BD245" s="348">
        <v>1171</v>
      </c>
      <c r="BE245" s="347" t="s">
        <v>700</v>
      </c>
    </row>
    <row r="246" s="52" customFormat="1" ht="15.75" customHeight="1" spans="1:57">
      <c r="A246" s="227"/>
      <c r="B246" s="332"/>
      <c r="C246" s="228"/>
      <c r="D246" s="333"/>
      <c r="E246" s="334"/>
      <c r="F246" s="229"/>
      <c r="G246" s="333"/>
      <c r="H246" s="335"/>
      <c r="I246" s="229"/>
      <c r="J246" s="229"/>
      <c r="K246" s="336"/>
      <c r="L246" s="337"/>
      <c r="M246" s="337"/>
      <c r="N246" s="337"/>
      <c r="O246" s="337"/>
      <c r="P246" s="337"/>
      <c r="Q246" s="338">
        <v>4081</v>
      </c>
      <c r="R246" s="271">
        <f t="shared" si="16"/>
        <v>0</v>
      </c>
      <c r="S246" s="339">
        <f t="shared" si="13"/>
        <v>0</v>
      </c>
      <c r="T246" s="340"/>
      <c r="U246" s="341">
        <f>FA!I$175</f>
        <v>0</v>
      </c>
      <c r="V246" s="274"/>
      <c r="W246" s="342"/>
      <c r="X246" s="343"/>
      <c r="Y246" s="349" t="s">
        <v>585</v>
      </c>
      <c r="Z246" s="344"/>
      <c r="AA246" s="240"/>
      <c r="AB246" s="345">
        <v>1</v>
      </c>
      <c r="AC246" s="271"/>
      <c r="AD246" s="272"/>
      <c r="AE246" s="273"/>
      <c r="AF246" s="273"/>
      <c r="AG246" s="274"/>
      <c r="AH246" s="275"/>
      <c r="AI246" s="272"/>
      <c r="AJ246" s="276"/>
      <c r="AK246" s="277"/>
      <c r="AL246" s="278"/>
      <c r="AM246" s="277"/>
      <c r="AN246" s="279" t="str">
        <f t="shared" si="19"/>
        <v/>
      </c>
      <c r="AO246" s="279"/>
      <c r="AP246" s="279" t="str">
        <f t="shared" si="20"/>
        <v/>
      </c>
      <c r="AQ246" s="279"/>
      <c r="AR246" s="305">
        <f>'预算书-初步'!$F$10</f>
        <v>0.09</v>
      </c>
      <c r="AT246" s="272"/>
      <c r="BC246" s="272" t="s">
        <v>521</v>
      </c>
      <c r="BD246" s="348">
        <v>1172</v>
      </c>
      <c r="BE246" s="347" t="s">
        <v>700</v>
      </c>
    </row>
    <row r="247" s="52" customFormat="1" ht="15.75" customHeight="1" spans="1:57">
      <c r="A247" s="227"/>
      <c r="B247" s="332"/>
      <c r="C247" s="228"/>
      <c r="D247" s="333"/>
      <c r="E247" s="334"/>
      <c r="F247" s="229"/>
      <c r="G247" s="333"/>
      <c r="H247" s="335"/>
      <c r="I247" s="229"/>
      <c r="J247" s="229"/>
      <c r="K247" s="336"/>
      <c r="L247" s="337"/>
      <c r="M247" s="337"/>
      <c r="N247" s="337"/>
      <c r="O247" s="337"/>
      <c r="P247" s="337"/>
      <c r="Q247" s="338">
        <v>4991</v>
      </c>
      <c r="R247" s="271">
        <f t="shared" si="16"/>
        <v>0</v>
      </c>
      <c r="S247" s="339">
        <f t="shared" si="13"/>
        <v>0</v>
      </c>
      <c r="T247" s="340"/>
      <c r="U247" s="341">
        <f>FA!I$176</f>
        <v>0</v>
      </c>
      <c r="V247" s="274"/>
      <c r="W247" s="342"/>
      <c r="X247" s="343"/>
      <c r="Y247" s="6" t="s">
        <v>586</v>
      </c>
      <c r="Z247" s="344"/>
      <c r="AA247" s="240"/>
      <c r="AB247" s="345">
        <v>1</v>
      </c>
      <c r="AC247" s="271"/>
      <c r="AD247" s="272"/>
      <c r="AE247" s="273"/>
      <c r="AF247" s="273"/>
      <c r="AG247" s="274"/>
      <c r="AH247" s="275"/>
      <c r="AI247" s="272"/>
      <c r="AJ247" s="276"/>
      <c r="AK247" s="277"/>
      <c r="AL247" s="278"/>
      <c r="AM247" s="277"/>
      <c r="AN247" s="279" t="str">
        <f t="shared" si="19"/>
        <v/>
      </c>
      <c r="AO247" s="279"/>
      <c r="AP247" s="279" t="str">
        <f t="shared" si="20"/>
        <v/>
      </c>
      <c r="AQ247" s="279"/>
      <c r="AR247" s="305">
        <f>'预算书-初步'!$F$10</f>
        <v>0.09</v>
      </c>
      <c r="AT247" s="272"/>
      <c r="BC247" s="272" t="s">
        <v>521</v>
      </c>
      <c r="BD247" s="348">
        <v>1173</v>
      </c>
      <c r="BE247" s="347" t="s">
        <v>700</v>
      </c>
    </row>
    <row r="248" s="52" customFormat="1" ht="15.75" customHeight="1" spans="1:57">
      <c r="A248" s="227"/>
      <c r="B248" s="332"/>
      <c r="C248" s="228"/>
      <c r="D248" s="333"/>
      <c r="E248" s="334"/>
      <c r="F248" s="229"/>
      <c r="G248" s="333"/>
      <c r="H248" s="335"/>
      <c r="I248" s="229"/>
      <c r="J248" s="229"/>
      <c r="K248" s="336"/>
      <c r="L248" s="337"/>
      <c r="M248" s="337"/>
      <c r="N248" s="337"/>
      <c r="O248" s="337"/>
      <c r="P248" s="337"/>
      <c r="Q248" s="372">
        <v>1120</v>
      </c>
      <c r="R248" s="271">
        <f t="shared" si="16"/>
        <v>0</v>
      </c>
      <c r="S248" s="339">
        <f t="shared" si="13"/>
        <v>0</v>
      </c>
      <c r="T248" s="373"/>
      <c r="U248" s="373">
        <f>FA!I$32</f>
        <v>0</v>
      </c>
      <c r="V248" s="274"/>
      <c r="W248" s="374"/>
      <c r="X248" s="375"/>
      <c r="Y248" s="30" t="s">
        <v>588</v>
      </c>
      <c r="Z248" s="376"/>
      <c r="AA248" s="240"/>
      <c r="AB248" s="345">
        <v>1</v>
      </c>
      <c r="AC248" s="271"/>
      <c r="AD248" s="272"/>
      <c r="AE248" s="273"/>
      <c r="AF248" s="273"/>
      <c r="AG248" s="274"/>
      <c r="AH248" s="275"/>
      <c r="AI248" s="272"/>
      <c r="AJ248" s="276"/>
      <c r="AK248" s="277"/>
      <c r="AL248" s="278"/>
      <c r="AM248" s="277"/>
      <c r="AN248" s="279" t="str">
        <f t="shared" ref="AN248:AN273" si="21">IF(AK248&lt;&gt;0,"N","")</f>
        <v/>
      </c>
      <c r="AO248" s="279"/>
      <c r="AP248" s="279" t="str">
        <f t="shared" si="20"/>
        <v/>
      </c>
      <c r="AQ248" s="279"/>
      <c r="AR248" s="305">
        <f>'预算书-初步'!$F$10</f>
        <v>0.09</v>
      </c>
      <c r="AT248" s="272"/>
      <c r="BC248" s="272" t="s">
        <v>521</v>
      </c>
      <c r="BD248" s="346">
        <v>1021</v>
      </c>
      <c r="BE248" s="347" t="s">
        <v>700</v>
      </c>
    </row>
    <row r="249" s="52" customFormat="1" ht="15.75" customHeight="1" spans="1:57">
      <c r="A249" s="227"/>
      <c r="B249" s="332"/>
      <c r="C249" s="228"/>
      <c r="D249" s="333"/>
      <c r="E249" s="334"/>
      <c r="F249" s="229"/>
      <c r="G249" s="333"/>
      <c r="H249" s="335"/>
      <c r="I249" s="229"/>
      <c r="J249" s="229"/>
      <c r="K249" s="336"/>
      <c r="L249" s="337"/>
      <c r="M249" s="337"/>
      <c r="N249" s="337"/>
      <c r="O249" s="337"/>
      <c r="P249" s="337"/>
      <c r="Q249" s="372">
        <v>1130</v>
      </c>
      <c r="R249" s="271">
        <f t="shared" si="16"/>
        <v>0</v>
      </c>
      <c r="S249" s="339">
        <f t="shared" si="13"/>
        <v>0</v>
      </c>
      <c r="T249" s="373"/>
      <c r="U249" s="373">
        <f>FA!I$33</f>
        <v>0</v>
      </c>
      <c r="V249" s="274"/>
      <c r="W249" s="374"/>
      <c r="X249" s="375"/>
      <c r="Y249" s="30" t="s">
        <v>589</v>
      </c>
      <c r="Z249" s="376"/>
      <c r="AA249" s="240"/>
      <c r="AB249" s="345">
        <v>1</v>
      </c>
      <c r="AC249" s="271"/>
      <c r="AD249" s="272"/>
      <c r="AE249" s="273"/>
      <c r="AF249" s="273"/>
      <c r="AG249" s="274"/>
      <c r="AH249" s="275"/>
      <c r="AI249" s="272"/>
      <c r="AJ249" s="276"/>
      <c r="AK249" s="277"/>
      <c r="AL249" s="278"/>
      <c r="AM249" s="277"/>
      <c r="AN249" s="279" t="str">
        <f t="shared" si="21"/>
        <v/>
      </c>
      <c r="AO249" s="279"/>
      <c r="AP249" s="279" t="str">
        <f t="shared" si="20"/>
        <v/>
      </c>
      <c r="AQ249" s="279"/>
      <c r="AR249" s="305">
        <f>'预算书-初步'!$F$10</f>
        <v>0.09</v>
      </c>
      <c r="AT249" s="272"/>
      <c r="BC249" s="272" t="s">
        <v>521</v>
      </c>
      <c r="BD249" s="346">
        <v>1022</v>
      </c>
      <c r="BE249" s="347" t="s">
        <v>700</v>
      </c>
    </row>
    <row r="250" s="52" customFormat="1" ht="15.75" customHeight="1" spans="1:57">
      <c r="A250" s="227"/>
      <c r="B250" s="332"/>
      <c r="C250" s="228"/>
      <c r="D250" s="333"/>
      <c r="E250" s="334"/>
      <c r="F250" s="229"/>
      <c r="G250" s="333"/>
      <c r="H250" s="335"/>
      <c r="I250" s="229"/>
      <c r="J250" s="229"/>
      <c r="K250" s="336"/>
      <c r="L250" s="337"/>
      <c r="M250" s="337"/>
      <c r="N250" s="337"/>
      <c r="O250" s="337"/>
      <c r="P250" s="337"/>
      <c r="Q250" s="372">
        <v>1210</v>
      </c>
      <c r="R250" s="271">
        <f t="shared" si="16"/>
        <v>0</v>
      </c>
      <c r="S250" s="339">
        <f t="shared" si="13"/>
        <v>0</v>
      </c>
      <c r="T250" s="373"/>
      <c r="U250" s="373">
        <f>FA!I$35</f>
        <v>0</v>
      </c>
      <c r="V250" s="274"/>
      <c r="W250" s="374"/>
      <c r="X250" s="375"/>
      <c r="Y250" s="30" t="s">
        <v>590</v>
      </c>
      <c r="Z250" s="376"/>
      <c r="AA250" s="240"/>
      <c r="AB250" s="345">
        <v>1</v>
      </c>
      <c r="AC250" s="271"/>
      <c r="AD250" s="272"/>
      <c r="AE250" s="273"/>
      <c r="AF250" s="273"/>
      <c r="AG250" s="274"/>
      <c r="AH250" s="275"/>
      <c r="AI250" s="272"/>
      <c r="AJ250" s="276"/>
      <c r="AK250" s="277"/>
      <c r="AL250" s="278"/>
      <c r="AM250" s="277"/>
      <c r="AN250" s="279" t="str">
        <f t="shared" si="21"/>
        <v/>
      </c>
      <c r="AO250" s="279"/>
      <c r="AP250" s="279" t="str">
        <f t="shared" si="20"/>
        <v/>
      </c>
      <c r="AQ250" s="279"/>
      <c r="AR250" s="305">
        <f>'预算书-初步'!$F$10</f>
        <v>0.09</v>
      </c>
      <c r="AT250" s="272"/>
      <c r="BC250" s="272" t="s">
        <v>521</v>
      </c>
      <c r="BD250" s="346">
        <v>1024</v>
      </c>
      <c r="BE250" s="347" t="s">
        <v>700</v>
      </c>
    </row>
    <row r="251" s="52" customFormat="1" ht="15.75" customHeight="1" spans="1:57">
      <c r="A251" s="227"/>
      <c r="B251" s="332"/>
      <c r="C251" s="228"/>
      <c r="D251" s="333"/>
      <c r="E251" s="334"/>
      <c r="F251" s="229"/>
      <c r="G251" s="333"/>
      <c r="H251" s="335"/>
      <c r="I251" s="229"/>
      <c r="J251" s="229"/>
      <c r="K251" s="336"/>
      <c r="L251" s="337"/>
      <c r="M251" s="337"/>
      <c r="N251" s="337"/>
      <c r="O251" s="337"/>
      <c r="P251" s="337"/>
      <c r="Q251" s="372">
        <v>1311</v>
      </c>
      <c r="R251" s="271">
        <f t="shared" si="16"/>
        <v>0</v>
      </c>
      <c r="S251" s="339">
        <f t="shared" si="13"/>
        <v>0</v>
      </c>
      <c r="T251" s="373"/>
      <c r="U251" s="373">
        <f>FA!I$39</f>
        <v>0</v>
      </c>
      <c r="V251" s="274"/>
      <c r="W251" s="374"/>
      <c r="X251" s="375"/>
      <c r="Y251" s="30" t="s">
        <v>591</v>
      </c>
      <c r="Z251" s="376"/>
      <c r="AA251" s="240"/>
      <c r="AB251" s="345">
        <v>1</v>
      </c>
      <c r="AC251" s="271"/>
      <c r="AD251" s="272"/>
      <c r="AE251" s="273"/>
      <c r="AF251" s="273"/>
      <c r="AG251" s="274"/>
      <c r="AH251" s="275"/>
      <c r="AI251" s="272"/>
      <c r="AJ251" s="276"/>
      <c r="AK251" s="277"/>
      <c r="AL251" s="278"/>
      <c r="AM251" s="277"/>
      <c r="AN251" s="279" t="str">
        <f t="shared" si="21"/>
        <v/>
      </c>
      <c r="AO251" s="279"/>
      <c r="AP251" s="279" t="str">
        <f t="shared" si="20"/>
        <v/>
      </c>
      <c r="AQ251" s="279"/>
      <c r="AR251" s="305">
        <f>'预算书-初步'!$F$10</f>
        <v>0.09</v>
      </c>
      <c r="AT251" s="272"/>
      <c r="BC251" s="272" t="s">
        <v>521</v>
      </c>
      <c r="BD251" s="346">
        <v>1028</v>
      </c>
      <c r="BE251" s="347" t="s">
        <v>700</v>
      </c>
    </row>
    <row r="252" s="52" customFormat="1" ht="15.75" customHeight="1" spans="1:57">
      <c r="A252" s="227"/>
      <c r="B252" s="332"/>
      <c r="C252" s="228"/>
      <c r="D252" s="333"/>
      <c r="E252" s="334"/>
      <c r="F252" s="229"/>
      <c r="G252" s="333"/>
      <c r="H252" s="335"/>
      <c r="I252" s="229"/>
      <c r="J252" s="229"/>
      <c r="K252" s="336"/>
      <c r="L252" s="337"/>
      <c r="M252" s="337"/>
      <c r="N252" s="337"/>
      <c r="O252" s="337"/>
      <c r="P252" s="337"/>
      <c r="Q252" s="372">
        <v>1312</v>
      </c>
      <c r="R252" s="271">
        <f t="shared" si="16"/>
        <v>0</v>
      </c>
      <c r="S252" s="339">
        <f t="shared" si="13"/>
        <v>0</v>
      </c>
      <c r="T252" s="373"/>
      <c r="U252" s="373">
        <f>FA!I$40</f>
        <v>0</v>
      </c>
      <c r="V252" s="274"/>
      <c r="W252" s="374"/>
      <c r="X252" s="375"/>
      <c r="Y252" s="30" t="s">
        <v>592</v>
      </c>
      <c r="Z252" s="376"/>
      <c r="AA252" s="240"/>
      <c r="AB252" s="345">
        <v>1</v>
      </c>
      <c r="AC252" s="271"/>
      <c r="AD252" s="272"/>
      <c r="AE252" s="273"/>
      <c r="AF252" s="273"/>
      <c r="AG252" s="274"/>
      <c r="AH252" s="275"/>
      <c r="AI252" s="272"/>
      <c r="AJ252" s="276"/>
      <c r="AK252" s="277"/>
      <c r="AL252" s="278"/>
      <c r="AM252" s="277"/>
      <c r="AN252" s="279" t="str">
        <f t="shared" si="21"/>
        <v/>
      </c>
      <c r="AO252" s="279"/>
      <c r="AP252" s="279" t="str">
        <f t="shared" si="20"/>
        <v/>
      </c>
      <c r="AQ252" s="279"/>
      <c r="AR252" s="305">
        <f>'预算书-初步'!$F$10</f>
        <v>0.09</v>
      </c>
      <c r="AT252" s="272"/>
      <c r="BC252" s="272" t="s">
        <v>521</v>
      </c>
      <c r="BD252" s="346">
        <v>1029</v>
      </c>
      <c r="BE252" s="347" t="s">
        <v>700</v>
      </c>
    </row>
    <row r="253" s="52" customFormat="1" ht="15.75" customHeight="1" spans="1:57">
      <c r="A253" s="227"/>
      <c r="B253" s="332"/>
      <c r="C253" s="228"/>
      <c r="D253" s="333"/>
      <c r="E253" s="334"/>
      <c r="F253" s="229"/>
      <c r="G253" s="333"/>
      <c r="H253" s="335"/>
      <c r="I253" s="229"/>
      <c r="J253" s="229"/>
      <c r="K253" s="336"/>
      <c r="L253" s="337"/>
      <c r="M253" s="337"/>
      <c r="N253" s="337"/>
      <c r="O253" s="337"/>
      <c r="P253" s="337"/>
      <c r="Q253" s="372">
        <v>1313</v>
      </c>
      <c r="R253" s="271">
        <f t="shared" si="16"/>
        <v>0</v>
      </c>
      <c r="S253" s="339">
        <f t="shared" ref="S253:S341" si="22">$S$5</f>
        <v>0</v>
      </c>
      <c r="T253" s="373"/>
      <c r="U253" s="373">
        <f>FA!I$41</f>
        <v>0</v>
      </c>
      <c r="V253" s="274"/>
      <c r="W253" s="374"/>
      <c r="X253" s="375"/>
      <c r="Y253" s="30" t="s">
        <v>593</v>
      </c>
      <c r="Z253" s="376"/>
      <c r="AA253" s="240"/>
      <c r="AB253" s="345">
        <v>1</v>
      </c>
      <c r="AC253" s="271"/>
      <c r="AD253" s="272"/>
      <c r="AE253" s="273"/>
      <c r="AF253" s="273"/>
      <c r="AG253" s="274"/>
      <c r="AH253" s="275"/>
      <c r="AI253" s="272"/>
      <c r="AJ253" s="276"/>
      <c r="AK253" s="277"/>
      <c r="AL253" s="278"/>
      <c r="AM253" s="277"/>
      <c r="AN253" s="279" t="str">
        <f t="shared" si="21"/>
        <v/>
      </c>
      <c r="AO253" s="279"/>
      <c r="AP253" s="279" t="str">
        <f t="shared" si="20"/>
        <v/>
      </c>
      <c r="AQ253" s="279"/>
      <c r="AR253" s="305">
        <f>'预算书-初步'!$F$10</f>
        <v>0.09</v>
      </c>
      <c r="AT253" s="272"/>
      <c r="BC253" s="272" t="s">
        <v>521</v>
      </c>
      <c r="BD253" s="346">
        <v>1030</v>
      </c>
      <c r="BE253" s="347" t="s">
        <v>700</v>
      </c>
    </row>
    <row r="254" s="52" customFormat="1" ht="15.75" customHeight="1" spans="1:57">
      <c r="A254" s="227"/>
      <c r="B254" s="332"/>
      <c r="C254" s="228"/>
      <c r="D254" s="333"/>
      <c r="E254" s="334"/>
      <c r="F254" s="229"/>
      <c r="G254" s="333"/>
      <c r="H254" s="335"/>
      <c r="I254" s="229"/>
      <c r="J254" s="229"/>
      <c r="K254" s="336"/>
      <c r="L254" s="337"/>
      <c r="M254" s="337"/>
      <c r="N254" s="337"/>
      <c r="O254" s="337"/>
      <c r="P254" s="337"/>
      <c r="Q254" s="372">
        <v>1330</v>
      </c>
      <c r="R254" s="271">
        <f t="shared" si="16"/>
        <v>0</v>
      </c>
      <c r="S254" s="339">
        <f t="shared" si="22"/>
        <v>0</v>
      </c>
      <c r="T254" s="373"/>
      <c r="U254" s="373">
        <f>FA!I$44</f>
        <v>0</v>
      </c>
      <c r="V254" s="274"/>
      <c r="W254" s="374"/>
      <c r="X254" s="375"/>
      <c r="Y254" s="30" t="s">
        <v>594</v>
      </c>
      <c r="Z254" s="376"/>
      <c r="AA254" s="240"/>
      <c r="AB254" s="345">
        <v>1</v>
      </c>
      <c r="AC254" s="271"/>
      <c r="AD254" s="272"/>
      <c r="AE254" s="273"/>
      <c r="AF254" s="273"/>
      <c r="AG254" s="274"/>
      <c r="AH254" s="275"/>
      <c r="AI254" s="272"/>
      <c r="AJ254" s="276"/>
      <c r="AK254" s="277"/>
      <c r="AL254" s="278"/>
      <c r="AM254" s="277"/>
      <c r="AN254" s="279" t="str">
        <f t="shared" si="21"/>
        <v/>
      </c>
      <c r="AO254" s="279"/>
      <c r="AP254" s="279" t="str">
        <f t="shared" si="20"/>
        <v/>
      </c>
      <c r="AQ254" s="279"/>
      <c r="AR254" s="305">
        <f>'预算书-初步'!$F$10</f>
        <v>0.09</v>
      </c>
      <c r="AT254" s="272"/>
      <c r="BC254" s="272" t="s">
        <v>521</v>
      </c>
      <c r="BD254" s="346">
        <v>1033</v>
      </c>
      <c r="BE254" s="347" t="s">
        <v>700</v>
      </c>
    </row>
    <row r="255" s="52" customFormat="1" ht="15.75" customHeight="1" spans="1:57">
      <c r="A255" s="227"/>
      <c r="B255" s="332"/>
      <c r="C255" s="228"/>
      <c r="D255" s="333"/>
      <c r="E255" s="334"/>
      <c r="F255" s="229"/>
      <c r="G255" s="333"/>
      <c r="H255" s="335"/>
      <c r="I255" s="229"/>
      <c r="J255" s="229"/>
      <c r="K255" s="336"/>
      <c r="L255" s="337"/>
      <c r="M255" s="337"/>
      <c r="N255" s="337"/>
      <c r="O255" s="337"/>
      <c r="P255" s="337"/>
      <c r="Q255" s="372">
        <v>1340</v>
      </c>
      <c r="R255" s="271">
        <f t="shared" si="16"/>
        <v>0</v>
      </c>
      <c r="S255" s="339">
        <f t="shared" si="22"/>
        <v>0</v>
      </c>
      <c r="T255" s="373"/>
      <c r="U255" s="373">
        <f>FA!I$45</f>
        <v>0</v>
      </c>
      <c r="V255" s="274"/>
      <c r="W255" s="374"/>
      <c r="X255" s="375"/>
      <c r="Y255" s="30" t="s">
        <v>595</v>
      </c>
      <c r="Z255" s="376"/>
      <c r="AA255" s="240"/>
      <c r="AB255" s="345">
        <v>1</v>
      </c>
      <c r="AC255" s="271"/>
      <c r="AD255" s="272"/>
      <c r="AE255" s="273"/>
      <c r="AF255" s="273"/>
      <c r="AG255" s="274"/>
      <c r="AH255" s="275"/>
      <c r="AI255" s="272"/>
      <c r="AJ255" s="276"/>
      <c r="AK255" s="277"/>
      <c r="AL255" s="278"/>
      <c r="AM255" s="277"/>
      <c r="AN255" s="279" t="str">
        <f t="shared" si="21"/>
        <v/>
      </c>
      <c r="AO255" s="279"/>
      <c r="AP255" s="279" t="str">
        <f t="shared" si="20"/>
        <v/>
      </c>
      <c r="AQ255" s="279"/>
      <c r="AR255" s="305">
        <f>'预算书-初步'!$F$10</f>
        <v>0.09</v>
      </c>
      <c r="AT255" s="272"/>
      <c r="BC255" s="272" t="s">
        <v>521</v>
      </c>
      <c r="BD255" s="346">
        <v>1034</v>
      </c>
      <c r="BE255" s="347" t="s">
        <v>700</v>
      </c>
    </row>
    <row r="256" s="52" customFormat="1" ht="15.75" customHeight="1" spans="1:57">
      <c r="A256" s="227"/>
      <c r="B256" s="332"/>
      <c r="C256" s="228"/>
      <c r="D256" s="333"/>
      <c r="E256" s="334"/>
      <c r="F256" s="229"/>
      <c r="G256" s="333"/>
      <c r="H256" s="335"/>
      <c r="I256" s="229"/>
      <c r="J256" s="229"/>
      <c r="K256" s="336"/>
      <c r="L256" s="337"/>
      <c r="M256" s="337"/>
      <c r="N256" s="337"/>
      <c r="O256" s="337"/>
      <c r="P256" s="337"/>
      <c r="Q256" s="372">
        <v>1430</v>
      </c>
      <c r="R256" s="271">
        <f t="shared" si="16"/>
        <v>0</v>
      </c>
      <c r="S256" s="339">
        <f t="shared" si="22"/>
        <v>0</v>
      </c>
      <c r="T256" s="373"/>
      <c r="U256" s="373">
        <f>FA!I$51</f>
        <v>0</v>
      </c>
      <c r="V256" s="274"/>
      <c r="W256" s="374"/>
      <c r="X256" s="375"/>
      <c r="Y256" s="30" t="s">
        <v>596</v>
      </c>
      <c r="Z256" s="376"/>
      <c r="AA256" s="240"/>
      <c r="AB256" s="345">
        <v>1</v>
      </c>
      <c r="AC256" s="271"/>
      <c r="AD256" s="272"/>
      <c r="AE256" s="273"/>
      <c r="AF256" s="273"/>
      <c r="AG256" s="274"/>
      <c r="AH256" s="275"/>
      <c r="AI256" s="272"/>
      <c r="AJ256" s="276"/>
      <c r="AK256" s="277"/>
      <c r="AL256" s="278"/>
      <c r="AM256" s="277"/>
      <c r="AN256" s="279" t="str">
        <f t="shared" si="21"/>
        <v/>
      </c>
      <c r="AO256" s="279"/>
      <c r="AP256" s="279" t="str">
        <f t="shared" si="20"/>
        <v/>
      </c>
      <c r="AQ256" s="279"/>
      <c r="AR256" s="305">
        <f>'预算书-初步'!$F$10</f>
        <v>0.09</v>
      </c>
      <c r="AT256" s="272"/>
      <c r="BC256" s="272" t="s">
        <v>521</v>
      </c>
      <c r="BD256" s="346">
        <v>1040</v>
      </c>
      <c r="BE256" s="347" t="s">
        <v>700</v>
      </c>
    </row>
    <row r="257" s="52" customFormat="1" ht="15.75" customHeight="1" spans="1:57">
      <c r="A257" s="227"/>
      <c r="B257" s="332"/>
      <c r="C257" s="228"/>
      <c r="D257" s="333"/>
      <c r="E257" s="334"/>
      <c r="F257" s="229"/>
      <c r="G257" s="333"/>
      <c r="H257" s="335"/>
      <c r="I257" s="229"/>
      <c r="J257" s="229"/>
      <c r="K257" s="336"/>
      <c r="L257" s="337"/>
      <c r="M257" s="337"/>
      <c r="N257" s="337"/>
      <c r="O257" s="337"/>
      <c r="P257" s="337"/>
      <c r="Q257" s="372">
        <v>1624</v>
      </c>
      <c r="R257" s="271">
        <f t="shared" si="16"/>
        <v>0</v>
      </c>
      <c r="S257" s="339">
        <f t="shared" si="22"/>
        <v>0</v>
      </c>
      <c r="T257" s="373"/>
      <c r="U257" s="373">
        <f>FA!I$87</f>
        <v>0</v>
      </c>
      <c r="V257" s="274"/>
      <c r="W257" s="374"/>
      <c r="X257" s="375"/>
      <c r="Y257" s="30" t="s">
        <v>597</v>
      </c>
      <c r="Z257" s="376"/>
      <c r="AA257" s="240"/>
      <c r="AB257" s="345">
        <v>1</v>
      </c>
      <c r="AC257" s="271"/>
      <c r="AD257" s="272"/>
      <c r="AE257" s="273"/>
      <c r="AF257" s="273"/>
      <c r="AG257" s="274"/>
      <c r="AH257" s="275"/>
      <c r="AI257" s="272"/>
      <c r="AJ257" s="276"/>
      <c r="AK257" s="277"/>
      <c r="AL257" s="278"/>
      <c r="AM257" s="277"/>
      <c r="AN257" s="279" t="str">
        <f t="shared" si="21"/>
        <v/>
      </c>
      <c r="AO257" s="279"/>
      <c r="AP257" s="279" t="str">
        <f t="shared" si="20"/>
        <v/>
      </c>
      <c r="AQ257" s="279"/>
      <c r="AR257" s="305">
        <f>'预算书-初步'!$F$10</f>
        <v>0.09</v>
      </c>
      <c r="AT257" s="272"/>
      <c r="BC257" s="272" t="s">
        <v>521</v>
      </c>
      <c r="BD257" s="346">
        <v>1076</v>
      </c>
      <c r="BE257" s="347" t="s">
        <v>700</v>
      </c>
    </row>
    <row r="258" s="52" customFormat="1" ht="15.75" customHeight="1" spans="1:57">
      <c r="A258" s="227"/>
      <c r="B258" s="332"/>
      <c r="C258" s="228"/>
      <c r="D258" s="333"/>
      <c r="E258" s="334"/>
      <c r="F258" s="229"/>
      <c r="G258" s="333"/>
      <c r="H258" s="335"/>
      <c r="I258" s="229"/>
      <c r="J258" s="229"/>
      <c r="K258" s="336"/>
      <c r="L258" s="337"/>
      <c r="M258" s="337"/>
      <c r="N258" s="337"/>
      <c r="O258" s="337"/>
      <c r="P258" s="337"/>
      <c r="Q258" s="377">
        <v>2960</v>
      </c>
      <c r="R258" s="271">
        <f t="shared" si="16"/>
        <v>0</v>
      </c>
      <c r="S258" s="339">
        <f t="shared" si="22"/>
        <v>0</v>
      </c>
      <c r="T258" s="373"/>
      <c r="U258" s="373">
        <f>FA!I$164</f>
        <v>0</v>
      </c>
      <c r="V258" s="274"/>
      <c r="W258" s="374"/>
      <c r="X258" s="375"/>
      <c r="Y258" s="36" t="s">
        <v>598</v>
      </c>
      <c r="Z258" s="376"/>
      <c r="AA258" s="240"/>
      <c r="AB258" s="345">
        <v>1</v>
      </c>
      <c r="AC258" s="271"/>
      <c r="AD258" s="272"/>
      <c r="AE258" s="273"/>
      <c r="AF258" s="273"/>
      <c r="AG258" s="274"/>
      <c r="AH258" s="275"/>
      <c r="AI258" s="272"/>
      <c r="AJ258" s="276"/>
      <c r="AK258" s="277"/>
      <c r="AL258" s="278"/>
      <c r="AM258" s="277"/>
      <c r="AN258" s="279" t="str">
        <f t="shared" si="21"/>
        <v/>
      </c>
      <c r="AO258" s="279"/>
      <c r="AP258" s="279" t="str">
        <f t="shared" si="20"/>
        <v/>
      </c>
      <c r="AQ258" s="279"/>
      <c r="AR258" s="305">
        <f>'预算书-初步'!$F$10</f>
        <v>0.09</v>
      </c>
      <c r="AT258" s="272"/>
      <c r="BC258" s="272" t="s">
        <v>521</v>
      </c>
      <c r="BD258" s="346">
        <v>1161</v>
      </c>
      <c r="BE258" s="347" t="s">
        <v>700</v>
      </c>
    </row>
    <row r="259" s="52" customFormat="1" ht="15.75" customHeight="1" spans="1:57">
      <c r="A259" s="227"/>
      <c r="B259" s="332"/>
      <c r="C259" s="228"/>
      <c r="D259" s="333"/>
      <c r="E259" s="334"/>
      <c r="F259" s="229"/>
      <c r="G259" s="333"/>
      <c r="H259" s="335"/>
      <c r="I259" s="229"/>
      <c r="J259" s="229"/>
      <c r="K259" s="336"/>
      <c r="L259" s="337"/>
      <c r="M259" s="337"/>
      <c r="N259" s="337"/>
      <c r="O259" s="337"/>
      <c r="P259" s="337"/>
      <c r="Q259" s="372">
        <v>3718</v>
      </c>
      <c r="R259" s="271">
        <f t="shared" si="16"/>
        <v>0</v>
      </c>
      <c r="S259" s="339">
        <f t="shared" si="22"/>
        <v>0</v>
      </c>
      <c r="T259" s="373"/>
      <c r="U259" s="373">
        <f>FA!I$94</f>
        <v>0</v>
      </c>
      <c r="V259" s="274"/>
      <c r="W259" s="374"/>
      <c r="X259" s="375"/>
      <c r="Y259" s="36" t="s">
        <v>599</v>
      </c>
      <c r="Z259" s="376"/>
      <c r="AA259" s="240"/>
      <c r="AB259" s="345">
        <v>1</v>
      </c>
      <c r="AC259" s="271"/>
      <c r="AD259" s="272"/>
      <c r="AE259" s="273"/>
      <c r="AF259" s="273"/>
      <c r="AG259" s="274"/>
      <c r="AH259" s="275"/>
      <c r="AI259" s="272"/>
      <c r="AJ259" s="276"/>
      <c r="AK259" s="277"/>
      <c r="AL259" s="278"/>
      <c r="AM259" s="277"/>
      <c r="AN259" s="279" t="str">
        <f t="shared" si="21"/>
        <v/>
      </c>
      <c r="AO259" s="279"/>
      <c r="AP259" s="279" t="str">
        <f t="shared" si="20"/>
        <v/>
      </c>
      <c r="AQ259" s="279"/>
      <c r="AR259" s="305">
        <f>'预算书-初步'!$F$10</f>
        <v>0.09</v>
      </c>
      <c r="AT259" s="272"/>
      <c r="BC259" s="272" t="s">
        <v>521</v>
      </c>
      <c r="BD259" s="346">
        <v>1083</v>
      </c>
      <c r="BE259" s="347" t="s">
        <v>700</v>
      </c>
    </row>
    <row r="260" s="52" customFormat="1" ht="15.75" customHeight="1" spans="1:57">
      <c r="A260" s="227"/>
      <c r="B260" s="332"/>
      <c r="C260" s="228"/>
      <c r="D260" s="333"/>
      <c r="E260" s="334"/>
      <c r="F260" s="229"/>
      <c r="G260" s="333"/>
      <c r="H260" s="335"/>
      <c r="I260" s="229"/>
      <c r="J260" s="229"/>
      <c r="K260" s="336"/>
      <c r="L260" s="337"/>
      <c r="M260" s="337"/>
      <c r="N260" s="337"/>
      <c r="O260" s="337"/>
      <c r="P260" s="337"/>
      <c r="Q260" s="372">
        <v>4001</v>
      </c>
      <c r="R260" s="271">
        <f t="shared" si="16"/>
        <v>0</v>
      </c>
      <c r="S260" s="339">
        <f t="shared" si="22"/>
        <v>0</v>
      </c>
      <c r="T260" s="373"/>
      <c r="U260" s="373">
        <f>FA!I$168</f>
        <v>0</v>
      </c>
      <c r="V260" s="274"/>
      <c r="W260" s="374"/>
      <c r="X260" s="375"/>
      <c r="Y260" s="36" t="s">
        <v>600</v>
      </c>
      <c r="Z260" s="376"/>
      <c r="AA260" s="240"/>
      <c r="AB260" s="345">
        <v>1</v>
      </c>
      <c r="AC260" s="271"/>
      <c r="AD260" s="272"/>
      <c r="AE260" s="273"/>
      <c r="AF260" s="273"/>
      <c r="AG260" s="274"/>
      <c r="AH260" s="275"/>
      <c r="AI260" s="272"/>
      <c r="AJ260" s="276"/>
      <c r="AK260" s="277"/>
      <c r="AL260" s="278"/>
      <c r="AM260" s="277"/>
      <c r="AN260" s="279" t="str">
        <f t="shared" si="21"/>
        <v/>
      </c>
      <c r="AO260" s="279"/>
      <c r="AP260" s="279" t="str">
        <f t="shared" si="20"/>
        <v/>
      </c>
      <c r="AQ260" s="279"/>
      <c r="AR260" s="305">
        <f>'预算书-初步'!$F$10</f>
        <v>0.09</v>
      </c>
      <c r="AT260" s="272"/>
      <c r="BC260" s="272" t="s">
        <v>521</v>
      </c>
      <c r="BD260" s="346">
        <v>1165</v>
      </c>
      <c r="BE260" s="347" t="s">
        <v>700</v>
      </c>
    </row>
    <row r="261" s="52" customFormat="1" ht="15.75" customHeight="1" spans="1:57">
      <c r="A261" s="227"/>
      <c r="B261" s="332"/>
      <c r="C261" s="228"/>
      <c r="D261" s="333"/>
      <c r="E261" s="334"/>
      <c r="F261" s="229"/>
      <c r="G261" s="333"/>
      <c r="H261" s="335"/>
      <c r="I261" s="229"/>
      <c r="J261" s="229"/>
      <c r="K261" s="336"/>
      <c r="L261" s="337"/>
      <c r="M261" s="337"/>
      <c r="N261" s="337"/>
      <c r="O261" s="337"/>
      <c r="P261" s="337"/>
      <c r="Q261" s="377">
        <v>4002</v>
      </c>
      <c r="R261" s="271">
        <f t="shared" si="16"/>
        <v>0</v>
      </c>
      <c r="S261" s="339">
        <f t="shared" si="22"/>
        <v>0</v>
      </c>
      <c r="T261" s="373"/>
      <c r="U261" s="373">
        <f>FA!I$169</f>
        <v>0</v>
      </c>
      <c r="V261" s="274"/>
      <c r="W261" s="374"/>
      <c r="X261" s="375"/>
      <c r="Y261" s="36" t="s">
        <v>601</v>
      </c>
      <c r="Z261" s="376"/>
      <c r="AA261" s="240"/>
      <c r="AB261" s="345">
        <v>1</v>
      </c>
      <c r="AC261" s="271"/>
      <c r="AD261" s="272"/>
      <c r="AE261" s="273"/>
      <c r="AF261" s="273"/>
      <c r="AG261" s="274"/>
      <c r="AH261" s="275"/>
      <c r="AI261" s="272"/>
      <c r="AJ261" s="276"/>
      <c r="AK261" s="277"/>
      <c r="AL261" s="278"/>
      <c r="AM261" s="277"/>
      <c r="AN261" s="279" t="str">
        <f t="shared" si="21"/>
        <v/>
      </c>
      <c r="AO261" s="279"/>
      <c r="AP261" s="279" t="str">
        <f t="shared" si="20"/>
        <v/>
      </c>
      <c r="AQ261" s="279"/>
      <c r="AR261" s="305">
        <f>'预算书-初步'!$F$10</f>
        <v>0.09</v>
      </c>
      <c r="AT261" s="272"/>
      <c r="BC261" s="272" t="s">
        <v>521</v>
      </c>
      <c r="BD261" s="346">
        <v>1166</v>
      </c>
      <c r="BE261" s="347" t="s">
        <v>700</v>
      </c>
    </row>
    <row r="262" s="52" customFormat="1" ht="15.75" customHeight="1" spans="1:57">
      <c r="A262" s="227"/>
      <c r="B262" s="332"/>
      <c r="C262" s="228"/>
      <c r="D262" s="333"/>
      <c r="E262" s="334"/>
      <c r="F262" s="229"/>
      <c r="G262" s="333"/>
      <c r="H262" s="335"/>
      <c r="I262" s="229"/>
      <c r="J262" s="229"/>
      <c r="K262" s="336"/>
      <c r="L262" s="337"/>
      <c r="M262" s="337"/>
      <c r="N262" s="337"/>
      <c r="O262" s="337"/>
      <c r="P262" s="337"/>
      <c r="Q262" s="377">
        <v>4003</v>
      </c>
      <c r="R262" s="271">
        <f t="shared" ref="R262:R325" si="23">ROUND(U262*(1+AR262),0)</f>
        <v>0</v>
      </c>
      <c r="S262" s="339">
        <f t="shared" si="22"/>
        <v>0</v>
      </c>
      <c r="T262" s="373"/>
      <c r="U262" s="373">
        <f>FA!I$170</f>
        <v>0</v>
      </c>
      <c r="V262" s="274"/>
      <c r="W262" s="374"/>
      <c r="X262" s="375"/>
      <c r="Y262" s="36" t="s">
        <v>602</v>
      </c>
      <c r="Z262" s="376"/>
      <c r="AA262" s="240"/>
      <c r="AB262" s="345">
        <v>1</v>
      </c>
      <c r="AC262" s="271"/>
      <c r="AD262" s="272"/>
      <c r="AE262" s="273"/>
      <c r="AF262" s="273"/>
      <c r="AG262" s="274"/>
      <c r="AH262" s="275"/>
      <c r="AI262" s="272"/>
      <c r="AJ262" s="276"/>
      <c r="AK262" s="277"/>
      <c r="AL262" s="278"/>
      <c r="AM262" s="277"/>
      <c r="AN262" s="279" t="str">
        <f t="shared" si="21"/>
        <v/>
      </c>
      <c r="AO262" s="279"/>
      <c r="AP262" s="279" t="str">
        <f t="shared" si="20"/>
        <v/>
      </c>
      <c r="AQ262" s="279"/>
      <c r="AR262" s="305">
        <f>'预算书-初步'!$F$10</f>
        <v>0.09</v>
      </c>
      <c r="AT262" s="272"/>
      <c r="BC262" s="272" t="s">
        <v>521</v>
      </c>
      <c r="BD262" s="346">
        <v>1167</v>
      </c>
      <c r="BE262" s="347" t="s">
        <v>700</v>
      </c>
    </row>
    <row r="263" s="52" customFormat="1" ht="15.75" customHeight="1" spans="1:57">
      <c r="A263" s="227"/>
      <c r="B263" s="332"/>
      <c r="C263" s="228"/>
      <c r="D263" s="333"/>
      <c r="E263" s="334"/>
      <c r="F263" s="229"/>
      <c r="G263" s="333"/>
      <c r="H263" s="335"/>
      <c r="I263" s="229"/>
      <c r="J263" s="229"/>
      <c r="K263" s="336"/>
      <c r="L263" s="337"/>
      <c r="M263" s="337"/>
      <c r="N263" s="337"/>
      <c r="O263" s="337"/>
      <c r="P263" s="337"/>
      <c r="Q263" s="372">
        <v>4004</v>
      </c>
      <c r="R263" s="271">
        <f t="shared" si="23"/>
        <v>0</v>
      </c>
      <c r="S263" s="339">
        <f t="shared" si="22"/>
        <v>0</v>
      </c>
      <c r="T263" s="373"/>
      <c r="U263" s="373">
        <f>FA!I$171</f>
        <v>0</v>
      </c>
      <c r="V263" s="274"/>
      <c r="W263" s="374"/>
      <c r="X263" s="375"/>
      <c r="Y263" s="30" t="s">
        <v>603</v>
      </c>
      <c r="Z263" s="376"/>
      <c r="AA263" s="240"/>
      <c r="AB263" s="345">
        <v>1</v>
      </c>
      <c r="AC263" s="271"/>
      <c r="AD263" s="272"/>
      <c r="AE263" s="273"/>
      <c r="AF263" s="273"/>
      <c r="AG263" s="274"/>
      <c r="AH263" s="275"/>
      <c r="AI263" s="272"/>
      <c r="AJ263" s="276"/>
      <c r="AK263" s="277"/>
      <c r="AL263" s="278"/>
      <c r="AM263" s="277"/>
      <c r="AN263" s="279" t="str">
        <f t="shared" si="21"/>
        <v/>
      </c>
      <c r="AO263" s="279"/>
      <c r="AP263" s="279" t="str">
        <f t="shared" si="20"/>
        <v/>
      </c>
      <c r="AQ263" s="279"/>
      <c r="AR263" s="305">
        <f>'预算书-初步'!$F$10</f>
        <v>0.09</v>
      </c>
      <c r="AT263" s="272"/>
      <c r="BC263" s="272" t="s">
        <v>521</v>
      </c>
      <c r="BD263" s="346">
        <v>1168</v>
      </c>
      <c r="BE263" s="347" t="s">
        <v>700</v>
      </c>
    </row>
    <row r="264" s="52" customFormat="1" ht="15.75" customHeight="1" spans="1:57">
      <c r="A264" s="227"/>
      <c r="B264" s="332"/>
      <c r="C264" s="228"/>
      <c r="D264" s="333"/>
      <c r="E264" s="334"/>
      <c r="F264" s="229"/>
      <c r="G264" s="333"/>
      <c r="H264" s="335"/>
      <c r="I264" s="229"/>
      <c r="J264" s="229"/>
      <c r="K264" s="336"/>
      <c r="L264" s="337"/>
      <c r="M264" s="337"/>
      <c r="N264" s="337"/>
      <c r="O264" s="337"/>
      <c r="P264" s="337"/>
      <c r="Q264" s="372">
        <v>4005</v>
      </c>
      <c r="R264" s="271">
        <f t="shared" si="23"/>
        <v>0</v>
      </c>
      <c r="S264" s="339">
        <f t="shared" si="22"/>
        <v>0</v>
      </c>
      <c r="T264" s="373"/>
      <c r="U264" s="373">
        <f>FA!I$172</f>
        <v>0</v>
      </c>
      <c r="V264" s="274"/>
      <c r="W264" s="374"/>
      <c r="X264" s="375"/>
      <c r="Y264" s="30" t="s">
        <v>604</v>
      </c>
      <c r="Z264" s="376"/>
      <c r="AA264" s="240"/>
      <c r="AB264" s="345">
        <v>1</v>
      </c>
      <c r="AC264" s="271"/>
      <c r="AD264" s="272"/>
      <c r="AE264" s="273"/>
      <c r="AF264" s="273"/>
      <c r="AG264" s="274"/>
      <c r="AH264" s="275"/>
      <c r="AI264" s="272"/>
      <c r="AJ264" s="276"/>
      <c r="AK264" s="277"/>
      <c r="AL264" s="278"/>
      <c r="AM264" s="277"/>
      <c r="AN264" s="279" t="str">
        <f t="shared" si="21"/>
        <v/>
      </c>
      <c r="AO264" s="279"/>
      <c r="AP264" s="279" t="str">
        <f t="shared" si="20"/>
        <v/>
      </c>
      <c r="AQ264" s="279"/>
      <c r="AR264" s="305">
        <f>'预算书-初步'!$F$10</f>
        <v>0.09</v>
      </c>
      <c r="AT264" s="272"/>
      <c r="BC264" s="272" t="s">
        <v>521</v>
      </c>
      <c r="BD264" s="346">
        <v>1169</v>
      </c>
      <c r="BE264" s="347" t="s">
        <v>700</v>
      </c>
    </row>
    <row r="265" s="52" customFormat="1" spans="1:57">
      <c r="A265" s="227"/>
      <c r="B265" s="332"/>
      <c r="C265" s="228"/>
      <c r="D265" s="333"/>
      <c r="E265" s="334"/>
      <c r="F265" s="229"/>
      <c r="G265" s="333"/>
      <c r="H265" s="335"/>
      <c r="I265" s="229"/>
      <c r="J265" s="229"/>
      <c r="K265" s="336"/>
      <c r="L265" s="337"/>
      <c r="M265" s="337"/>
      <c r="N265" s="337"/>
      <c r="O265" s="337"/>
      <c r="P265" s="337"/>
      <c r="Q265" s="372">
        <v>4006</v>
      </c>
      <c r="R265" s="271">
        <f t="shared" si="23"/>
        <v>0</v>
      </c>
      <c r="S265" s="339">
        <f t="shared" si="22"/>
        <v>0</v>
      </c>
      <c r="T265" s="373"/>
      <c r="U265" s="373">
        <f>FA!I$173</f>
        <v>0</v>
      </c>
      <c r="V265" s="274"/>
      <c r="W265" s="374"/>
      <c r="X265" s="375"/>
      <c r="Y265" s="36" t="s">
        <v>605</v>
      </c>
      <c r="Z265" s="376"/>
      <c r="AA265" s="240"/>
      <c r="AB265" s="345">
        <v>1</v>
      </c>
      <c r="AC265" s="271"/>
      <c r="AD265" s="272"/>
      <c r="AE265" s="273"/>
      <c r="AF265" s="273"/>
      <c r="AG265" s="274"/>
      <c r="AH265" s="275"/>
      <c r="AI265" s="272"/>
      <c r="AJ265" s="276"/>
      <c r="AK265" s="277"/>
      <c r="AL265" s="278"/>
      <c r="AM265" s="277"/>
      <c r="AN265" s="279" t="str">
        <f t="shared" si="21"/>
        <v/>
      </c>
      <c r="AO265" s="279"/>
      <c r="AP265" s="279" t="str">
        <f t="shared" si="20"/>
        <v/>
      </c>
      <c r="AQ265" s="279"/>
      <c r="AR265" s="305">
        <f>'预算书-初步'!$F$10</f>
        <v>0.09</v>
      </c>
      <c r="AT265" s="272"/>
      <c r="BC265" s="272" t="s">
        <v>521</v>
      </c>
      <c r="BD265" s="346">
        <v>1170</v>
      </c>
      <c r="BE265" s="347" t="s">
        <v>700</v>
      </c>
    </row>
    <row r="266" s="52" customFormat="1" spans="1:57">
      <c r="A266" s="227"/>
      <c r="B266" s="332"/>
      <c r="C266" s="228"/>
      <c r="D266" s="333"/>
      <c r="E266" s="334"/>
      <c r="F266" s="229"/>
      <c r="G266" s="333"/>
      <c r="H266" s="335"/>
      <c r="I266" s="229"/>
      <c r="J266" s="229"/>
      <c r="K266" s="336"/>
      <c r="L266" s="337"/>
      <c r="M266" s="337"/>
      <c r="N266" s="337"/>
      <c r="O266" s="337"/>
      <c r="P266" s="337"/>
      <c r="Q266" s="377">
        <v>6003</v>
      </c>
      <c r="R266" s="271">
        <f t="shared" si="23"/>
        <v>0</v>
      </c>
      <c r="S266" s="339">
        <f t="shared" si="22"/>
        <v>0</v>
      </c>
      <c r="T266" s="373"/>
      <c r="U266" s="373">
        <f>FA!I$19</f>
        <v>0</v>
      </c>
      <c r="V266" s="274"/>
      <c r="W266" s="374"/>
      <c r="X266" s="375"/>
      <c r="Y266" s="36" t="s">
        <v>606</v>
      </c>
      <c r="Z266" s="376"/>
      <c r="AA266" s="240"/>
      <c r="AB266" s="345">
        <v>1</v>
      </c>
      <c r="AC266" s="271"/>
      <c r="AD266" s="272"/>
      <c r="AE266" s="273"/>
      <c r="AF266" s="273"/>
      <c r="AG266" s="274"/>
      <c r="AH266" s="275"/>
      <c r="AI266" s="272"/>
      <c r="AJ266" s="276"/>
      <c r="AK266" s="277"/>
      <c r="AL266" s="278"/>
      <c r="AM266" s="277"/>
      <c r="AN266" s="279" t="str">
        <f t="shared" si="21"/>
        <v/>
      </c>
      <c r="AO266" s="279"/>
      <c r="AP266" s="279" t="str">
        <f t="shared" si="20"/>
        <v/>
      </c>
      <c r="AQ266" s="279"/>
      <c r="AR266" s="305">
        <f>'预算书-初步'!$F$10</f>
        <v>0.09</v>
      </c>
      <c r="AT266" s="272"/>
      <c r="BC266" s="272" t="s">
        <v>521</v>
      </c>
      <c r="BD266" s="346">
        <v>1008</v>
      </c>
      <c r="BE266" s="347" t="s">
        <v>700</v>
      </c>
    </row>
    <row r="267" s="52" customFormat="1" spans="1:57">
      <c r="A267" s="227"/>
      <c r="B267" s="332"/>
      <c r="C267" s="228"/>
      <c r="D267" s="333"/>
      <c r="E267" s="334"/>
      <c r="F267" s="229"/>
      <c r="G267" s="333"/>
      <c r="H267" s="335"/>
      <c r="I267" s="229"/>
      <c r="J267" s="229"/>
      <c r="K267" s="336"/>
      <c r="L267" s="337"/>
      <c r="M267" s="337"/>
      <c r="N267" s="337"/>
      <c r="O267" s="337"/>
      <c r="P267" s="337"/>
      <c r="Q267" s="377">
        <v>6004</v>
      </c>
      <c r="R267" s="271">
        <f t="shared" si="23"/>
        <v>0</v>
      </c>
      <c r="S267" s="339">
        <f t="shared" si="22"/>
        <v>0</v>
      </c>
      <c r="T267" s="373"/>
      <c r="U267" s="373">
        <f>FA!I$20</f>
        <v>0</v>
      </c>
      <c r="V267" s="274"/>
      <c r="W267" s="374"/>
      <c r="X267" s="375"/>
      <c r="Y267" s="36" t="s">
        <v>607</v>
      </c>
      <c r="Z267" s="376"/>
      <c r="AA267" s="240"/>
      <c r="AB267" s="345">
        <v>1</v>
      </c>
      <c r="AC267" s="271"/>
      <c r="AD267" s="272"/>
      <c r="AE267" s="273"/>
      <c r="AF267" s="273"/>
      <c r="AG267" s="274"/>
      <c r="AH267" s="275"/>
      <c r="AI267" s="272"/>
      <c r="AJ267" s="276"/>
      <c r="AK267" s="277"/>
      <c r="AL267" s="278"/>
      <c r="AM267" s="277"/>
      <c r="AN267" s="279" t="str">
        <f t="shared" si="21"/>
        <v/>
      </c>
      <c r="AO267" s="279"/>
      <c r="AP267" s="279" t="str">
        <f t="shared" si="20"/>
        <v/>
      </c>
      <c r="AQ267" s="279"/>
      <c r="AR267" s="305">
        <f>'预算书-初步'!$F$10</f>
        <v>0.09</v>
      </c>
      <c r="AT267" s="272"/>
      <c r="BC267" s="272" t="s">
        <v>521</v>
      </c>
      <c r="BD267" s="346">
        <v>1009</v>
      </c>
      <c r="BE267" s="347" t="s">
        <v>700</v>
      </c>
    </row>
    <row r="268" s="52" customFormat="1" spans="1:57">
      <c r="A268" s="227"/>
      <c r="B268" s="332"/>
      <c r="C268" s="228"/>
      <c r="D268" s="333"/>
      <c r="E268" s="334"/>
      <c r="F268" s="229"/>
      <c r="G268" s="333"/>
      <c r="H268" s="335"/>
      <c r="I268" s="229"/>
      <c r="J268" s="229"/>
      <c r="K268" s="336"/>
      <c r="L268" s="337"/>
      <c r="M268" s="337"/>
      <c r="N268" s="337"/>
      <c r="O268" s="337"/>
      <c r="P268" s="337"/>
      <c r="Q268" s="377">
        <v>6005</v>
      </c>
      <c r="R268" s="271">
        <f t="shared" si="23"/>
        <v>0</v>
      </c>
      <c r="S268" s="339">
        <f t="shared" si="22"/>
        <v>0</v>
      </c>
      <c r="T268" s="373"/>
      <c r="U268" s="373">
        <f>FA!I$21</f>
        <v>0</v>
      </c>
      <c r="V268" s="274"/>
      <c r="W268" s="374"/>
      <c r="X268" s="375"/>
      <c r="Y268" s="36" t="s">
        <v>608</v>
      </c>
      <c r="Z268" s="376"/>
      <c r="AA268" s="240"/>
      <c r="AB268" s="345">
        <v>1</v>
      </c>
      <c r="AC268" s="271"/>
      <c r="AD268" s="272"/>
      <c r="AE268" s="273"/>
      <c r="AF268" s="273"/>
      <c r="AG268" s="274"/>
      <c r="AH268" s="275"/>
      <c r="AI268" s="272"/>
      <c r="AJ268" s="276"/>
      <c r="AK268" s="277"/>
      <c r="AL268" s="278"/>
      <c r="AM268" s="277"/>
      <c r="AN268" s="279" t="str">
        <f t="shared" si="21"/>
        <v/>
      </c>
      <c r="AO268" s="279"/>
      <c r="AP268" s="279" t="str">
        <f t="shared" si="20"/>
        <v/>
      </c>
      <c r="AQ268" s="279"/>
      <c r="AR268" s="305">
        <f>'预算书-初步'!$F$10</f>
        <v>0.09</v>
      </c>
      <c r="AT268" s="272"/>
      <c r="BC268" s="272" t="s">
        <v>521</v>
      </c>
      <c r="BD268" s="346">
        <v>1010</v>
      </c>
      <c r="BE268" s="347" t="s">
        <v>700</v>
      </c>
    </row>
    <row r="269" s="52" customFormat="1" spans="1:57">
      <c r="A269" s="227"/>
      <c r="B269" s="332"/>
      <c r="C269" s="228"/>
      <c r="D269" s="333"/>
      <c r="E269" s="334"/>
      <c r="F269" s="229"/>
      <c r="G269" s="333"/>
      <c r="H269" s="335"/>
      <c r="I269" s="229"/>
      <c r="J269" s="229"/>
      <c r="K269" s="336"/>
      <c r="L269" s="337"/>
      <c r="M269" s="337"/>
      <c r="N269" s="337"/>
      <c r="O269" s="337"/>
      <c r="P269" s="337"/>
      <c r="Q269" s="372">
        <v>6006</v>
      </c>
      <c r="R269" s="271">
        <f t="shared" si="23"/>
        <v>0</v>
      </c>
      <c r="S269" s="339">
        <f t="shared" si="22"/>
        <v>0</v>
      </c>
      <c r="T269" s="373"/>
      <c r="U269" s="373">
        <f>FA!I$22</f>
        <v>0</v>
      </c>
      <c r="V269" s="274"/>
      <c r="W269" s="374"/>
      <c r="X269" s="375"/>
      <c r="Y269" s="30" t="s">
        <v>609</v>
      </c>
      <c r="Z269" s="376"/>
      <c r="AA269" s="240"/>
      <c r="AB269" s="345">
        <v>1</v>
      </c>
      <c r="AC269" s="271"/>
      <c r="AD269" s="272"/>
      <c r="AE269" s="273"/>
      <c r="AF269" s="273"/>
      <c r="AG269" s="274"/>
      <c r="AH269" s="275"/>
      <c r="AI269" s="272"/>
      <c r="AJ269" s="276"/>
      <c r="AK269" s="277"/>
      <c r="AL269" s="278"/>
      <c r="AM269" s="277"/>
      <c r="AN269" s="279" t="str">
        <f t="shared" si="21"/>
        <v/>
      </c>
      <c r="AO269" s="279"/>
      <c r="AP269" s="279" t="str">
        <f t="shared" si="20"/>
        <v/>
      </c>
      <c r="AQ269" s="279"/>
      <c r="AR269" s="305">
        <f>'预算书-初步'!$F$10</f>
        <v>0.09</v>
      </c>
      <c r="AT269" s="272"/>
      <c r="BC269" s="272" t="s">
        <v>521</v>
      </c>
      <c r="BD269" s="346">
        <v>1011</v>
      </c>
      <c r="BE269" s="347" t="s">
        <v>700</v>
      </c>
    </row>
    <row r="270" s="52" customFormat="1" spans="1:57">
      <c r="A270" s="227"/>
      <c r="B270" s="332"/>
      <c r="C270" s="228"/>
      <c r="D270" s="333"/>
      <c r="E270" s="334"/>
      <c r="F270" s="229"/>
      <c r="G270" s="333"/>
      <c r="H270" s="335"/>
      <c r="I270" s="229"/>
      <c r="J270" s="229"/>
      <c r="K270" s="336"/>
      <c r="L270" s="337"/>
      <c r="M270" s="337"/>
      <c r="N270" s="337"/>
      <c r="O270" s="337"/>
      <c r="P270" s="337"/>
      <c r="Q270" s="372">
        <v>6007</v>
      </c>
      <c r="R270" s="271">
        <f t="shared" si="23"/>
        <v>0</v>
      </c>
      <c r="S270" s="339">
        <f t="shared" si="22"/>
        <v>0</v>
      </c>
      <c r="T270" s="373"/>
      <c r="U270" s="373">
        <f>FA!I$23</f>
        <v>0</v>
      </c>
      <c r="V270" s="274"/>
      <c r="W270" s="374"/>
      <c r="X270" s="375"/>
      <c r="Y270" s="30" t="s">
        <v>610</v>
      </c>
      <c r="Z270" s="376"/>
      <c r="AA270" s="240"/>
      <c r="AB270" s="345">
        <v>1</v>
      </c>
      <c r="AC270" s="271"/>
      <c r="AD270" s="272"/>
      <c r="AE270" s="273"/>
      <c r="AF270" s="273"/>
      <c r="AG270" s="274"/>
      <c r="AH270" s="275"/>
      <c r="AI270" s="272"/>
      <c r="AJ270" s="276"/>
      <c r="AK270" s="277"/>
      <c r="AL270" s="278"/>
      <c r="AM270" s="277"/>
      <c r="AN270" s="279" t="str">
        <f t="shared" si="21"/>
        <v/>
      </c>
      <c r="AO270" s="279"/>
      <c r="AP270" s="279" t="str">
        <f t="shared" si="20"/>
        <v/>
      </c>
      <c r="AQ270" s="279"/>
      <c r="AR270" s="305">
        <f>'预算书-初步'!$F$10</f>
        <v>0.09</v>
      </c>
      <c r="AT270" s="272"/>
      <c r="BC270" s="272" t="s">
        <v>521</v>
      </c>
      <c r="BD270" s="346">
        <v>1012</v>
      </c>
      <c r="BE270" s="347" t="s">
        <v>700</v>
      </c>
    </row>
    <row r="271" s="52" customFormat="1" spans="1:57">
      <c r="A271" s="227"/>
      <c r="B271" s="332"/>
      <c r="C271" s="228"/>
      <c r="D271" s="333"/>
      <c r="E271" s="334"/>
      <c r="F271" s="229"/>
      <c r="G271" s="333"/>
      <c r="H271" s="335"/>
      <c r="I271" s="229"/>
      <c r="J271" s="229"/>
      <c r="K271" s="336"/>
      <c r="L271" s="337"/>
      <c r="M271" s="337"/>
      <c r="N271" s="337"/>
      <c r="O271" s="337"/>
      <c r="P271" s="337"/>
      <c r="Q271" s="372">
        <v>8310</v>
      </c>
      <c r="R271" s="271">
        <f t="shared" si="23"/>
        <v>0</v>
      </c>
      <c r="S271" s="339">
        <f t="shared" si="22"/>
        <v>0</v>
      </c>
      <c r="T271" s="373"/>
      <c r="U271" s="373">
        <f>FA!I$116</f>
        <v>0</v>
      </c>
      <c r="V271" s="274"/>
      <c r="W271" s="374"/>
      <c r="X271" s="375"/>
      <c r="Y271" s="30" t="s">
        <v>611</v>
      </c>
      <c r="Z271" s="376"/>
      <c r="AA271" s="240"/>
      <c r="AB271" s="345">
        <v>1</v>
      </c>
      <c r="AC271" s="271"/>
      <c r="AD271" s="272"/>
      <c r="AE271" s="273"/>
      <c r="AF271" s="273"/>
      <c r="AG271" s="274"/>
      <c r="AH271" s="275"/>
      <c r="AI271" s="272"/>
      <c r="AJ271" s="276"/>
      <c r="AK271" s="277"/>
      <c r="AL271" s="278"/>
      <c r="AM271" s="277"/>
      <c r="AN271" s="279" t="str">
        <f t="shared" si="21"/>
        <v/>
      </c>
      <c r="AO271" s="279"/>
      <c r="AP271" s="279" t="str">
        <f t="shared" si="20"/>
        <v/>
      </c>
      <c r="AQ271" s="279"/>
      <c r="AR271" s="305">
        <f>'预算书-初步'!$F$10</f>
        <v>0.09</v>
      </c>
      <c r="AT271" s="272"/>
      <c r="BC271" s="272" t="s">
        <v>521</v>
      </c>
      <c r="BD271" s="346">
        <v>1105</v>
      </c>
      <c r="BE271" s="347" t="s">
        <v>700</v>
      </c>
    </row>
    <row r="272" s="52" customFormat="1" ht="15.75" customHeight="1" spans="1:57">
      <c r="A272" s="227"/>
      <c r="B272" s="332"/>
      <c r="C272" s="228"/>
      <c r="D272" s="333"/>
      <c r="E272" s="334"/>
      <c r="F272" s="229"/>
      <c r="G272" s="333"/>
      <c r="H272" s="335"/>
      <c r="I272" s="229"/>
      <c r="J272" s="229"/>
      <c r="K272" s="336"/>
      <c r="L272" s="337"/>
      <c r="M272" s="337"/>
      <c r="N272" s="337"/>
      <c r="O272" s="337"/>
      <c r="P272" s="337"/>
      <c r="Q272" s="372">
        <v>8457</v>
      </c>
      <c r="R272" s="271">
        <f t="shared" si="23"/>
        <v>0</v>
      </c>
      <c r="S272" s="339">
        <f t="shared" si="22"/>
        <v>0</v>
      </c>
      <c r="T272" s="373"/>
      <c r="U272" s="373">
        <f>FA!I$150</f>
        <v>0</v>
      </c>
      <c r="V272" s="274"/>
      <c r="W272" s="374"/>
      <c r="X272" s="375"/>
      <c r="Y272" s="30" t="s">
        <v>612</v>
      </c>
      <c r="Z272" s="376"/>
      <c r="AA272" s="240"/>
      <c r="AB272" s="345">
        <v>1</v>
      </c>
      <c r="AC272" s="271"/>
      <c r="AD272" s="272"/>
      <c r="AE272" s="273"/>
      <c r="AF272" s="273"/>
      <c r="AG272" s="274"/>
      <c r="AH272" s="275"/>
      <c r="AI272" s="272"/>
      <c r="AJ272" s="276"/>
      <c r="AK272" s="277"/>
      <c r="AL272" s="278"/>
      <c r="AM272" s="277"/>
      <c r="AN272" s="279" t="str">
        <f t="shared" si="21"/>
        <v/>
      </c>
      <c r="AO272" s="279"/>
      <c r="AP272" s="279" t="str">
        <f t="shared" si="20"/>
        <v/>
      </c>
      <c r="AQ272" s="279"/>
      <c r="AR272" s="305">
        <f>'预算书-初步'!$F$10</f>
        <v>0.09</v>
      </c>
      <c r="AT272" s="272"/>
      <c r="BC272" s="272" t="s">
        <v>521</v>
      </c>
      <c r="BD272" s="346">
        <v>1139</v>
      </c>
      <c r="BE272" s="347" t="s">
        <v>700</v>
      </c>
    </row>
    <row r="273" s="52" customFormat="1" spans="1:57">
      <c r="A273" s="227"/>
      <c r="B273" s="332"/>
      <c r="C273" s="228"/>
      <c r="D273" s="333"/>
      <c r="E273" s="334"/>
      <c r="Q273" s="372">
        <v>8500</v>
      </c>
      <c r="R273" s="271">
        <f t="shared" si="23"/>
        <v>0</v>
      </c>
      <c r="S273" s="339">
        <f t="shared" si="22"/>
        <v>0</v>
      </c>
      <c r="T273" s="373"/>
      <c r="U273" s="373">
        <f>FA!I$160</f>
        <v>0</v>
      </c>
      <c r="V273" s="274"/>
      <c r="W273" s="374"/>
      <c r="X273" s="375"/>
      <c r="Y273" s="30" t="s">
        <v>613</v>
      </c>
      <c r="Z273" s="376"/>
      <c r="AA273" s="240"/>
      <c r="AB273" s="345">
        <v>1</v>
      </c>
      <c r="AC273" s="271"/>
      <c r="AD273" s="272"/>
      <c r="AE273" s="273"/>
      <c r="AF273" s="273"/>
      <c r="AG273" s="274"/>
      <c r="AH273" s="275"/>
      <c r="AI273" s="272"/>
      <c r="AJ273" s="276"/>
      <c r="AK273" s="277"/>
      <c r="AL273" s="278"/>
      <c r="AM273" s="277"/>
      <c r="AN273" s="279" t="str">
        <f t="shared" si="21"/>
        <v/>
      </c>
      <c r="AO273" s="279"/>
      <c r="AP273" s="279" t="str">
        <f>IF(F276&lt;&gt;0,"Y","")</f>
        <v/>
      </c>
      <c r="AQ273" s="378"/>
      <c r="AR273" s="305">
        <f>'预算书-初步'!$F$10</f>
        <v>0.09</v>
      </c>
      <c r="AT273" s="272"/>
      <c r="BC273" s="272" t="s">
        <v>521</v>
      </c>
      <c r="BD273" s="346">
        <v>1157</v>
      </c>
      <c r="BE273" s="347" t="s">
        <v>700</v>
      </c>
    </row>
    <row r="274" s="52" customFormat="1" spans="1:57">
      <c r="A274" s="227"/>
      <c r="B274" s="332"/>
      <c r="C274" s="228"/>
      <c r="D274" s="333"/>
      <c r="E274" s="334"/>
      <c r="F274" s="229"/>
      <c r="G274" s="333"/>
      <c r="H274" s="335"/>
      <c r="I274" s="229"/>
      <c r="J274" s="229"/>
      <c r="K274" s="336"/>
      <c r="L274" s="337"/>
      <c r="M274" s="337"/>
      <c r="N274" s="337"/>
      <c r="O274" s="337"/>
      <c r="P274" s="337"/>
      <c r="Q274" s="379">
        <v>9999</v>
      </c>
      <c r="R274" s="271">
        <f t="shared" si="23"/>
        <v>0</v>
      </c>
      <c r="S274" s="339">
        <f t="shared" si="22"/>
        <v>0</v>
      </c>
      <c r="T274" s="373"/>
      <c r="U274" s="373">
        <f>FA!I$24</f>
        <v>0</v>
      </c>
      <c r="V274" s="274"/>
      <c r="W274" s="374"/>
      <c r="X274" s="375"/>
      <c r="Y274" s="44" t="s">
        <v>40</v>
      </c>
      <c r="Z274" s="376"/>
      <c r="AA274" s="240"/>
      <c r="AB274" s="345">
        <v>1</v>
      </c>
      <c r="AC274" s="271"/>
      <c r="AD274" s="272"/>
      <c r="AE274" s="273"/>
      <c r="AF274" s="273"/>
      <c r="AG274" s="274"/>
      <c r="AH274" s="275"/>
      <c r="AI274" s="272"/>
      <c r="AJ274" s="276"/>
      <c r="AK274" s="277"/>
      <c r="AL274" s="278"/>
      <c r="AM274" s="277"/>
      <c r="AN274" s="279"/>
      <c r="AO274" s="279"/>
      <c r="AP274" s="279"/>
      <c r="AQ274" s="378"/>
      <c r="AR274" s="305">
        <f>'预算书-初步'!$F$10</f>
        <v>0.09</v>
      </c>
      <c r="AT274" s="272"/>
      <c r="BC274" s="272" t="s">
        <v>521</v>
      </c>
      <c r="BD274" s="380">
        <v>1013</v>
      </c>
      <c r="BE274" s="347" t="s">
        <v>700</v>
      </c>
    </row>
    <row r="275" s="52" customFormat="1" spans="1:57">
      <c r="A275" s="227"/>
      <c r="B275" s="332"/>
      <c r="C275" s="228"/>
      <c r="D275" s="333"/>
      <c r="E275" s="334"/>
      <c r="F275" s="229"/>
      <c r="G275" s="333"/>
      <c r="H275" s="335"/>
      <c r="I275" s="229"/>
      <c r="J275" s="229"/>
      <c r="K275" s="336"/>
      <c r="L275" s="337"/>
      <c r="M275" s="337"/>
      <c r="N275" s="337"/>
      <c r="O275" s="337"/>
      <c r="P275" s="337"/>
      <c r="Q275" s="379">
        <v>7001</v>
      </c>
      <c r="R275" s="271">
        <f t="shared" si="23"/>
        <v>0</v>
      </c>
      <c r="S275" s="339">
        <f t="shared" si="22"/>
        <v>0</v>
      </c>
      <c r="T275" s="373"/>
      <c r="U275" s="373">
        <f>FA!I$25</f>
        <v>0</v>
      </c>
      <c r="V275" s="274"/>
      <c r="W275" s="374"/>
      <c r="X275" s="375"/>
      <c r="Y275" s="44" t="s">
        <v>614</v>
      </c>
      <c r="Z275" s="376"/>
      <c r="AA275" s="240"/>
      <c r="AB275" s="345">
        <v>1</v>
      </c>
      <c r="AC275" s="271"/>
      <c r="AD275" s="272"/>
      <c r="AE275" s="273"/>
      <c r="AF275" s="273"/>
      <c r="AG275" s="274"/>
      <c r="AH275" s="275"/>
      <c r="AI275" s="272"/>
      <c r="AJ275" s="276"/>
      <c r="AK275" s="277"/>
      <c r="AL275" s="278"/>
      <c r="AM275" s="277"/>
      <c r="AN275" s="279"/>
      <c r="AO275" s="279"/>
      <c r="AP275" s="279"/>
      <c r="AQ275" s="378"/>
      <c r="AR275" s="305">
        <f>'预算书-初步'!$F$10</f>
        <v>0.09</v>
      </c>
      <c r="AT275" s="272"/>
      <c r="BC275" s="272" t="s">
        <v>521</v>
      </c>
      <c r="BD275" s="380">
        <v>1014</v>
      </c>
      <c r="BE275" s="347" t="s">
        <v>700</v>
      </c>
    </row>
    <row r="276" s="52" customFormat="1" spans="1:57">
      <c r="A276" s="227"/>
      <c r="B276" s="332"/>
      <c r="C276" s="228"/>
      <c r="D276" s="333"/>
      <c r="E276" s="334"/>
      <c r="F276" s="229"/>
      <c r="G276" s="333"/>
      <c r="H276" s="335"/>
      <c r="I276" s="229"/>
      <c r="J276" s="229"/>
      <c r="K276" s="336"/>
      <c r="L276" s="337"/>
      <c r="M276" s="337"/>
      <c r="N276" s="337"/>
      <c r="O276" s="337"/>
      <c r="P276" s="337"/>
      <c r="Q276" s="379">
        <v>7012</v>
      </c>
      <c r="R276" s="271">
        <f t="shared" si="23"/>
        <v>0</v>
      </c>
      <c r="S276" s="339">
        <f t="shared" si="22"/>
        <v>0</v>
      </c>
      <c r="T276" s="373"/>
      <c r="U276" s="373">
        <f>FA!I$26</f>
        <v>0</v>
      </c>
      <c r="V276" s="274"/>
      <c r="W276" s="374"/>
      <c r="X276" s="375"/>
      <c r="Y276" s="45" t="s">
        <v>615</v>
      </c>
      <c r="Z276" s="376"/>
      <c r="AA276" s="240"/>
      <c r="AB276" s="345">
        <v>1</v>
      </c>
      <c r="AC276" s="271"/>
      <c r="AD276" s="272"/>
      <c r="AE276" s="273"/>
      <c r="AF276" s="273"/>
      <c r="AG276" s="274"/>
      <c r="AH276" s="275"/>
      <c r="AI276" s="272"/>
      <c r="AJ276" s="276"/>
      <c r="AK276" s="277"/>
      <c r="AL276" s="278"/>
      <c r="AM276" s="277"/>
      <c r="AN276" s="279"/>
      <c r="AO276" s="279"/>
      <c r="AP276" s="279"/>
      <c r="AQ276" s="378"/>
      <c r="AR276" s="305">
        <f>'预算书-初步'!$F$10</f>
        <v>0.09</v>
      </c>
      <c r="AT276" s="272"/>
      <c r="BC276" s="272" t="s">
        <v>521</v>
      </c>
      <c r="BD276" s="380">
        <v>1015</v>
      </c>
      <c r="BE276" s="347" t="s">
        <v>700</v>
      </c>
    </row>
    <row r="277" s="52" customFormat="1" ht="15.75" customHeight="1" spans="1:57">
      <c r="A277" s="227"/>
      <c r="B277" s="332"/>
      <c r="C277" s="228"/>
      <c r="D277" s="333"/>
      <c r="E277" s="334"/>
      <c r="F277" s="229"/>
      <c r="G277" s="333"/>
      <c r="H277" s="335"/>
      <c r="I277" s="229"/>
      <c r="J277" s="229"/>
      <c r="K277" s="336"/>
      <c r="L277" s="337"/>
      <c r="M277" s="337"/>
      <c r="N277" s="337"/>
      <c r="O277" s="337"/>
      <c r="P277" s="337"/>
      <c r="Q277" s="381">
        <v>1650</v>
      </c>
      <c r="R277" s="271">
        <f t="shared" si="23"/>
        <v>0</v>
      </c>
      <c r="S277" s="339">
        <f t="shared" si="22"/>
        <v>0</v>
      </c>
      <c r="T277" s="373"/>
      <c r="U277" s="373">
        <f>FA!I$89</f>
        <v>0</v>
      </c>
      <c r="V277" s="274"/>
      <c r="W277" s="374"/>
      <c r="X277" s="375"/>
      <c r="Y277" s="45" t="s">
        <v>616</v>
      </c>
      <c r="Z277" s="376"/>
      <c r="AA277" s="240"/>
      <c r="AB277" s="345">
        <v>1</v>
      </c>
      <c r="AC277" s="271"/>
      <c r="AD277" s="272"/>
      <c r="AE277" s="273"/>
      <c r="AF277" s="273"/>
      <c r="AG277" s="274"/>
      <c r="AH277" s="275"/>
      <c r="AI277" s="272"/>
      <c r="AJ277" s="276"/>
      <c r="AK277" s="277"/>
      <c r="AL277" s="278"/>
      <c r="AM277" s="277"/>
      <c r="AN277" s="279"/>
      <c r="AO277" s="279"/>
      <c r="AP277" s="279"/>
      <c r="AQ277" s="378"/>
      <c r="AR277" s="305">
        <f>'预算书-初步'!$F$10</f>
        <v>0.09</v>
      </c>
      <c r="AT277" s="272"/>
      <c r="BC277" s="272" t="s">
        <v>521</v>
      </c>
      <c r="BD277" s="380">
        <v>1078</v>
      </c>
      <c r="BE277" s="347" t="s">
        <v>700</v>
      </c>
    </row>
    <row r="278" s="52" customFormat="1" ht="15.75" customHeight="1" spans="1:57">
      <c r="A278" s="227"/>
      <c r="B278" s="332"/>
      <c r="C278" s="228"/>
      <c r="D278" s="333"/>
      <c r="E278" s="334"/>
      <c r="F278" s="229"/>
      <c r="G278" s="333"/>
      <c r="H278" s="335"/>
      <c r="I278" s="229"/>
      <c r="J278" s="229"/>
      <c r="K278" s="336"/>
      <c r="L278" s="337"/>
      <c r="M278" s="337"/>
      <c r="N278" s="337"/>
      <c r="O278" s="337"/>
      <c r="P278" s="337"/>
      <c r="Q278" s="384">
        <v>3711</v>
      </c>
      <c r="R278" s="271">
        <f t="shared" si="23"/>
        <v>0</v>
      </c>
      <c r="S278" s="339">
        <f t="shared" si="22"/>
        <v>0</v>
      </c>
      <c r="T278" s="373"/>
      <c r="U278" s="373">
        <f>SUMIF(其他!$A$9:$A$65,"3711",其他!$G$9:$G$65)</f>
        <v>0</v>
      </c>
      <c r="V278" s="274"/>
      <c r="W278" s="374"/>
      <c r="X278" s="375"/>
      <c r="Y278" s="45" t="s">
        <v>617</v>
      </c>
      <c r="Z278" s="376"/>
      <c r="AA278" s="240"/>
      <c r="AB278" s="345">
        <v>1</v>
      </c>
      <c r="AC278" s="271"/>
      <c r="AD278" s="272"/>
      <c r="AE278" s="273"/>
      <c r="AF278" s="273"/>
      <c r="AG278" s="274"/>
      <c r="AH278" s="275"/>
      <c r="AI278" s="272"/>
      <c r="AJ278" s="276"/>
      <c r="AK278" s="277"/>
      <c r="AL278" s="278"/>
      <c r="AM278" s="277"/>
      <c r="AN278" s="279"/>
      <c r="AO278" s="279"/>
      <c r="AP278" s="279"/>
      <c r="AQ278" s="378"/>
      <c r="AR278" s="305">
        <f>'预算书-初步'!$F$10</f>
        <v>0.09</v>
      </c>
      <c r="AT278" s="272"/>
      <c r="BC278" s="272" t="s">
        <v>521</v>
      </c>
      <c r="BD278" s="380">
        <v>1082</v>
      </c>
      <c r="BE278" s="347" t="s">
        <v>700</v>
      </c>
    </row>
    <row r="279" s="52" customFormat="1" ht="15.75" customHeight="1" spans="1:57">
      <c r="A279" s="227"/>
      <c r="B279" s="332"/>
      <c r="C279" s="228"/>
      <c r="D279" s="333"/>
      <c r="E279" s="334"/>
      <c r="F279" s="229"/>
      <c r="G279" s="333"/>
      <c r="H279" s="335"/>
      <c r="I279" s="229"/>
      <c r="J279" s="229"/>
      <c r="K279" s="336"/>
      <c r="L279" s="337"/>
      <c r="M279" s="337"/>
      <c r="N279" s="337"/>
      <c r="O279" s="337"/>
      <c r="P279" s="337"/>
      <c r="Q279" s="384">
        <v>3712</v>
      </c>
      <c r="R279" s="271">
        <f t="shared" si="23"/>
        <v>0</v>
      </c>
      <c r="S279" s="339">
        <f t="shared" si="22"/>
        <v>0</v>
      </c>
      <c r="T279" s="373"/>
      <c r="U279" s="373">
        <f>SUMIF(其他!$A$9:$A$65,"3712",其他!$G$9:$G$65)</f>
        <v>0</v>
      </c>
      <c r="V279" s="274"/>
      <c r="W279" s="374"/>
      <c r="X279" s="375"/>
      <c r="Y279" s="45" t="s">
        <v>618</v>
      </c>
      <c r="Z279" s="376"/>
      <c r="AA279" s="240"/>
      <c r="AB279" s="345">
        <v>1</v>
      </c>
      <c r="AC279" s="271"/>
      <c r="AD279" s="272"/>
      <c r="AE279" s="273"/>
      <c r="AF279" s="273"/>
      <c r="AG279" s="274"/>
      <c r="AH279" s="275"/>
      <c r="AI279" s="272"/>
      <c r="AJ279" s="276"/>
      <c r="AK279" s="277"/>
      <c r="AL279" s="278"/>
      <c r="AM279" s="277"/>
      <c r="AN279" s="279"/>
      <c r="AO279" s="279"/>
      <c r="AP279" s="279"/>
      <c r="AQ279" s="378"/>
      <c r="AR279" s="305">
        <f>'预算书-初步'!$F$10</f>
        <v>0.09</v>
      </c>
      <c r="AT279" s="272"/>
      <c r="BC279" s="272" t="s">
        <v>521</v>
      </c>
      <c r="BD279" s="380">
        <v>1082</v>
      </c>
      <c r="BE279" s="347" t="s">
        <v>700</v>
      </c>
    </row>
    <row r="280" s="52" customFormat="1" ht="15.75" customHeight="1" spans="1:57">
      <c r="A280" s="227"/>
      <c r="B280" s="332"/>
      <c r="C280" s="228"/>
      <c r="D280" s="333"/>
      <c r="E280" s="334"/>
      <c r="F280" s="229"/>
      <c r="G280" s="333"/>
      <c r="H280" s="335"/>
      <c r="I280" s="229"/>
      <c r="J280" s="229"/>
      <c r="K280" s="336"/>
      <c r="L280" s="337"/>
      <c r="M280" s="337"/>
      <c r="N280" s="337"/>
      <c r="O280" s="337"/>
      <c r="P280" s="337"/>
      <c r="Q280" s="384">
        <v>3713</v>
      </c>
      <c r="R280" s="271">
        <f t="shared" si="23"/>
        <v>0</v>
      </c>
      <c r="S280" s="339">
        <f t="shared" si="22"/>
        <v>0</v>
      </c>
      <c r="T280" s="373"/>
      <c r="U280" s="373">
        <f>SUMIF(其他!$A$9:$A$65,"3713",其他!$G$9:$G$65)</f>
        <v>0</v>
      </c>
      <c r="V280" s="274"/>
      <c r="W280" s="374"/>
      <c r="X280" s="375"/>
      <c r="Y280" s="45" t="s">
        <v>619</v>
      </c>
      <c r="Z280" s="376"/>
      <c r="AA280" s="240"/>
      <c r="AB280" s="345">
        <v>1</v>
      </c>
      <c r="AC280" s="271"/>
      <c r="AD280" s="272"/>
      <c r="AE280" s="273"/>
      <c r="AF280" s="273"/>
      <c r="AG280" s="274"/>
      <c r="AH280" s="275"/>
      <c r="AI280" s="272"/>
      <c r="AJ280" s="276"/>
      <c r="AK280" s="277"/>
      <c r="AL280" s="278"/>
      <c r="AM280" s="277"/>
      <c r="AN280" s="279"/>
      <c r="AO280" s="279"/>
      <c r="AP280" s="279"/>
      <c r="AQ280" s="378"/>
      <c r="AR280" s="305">
        <f>'预算书-初步'!$F$10</f>
        <v>0.09</v>
      </c>
      <c r="AT280" s="272"/>
      <c r="BC280" s="272" t="s">
        <v>521</v>
      </c>
      <c r="BD280" s="380">
        <v>1082</v>
      </c>
      <c r="BE280" s="347" t="s">
        <v>700</v>
      </c>
    </row>
    <row r="281" s="52" customFormat="1" ht="15.75" customHeight="1" spans="1:57">
      <c r="A281" s="227"/>
      <c r="B281" s="332"/>
      <c r="C281" s="228"/>
      <c r="D281" s="333"/>
      <c r="E281" s="334"/>
      <c r="F281" s="229"/>
      <c r="G281" s="333"/>
      <c r="H281" s="335"/>
      <c r="I281" s="229"/>
      <c r="J281" s="229"/>
      <c r="K281" s="336"/>
      <c r="L281" s="337"/>
      <c r="M281" s="337"/>
      <c r="N281" s="337"/>
      <c r="O281" s="337"/>
      <c r="P281" s="337"/>
      <c r="Q281" s="384">
        <v>3714</v>
      </c>
      <c r="R281" s="271">
        <f t="shared" si="23"/>
        <v>0</v>
      </c>
      <c r="S281" s="339">
        <f t="shared" si="22"/>
        <v>0</v>
      </c>
      <c r="T281" s="373"/>
      <c r="U281" s="373">
        <f>SUMIF(其他!$A$9:$A$65,"3714",其他!$G$9:$G$65)</f>
        <v>0</v>
      </c>
      <c r="V281" s="274"/>
      <c r="W281" s="374"/>
      <c r="X281" s="375"/>
      <c r="Y281" s="45" t="s">
        <v>620</v>
      </c>
      <c r="Z281" s="376"/>
      <c r="AA281" s="240"/>
      <c r="AB281" s="345">
        <v>1</v>
      </c>
      <c r="AC281" s="271"/>
      <c r="AD281" s="272"/>
      <c r="AE281" s="273"/>
      <c r="AF281" s="273"/>
      <c r="AG281" s="274"/>
      <c r="AH281" s="275"/>
      <c r="AI281" s="272"/>
      <c r="AJ281" s="276"/>
      <c r="AK281" s="277"/>
      <c r="AL281" s="278"/>
      <c r="AM281" s="277"/>
      <c r="AN281" s="279"/>
      <c r="AO281" s="279"/>
      <c r="AP281" s="279"/>
      <c r="AQ281" s="378"/>
      <c r="AR281" s="305">
        <f>'预算书-初步'!$F$10</f>
        <v>0.09</v>
      </c>
      <c r="AT281" s="272"/>
      <c r="BC281" s="272" t="s">
        <v>521</v>
      </c>
      <c r="BD281" s="380">
        <v>1082</v>
      </c>
      <c r="BE281" s="347" t="s">
        <v>700</v>
      </c>
    </row>
    <row r="282" s="52" customFormat="1" ht="15.75" customHeight="1" spans="1:57">
      <c r="A282" s="227"/>
      <c r="B282" s="332"/>
      <c r="C282" s="228"/>
      <c r="D282" s="333"/>
      <c r="E282" s="334"/>
      <c r="F282" s="229"/>
      <c r="G282" s="333"/>
      <c r="H282" s="335"/>
      <c r="I282" s="229"/>
      <c r="J282" s="229"/>
      <c r="K282" s="336"/>
      <c r="L282" s="337"/>
      <c r="M282" s="337"/>
      <c r="N282" s="337"/>
      <c r="O282" s="337"/>
      <c r="P282" s="337"/>
      <c r="Q282" s="384">
        <v>3792</v>
      </c>
      <c r="R282" s="271">
        <f t="shared" si="23"/>
        <v>0</v>
      </c>
      <c r="S282" s="339">
        <f t="shared" si="22"/>
        <v>0</v>
      </c>
      <c r="T282" s="373"/>
      <c r="U282" s="373">
        <f>SUMIF(其他!$A$9:$A$65,"3792",其他!$G$9:$G$65)</f>
        <v>0</v>
      </c>
      <c r="V282" s="274"/>
      <c r="W282" s="374"/>
      <c r="X282" s="375"/>
      <c r="Y282" s="45" t="s">
        <v>621</v>
      </c>
      <c r="Z282" s="376"/>
      <c r="AA282" s="240"/>
      <c r="AB282" s="345">
        <v>1</v>
      </c>
      <c r="AC282" s="271"/>
      <c r="AD282" s="272"/>
      <c r="AE282" s="273"/>
      <c r="AF282" s="273"/>
      <c r="AG282" s="274"/>
      <c r="AH282" s="275"/>
      <c r="AI282" s="272"/>
      <c r="AJ282" s="276"/>
      <c r="AK282" s="277"/>
      <c r="AL282" s="278"/>
      <c r="AM282" s="277"/>
      <c r="AN282" s="279"/>
      <c r="AO282" s="279"/>
      <c r="AP282" s="279"/>
      <c r="AQ282" s="378"/>
      <c r="AR282" s="305">
        <f>'预算书-初步'!$F$10</f>
        <v>0.09</v>
      </c>
      <c r="AT282" s="272"/>
      <c r="BC282" s="272" t="s">
        <v>521</v>
      </c>
      <c r="BD282" s="380">
        <v>1085</v>
      </c>
      <c r="BE282" s="347" t="s">
        <v>700</v>
      </c>
    </row>
    <row r="283" s="52" customFormat="1" ht="15.75" customHeight="1" spans="1:57">
      <c r="A283" s="227"/>
      <c r="B283" s="332"/>
      <c r="C283" s="228"/>
      <c r="D283" s="333"/>
      <c r="E283" s="334"/>
      <c r="F283" s="229"/>
      <c r="G283" s="333"/>
      <c r="H283" s="335"/>
      <c r="I283" s="229"/>
      <c r="J283" s="229"/>
      <c r="K283" s="336"/>
      <c r="L283" s="337"/>
      <c r="M283" s="337"/>
      <c r="N283" s="337"/>
      <c r="O283" s="337"/>
      <c r="P283" s="337"/>
      <c r="Q283" s="384">
        <v>3793</v>
      </c>
      <c r="R283" s="271">
        <f t="shared" si="23"/>
        <v>0</v>
      </c>
      <c r="S283" s="339">
        <f t="shared" si="22"/>
        <v>0</v>
      </c>
      <c r="T283" s="373"/>
      <c r="U283" s="373">
        <f>SUMIF(其他!$A$9:$A$65,"3793",其他!$G$9:$G$65)</f>
        <v>0</v>
      </c>
      <c r="V283" s="274"/>
      <c r="W283" s="374"/>
      <c r="X283" s="375"/>
      <c r="Y283" s="45" t="s">
        <v>622</v>
      </c>
      <c r="Z283" s="376"/>
      <c r="AA283" s="240"/>
      <c r="AB283" s="345">
        <v>1</v>
      </c>
      <c r="AC283" s="271"/>
      <c r="AD283" s="272"/>
      <c r="AE283" s="273"/>
      <c r="AF283" s="273"/>
      <c r="AG283" s="274"/>
      <c r="AH283" s="275"/>
      <c r="AI283" s="272"/>
      <c r="AJ283" s="276"/>
      <c r="AK283" s="277"/>
      <c r="AL283" s="278"/>
      <c r="AM283" s="277"/>
      <c r="AN283" s="279"/>
      <c r="AO283" s="279"/>
      <c r="AP283" s="279"/>
      <c r="AQ283" s="378"/>
      <c r="AR283" s="305">
        <f>'预算书-初步'!$F$10</f>
        <v>0.09</v>
      </c>
      <c r="AT283" s="272"/>
      <c r="BC283" s="272" t="s">
        <v>521</v>
      </c>
      <c r="BD283" s="380">
        <v>1085</v>
      </c>
      <c r="BE283" s="347" t="s">
        <v>700</v>
      </c>
    </row>
    <row r="284" s="52" customFormat="1" ht="15.75" customHeight="1" spans="1:57">
      <c r="A284" s="227"/>
      <c r="B284" s="332"/>
      <c r="C284" s="228"/>
      <c r="D284" s="333"/>
      <c r="E284" s="334"/>
      <c r="F284" s="229"/>
      <c r="G284" s="333"/>
      <c r="H284" s="335"/>
      <c r="I284" s="229"/>
      <c r="J284" s="229"/>
      <c r="K284" s="336"/>
      <c r="L284" s="337"/>
      <c r="M284" s="337"/>
      <c r="N284" s="337"/>
      <c r="O284" s="337"/>
      <c r="P284" s="337"/>
      <c r="Q284" s="384">
        <v>3794</v>
      </c>
      <c r="R284" s="271">
        <f t="shared" si="23"/>
        <v>0</v>
      </c>
      <c r="S284" s="339">
        <f t="shared" si="22"/>
        <v>0</v>
      </c>
      <c r="T284" s="373"/>
      <c r="U284" s="373">
        <f>SUMIF(其他!$A$9:$A$65,"3794",其他!$G$9:$G$65)</f>
        <v>0</v>
      </c>
      <c r="V284" s="274"/>
      <c r="W284" s="374"/>
      <c r="X284" s="375"/>
      <c r="Y284" s="45" t="s">
        <v>623</v>
      </c>
      <c r="Z284" s="376"/>
      <c r="AA284" s="240"/>
      <c r="AB284" s="345">
        <v>1</v>
      </c>
      <c r="AC284" s="271"/>
      <c r="AD284" s="272"/>
      <c r="AE284" s="273"/>
      <c r="AF284" s="273"/>
      <c r="AG284" s="274"/>
      <c r="AH284" s="275"/>
      <c r="AI284" s="272"/>
      <c r="AJ284" s="276"/>
      <c r="AK284" s="277"/>
      <c r="AL284" s="278"/>
      <c r="AM284" s="277"/>
      <c r="AN284" s="279"/>
      <c r="AO284" s="279"/>
      <c r="AP284" s="279"/>
      <c r="AQ284" s="378"/>
      <c r="AR284" s="305">
        <f>'预算书-初步'!$F$10</f>
        <v>0.09</v>
      </c>
      <c r="AT284" s="272"/>
      <c r="BC284" s="272" t="s">
        <v>521</v>
      </c>
      <c r="BD284" s="380">
        <v>1085</v>
      </c>
      <c r="BE284" s="347" t="s">
        <v>700</v>
      </c>
    </row>
    <row r="285" s="52" customFormat="1" ht="15.75" customHeight="1" spans="1:57">
      <c r="A285" s="227"/>
      <c r="B285" s="332"/>
      <c r="C285" s="228"/>
      <c r="D285" s="333"/>
      <c r="E285" s="334"/>
      <c r="F285" s="229"/>
      <c r="G285" s="333"/>
      <c r="H285" s="335"/>
      <c r="I285" s="229"/>
      <c r="J285" s="229"/>
      <c r="K285" s="336"/>
      <c r="L285" s="337"/>
      <c r="M285" s="337"/>
      <c r="N285" s="337"/>
      <c r="O285" s="337"/>
      <c r="P285" s="337"/>
      <c r="Q285" s="384">
        <v>8110</v>
      </c>
      <c r="R285" s="271">
        <f t="shared" si="23"/>
        <v>0</v>
      </c>
      <c r="S285" s="339">
        <f t="shared" si="22"/>
        <v>0</v>
      </c>
      <c r="T285" s="373"/>
      <c r="U285" s="373">
        <f>FA!I$99</f>
        <v>0</v>
      </c>
      <c r="V285" s="274"/>
      <c r="W285" s="374"/>
      <c r="X285" s="375"/>
      <c r="Y285" s="45" t="s">
        <v>624</v>
      </c>
      <c r="Z285" s="376"/>
      <c r="AA285" s="240"/>
      <c r="AB285" s="345">
        <v>1</v>
      </c>
      <c r="AC285" s="271"/>
      <c r="AD285" s="272"/>
      <c r="AE285" s="273"/>
      <c r="AF285" s="273"/>
      <c r="AG285" s="274"/>
      <c r="AH285" s="275"/>
      <c r="AI285" s="272"/>
      <c r="AJ285" s="276"/>
      <c r="AK285" s="277"/>
      <c r="AL285" s="278"/>
      <c r="AM285" s="277"/>
      <c r="AN285" s="279"/>
      <c r="AO285" s="279"/>
      <c r="AP285" s="279"/>
      <c r="AQ285" s="378"/>
      <c r="AR285" s="305">
        <f>'预算书-初步'!$F$10</f>
        <v>0.09</v>
      </c>
      <c r="AT285" s="272"/>
      <c r="BC285" s="272" t="s">
        <v>521</v>
      </c>
      <c r="BD285" s="380">
        <v>1088</v>
      </c>
      <c r="BE285" s="347" t="s">
        <v>700</v>
      </c>
    </row>
    <row r="286" s="52" customFormat="1" ht="15.75" customHeight="1" spans="1:57">
      <c r="A286" s="227"/>
      <c r="B286" s="332"/>
      <c r="C286" s="228"/>
      <c r="D286" s="333"/>
      <c r="E286" s="334"/>
      <c r="F286" s="229"/>
      <c r="G286" s="333"/>
      <c r="H286" s="335"/>
      <c r="I286" s="229"/>
      <c r="J286" s="229"/>
      <c r="K286" s="336"/>
      <c r="L286" s="337"/>
      <c r="M286" s="337"/>
      <c r="N286" s="337"/>
      <c r="O286" s="337"/>
      <c r="P286" s="337"/>
      <c r="Q286" s="384">
        <v>8120</v>
      </c>
      <c r="R286" s="271">
        <f t="shared" si="23"/>
        <v>0</v>
      </c>
      <c r="S286" s="339">
        <f t="shared" si="22"/>
        <v>0</v>
      </c>
      <c r="T286" s="373"/>
      <c r="U286" s="373">
        <f>FA!I$100</f>
        <v>0</v>
      </c>
      <c r="V286" s="274"/>
      <c r="W286" s="374"/>
      <c r="X286" s="375"/>
      <c r="Y286" s="385" t="s">
        <v>625</v>
      </c>
      <c r="Z286" s="376"/>
      <c r="AA286" s="240"/>
      <c r="AB286" s="345">
        <v>1</v>
      </c>
      <c r="AC286" s="271"/>
      <c r="AD286" s="272"/>
      <c r="AE286" s="273"/>
      <c r="AF286" s="273"/>
      <c r="AG286" s="274"/>
      <c r="AH286" s="275"/>
      <c r="AI286" s="272"/>
      <c r="AJ286" s="276"/>
      <c r="AK286" s="277"/>
      <c r="AL286" s="278"/>
      <c r="AM286" s="277"/>
      <c r="AN286" s="279"/>
      <c r="AO286" s="279"/>
      <c r="AP286" s="279"/>
      <c r="AQ286" s="378"/>
      <c r="AR286" s="305">
        <f>'预算书-初步'!$F$10</f>
        <v>0.09</v>
      </c>
      <c r="AT286" s="272"/>
      <c r="BC286" s="272" t="s">
        <v>521</v>
      </c>
      <c r="BD286" s="380">
        <v>1089</v>
      </c>
      <c r="BE286" s="347" t="s">
        <v>700</v>
      </c>
    </row>
    <row r="287" s="52" customFormat="1" ht="15.75" customHeight="1" spans="1:57">
      <c r="A287" s="227"/>
      <c r="B287" s="332"/>
      <c r="C287" s="228"/>
      <c r="D287" s="333"/>
      <c r="E287" s="334"/>
      <c r="F287" s="229"/>
      <c r="G287" s="333"/>
      <c r="H287" s="335"/>
      <c r="I287" s="229"/>
      <c r="J287" s="229"/>
      <c r="K287" s="336"/>
      <c r="L287" s="337"/>
      <c r="M287" s="337"/>
      <c r="N287" s="337"/>
      <c r="O287" s="337"/>
      <c r="P287" s="337"/>
      <c r="Q287" s="384">
        <v>8130</v>
      </c>
      <c r="R287" s="271">
        <f t="shared" si="23"/>
        <v>0</v>
      </c>
      <c r="S287" s="339">
        <f t="shared" si="22"/>
        <v>0</v>
      </c>
      <c r="T287" s="373"/>
      <c r="U287" s="373">
        <f>FA!I$101</f>
        <v>0</v>
      </c>
      <c r="V287" s="274"/>
      <c r="W287" s="374"/>
      <c r="X287" s="375"/>
      <c r="Y287" s="365" t="s">
        <v>626</v>
      </c>
      <c r="Z287" s="376"/>
      <c r="AA287" s="240"/>
      <c r="AB287" s="345">
        <v>1</v>
      </c>
      <c r="AC287" s="271"/>
      <c r="AD287" s="272"/>
      <c r="AE287" s="273"/>
      <c r="AF287" s="273"/>
      <c r="AG287" s="274"/>
      <c r="AH287" s="275"/>
      <c r="AI287" s="272"/>
      <c r="AJ287" s="276"/>
      <c r="AK287" s="277"/>
      <c r="AL287" s="278"/>
      <c r="AM287" s="277"/>
      <c r="AN287" s="279"/>
      <c r="AO287" s="279"/>
      <c r="AP287" s="279"/>
      <c r="AQ287" s="378"/>
      <c r="AR287" s="305">
        <f>'预算书-初步'!$F$10</f>
        <v>0.09</v>
      </c>
      <c r="AT287" s="272"/>
      <c r="BC287" s="272" t="s">
        <v>521</v>
      </c>
      <c r="BD287" s="380">
        <v>1090</v>
      </c>
      <c r="BE287" s="347" t="s">
        <v>700</v>
      </c>
    </row>
    <row r="288" s="52" customFormat="1" ht="15.75" customHeight="1" spans="1:57">
      <c r="A288" s="227"/>
      <c r="B288" s="332"/>
      <c r="C288" s="228"/>
      <c r="D288" s="333"/>
      <c r="E288" s="334"/>
      <c r="F288" s="229"/>
      <c r="G288" s="333"/>
      <c r="H288" s="335"/>
      <c r="I288" s="229"/>
      <c r="J288" s="229"/>
      <c r="K288" s="336"/>
      <c r="L288" s="337"/>
      <c r="M288" s="337"/>
      <c r="N288" s="337"/>
      <c r="O288" s="337"/>
      <c r="P288" s="337"/>
      <c r="Q288" s="384">
        <v>8140</v>
      </c>
      <c r="R288" s="271">
        <f t="shared" si="23"/>
        <v>0</v>
      </c>
      <c r="S288" s="339">
        <f t="shared" si="22"/>
        <v>0</v>
      </c>
      <c r="T288" s="373"/>
      <c r="U288" s="373">
        <f>FA!I$102</f>
        <v>0</v>
      </c>
      <c r="V288" s="274"/>
      <c r="W288" s="374"/>
      <c r="X288" s="375"/>
      <c r="Y288" s="385" t="s">
        <v>627</v>
      </c>
      <c r="Z288" s="376"/>
      <c r="AA288" s="240"/>
      <c r="AB288" s="345">
        <v>1</v>
      </c>
      <c r="AC288" s="271"/>
      <c r="AD288" s="272"/>
      <c r="AE288" s="273"/>
      <c r="AF288" s="273"/>
      <c r="AG288" s="274"/>
      <c r="AH288" s="275"/>
      <c r="AI288" s="272"/>
      <c r="AJ288" s="276"/>
      <c r="AK288" s="277"/>
      <c r="AL288" s="278"/>
      <c r="AM288" s="277"/>
      <c r="AN288" s="279"/>
      <c r="AO288" s="279"/>
      <c r="AP288" s="279"/>
      <c r="AQ288" s="378"/>
      <c r="AR288" s="305">
        <f>'预算书-初步'!$F$10</f>
        <v>0.09</v>
      </c>
      <c r="AT288" s="272"/>
      <c r="BC288" s="272" t="s">
        <v>521</v>
      </c>
      <c r="BD288" s="380">
        <v>1091</v>
      </c>
      <c r="BE288" s="347" t="s">
        <v>700</v>
      </c>
    </row>
    <row r="289" s="52" customFormat="1" ht="15.75" customHeight="1" spans="1:57">
      <c r="A289" s="227"/>
      <c r="B289" s="332"/>
      <c r="C289" s="228"/>
      <c r="D289" s="333"/>
      <c r="E289" s="334"/>
      <c r="F289" s="229"/>
      <c r="G289" s="333"/>
      <c r="H289" s="335"/>
      <c r="I289" s="229"/>
      <c r="J289" s="229"/>
      <c r="K289" s="336"/>
      <c r="L289" s="337"/>
      <c r="M289" s="337"/>
      <c r="N289" s="337"/>
      <c r="O289" s="337"/>
      <c r="P289" s="337"/>
      <c r="Q289" s="384">
        <v>8150</v>
      </c>
      <c r="R289" s="271">
        <f t="shared" si="23"/>
        <v>0</v>
      </c>
      <c r="S289" s="339">
        <f t="shared" si="22"/>
        <v>0</v>
      </c>
      <c r="T289" s="373"/>
      <c r="U289" s="373">
        <f>FA!I$103</f>
        <v>0</v>
      </c>
      <c r="V289" s="274"/>
      <c r="W289" s="374"/>
      <c r="X289" s="375"/>
      <c r="Y289" s="365" t="s">
        <v>628</v>
      </c>
      <c r="Z289" s="376"/>
      <c r="AA289" s="240"/>
      <c r="AB289" s="345">
        <v>1</v>
      </c>
      <c r="AC289" s="271"/>
      <c r="AD289" s="272"/>
      <c r="AE289" s="273"/>
      <c r="AF289" s="273"/>
      <c r="AG289" s="274"/>
      <c r="AH289" s="275"/>
      <c r="AI289" s="272"/>
      <c r="AJ289" s="276"/>
      <c r="AK289" s="277"/>
      <c r="AL289" s="278"/>
      <c r="AM289" s="277"/>
      <c r="AN289" s="279"/>
      <c r="AO289" s="279"/>
      <c r="AP289" s="279"/>
      <c r="AQ289" s="378"/>
      <c r="AR289" s="305">
        <f>'预算书-初步'!$F$10</f>
        <v>0.09</v>
      </c>
      <c r="AT289" s="272"/>
      <c r="BC289" s="272" t="s">
        <v>521</v>
      </c>
      <c r="BD289" s="380">
        <v>1092</v>
      </c>
      <c r="BE289" s="347" t="s">
        <v>700</v>
      </c>
    </row>
    <row r="290" s="52" customFormat="1" ht="15.75" customHeight="1" spans="1:57">
      <c r="A290" s="227"/>
      <c r="B290" s="332"/>
      <c r="C290" s="228"/>
      <c r="D290" s="333"/>
      <c r="E290" s="334"/>
      <c r="F290" s="229"/>
      <c r="G290" s="333"/>
      <c r="H290" s="335"/>
      <c r="I290" s="229"/>
      <c r="J290" s="229"/>
      <c r="K290" s="336"/>
      <c r="L290" s="337"/>
      <c r="M290" s="337"/>
      <c r="N290" s="337"/>
      <c r="O290" s="337"/>
      <c r="P290" s="337"/>
      <c r="Q290" s="384">
        <v>8160</v>
      </c>
      <c r="R290" s="271">
        <f t="shared" si="23"/>
        <v>0</v>
      </c>
      <c r="S290" s="339">
        <f t="shared" si="22"/>
        <v>0</v>
      </c>
      <c r="T290" s="373"/>
      <c r="U290" s="373">
        <f>FA!I$104</f>
        <v>0</v>
      </c>
      <c r="V290" s="274"/>
      <c r="W290" s="374"/>
      <c r="X290" s="375"/>
      <c r="Y290" s="365" t="s">
        <v>629</v>
      </c>
      <c r="Z290" s="376"/>
      <c r="AA290" s="240"/>
      <c r="AB290" s="345">
        <v>1</v>
      </c>
      <c r="AC290" s="271"/>
      <c r="AD290" s="272"/>
      <c r="AE290" s="273"/>
      <c r="AF290" s="273"/>
      <c r="AG290" s="274"/>
      <c r="AH290" s="275"/>
      <c r="AI290" s="272"/>
      <c r="AJ290" s="276"/>
      <c r="AK290" s="277"/>
      <c r="AL290" s="278"/>
      <c r="AM290" s="277"/>
      <c r="AN290" s="279"/>
      <c r="AO290" s="279"/>
      <c r="AP290" s="279"/>
      <c r="AQ290" s="378"/>
      <c r="AR290" s="305">
        <f>'预算书-初步'!$F$10</f>
        <v>0.09</v>
      </c>
      <c r="AT290" s="272"/>
      <c r="BC290" s="272" t="s">
        <v>521</v>
      </c>
      <c r="BD290" s="380">
        <v>1093</v>
      </c>
      <c r="BE290" s="347" t="s">
        <v>700</v>
      </c>
    </row>
    <row r="291" s="52" customFormat="1" ht="15.75" customHeight="1" spans="1:57">
      <c r="A291" s="227"/>
      <c r="B291" s="332"/>
      <c r="C291" s="228"/>
      <c r="D291" s="333"/>
      <c r="E291" s="334"/>
      <c r="F291" s="229"/>
      <c r="G291" s="333"/>
      <c r="H291" s="335"/>
      <c r="I291" s="229"/>
      <c r="J291" s="229"/>
      <c r="K291" s="336"/>
      <c r="L291" s="337"/>
      <c r="M291" s="337"/>
      <c r="N291" s="337"/>
      <c r="O291" s="337"/>
      <c r="P291" s="337"/>
      <c r="Q291" s="384">
        <v>8170</v>
      </c>
      <c r="R291" s="271">
        <f t="shared" si="23"/>
        <v>0</v>
      </c>
      <c r="S291" s="339">
        <f t="shared" si="22"/>
        <v>0</v>
      </c>
      <c r="T291" s="373"/>
      <c r="U291" s="373">
        <f>FA!I$105</f>
        <v>0</v>
      </c>
      <c r="V291" s="274"/>
      <c r="W291" s="374"/>
      <c r="X291" s="375"/>
      <c r="Y291" s="365" t="s">
        <v>630</v>
      </c>
      <c r="Z291" s="376"/>
      <c r="AA291" s="240"/>
      <c r="AB291" s="345">
        <v>1</v>
      </c>
      <c r="AC291" s="271"/>
      <c r="AD291" s="272"/>
      <c r="AE291" s="273"/>
      <c r="AF291" s="273"/>
      <c r="AG291" s="274"/>
      <c r="AH291" s="275"/>
      <c r="AI291" s="272"/>
      <c r="AJ291" s="276"/>
      <c r="AK291" s="277"/>
      <c r="AL291" s="278"/>
      <c r="AM291" s="277"/>
      <c r="AN291" s="279"/>
      <c r="AO291" s="279"/>
      <c r="AP291" s="279"/>
      <c r="AQ291" s="378"/>
      <c r="AR291" s="305">
        <f>'预算书-初步'!$F$10</f>
        <v>0.09</v>
      </c>
      <c r="AT291" s="272"/>
      <c r="BC291" s="272" t="s">
        <v>521</v>
      </c>
      <c r="BD291" s="380">
        <v>1094</v>
      </c>
      <c r="BE291" s="347" t="s">
        <v>700</v>
      </c>
    </row>
    <row r="292" s="52" customFormat="1" ht="15.75" customHeight="1" spans="1:57">
      <c r="A292" s="227"/>
      <c r="B292" s="332"/>
      <c r="C292" s="228"/>
      <c r="D292" s="333"/>
      <c r="E292" s="334"/>
      <c r="F292" s="229"/>
      <c r="G292" s="333"/>
      <c r="H292" s="335"/>
      <c r="I292" s="229"/>
      <c r="J292" s="229"/>
      <c r="K292" s="336"/>
      <c r="L292" s="337"/>
      <c r="M292" s="337"/>
      <c r="N292" s="337"/>
      <c r="O292" s="337"/>
      <c r="P292" s="337"/>
      <c r="Q292" s="384">
        <v>8180</v>
      </c>
      <c r="R292" s="271">
        <f t="shared" si="23"/>
        <v>0</v>
      </c>
      <c r="S292" s="339">
        <f t="shared" si="22"/>
        <v>0</v>
      </c>
      <c r="T292" s="373"/>
      <c r="U292" s="373">
        <f>FA!I$106</f>
        <v>0</v>
      </c>
      <c r="V292" s="274"/>
      <c r="W292" s="374"/>
      <c r="X292" s="375"/>
      <c r="Y292" s="386" t="s">
        <v>631</v>
      </c>
      <c r="Z292" s="376"/>
      <c r="AA292" s="240"/>
      <c r="AB292" s="345">
        <v>1</v>
      </c>
      <c r="AC292" s="271"/>
      <c r="AD292" s="272"/>
      <c r="AE292" s="273"/>
      <c r="AF292" s="273"/>
      <c r="AG292" s="274"/>
      <c r="AH292" s="275"/>
      <c r="AI292" s="272"/>
      <c r="AJ292" s="276"/>
      <c r="AK292" s="277"/>
      <c r="AL292" s="278"/>
      <c r="AM292" s="277"/>
      <c r="AN292" s="279"/>
      <c r="AO292" s="279"/>
      <c r="AP292" s="279"/>
      <c r="AQ292" s="378"/>
      <c r="AR292" s="305">
        <f>'预算书-初步'!$F$10</f>
        <v>0.09</v>
      </c>
      <c r="AT292" s="272"/>
      <c r="BC292" s="272" t="s">
        <v>521</v>
      </c>
      <c r="BD292" s="380">
        <v>1095</v>
      </c>
      <c r="BE292" s="347" t="s">
        <v>700</v>
      </c>
    </row>
    <row r="293" s="52" customFormat="1" ht="15.75" customHeight="1" spans="1:57">
      <c r="A293" s="227"/>
      <c r="B293" s="332"/>
      <c r="C293" s="228"/>
      <c r="D293" s="333"/>
      <c r="E293" s="334"/>
      <c r="F293" s="229"/>
      <c r="G293" s="333"/>
      <c r="H293" s="335"/>
      <c r="I293" s="229"/>
      <c r="J293" s="229"/>
      <c r="K293" s="336"/>
      <c r="L293" s="337"/>
      <c r="M293" s="337"/>
      <c r="N293" s="337"/>
      <c r="O293" s="337"/>
      <c r="P293" s="337"/>
      <c r="Q293" s="384">
        <v>8190</v>
      </c>
      <c r="R293" s="271">
        <f t="shared" si="23"/>
        <v>0</v>
      </c>
      <c r="S293" s="339">
        <f t="shared" si="22"/>
        <v>0</v>
      </c>
      <c r="T293" s="373"/>
      <c r="U293" s="373">
        <f>FA!I$107</f>
        <v>0</v>
      </c>
      <c r="V293" s="274"/>
      <c r="W293" s="374"/>
      <c r="X293" s="375"/>
      <c r="Y293" s="45" t="s">
        <v>632</v>
      </c>
      <c r="Z293" s="376"/>
      <c r="AA293" s="240"/>
      <c r="AB293" s="345">
        <v>1</v>
      </c>
      <c r="AC293" s="271"/>
      <c r="AD293" s="272"/>
      <c r="AE293" s="273"/>
      <c r="AF293" s="273"/>
      <c r="AG293" s="274"/>
      <c r="AH293" s="275"/>
      <c r="AI293" s="272"/>
      <c r="AJ293" s="276"/>
      <c r="AK293" s="277"/>
      <c r="AL293" s="278"/>
      <c r="AM293" s="277"/>
      <c r="AN293" s="279"/>
      <c r="AO293" s="279"/>
      <c r="AP293" s="279"/>
      <c r="AQ293" s="378"/>
      <c r="AR293" s="305">
        <f>'预算书-初步'!$F$10</f>
        <v>0.09</v>
      </c>
      <c r="AT293" s="272"/>
      <c r="BC293" s="272" t="s">
        <v>521</v>
      </c>
      <c r="BD293" s="380">
        <v>1096</v>
      </c>
      <c r="BE293" s="347" t="s">
        <v>700</v>
      </c>
    </row>
    <row r="294" s="52" customFormat="1" ht="15.75" customHeight="1" spans="1:57">
      <c r="A294" s="227"/>
      <c r="B294" s="332"/>
      <c r="C294" s="228"/>
      <c r="D294" s="333"/>
      <c r="E294" s="334"/>
      <c r="F294" s="229"/>
      <c r="G294" s="333"/>
      <c r="H294" s="335"/>
      <c r="I294" s="229"/>
      <c r="J294" s="229"/>
      <c r="K294" s="336"/>
      <c r="L294" s="337"/>
      <c r="M294" s="337"/>
      <c r="N294" s="337"/>
      <c r="O294" s="337"/>
      <c r="P294" s="337"/>
      <c r="Q294" s="381">
        <v>8210</v>
      </c>
      <c r="R294" s="271">
        <f t="shared" si="23"/>
        <v>0</v>
      </c>
      <c r="S294" s="339">
        <f t="shared" si="22"/>
        <v>0</v>
      </c>
      <c r="T294" s="373"/>
      <c r="U294" s="373">
        <f>SUMIF(其他!$A$9:$A$65,"8210",其他!$G$9:$G$65)</f>
        <v>0</v>
      </c>
      <c r="V294" s="274"/>
      <c r="W294" s="374"/>
      <c r="X294" s="375"/>
      <c r="Y294" s="45" t="s">
        <v>633</v>
      </c>
      <c r="Z294" s="376"/>
      <c r="AA294" s="240"/>
      <c r="AB294" s="345">
        <v>1</v>
      </c>
      <c r="AC294" s="271"/>
      <c r="AD294" s="272"/>
      <c r="AE294" s="273"/>
      <c r="AF294" s="273"/>
      <c r="AG294" s="274"/>
      <c r="AH294" s="275"/>
      <c r="AI294" s="272"/>
      <c r="AJ294" s="276"/>
      <c r="AK294" s="277"/>
      <c r="AL294" s="278"/>
      <c r="AM294" s="277"/>
      <c r="AN294" s="279"/>
      <c r="AO294" s="279"/>
      <c r="AP294" s="279"/>
      <c r="AQ294" s="378"/>
      <c r="AR294" s="305">
        <f>'预算书-初步'!$F$10</f>
        <v>0.09</v>
      </c>
      <c r="AT294" s="272"/>
      <c r="BC294" s="272" t="s">
        <v>521</v>
      </c>
      <c r="BD294" s="380">
        <v>1098</v>
      </c>
      <c r="BE294" s="347" t="s">
        <v>700</v>
      </c>
    </row>
    <row r="295" s="52" customFormat="1" ht="15.75" customHeight="1" spans="1:57">
      <c r="A295" s="227"/>
      <c r="B295" s="332"/>
      <c r="C295" s="228"/>
      <c r="D295" s="333"/>
      <c r="E295" s="334"/>
      <c r="F295" s="229"/>
      <c r="G295" s="333"/>
      <c r="H295" s="335"/>
      <c r="I295" s="229"/>
      <c r="J295" s="229"/>
      <c r="K295" s="336"/>
      <c r="L295" s="337"/>
      <c r="M295" s="337"/>
      <c r="N295" s="337"/>
      <c r="O295" s="337"/>
      <c r="P295" s="337"/>
      <c r="Q295" s="381">
        <v>8220</v>
      </c>
      <c r="R295" s="271">
        <f t="shared" si="23"/>
        <v>0</v>
      </c>
      <c r="S295" s="339">
        <f t="shared" si="22"/>
        <v>0</v>
      </c>
      <c r="T295" s="373"/>
      <c r="U295" s="373">
        <f>SUMIF(其他!$A$9:$A$65,"8220",其他!$G$9:$G$65)</f>
        <v>0</v>
      </c>
      <c r="V295" s="274"/>
      <c r="W295" s="374"/>
      <c r="X295" s="375"/>
      <c r="Y295" s="45" t="s">
        <v>634</v>
      </c>
      <c r="Z295" s="376"/>
      <c r="AA295" s="240"/>
      <c r="AB295" s="345">
        <v>1</v>
      </c>
      <c r="AC295" s="271"/>
      <c r="AD295" s="272"/>
      <c r="AE295" s="273"/>
      <c r="AF295" s="273"/>
      <c r="AG295" s="274"/>
      <c r="AH295" s="275"/>
      <c r="AI295" s="272"/>
      <c r="AJ295" s="276"/>
      <c r="AK295" s="277"/>
      <c r="AL295" s="278"/>
      <c r="AM295" s="277"/>
      <c r="AN295" s="279"/>
      <c r="AO295" s="279"/>
      <c r="AP295" s="279"/>
      <c r="AQ295" s="378"/>
      <c r="AR295" s="305">
        <f>'预算书-初步'!$F$10</f>
        <v>0.09</v>
      </c>
      <c r="AT295" s="272"/>
      <c r="BC295" s="272" t="s">
        <v>521</v>
      </c>
      <c r="BD295" s="380">
        <v>1098</v>
      </c>
      <c r="BE295" s="347" t="s">
        <v>700</v>
      </c>
    </row>
    <row r="296" s="52" customFormat="1" ht="15.75" customHeight="1" spans="1:57">
      <c r="A296" s="227"/>
      <c r="B296" s="332"/>
      <c r="C296" s="228"/>
      <c r="D296" s="333"/>
      <c r="E296" s="334"/>
      <c r="F296" s="229"/>
      <c r="G296" s="333"/>
      <c r="H296" s="335"/>
      <c r="I296" s="229"/>
      <c r="J296" s="229"/>
      <c r="K296" s="336"/>
      <c r="L296" s="337"/>
      <c r="M296" s="337"/>
      <c r="N296" s="337"/>
      <c r="O296" s="337"/>
      <c r="P296" s="337"/>
      <c r="Q296" s="381">
        <v>8230</v>
      </c>
      <c r="R296" s="271">
        <f t="shared" si="23"/>
        <v>0</v>
      </c>
      <c r="S296" s="339">
        <f t="shared" si="22"/>
        <v>0</v>
      </c>
      <c r="T296" s="373"/>
      <c r="U296" s="373">
        <f>SUMIF(其他!$A$9:$A$65,"8230",其他!$G$9:$G$65)</f>
        <v>0</v>
      </c>
      <c r="V296" s="274"/>
      <c r="W296" s="374"/>
      <c r="X296" s="375"/>
      <c r="Y296" s="45" t="s">
        <v>635</v>
      </c>
      <c r="Z296" s="376"/>
      <c r="AA296" s="240"/>
      <c r="AB296" s="345">
        <v>1</v>
      </c>
      <c r="AC296" s="271"/>
      <c r="AD296" s="272"/>
      <c r="AE296" s="273"/>
      <c r="AF296" s="273"/>
      <c r="AG296" s="274"/>
      <c r="AH296" s="275"/>
      <c r="AI296" s="272"/>
      <c r="AJ296" s="276"/>
      <c r="AK296" s="277"/>
      <c r="AL296" s="278"/>
      <c r="AM296" s="277"/>
      <c r="AN296" s="279"/>
      <c r="AO296" s="279"/>
      <c r="AP296" s="279"/>
      <c r="AQ296" s="378"/>
      <c r="AR296" s="305">
        <f>'预算书-初步'!$F$10</f>
        <v>0.09</v>
      </c>
      <c r="AT296" s="272"/>
      <c r="BC296" s="272" t="s">
        <v>521</v>
      </c>
      <c r="BD296" s="380">
        <v>1098</v>
      </c>
      <c r="BE296" s="347" t="s">
        <v>700</v>
      </c>
    </row>
    <row r="297" s="52" customFormat="1" ht="15.75" customHeight="1" spans="1:57">
      <c r="A297" s="227"/>
      <c r="B297" s="332"/>
      <c r="C297" s="228"/>
      <c r="D297" s="333"/>
      <c r="E297" s="334"/>
      <c r="F297" s="229"/>
      <c r="G297" s="333"/>
      <c r="H297" s="335"/>
      <c r="I297" s="229"/>
      <c r="J297" s="229"/>
      <c r="K297" s="336"/>
      <c r="L297" s="337"/>
      <c r="M297" s="337"/>
      <c r="N297" s="337"/>
      <c r="O297" s="337"/>
      <c r="P297" s="337"/>
      <c r="Q297" s="381">
        <v>8240</v>
      </c>
      <c r="R297" s="271">
        <f t="shared" si="23"/>
        <v>0</v>
      </c>
      <c r="S297" s="339">
        <f t="shared" si="22"/>
        <v>0</v>
      </c>
      <c r="T297" s="373"/>
      <c r="U297" s="373">
        <f>FA!I$110</f>
        <v>0</v>
      </c>
      <c r="V297" s="274"/>
      <c r="W297" s="374"/>
      <c r="X297" s="375"/>
      <c r="Y297" s="45" t="s">
        <v>636</v>
      </c>
      <c r="Z297" s="376"/>
      <c r="AA297" s="240"/>
      <c r="AB297" s="345">
        <v>1</v>
      </c>
      <c r="AC297" s="271"/>
      <c r="AD297" s="272"/>
      <c r="AE297" s="273"/>
      <c r="AF297" s="273"/>
      <c r="AG297" s="274"/>
      <c r="AH297" s="275"/>
      <c r="AI297" s="272"/>
      <c r="AJ297" s="276"/>
      <c r="AK297" s="277"/>
      <c r="AL297" s="278"/>
      <c r="AM297" s="277"/>
      <c r="AN297" s="279"/>
      <c r="AO297" s="279"/>
      <c r="AP297" s="279"/>
      <c r="AQ297" s="378"/>
      <c r="AR297" s="305">
        <f>'预算书-初步'!$F$10</f>
        <v>0.09</v>
      </c>
      <c r="AT297" s="272"/>
      <c r="BC297" s="272" t="s">
        <v>521</v>
      </c>
      <c r="BD297" s="380">
        <v>1099</v>
      </c>
      <c r="BE297" s="347" t="s">
        <v>700</v>
      </c>
    </row>
    <row r="298" s="52" customFormat="1" ht="15.75" customHeight="1" spans="1:57">
      <c r="A298" s="227"/>
      <c r="B298" s="332"/>
      <c r="C298" s="228"/>
      <c r="D298" s="333"/>
      <c r="E298" s="334"/>
      <c r="F298" s="229"/>
      <c r="G298" s="333"/>
      <c r="H298" s="335"/>
      <c r="I298" s="229"/>
      <c r="J298" s="229"/>
      <c r="K298" s="336"/>
      <c r="L298" s="337"/>
      <c r="M298" s="337"/>
      <c r="N298" s="337"/>
      <c r="O298" s="337"/>
      <c r="P298" s="337"/>
      <c r="Q298" s="381">
        <v>8250</v>
      </c>
      <c r="R298" s="271">
        <f t="shared" si="23"/>
        <v>0</v>
      </c>
      <c r="S298" s="339">
        <f t="shared" si="22"/>
        <v>0</v>
      </c>
      <c r="T298" s="373"/>
      <c r="U298" s="373">
        <f>FA!I$111</f>
        <v>0</v>
      </c>
      <c r="V298" s="274"/>
      <c r="W298" s="374"/>
      <c r="X298" s="375"/>
      <c r="Y298" s="45" t="s">
        <v>637</v>
      </c>
      <c r="Z298" s="376"/>
      <c r="AA298" s="240"/>
      <c r="AB298" s="345">
        <v>1</v>
      </c>
      <c r="AC298" s="271"/>
      <c r="AD298" s="272"/>
      <c r="AE298" s="273"/>
      <c r="AF298" s="273"/>
      <c r="AG298" s="274"/>
      <c r="AH298" s="275"/>
      <c r="AI298" s="272"/>
      <c r="AJ298" s="276"/>
      <c r="AK298" s="277"/>
      <c r="AL298" s="278"/>
      <c r="AM298" s="277"/>
      <c r="AN298" s="279"/>
      <c r="AO298" s="279"/>
      <c r="AP298" s="279"/>
      <c r="AQ298" s="378"/>
      <c r="AR298" s="305">
        <f>'预算书-初步'!$F$10</f>
        <v>0.09</v>
      </c>
      <c r="AT298" s="272"/>
      <c r="BC298" s="272" t="s">
        <v>521</v>
      </c>
      <c r="BD298" s="380">
        <v>1100</v>
      </c>
      <c r="BE298" s="347" t="s">
        <v>700</v>
      </c>
    </row>
    <row r="299" s="52" customFormat="1" ht="15.75" customHeight="1" spans="1:57">
      <c r="A299" s="227"/>
      <c r="B299" s="332"/>
      <c r="C299" s="228"/>
      <c r="D299" s="333"/>
      <c r="E299" s="334"/>
      <c r="F299" s="229"/>
      <c r="G299" s="333"/>
      <c r="H299" s="335"/>
      <c r="I299" s="229"/>
      <c r="J299" s="229"/>
      <c r="K299" s="336"/>
      <c r="L299" s="337"/>
      <c r="M299" s="337"/>
      <c r="N299" s="337"/>
      <c r="O299" s="337"/>
      <c r="P299" s="337"/>
      <c r="Q299" s="384">
        <v>8260</v>
      </c>
      <c r="R299" s="271">
        <f t="shared" si="23"/>
        <v>0</v>
      </c>
      <c r="S299" s="339">
        <f t="shared" si="22"/>
        <v>0</v>
      </c>
      <c r="T299" s="373"/>
      <c r="U299" s="373">
        <f>FA!I$112</f>
        <v>0</v>
      </c>
      <c r="V299" s="274"/>
      <c r="W299" s="374"/>
      <c r="X299" s="375"/>
      <c r="Y299" s="45" t="s">
        <v>638</v>
      </c>
      <c r="Z299" s="376"/>
      <c r="AA299" s="240"/>
      <c r="AB299" s="345">
        <v>1</v>
      </c>
      <c r="AC299" s="271"/>
      <c r="AD299" s="272"/>
      <c r="AE299" s="273"/>
      <c r="AF299" s="273"/>
      <c r="AG299" s="274"/>
      <c r="AH299" s="275"/>
      <c r="AI299" s="272"/>
      <c r="AJ299" s="276"/>
      <c r="AK299" s="277"/>
      <c r="AL299" s="278"/>
      <c r="AM299" s="277"/>
      <c r="AN299" s="279"/>
      <c r="AO299" s="279"/>
      <c r="AP299" s="279"/>
      <c r="AQ299" s="378"/>
      <c r="AR299" s="305">
        <f>'预算书-初步'!$F$10</f>
        <v>0.09</v>
      </c>
      <c r="AT299" s="272"/>
      <c r="BC299" s="272" t="s">
        <v>521</v>
      </c>
      <c r="BD299" s="380">
        <v>1101</v>
      </c>
      <c r="BE299" s="347" t="s">
        <v>700</v>
      </c>
    </row>
    <row r="300" s="52" customFormat="1" ht="15.75" customHeight="1" spans="1:57">
      <c r="A300" s="227"/>
      <c r="B300" s="332"/>
      <c r="C300" s="228"/>
      <c r="D300" s="333"/>
      <c r="E300" s="334"/>
      <c r="F300" s="229"/>
      <c r="G300" s="333"/>
      <c r="H300" s="335"/>
      <c r="I300" s="229"/>
      <c r="J300" s="229"/>
      <c r="K300" s="336"/>
      <c r="L300" s="337"/>
      <c r="M300" s="337"/>
      <c r="N300" s="337"/>
      <c r="O300" s="337"/>
      <c r="P300" s="337"/>
      <c r="Q300" s="384">
        <v>8431</v>
      </c>
      <c r="R300" s="271">
        <f t="shared" si="23"/>
        <v>0</v>
      </c>
      <c r="S300" s="339">
        <f t="shared" si="22"/>
        <v>0</v>
      </c>
      <c r="T300" s="373"/>
      <c r="U300" s="373">
        <f>SUMIF(其他!$A$9:$A$65,"8431",其他!$G$9:$G$65)</f>
        <v>0</v>
      </c>
      <c r="V300" s="274"/>
      <c r="W300" s="374"/>
      <c r="X300" s="375"/>
      <c r="Y300" s="45" t="s">
        <v>639</v>
      </c>
      <c r="Z300" s="376"/>
      <c r="AA300" s="240"/>
      <c r="AB300" s="345">
        <v>1</v>
      </c>
      <c r="AC300" s="271"/>
      <c r="AD300" s="272"/>
      <c r="AE300" s="273"/>
      <c r="AF300" s="273"/>
      <c r="AG300" s="274"/>
      <c r="AH300" s="275"/>
      <c r="AI300" s="272"/>
      <c r="AJ300" s="276"/>
      <c r="AK300" s="277"/>
      <c r="AL300" s="278"/>
      <c r="AM300" s="277"/>
      <c r="AN300" s="279"/>
      <c r="AO300" s="279"/>
      <c r="AP300" s="279"/>
      <c r="AQ300" s="378"/>
      <c r="AR300" s="305">
        <f>'预算书-初步'!$F$10</f>
        <v>0.09</v>
      </c>
      <c r="AT300" s="272"/>
      <c r="BC300" s="272" t="s">
        <v>521</v>
      </c>
      <c r="BD300" s="380">
        <v>1102</v>
      </c>
      <c r="BE300" s="347" t="s">
        <v>700</v>
      </c>
    </row>
    <row r="301" s="52" customFormat="1" ht="15.75" customHeight="1" spans="1:57">
      <c r="A301" s="227"/>
      <c r="B301" s="332"/>
      <c r="C301" s="228"/>
      <c r="D301" s="333"/>
      <c r="E301" s="334"/>
      <c r="F301" s="229"/>
      <c r="G301" s="333"/>
      <c r="H301" s="335"/>
      <c r="I301" s="229"/>
      <c r="J301" s="229"/>
      <c r="K301" s="336"/>
      <c r="L301" s="337"/>
      <c r="M301" s="337"/>
      <c r="N301" s="337"/>
      <c r="O301" s="337"/>
      <c r="P301" s="337"/>
      <c r="Q301" s="384">
        <v>8432</v>
      </c>
      <c r="R301" s="271">
        <f t="shared" si="23"/>
        <v>0</v>
      </c>
      <c r="S301" s="339">
        <f t="shared" si="22"/>
        <v>0</v>
      </c>
      <c r="T301" s="373"/>
      <c r="U301" s="373">
        <f>SUMIF(其他!$A$9:$A$65,"8432",其他!$G$9:$G$65)</f>
        <v>0</v>
      </c>
      <c r="V301" s="274"/>
      <c r="W301" s="374"/>
      <c r="X301" s="375"/>
      <c r="Y301" s="45" t="s">
        <v>640</v>
      </c>
      <c r="Z301" s="376"/>
      <c r="AA301" s="240"/>
      <c r="AB301" s="345">
        <v>1</v>
      </c>
      <c r="AC301" s="271"/>
      <c r="AD301" s="272"/>
      <c r="AE301" s="273"/>
      <c r="AF301" s="273"/>
      <c r="AG301" s="274"/>
      <c r="AH301" s="275"/>
      <c r="AI301" s="272"/>
      <c r="AJ301" s="276"/>
      <c r="AK301" s="277"/>
      <c r="AL301" s="278"/>
      <c r="AM301" s="277"/>
      <c r="AN301" s="279"/>
      <c r="AO301" s="279"/>
      <c r="AP301" s="279"/>
      <c r="AQ301" s="378"/>
      <c r="AR301" s="305">
        <f>'预算书-初步'!$F$10</f>
        <v>0.09</v>
      </c>
      <c r="AT301" s="272"/>
      <c r="BC301" s="272" t="s">
        <v>521</v>
      </c>
      <c r="BD301" s="380">
        <v>1102</v>
      </c>
      <c r="BE301" s="347" t="s">
        <v>700</v>
      </c>
    </row>
    <row r="302" s="52" customFormat="1" ht="15.75" customHeight="1" spans="1:57">
      <c r="A302" s="227"/>
      <c r="B302" s="332"/>
      <c r="C302" s="228"/>
      <c r="D302" s="333"/>
      <c r="E302" s="334"/>
      <c r="F302" s="229"/>
      <c r="G302" s="333"/>
      <c r="H302" s="335"/>
      <c r="I302" s="229"/>
      <c r="J302" s="229"/>
      <c r="K302" s="336"/>
      <c r="L302" s="337"/>
      <c r="M302" s="337"/>
      <c r="N302" s="337"/>
      <c r="O302" s="337"/>
      <c r="P302" s="337"/>
      <c r="Q302" s="384">
        <v>8433</v>
      </c>
      <c r="R302" s="271">
        <f t="shared" si="23"/>
        <v>0</v>
      </c>
      <c r="S302" s="339">
        <f t="shared" si="22"/>
        <v>0</v>
      </c>
      <c r="T302" s="373"/>
      <c r="U302" s="373">
        <f>SUMIF(其他!$A$9:$A$65,"8433",其他!$G$9:$G$65)</f>
        <v>0</v>
      </c>
      <c r="V302" s="274"/>
      <c r="W302" s="374"/>
      <c r="X302" s="375"/>
      <c r="Y302" s="45" t="s">
        <v>641</v>
      </c>
      <c r="Z302" s="376"/>
      <c r="AA302" s="240"/>
      <c r="AB302" s="345">
        <v>1</v>
      </c>
      <c r="AC302" s="271"/>
      <c r="AD302" s="272"/>
      <c r="AE302" s="273"/>
      <c r="AF302" s="273"/>
      <c r="AG302" s="274"/>
      <c r="AH302" s="275"/>
      <c r="AI302" s="272"/>
      <c r="AJ302" s="276"/>
      <c r="AK302" s="277"/>
      <c r="AL302" s="278"/>
      <c r="AM302" s="277"/>
      <c r="AN302" s="279"/>
      <c r="AO302" s="279"/>
      <c r="AP302" s="279"/>
      <c r="AQ302" s="378"/>
      <c r="AR302" s="305">
        <f>'预算书-初步'!$F$10</f>
        <v>0.09</v>
      </c>
      <c r="AT302" s="272"/>
      <c r="BC302" s="272" t="s">
        <v>521</v>
      </c>
      <c r="BD302" s="380">
        <v>1102</v>
      </c>
      <c r="BE302" s="347" t="s">
        <v>700</v>
      </c>
    </row>
    <row r="303" s="52" customFormat="1" ht="15.75" customHeight="1" spans="1:57">
      <c r="A303" s="227"/>
      <c r="B303" s="332"/>
      <c r="C303" s="228"/>
      <c r="D303" s="333"/>
      <c r="E303" s="334"/>
      <c r="F303" s="229"/>
      <c r="G303" s="333"/>
      <c r="H303" s="335"/>
      <c r="I303" s="229"/>
      <c r="J303" s="229"/>
      <c r="K303" s="336"/>
      <c r="L303" s="337"/>
      <c r="M303" s="337"/>
      <c r="N303" s="337"/>
      <c r="O303" s="337"/>
      <c r="P303" s="337"/>
      <c r="Q303" s="384">
        <v>8434</v>
      </c>
      <c r="R303" s="271">
        <f t="shared" si="23"/>
        <v>0</v>
      </c>
      <c r="S303" s="339">
        <f t="shared" si="22"/>
        <v>0</v>
      </c>
      <c r="T303" s="373"/>
      <c r="U303" s="373">
        <f>SUMIF(其他!$A$9:$A$65,"8434",其他!$G$9:$G$65)</f>
        <v>0</v>
      </c>
      <c r="V303" s="274"/>
      <c r="W303" s="374"/>
      <c r="X303" s="375"/>
      <c r="Y303" s="386" t="s">
        <v>642</v>
      </c>
      <c r="Z303" s="376"/>
      <c r="AA303" s="240"/>
      <c r="AB303" s="345">
        <v>1</v>
      </c>
      <c r="AC303" s="271"/>
      <c r="AD303" s="272"/>
      <c r="AE303" s="273"/>
      <c r="AF303" s="273"/>
      <c r="AG303" s="274"/>
      <c r="AH303" s="275"/>
      <c r="AI303" s="272"/>
      <c r="AJ303" s="276"/>
      <c r="AK303" s="277"/>
      <c r="AL303" s="278"/>
      <c r="AM303" s="277"/>
      <c r="AN303" s="279"/>
      <c r="AO303" s="279"/>
      <c r="AP303" s="279"/>
      <c r="AQ303" s="378"/>
      <c r="AR303" s="305">
        <f>'预算书-初步'!$F$10</f>
        <v>0.09</v>
      </c>
      <c r="AT303" s="272"/>
      <c r="BC303" s="272" t="s">
        <v>521</v>
      </c>
      <c r="BD303" s="380">
        <v>1102</v>
      </c>
      <c r="BE303" s="347" t="s">
        <v>700</v>
      </c>
    </row>
    <row r="304" s="52" customFormat="1" ht="15.75" customHeight="1" spans="1:57">
      <c r="A304" s="227"/>
      <c r="B304" s="332"/>
      <c r="C304" s="228"/>
      <c r="D304" s="333"/>
      <c r="E304" s="334"/>
      <c r="F304" s="229"/>
      <c r="G304" s="333"/>
      <c r="H304" s="335"/>
      <c r="I304" s="229"/>
      <c r="J304" s="229"/>
      <c r="K304" s="336"/>
      <c r="L304" s="337"/>
      <c r="M304" s="337"/>
      <c r="N304" s="337"/>
      <c r="O304" s="337"/>
      <c r="P304" s="337"/>
      <c r="Q304" s="384">
        <v>8435</v>
      </c>
      <c r="R304" s="271">
        <f t="shared" si="23"/>
        <v>0</v>
      </c>
      <c r="S304" s="339">
        <f t="shared" si="22"/>
        <v>0</v>
      </c>
      <c r="T304" s="373"/>
      <c r="U304" s="373">
        <f>SUMIF(其他!$A$9:$A$65,"8435",其他!$G$9:$G$65)</f>
        <v>0</v>
      </c>
      <c r="V304" s="274"/>
      <c r="W304" s="374"/>
      <c r="X304" s="375"/>
      <c r="Y304" s="385" t="s">
        <v>643</v>
      </c>
      <c r="Z304" s="376"/>
      <c r="AA304" s="240"/>
      <c r="AB304" s="345">
        <v>1</v>
      </c>
      <c r="AC304" s="271"/>
      <c r="AD304" s="272"/>
      <c r="AE304" s="273"/>
      <c r="AF304" s="273"/>
      <c r="AG304" s="274"/>
      <c r="AH304" s="275"/>
      <c r="AI304" s="272"/>
      <c r="AJ304" s="276"/>
      <c r="AK304" s="277"/>
      <c r="AL304" s="278"/>
      <c r="AM304" s="277"/>
      <c r="AN304" s="279"/>
      <c r="AO304" s="279"/>
      <c r="AP304" s="279"/>
      <c r="AQ304" s="378"/>
      <c r="AR304" s="305">
        <f>'预算书-初步'!$F$10</f>
        <v>0.09</v>
      </c>
      <c r="AT304" s="272"/>
      <c r="BC304" s="272" t="s">
        <v>521</v>
      </c>
      <c r="BD304" s="380">
        <v>1102</v>
      </c>
      <c r="BE304" s="347" t="s">
        <v>700</v>
      </c>
    </row>
    <row r="305" s="52" customFormat="1" ht="15.75" customHeight="1" spans="1:57">
      <c r="A305" s="227"/>
      <c r="B305" s="332"/>
      <c r="C305" s="228"/>
      <c r="D305" s="333"/>
      <c r="E305" s="334"/>
      <c r="F305" s="229"/>
      <c r="G305" s="333"/>
      <c r="H305" s="335"/>
      <c r="I305" s="229"/>
      <c r="J305" s="229"/>
      <c r="K305" s="336"/>
      <c r="L305" s="337"/>
      <c r="M305" s="337"/>
      <c r="N305" s="337"/>
      <c r="O305" s="337"/>
      <c r="P305" s="337"/>
      <c r="Q305" s="384">
        <v>8436</v>
      </c>
      <c r="R305" s="271">
        <f t="shared" si="23"/>
        <v>0</v>
      </c>
      <c r="S305" s="339">
        <f t="shared" si="22"/>
        <v>0</v>
      </c>
      <c r="T305" s="373"/>
      <c r="U305" s="373">
        <f>SUMIF(其他!$A$9:$A$65,"8436",其他!$G$9:$G$65)</f>
        <v>0</v>
      </c>
      <c r="V305" s="274"/>
      <c r="W305" s="374"/>
      <c r="X305" s="375"/>
      <c r="Y305" s="385" t="s">
        <v>644</v>
      </c>
      <c r="Z305" s="376"/>
      <c r="AA305" s="240"/>
      <c r="AB305" s="345">
        <v>1</v>
      </c>
      <c r="AC305" s="271"/>
      <c r="AD305" s="272"/>
      <c r="AE305" s="273"/>
      <c r="AF305" s="273"/>
      <c r="AG305" s="274"/>
      <c r="AH305" s="275"/>
      <c r="AI305" s="272"/>
      <c r="AJ305" s="276"/>
      <c r="AK305" s="277"/>
      <c r="AL305" s="278"/>
      <c r="AM305" s="277"/>
      <c r="AN305" s="279"/>
      <c r="AO305" s="279"/>
      <c r="AP305" s="279"/>
      <c r="AQ305" s="378"/>
      <c r="AR305" s="305">
        <f>'预算书-初步'!$F$10</f>
        <v>0.09</v>
      </c>
      <c r="AT305" s="272"/>
      <c r="BC305" s="272" t="s">
        <v>521</v>
      </c>
      <c r="BD305" s="380">
        <v>1102</v>
      </c>
      <c r="BE305" s="347" t="s">
        <v>700</v>
      </c>
    </row>
    <row r="306" s="52" customFormat="1" ht="15.75" customHeight="1" spans="1:57">
      <c r="A306" s="227"/>
      <c r="B306" s="332"/>
      <c r="C306" s="228"/>
      <c r="D306" s="333"/>
      <c r="E306" s="334"/>
      <c r="F306" s="229"/>
      <c r="G306" s="333"/>
      <c r="H306" s="335"/>
      <c r="I306" s="229"/>
      <c r="J306" s="229"/>
      <c r="K306" s="336"/>
      <c r="L306" s="337"/>
      <c r="M306" s="337"/>
      <c r="N306" s="337"/>
      <c r="O306" s="337"/>
      <c r="P306" s="337"/>
      <c r="Q306" s="384">
        <v>8280</v>
      </c>
      <c r="R306" s="271">
        <f t="shared" si="23"/>
        <v>0</v>
      </c>
      <c r="S306" s="339">
        <f t="shared" si="22"/>
        <v>0</v>
      </c>
      <c r="T306" s="373"/>
      <c r="U306" s="373">
        <f>FA!I$114</f>
        <v>0</v>
      </c>
      <c r="V306" s="274"/>
      <c r="W306" s="374"/>
      <c r="X306" s="375"/>
      <c r="Y306" s="385" t="s">
        <v>645</v>
      </c>
      <c r="Z306" s="376"/>
      <c r="AA306" s="240"/>
      <c r="AB306" s="345">
        <v>1</v>
      </c>
      <c r="AC306" s="271"/>
      <c r="AD306" s="272"/>
      <c r="AE306" s="273"/>
      <c r="AF306" s="273"/>
      <c r="AG306" s="274"/>
      <c r="AH306" s="275"/>
      <c r="AI306" s="272"/>
      <c r="AJ306" s="276"/>
      <c r="AK306" s="277"/>
      <c r="AL306" s="278"/>
      <c r="AM306" s="277"/>
      <c r="AN306" s="279"/>
      <c r="AO306" s="279"/>
      <c r="AP306" s="279"/>
      <c r="AQ306" s="378"/>
      <c r="AR306" s="305">
        <f>'预算书-初步'!$F$10</f>
        <v>0.09</v>
      </c>
      <c r="AT306" s="272"/>
      <c r="BC306" s="272" t="s">
        <v>521</v>
      </c>
      <c r="BD306" s="380">
        <v>1103</v>
      </c>
      <c r="BE306" s="347" t="s">
        <v>700</v>
      </c>
    </row>
    <row r="307" s="52" customFormat="1" ht="15.75" customHeight="1" spans="1:57">
      <c r="A307" s="227"/>
      <c r="B307" s="332"/>
      <c r="C307" s="228"/>
      <c r="D307" s="333"/>
      <c r="E307" s="334"/>
      <c r="F307" s="229"/>
      <c r="G307" s="333"/>
      <c r="H307" s="335"/>
      <c r="I307" s="229"/>
      <c r="J307" s="229"/>
      <c r="K307" s="336"/>
      <c r="L307" s="337"/>
      <c r="M307" s="337"/>
      <c r="N307" s="337"/>
      <c r="O307" s="337"/>
      <c r="P307" s="337"/>
      <c r="Q307" s="384">
        <v>8321</v>
      </c>
      <c r="R307" s="271">
        <f t="shared" si="23"/>
        <v>0</v>
      </c>
      <c r="S307" s="339">
        <f t="shared" si="22"/>
        <v>0</v>
      </c>
      <c r="T307" s="373"/>
      <c r="U307" s="373">
        <f>FA!I$117</f>
        <v>0</v>
      </c>
      <c r="V307" s="274"/>
      <c r="W307" s="374"/>
      <c r="X307" s="375"/>
      <c r="Y307" s="385" t="s">
        <v>646</v>
      </c>
      <c r="Z307" s="376"/>
      <c r="AA307" s="240"/>
      <c r="AB307" s="345">
        <v>1</v>
      </c>
      <c r="AC307" s="271"/>
      <c r="AD307" s="272"/>
      <c r="AE307" s="273"/>
      <c r="AF307" s="273"/>
      <c r="AG307" s="274"/>
      <c r="AH307" s="275"/>
      <c r="AI307" s="272"/>
      <c r="AJ307" s="276"/>
      <c r="AK307" s="277"/>
      <c r="AL307" s="278"/>
      <c r="AM307" s="277"/>
      <c r="AN307" s="279"/>
      <c r="AO307" s="279"/>
      <c r="AP307" s="279"/>
      <c r="AQ307" s="378"/>
      <c r="AR307" s="305">
        <f>'预算书-初步'!$F$10</f>
        <v>0.09</v>
      </c>
      <c r="AT307" s="272"/>
      <c r="BC307" s="272" t="s">
        <v>521</v>
      </c>
      <c r="BD307" s="380">
        <v>1106</v>
      </c>
      <c r="BE307" s="347" t="s">
        <v>700</v>
      </c>
    </row>
    <row r="308" s="52" customFormat="1" ht="15.75" customHeight="1" spans="1:57">
      <c r="A308" s="227"/>
      <c r="B308" s="332"/>
      <c r="C308" s="228"/>
      <c r="D308" s="333"/>
      <c r="E308" s="334"/>
      <c r="F308" s="229"/>
      <c r="G308" s="333"/>
      <c r="H308" s="335"/>
      <c r="I308" s="229"/>
      <c r="J308" s="229"/>
      <c r="K308" s="336"/>
      <c r="L308" s="337"/>
      <c r="M308" s="337"/>
      <c r="N308" s="337"/>
      <c r="O308" s="337"/>
      <c r="P308" s="337"/>
      <c r="Q308" s="384">
        <v>8322</v>
      </c>
      <c r="R308" s="271">
        <f t="shared" si="23"/>
        <v>0</v>
      </c>
      <c r="S308" s="339">
        <f t="shared" si="22"/>
        <v>0</v>
      </c>
      <c r="T308" s="373"/>
      <c r="U308" s="373">
        <f>FA!I$118</f>
        <v>0</v>
      </c>
      <c r="V308" s="274"/>
      <c r="W308" s="374"/>
      <c r="X308" s="375"/>
      <c r="Y308" s="385" t="s">
        <v>647</v>
      </c>
      <c r="Z308" s="376"/>
      <c r="AA308" s="240"/>
      <c r="AB308" s="345">
        <v>1</v>
      </c>
      <c r="AC308" s="271"/>
      <c r="AD308" s="272"/>
      <c r="AE308" s="273"/>
      <c r="AF308" s="273"/>
      <c r="AG308" s="274"/>
      <c r="AH308" s="275"/>
      <c r="AI308" s="272"/>
      <c r="AJ308" s="276"/>
      <c r="AK308" s="277"/>
      <c r="AL308" s="278"/>
      <c r="AM308" s="277"/>
      <c r="AN308" s="279"/>
      <c r="AO308" s="279"/>
      <c r="AP308" s="279"/>
      <c r="AQ308" s="378"/>
      <c r="AR308" s="305">
        <f>'预算书-初步'!$F$10</f>
        <v>0.09</v>
      </c>
      <c r="AT308" s="272"/>
      <c r="BC308" s="272" t="s">
        <v>521</v>
      </c>
      <c r="BD308" s="380">
        <v>1107</v>
      </c>
      <c r="BE308" s="347" t="s">
        <v>700</v>
      </c>
    </row>
    <row r="309" s="52" customFormat="1" ht="15.75" customHeight="1" spans="1:57">
      <c r="A309" s="227"/>
      <c r="B309" s="332"/>
      <c r="C309" s="228"/>
      <c r="D309" s="333"/>
      <c r="E309" s="334"/>
      <c r="F309" s="229"/>
      <c r="G309" s="333"/>
      <c r="H309" s="335"/>
      <c r="I309" s="229"/>
      <c r="J309" s="229"/>
      <c r="K309" s="336"/>
      <c r="L309" s="337"/>
      <c r="M309" s="337"/>
      <c r="N309" s="337"/>
      <c r="O309" s="337"/>
      <c r="P309" s="337"/>
      <c r="Q309" s="384">
        <v>8323</v>
      </c>
      <c r="R309" s="271">
        <f t="shared" si="23"/>
        <v>0</v>
      </c>
      <c r="S309" s="339">
        <f t="shared" si="22"/>
        <v>0</v>
      </c>
      <c r="T309" s="373"/>
      <c r="U309" s="373">
        <f>SUMIF(其他!$A$9:$A$65,"8323",其他!$G$9:$G$65)</f>
        <v>0</v>
      </c>
      <c r="V309" s="274"/>
      <c r="W309" s="374"/>
      <c r="X309" s="375"/>
      <c r="Y309" s="45" t="s">
        <v>648</v>
      </c>
      <c r="Z309" s="376"/>
      <c r="AA309" s="240"/>
      <c r="AB309" s="345">
        <v>1</v>
      </c>
      <c r="AC309" s="271"/>
      <c r="AD309" s="272"/>
      <c r="AE309" s="273"/>
      <c r="AF309" s="273"/>
      <c r="AG309" s="274"/>
      <c r="AH309" s="275"/>
      <c r="AI309" s="272"/>
      <c r="AJ309" s="276"/>
      <c r="AK309" s="277"/>
      <c r="AL309" s="278"/>
      <c r="AM309" s="277"/>
      <c r="AN309" s="279"/>
      <c r="AO309" s="279"/>
      <c r="AP309" s="279"/>
      <c r="AQ309" s="378"/>
      <c r="AR309" s="305">
        <f>'预算书-初步'!$F$10</f>
        <v>0.09</v>
      </c>
      <c r="AT309" s="272"/>
      <c r="BC309" s="272" t="s">
        <v>521</v>
      </c>
      <c r="BD309" s="380">
        <v>1108</v>
      </c>
      <c r="BE309" s="347" t="s">
        <v>700</v>
      </c>
    </row>
    <row r="310" s="52" customFormat="1" ht="15.75" customHeight="1" spans="1:57">
      <c r="A310" s="227"/>
      <c r="B310" s="332"/>
      <c r="C310" s="228"/>
      <c r="D310" s="333"/>
      <c r="E310" s="334"/>
      <c r="F310" s="229"/>
      <c r="G310" s="333"/>
      <c r="H310" s="335"/>
      <c r="I310" s="229"/>
      <c r="J310" s="229"/>
      <c r="K310" s="336"/>
      <c r="L310" s="337"/>
      <c r="M310" s="337"/>
      <c r="N310" s="337"/>
      <c r="O310" s="337"/>
      <c r="P310" s="337"/>
      <c r="Q310" s="384">
        <v>8324</v>
      </c>
      <c r="R310" s="271">
        <f t="shared" si="23"/>
        <v>0</v>
      </c>
      <c r="S310" s="339">
        <f t="shared" si="22"/>
        <v>0</v>
      </c>
      <c r="T310" s="373"/>
      <c r="U310" s="373">
        <f>SUMIF(其他!$A$9:$A$65,"8324",其他!$G$9:$G$65)</f>
        <v>0</v>
      </c>
      <c r="V310" s="274"/>
      <c r="W310" s="374"/>
      <c r="X310" s="375"/>
      <c r="Y310" s="385" t="s">
        <v>649</v>
      </c>
      <c r="Z310" s="376"/>
      <c r="AA310" s="240"/>
      <c r="AB310" s="345">
        <v>1</v>
      </c>
      <c r="AC310" s="271"/>
      <c r="AD310" s="272"/>
      <c r="AE310" s="273"/>
      <c r="AF310" s="273"/>
      <c r="AG310" s="274"/>
      <c r="AH310" s="275"/>
      <c r="AI310" s="272"/>
      <c r="AJ310" s="276"/>
      <c r="AK310" s="277"/>
      <c r="AL310" s="278"/>
      <c r="AM310" s="277"/>
      <c r="AN310" s="279"/>
      <c r="AO310" s="279"/>
      <c r="AP310" s="279"/>
      <c r="AQ310" s="378"/>
      <c r="AR310" s="305">
        <f>'预算书-初步'!$F$10</f>
        <v>0.09</v>
      </c>
      <c r="AT310" s="272"/>
      <c r="BC310" s="272" t="s">
        <v>521</v>
      </c>
      <c r="BD310" s="380">
        <v>1108</v>
      </c>
      <c r="BE310" s="347" t="s">
        <v>700</v>
      </c>
    </row>
    <row r="311" s="52" customFormat="1" ht="15.75" customHeight="1" spans="1:57">
      <c r="A311" s="227"/>
      <c r="B311" s="332"/>
      <c r="C311" s="228"/>
      <c r="D311" s="333"/>
      <c r="E311" s="334"/>
      <c r="F311" s="229"/>
      <c r="G311" s="333"/>
      <c r="H311" s="335"/>
      <c r="I311" s="229"/>
      <c r="J311" s="229"/>
      <c r="K311" s="336"/>
      <c r="L311" s="337"/>
      <c r="M311" s="337"/>
      <c r="N311" s="337"/>
      <c r="O311" s="337"/>
      <c r="P311" s="337"/>
      <c r="Q311" s="384">
        <v>8325</v>
      </c>
      <c r="R311" s="271">
        <f t="shared" si="23"/>
        <v>0</v>
      </c>
      <c r="S311" s="339">
        <f t="shared" si="22"/>
        <v>0</v>
      </c>
      <c r="T311" s="373"/>
      <c r="U311" s="373">
        <f>FA!I$120</f>
        <v>0</v>
      </c>
      <c r="V311" s="274"/>
      <c r="W311" s="374"/>
      <c r="X311" s="375"/>
      <c r="Y311" s="388" t="s">
        <v>650</v>
      </c>
      <c r="Z311" s="376"/>
      <c r="AA311" s="240"/>
      <c r="AB311" s="345">
        <v>1</v>
      </c>
      <c r="AC311" s="271"/>
      <c r="AD311" s="272"/>
      <c r="AE311" s="273"/>
      <c r="AF311" s="273"/>
      <c r="AG311" s="274"/>
      <c r="AH311" s="275"/>
      <c r="AI311" s="272"/>
      <c r="AJ311" s="276"/>
      <c r="AK311" s="277"/>
      <c r="AL311" s="278"/>
      <c r="AM311" s="277"/>
      <c r="AN311" s="279"/>
      <c r="AO311" s="279"/>
      <c r="AP311" s="279"/>
      <c r="AQ311" s="378"/>
      <c r="AR311" s="305">
        <f>'预算书-初步'!$F$10</f>
        <v>0.09</v>
      </c>
      <c r="AT311" s="272"/>
      <c r="BC311" s="272" t="s">
        <v>521</v>
      </c>
      <c r="BD311" s="380">
        <v>1109</v>
      </c>
      <c r="BE311" s="347" t="s">
        <v>700</v>
      </c>
    </row>
    <row r="312" s="52" customFormat="1" ht="15.75" customHeight="1" spans="1:57">
      <c r="A312" s="227"/>
      <c r="B312" s="332"/>
      <c r="C312" s="228"/>
      <c r="D312" s="333"/>
      <c r="E312" s="334"/>
      <c r="F312" s="229"/>
      <c r="G312" s="333"/>
      <c r="H312" s="335"/>
      <c r="I312" s="229"/>
      <c r="J312" s="229"/>
      <c r="K312" s="336"/>
      <c r="L312" s="337"/>
      <c r="M312" s="337"/>
      <c r="N312" s="337"/>
      <c r="O312" s="337"/>
      <c r="P312" s="337"/>
      <c r="Q312" s="384">
        <v>8326</v>
      </c>
      <c r="R312" s="271">
        <f t="shared" si="23"/>
        <v>0</v>
      </c>
      <c r="S312" s="339">
        <f t="shared" si="22"/>
        <v>0</v>
      </c>
      <c r="T312" s="373"/>
      <c r="U312" s="373">
        <f>FA!I$121</f>
        <v>0</v>
      </c>
      <c r="V312" s="274"/>
      <c r="W312" s="374"/>
      <c r="X312" s="375"/>
      <c r="Y312" s="45" t="s">
        <v>651</v>
      </c>
      <c r="Z312" s="376"/>
      <c r="AA312" s="240"/>
      <c r="AB312" s="345">
        <v>1</v>
      </c>
      <c r="AC312" s="271"/>
      <c r="AD312" s="272"/>
      <c r="AE312" s="273"/>
      <c r="AF312" s="273"/>
      <c r="AG312" s="274"/>
      <c r="AH312" s="275"/>
      <c r="AI312" s="272"/>
      <c r="AJ312" s="276"/>
      <c r="AK312" s="277"/>
      <c r="AL312" s="278"/>
      <c r="AM312" s="277"/>
      <c r="AN312" s="279"/>
      <c r="AO312" s="279"/>
      <c r="AP312" s="279"/>
      <c r="AQ312" s="378"/>
      <c r="AR312" s="305">
        <f>'预算书-初步'!$F$10</f>
        <v>0.09</v>
      </c>
      <c r="AT312" s="272"/>
      <c r="BC312" s="272" t="s">
        <v>521</v>
      </c>
      <c r="BD312" s="380">
        <v>1110</v>
      </c>
      <c r="BE312" s="347" t="s">
        <v>700</v>
      </c>
    </row>
    <row r="313" s="52" customFormat="1" ht="15.75" customHeight="1" spans="1:57">
      <c r="A313" s="227"/>
      <c r="B313" s="332"/>
      <c r="C313" s="228"/>
      <c r="D313" s="333"/>
      <c r="E313" s="334"/>
      <c r="F313" s="229"/>
      <c r="G313" s="333"/>
      <c r="H313" s="335"/>
      <c r="I313" s="229"/>
      <c r="J313" s="229"/>
      <c r="K313" s="336"/>
      <c r="L313" s="337"/>
      <c r="M313" s="337"/>
      <c r="N313" s="337"/>
      <c r="O313" s="337"/>
      <c r="P313" s="337"/>
      <c r="Q313" s="384">
        <v>8327</v>
      </c>
      <c r="R313" s="271">
        <f t="shared" si="23"/>
        <v>0</v>
      </c>
      <c r="S313" s="339">
        <f t="shared" si="22"/>
        <v>0</v>
      </c>
      <c r="T313" s="373"/>
      <c r="U313" s="373">
        <f>FA!I$122</f>
        <v>0</v>
      </c>
      <c r="V313" s="274"/>
      <c r="W313" s="374"/>
      <c r="X313" s="375"/>
      <c r="Y313" s="385" t="s">
        <v>652</v>
      </c>
      <c r="Z313" s="376"/>
      <c r="AA313" s="240"/>
      <c r="AB313" s="345">
        <v>1</v>
      </c>
      <c r="AC313" s="271"/>
      <c r="AD313" s="272"/>
      <c r="AE313" s="273"/>
      <c r="AF313" s="273"/>
      <c r="AG313" s="274"/>
      <c r="AH313" s="275"/>
      <c r="AI313" s="272"/>
      <c r="AJ313" s="276"/>
      <c r="AK313" s="277"/>
      <c r="AL313" s="278"/>
      <c r="AM313" s="277"/>
      <c r="AN313" s="279"/>
      <c r="AO313" s="279"/>
      <c r="AP313" s="279"/>
      <c r="AQ313" s="378"/>
      <c r="AR313" s="305">
        <f>'预算书-初步'!$F$10</f>
        <v>0.09</v>
      </c>
      <c r="AT313" s="272"/>
      <c r="BC313" s="272" t="s">
        <v>521</v>
      </c>
      <c r="BD313" s="380">
        <v>1111</v>
      </c>
      <c r="BE313" s="347" t="s">
        <v>700</v>
      </c>
    </row>
    <row r="314" s="52" customFormat="1" ht="15.75" customHeight="1" spans="1:57">
      <c r="A314" s="227"/>
      <c r="B314" s="332"/>
      <c r="C314" s="228"/>
      <c r="D314" s="333"/>
      <c r="E314" s="334"/>
      <c r="F314" s="229"/>
      <c r="G314" s="333"/>
      <c r="H314" s="335"/>
      <c r="I314" s="229"/>
      <c r="J314" s="229"/>
      <c r="K314" s="336"/>
      <c r="L314" s="337"/>
      <c r="M314" s="337"/>
      <c r="N314" s="337"/>
      <c r="O314" s="337"/>
      <c r="P314" s="337"/>
      <c r="Q314" s="384">
        <v>8328</v>
      </c>
      <c r="R314" s="271">
        <f t="shared" si="23"/>
        <v>0</v>
      </c>
      <c r="S314" s="339">
        <f t="shared" si="22"/>
        <v>0</v>
      </c>
      <c r="T314" s="373"/>
      <c r="U314" s="373">
        <f>FA!I$123</f>
        <v>0</v>
      </c>
      <c r="V314" s="274"/>
      <c r="W314" s="374"/>
      <c r="X314" s="375"/>
      <c r="Y314" s="45" t="s">
        <v>653</v>
      </c>
      <c r="Z314" s="376"/>
      <c r="AA314" s="240"/>
      <c r="AB314" s="345">
        <v>1</v>
      </c>
      <c r="AC314" s="271"/>
      <c r="AD314" s="272"/>
      <c r="AE314" s="273"/>
      <c r="AF314" s="273"/>
      <c r="AG314" s="274"/>
      <c r="AH314" s="275"/>
      <c r="AI314" s="272"/>
      <c r="AJ314" s="276"/>
      <c r="AK314" s="277"/>
      <c r="AL314" s="278"/>
      <c r="AM314" s="277"/>
      <c r="AN314" s="279"/>
      <c r="AO314" s="279"/>
      <c r="AP314" s="279"/>
      <c r="AQ314" s="378"/>
      <c r="AR314" s="305">
        <f>'预算书-初步'!$F$10</f>
        <v>0.09</v>
      </c>
      <c r="AT314" s="272"/>
      <c r="BC314" s="272" t="s">
        <v>521</v>
      </c>
      <c r="BD314" s="380">
        <v>1112</v>
      </c>
      <c r="BE314" s="347" t="s">
        <v>700</v>
      </c>
    </row>
    <row r="315" s="52" customFormat="1" ht="15.75" customHeight="1" spans="1:57">
      <c r="A315" s="227"/>
      <c r="B315" s="332"/>
      <c r="C315" s="228"/>
      <c r="D315" s="333"/>
      <c r="E315" s="334"/>
      <c r="F315" s="229"/>
      <c r="G315" s="333"/>
      <c r="H315" s="335"/>
      <c r="I315" s="229"/>
      <c r="J315" s="229"/>
      <c r="K315" s="336"/>
      <c r="L315" s="337"/>
      <c r="M315" s="337"/>
      <c r="N315" s="337"/>
      <c r="O315" s="337"/>
      <c r="P315" s="337"/>
      <c r="Q315" s="384">
        <v>8331</v>
      </c>
      <c r="R315" s="271">
        <f t="shared" si="23"/>
        <v>0</v>
      </c>
      <c r="S315" s="339">
        <f t="shared" si="22"/>
        <v>0</v>
      </c>
      <c r="T315" s="373"/>
      <c r="U315" s="373">
        <f>FA!I$124</f>
        <v>0</v>
      </c>
      <c r="V315" s="274"/>
      <c r="W315" s="374"/>
      <c r="X315" s="375"/>
      <c r="Y315" s="45" t="s">
        <v>654</v>
      </c>
      <c r="Z315" s="376"/>
      <c r="AA315" s="240"/>
      <c r="AB315" s="345">
        <v>1</v>
      </c>
      <c r="AC315" s="271"/>
      <c r="AD315" s="272"/>
      <c r="AE315" s="273"/>
      <c r="AF315" s="273"/>
      <c r="AG315" s="274"/>
      <c r="AH315" s="275"/>
      <c r="AI315" s="272"/>
      <c r="AJ315" s="276"/>
      <c r="AK315" s="277"/>
      <c r="AL315" s="278"/>
      <c r="AM315" s="277"/>
      <c r="AN315" s="279"/>
      <c r="AO315" s="279"/>
      <c r="AP315" s="279"/>
      <c r="AQ315" s="378"/>
      <c r="AR315" s="305">
        <f>'预算书-初步'!$F$10</f>
        <v>0.09</v>
      </c>
      <c r="AT315" s="272"/>
      <c r="BC315" s="272" t="s">
        <v>521</v>
      </c>
      <c r="BD315" s="380">
        <v>1113</v>
      </c>
      <c r="BE315" s="347" t="s">
        <v>700</v>
      </c>
    </row>
    <row r="316" s="52" customFormat="1" ht="15.75" customHeight="1" spans="1:57">
      <c r="A316" s="227"/>
      <c r="B316" s="332"/>
      <c r="C316" s="228"/>
      <c r="D316" s="333"/>
      <c r="E316" s="334"/>
      <c r="F316" s="229"/>
      <c r="G316" s="333"/>
      <c r="H316" s="335"/>
      <c r="I316" s="229"/>
      <c r="J316" s="229"/>
      <c r="K316" s="336"/>
      <c r="L316" s="337"/>
      <c r="M316" s="337"/>
      <c r="N316" s="337"/>
      <c r="O316" s="337"/>
      <c r="P316" s="337"/>
      <c r="Q316" s="384">
        <v>8332</v>
      </c>
      <c r="R316" s="271">
        <f t="shared" si="23"/>
        <v>0</v>
      </c>
      <c r="S316" s="339">
        <f t="shared" si="22"/>
        <v>0</v>
      </c>
      <c r="T316" s="373"/>
      <c r="U316" s="373">
        <f>FA!I$125</f>
        <v>0</v>
      </c>
      <c r="V316" s="274"/>
      <c r="W316" s="374"/>
      <c r="X316" s="375"/>
      <c r="Y316" s="45" t="s">
        <v>655</v>
      </c>
      <c r="Z316" s="376"/>
      <c r="AA316" s="240"/>
      <c r="AB316" s="345">
        <v>1</v>
      </c>
      <c r="AC316" s="271"/>
      <c r="AD316" s="272"/>
      <c r="AE316" s="273"/>
      <c r="AF316" s="273"/>
      <c r="AG316" s="274"/>
      <c r="AH316" s="275"/>
      <c r="AI316" s="272"/>
      <c r="AJ316" s="276"/>
      <c r="AK316" s="277"/>
      <c r="AL316" s="278"/>
      <c r="AM316" s="277"/>
      <c r="AN316" s="279"/>
      <c r="AO316" s="279"/>
      <c r="AP316" s="279"/>
      <c r="AQ316" s="378"/>
      <c r="AR316" s="305">
        <f>'预算书-初步'!$F$10</f>
        <v>0.09</v>
      </c>
      <c r="AT316" s="272"/>
      <c r="BC316" s="272" t="s">
        <v>521</v>
      </c>
      <c r="BD316" s="380">
        <v>1114</v>
      </c>
      <c r="BE316" s="347" t="s">
        <v>700</v>
      </c>
    </row>
    <row r="317" s="52" customFormat="1" ht="15.75" customHeight="1" spans="1:57">
      <c r="A317" s="227"/>
      <c r="B317" s="332"/>
      <c r="C317" s="228"/>
      <c r="D317" s="333"/>
      <c r="E317" s="334"/>
      <c r="F317" s="229"/>
      <c r="G317" s="333"/>
      <c r="H317" s="335"/>
      <c r="I317" s="229"/>
      <c r="J317" s="229"/>
      <c r="K317" s="336"/>
      <c r="L317" s="337"/>
      <c r="M317" s="337"/>
      <c r="N317" s="337"/>
      <c r="O317" s="337"/>
      <c r="P317" s="337"/>
      <c r="Q317" s="384">
        <v>8333</v>
      </c>
      <c r="R317" s="271">
        <f t="shared" si="23"/>
        <v>0</v>
      </c>
      <c r="S317" s="339">
        <f t="shared" si="22"/>
        <v>0</v>
      </c>
      <c r="T317" s="373"/>
      <c r="U317" s="373">
        <f>FA!I$126</f>
        <v>0</v>
      </c>
      <c r="V317" s="274"/>
      <c r="W317" s="374"/>
      <c r="X317" s="375"/>
      <c r="Y317" s="388" t="s">
        <v>656</v>
      </c>
      <c r="Z317" s="376"/>
      <c r="AA317" s="240"/>
      <c r="AB317" s="345">
        <v>1</v>
      </c>
      <c r="AC317" s="271"/>
      <c r="AD317" s="272"/>
      <c r="AE317" s="273"/>
      <c r="AF317" s="273"/>
      <c r="AG317" s="274"/>
      <c r="AH317" s="275"/>
      <c r="AI317" s="272"/>
      <c r="AJ317" s="276"/>
      <c r="AK317" s="277"/>
      <c r="AL317" s="278"/>
      <c r="AM317" s="277"/>
      <c r="AN317" s="279"/>
      <c r="AO317" s="279"/>
      <c r="AP317" s="279"/>
      <c r="AQ317" s="378"/>
      <c r="AR317" s="305">
        <f>'预算书-初步'!$F$10</f>
        <v>0.09</v>
      </c>
      <c r="AT317" s="272"/>
      <c r="BC317" s="272" t="s">
        <v>521</v>
      </c>
      <c r="BD317" s="380">
        <v>1115</v>
      </c>
      <c r="BE317" s="347" t="s">
        <v>700</v>
      </c>
    </row>
    <row r="318" s="52" customFormat="1" ht="15.75" customHeight="1" spans="1:57">
      <c r="A318" s="227"/>
      <c r="B318" s="332"/>
      <c r="C318" s="228"/>
      <c r="D318" s="333"/>
      <c r="E318" s="334"/>
      <c r="F318" s="229"/>
      <c r="G318" s="333"/>
      <c r="H318" s="335"/>
      <c r="I318" s="229"/>
      <c r="J318" s="229"/>
      <c r="K318" s="336"/>
      <c r="L318" s="337"/>
      <c r="M318" s="337"/>
      <c r="N318" s="337"/>
      <c r="O318" s="337"/>
      <c r="P318" s="337"/>
      <c r="Q318" s="384">
        <v>8334</v>
      </c>
      <c r="R318" s="271">
        <f t="shared" si="23"/>
        <v>0</v>
      </c>
      <c r="S318" s="339">
        <f t="shared" si="22"/>
        <v>0</v>
      </c>
      <c r="T318" s="373"/>
      <c r="U318" s="373">
        <f>FA!I$127</f>
        <v>0</v>
      </c>
      <c r="V318" s="274"/>
      <c r="W318" s="374"/>
      <c r="X318" s="375"/>
      <c r="Y318" s="388" t="s">
        <v>657</v>
      </c>
      <c r="Z318" s="376"/>
      <c r="AA318" s="240"/>
      <c r="AB318" s="345">
        <v>1</v>
      </c>
      <c r="AC318" s="271"/>
      <c r="AD318" s="272"/>
      <c r="AE318" s="273"/>
      <c r="AF318" s="273"/>
      <c r="AG318" s="274"/>
      <c r="AH318" s="275"/>
      <c r="AI318" s="272"/>
      <c r="AJ318" s="276"/>
      <c r="AK318" s="277"/>
      <c r="AL318" s="278"/>
      <c r="AM318" s="277"/>
      <c r="AN318" s="279"/>
      <c r="AO318" s="279"/>
      <c r="AP318" s="279"/>
      <c r="AQ318" s="378"/>
      <c r="AR318" s="305">
        <f>'预算书-初步'!$F$10</f>
        <v>0.09</v>
      </c>
      <c r="AT318" s="272"/>
      <c r="BC318" s="272" t="s">
        <v>521</v>
      </c>
      <c r="BD318" s="380">
        <v>1116</v>
      </c>
      <c r="BE318" s="347" t="s">
        <v>700</v>
      </c>
    </row>
    <row r="319" s="52" customFormat="1" ht="15.75" customHeight="1" spans="1:57">
      <c r="A319" s="227"/>
      <c r="B319" s="332"/>
      <c r="C319" s="228"/>
      <c r="D319" s="333"/>
      <c r="E319" s="334"/>
      <c r="F319" s="229"/>
      <c r="G319" s="333"/>
      <c r="H319" s="335"/>
      <c r="I319" s="229"/>
      <c r="J319" s="229"/>
      <c r="K319" s="336"/>
      <c r="L319" s="337"/>
      <c r="M319" s="337"/>
      <c r="N319" s="337"/>
      <c r="O319" s="337"/>
      <c r="P319" s="337"/>
      <c r="Q319" s="384">
        <v>8335</v>
      </c>
      <c r="R319" s="271">
        <f t="shared" si="23"/>
        <v>0</v>
      </c>
      <c r="S319" s="339">
        <f t="shared" si="22"/>
        <v>0</v>
      </c>
      <c r="T319" s="373"/>
      <c r="U319" s="373">
        <f>FA!I$128</f>
        <v>0</v>
      </c>
      <c r="V319" s="274"/>
      <c r="W319" s="374"/>
      <c r="X319" s="375"/>
      <c r="Y319" s="45" t="s">
        <v>658</v>
      </c>
      <c r="Z319" s="376"/>
      <c r="AA319" s="240"/>
      <c r="AB319" s="345">
        <v>1</v>
      </c>
      <c r="AC319" s="271"/>
      <c r="AD319" s="272"/>
      <c r="AE319" s="273"/>
      <c r="AF319" s="273"/>
      <c r="AG319" s="274"/>
      <c r="AH319" s="275"/>
      <c r="AI319" s="272"/>
      <c r="AJ319" s="276"/>
      <c r="AK319" s="277"/>
      <c r="AL319" s="278"/>
      <c r="AM319" s="277"/>
      <c r="AN319" s="279"/>
      <c r="AO319" s="279"/>
      <c r="AP319" s="279"/>
      <c r="AQ319" s="378"/>
      <c r="AR319" s="305">
        <f>'预算书-初步'!$F$10</f>
        <v>0.09</v>
      </c>
      <c r="AT319" s="272"/>
      <c r="BC319" s="272" t="s">
        <v>521</v>
      </c>
      <c r="BD319" s="380">
        <v>1117</v>
      </c>
      <c r="BE319" s="347" t="s">
        <v>700</v>
      </c>
    </row>
    <row r="320" s="52" customFormat="1" ht="15.75" customHeight="1" spans="1:57">
      <c r="A320" s="227"/>
      <c r="B320" s="332"/>
      <c r="C320" s="228"/>
      <c r="D320" s="333"/>
      <c r="E320" s="334"/>
      <c r="F320" s="229"/>
      <c r="G320" s="333"/>
      <c r="H320" s="335"/>
      <c r="I320" s="229"/>
      <c r="J320" s="229"/>
      <c r="K320" s="336"/>
      <c r="L320" s="337"/>
      <c r="M320" s="337"/>
      <c r="N320" s="337"/>
      <c r="O320" s="337"/>
      <c r="P320" s="337"/>
      <c r="Q320" s="384">
        <v>8351</v>
      </c>
      <c r="R320" s="271">
        <f t="shared" si="23"/>
        <v>0</v>
      </c>
      <c r="S320" s="339">
        <f t="shared" si="22"/>
        <v>0</v>
      </c>
      <c r="T320" s="373"/>
      <c r="U320" s="373">
        <f>FA!I$129</f>
        <v>0</v>
      </c>
      <c r="V320" s="274"/>
      <c r="W320" s="374"/>
      <c r="X320" s="375"/>
      <c r="Y320" s="388" t="s">
        <v>659</v>
      </c>
      <c r="Z320" s="376"/>
      <c r="AA320" s="240"/>
      <c r="AB320" s="345">
        <v>1</v>
      </c>
      <c r="AC320" s="271"/>
      <c r="AD320" s="272"/>
      <c r="AE320" s="273"/>
      <c r="AF320" s="273"/>
      <c r="AG320" s="274"/>
      <c r="AH320" s="275"/>
      <c r="AI320" s="272"/>
      <c r="AJ320" s="276"/>
      <c r="AK320" s="277"/>
      <c r="AL320" s="278"/>
      <c r="AM320" s="277"/>
      <c r="AN320" s="279"/>
      <c r="AO320" s="279"/>
      <c r="AP320" s="279"/>
      <c r="AQ320" s="378"/>
      <c r="AR320" s="305">
        <f>'预算书-初步'!$F$10</f>
        <v>0.09</v>
      </c>
      <c r="AT320" s="272"/>
      <c r="BC320" s="272" t="s">
        <v>521</v>
      </c>
      <c r="BD320" s="380">
        <v>1118</v>
      </c>
      <c r="BE320" s="347" t="s">
        <v>700</v>
      </c>
    </row>
    <row r="321" s="52" customFormat="1" ht="15.75" customHeight="1" spans="1:57">
      <c r="A321" s="227"/>
      <c r="B321" s="332"/>
      <c r="C321" s="228"/>
      <c r="D321" s="333"/>
      <c r="E321" s="334"/>
      <c r="F321" s="229"/>
      <c r="G321" s="333"/>
      <c r="H321" s="335"/>
      <c r="I321" s="229"/>
      <c r="J321" s="229"/>
      <c r="K321" s="336"/>
      <c r="L321" s="337"/>
      <c r="M321" s="337"/>
      <c r="N321" s="337"/>
      <c r="O321" s="337"/>
      <c r="P321" s="337"/>
      <c r="Q321" s="384">
        <v>8341</v>
      </c>
      <c r="R321" s="271">
        <f t="shared" si="23"/>
        <v>0</v>
      </c>
      <c r="S321" s="339">
        <f t="shared" si="22"/>
        <v>0</v>
      </c>
      <c r="T321" s="373"/>
      <c r="U321" s="373">
        <f>SUMIF(其他!$A$9:$A$65,"8341",其他!$G$9:$G$65)</f>
        <v>0</v>
      </c>
      <c r="V321" s="274"/>
      <c r="W321" s="374"/>
      <c r="X321" s="375"/>
      <c r="Y321" s="388" t="s">
        <v>660</v>
      </c>
      <c r="Z321" s="376"/>
      <c r="AA321" s="240"/>
      <c r="AB321" s="345">
        <v>1</v>
      </c>
      <c r="AC321" s="271"/>
      <c r="AD321" s="272"/>
      <c r="AE321" s="273"/>
      <c r="AF321" s="273"/>
      <c r="AG321" s="274"/>
      <c r="AH321" s="275"/>
      <c r="AI321" s="272"/>
      <c r="AJ321" s="276"/>
      <c r="AK321" s="277"/>
      <c r="AL321" s="278"/>
      <c r="AM321" s="277"/>
      <c r="AN321" s="279"/>
      <c r="AO321" s="279"/>
      <c r="AP321" s="279"/>
      <c r="AQ321" s="378"/>
      <c r="AR321" s="305">
        <f>'预算书-初步'!$F$10</f>
        <v>0.09</v>
      </c>
      <c r="AT321" s="272"/>
      <c r="BC321" s="272" t="s">
        <v>521</v>
      </c>
      <c r="BD321" s="380">
        <v>1119</v>
      </c>
      <c r="BE321" s="347" t="s">
        <v>700</v>
      </c>
    </row>
    <row r="322" s="52" customFormat="1" ht="15.75" customHeight="1" spans="1:57">
      <c r="A322" s="227"/>
      <c r="B322" s="332"/>
      <c r="C322" s="228"/>
      <c r="D322" s="333"/>
      <c r="E322" s="334"/>
      <c r="F322" s="229"/>
      <c r="G322" s="333"/>
      <c r="H322" s="335"/>
      <c r="I322" s="229"/>
      <c r="J322" s="229"/>
      <c r="K322" s="336"/>
      <c r="L322" s="337"/>
      <c r="M322" s="337"/>
      <c r="N322" s="337"/>
      <c r="O322" s="337"/>
      <c r="P322" s="337"/>
      <c r="Q322" s="384">
        <v>8342</v>
      </c>
      <c r="R322" s="271">
        <f t="shared" si="23"/>
        <v>0</v>
      </c>
      <c r="S322" s="339">
        <f t="shared" si="22"/>
        <v>0</v>
      </c>
      <c r="T322" s="373"/>
      <c r="U322" s="373">
        <f>SUMIF(其他!$A$9:$A$65,"8342",其他!$G$9:$G$65)</f>
        <v>0</v>
      </c>
      <c r="V322" s="274"/>
      <c r="W322" s="374"/>
      <c r="X322" s="375"/>
      <c r="Y322" s="45" t="s">
        <v>661</v>
      </c>
      <c r="Z322" s="376"/>
      <c r="AA322" s="240"/>
      <c r="AB322" s="345">
        <v>1</v>
      </c>
      <c r="AC322" s="271"/>
      <c r="AD322" s="272"/>
      <c r="AE322" s="273"/>
      <c r="AF322" s="273"/>
      <c r="AG322" s="274"/>
      <c r="AH322" s="275"/>
      <c r="AI322" s="272"/>
      <c r="AJ322" s="276"/>
      <c r="AK322" s="277"/>
      <c r="AL322" s="278"/>
      <c r="AM322" s="277"/>
      <c r="AN322" s="279"/>
      <c r="AO322" s="279"/>
      <c r="AP322" s="279"/>
      <c r="AQ322" s="378"/>
      <c r="AR322" s="305">
        <f>'预算书-初步'!$F$10</f>
        <v>0.09</v>
      </c>
      <c r="AT322" s="272"/>
      <c r="BC322" s="272" t="s">
        <v>521</v>
      </c>
      <c r="BD322" s="380">
        <v>1119</v>
      </c>
      <c r="BE322" s="347" t="s">
        <v>700</v>
      </c>
    </row>
    <row r="323" s="52" customFormat="1" ht="15.75" customHeight="1" spans="1:57">
      <c r="A323" s="227"/>
      <c r="B323" s="332"/>
      <c r="C323" s="228"/>
      <c r="D323" s="333"/>
      <c r="E323" s="334"/>
      <c r="F323" s="229"/>
      <c r="G323" s="333"/>
      <c r="H323" s="335"/>
      <c r="I323" s="229"/>
      <c r="J323" s="229"/>
      <c r="K323" s="336"/>
      <c r="L323" s="337"/>
      <c r="M323" s="337"/>
      <c r="N323" s="337"/>
      <c r="O323" s="337"/>
      <c r="P323" s="337"/>
      <c r="Q323" s="384">
        <v>8343</v>
      </c>
      <c r="R323" s="271">
        <f t="shared" si="23"/>
        <v>0</v>
      </c>
      <c r="S323" s="339">
        <f t="shared" si="22"/>
        <v>0</v>
      </c>
      <c r="T323" s="373"/>
      <c r="U323" s="373">
        <f>SUMIF(其他!$A$9:$A$65,"8343",其他!$G$9:$G$65)</f>
        <v>0</v>
      </c>
      <c r="V323" s="274"/>
      <c r="W323" s="374"/>
      <c r="X323" s="375"/>
      <c r="Y323" s="45" t="s">
        <v>662</v>
      </c>
      <c r="Z323" s="376"/>
      <c r="AA323" s="240"/>
      <c r="AB323" s="345">
        <v>1</v>
      </c>
      <c r="AC323" s="271"/>
      <c r="AD323" s="272"/>
      <c r="AE323" s="273"/>
      <c r="AF323" s="273"/>
      <c r="AG323" s="274"/>
      <c r="AH323" s="275"/>
      <c r="AI323" s="272"/>
      <c r="AJ323" s="276"/>
      <c r="AK323" s="277"/>
      <c r="AL323" s="278"/>
      <c r="AM323" s="277"/>
      <c r="AN323" s="279"/>
      <c r="AO323" s="279"/>
      <c r="AP323" s="279"/>
      <c r="AQ323" s="378"/>
      <c r="AR323" s="305">
        <f>'预算书-初步'!$F$10</f>
        <v>0.09</v>
      </c>
      <c r="AT323" s="272"/>
      <c r="BC323" s="272" t="s">
        <v>521</v>
      </c>
      <c r="BD323" s="380">
        <v>1119</v>
      </c>
      <c r="BE323" s="347" t="s">
        <v>700</v>
      </c>
    </row>
    <row r="324" s="52" customFormat="1" ht="15.75" customHeight="1" spans="1:57">
      <c r="A324" s="227"/>
      <c r="B324" s="332"/>
      <c r="C324" s="228"/>
      <c r="D324" s="333"/>
      <c r="E324" s="334"/>
      <c r="F324" s="229"/>
      <c r="G324" s="333"/>
      <c r="H324" s="335"/>
      <c r="I324" s="229"/>
      <c r="J324" s="229"/>
      <c r="K324" s="336"/>
      <c r="L324" s="337"/>
      <c r="M324" s="337"/>
      <c r="N324" s="337"/>
      <c r="O324" s="337"/>
      <c r="P324" s="337"/>
      <c r="Q324" s="384">
        <v>8344</v>
      </c>
      <c r="R324" s="271">
        <f t="shared" si="23"/>
        <v>0</v>
      </c>
      <c r="S324" s="339">
        <f t="shared" si="22"/>
        <v>0</v>
      </c>
      <c r="T324" s="373"/>
      <c r="U324" s="373">
        <f>SUMIF(其他!$A$9:$A$65,"8344",其他!$G$9:$G$65)</f>
        <v>0</v>
      </c>
      <c r="V324" s="274"/>
      <c r="W324" s="374"/>
      <c r="X324" s="375"/>
      <c r="Y324" s="385" t="s">
        <v>663</v>
      </c>
      <c r="Z324" s="376"/>
      <c r="AA324" s="240"/>
      <c r="AB324" s="345">
        <v>1</v>
      </c>
      <c r="AC324" s="271"/>
      <c r="AD324" s="272"/>
      <c r="AE324" s="273"/>
      <c r="AF324" s="273"/>
      <c r="AG324" s="274"/>
      <c r="AH324" s="275"/>
      <c r="AI324" s="272"/>
      <c r="AJ324" s="276"/>
      <c r="AK324" s="277"/>
      <c r="AL324" s="278"/>
      <c r="AM324" s="277"/>
      <c r="AN324" s="279"/>
      <c r="AO324" s="279"/>
      <c r="AP324" s="279"/>
      <c r="AQ324" s="378"/>
      <c r="AR324" s="305">
        <f>'预算书-初步'!$F$10</f>
        <v>0.09</v>
      </c>
      <c r="AT324" s="272"/>
      <c r="BC324" s="272" t="s">
        <v>521</v>
      </c>
      <c r="BD324" s="380">
        <v>1120</v>
      </c>
      <c r="BE324" s="347" t="s">
        <v>700</v>
      </c>
    </row>
    <row r="325" s="52" customFormat="1" ht="15.75" customHeight="1" spans="1:57">
      <c r="A325" s="227"/>
      <c r="B325" s="332"/>
      <c r="C325" s="228"/>
      <c r="D325" s="333"/>
      <c r="E325" s="334"/>
      <c r="F325" s="229"/>
      <c r="G325" s="333"/>
      <c r="H325" s="335"/>
      <c r="I325" s="229"/>
      <c r="J325" s="229"/>
      <c r="K325" s="336"/>
      <c r="L325" s="337"/>
      <c r="M325" s="337"/>
      <c r="N325" s="337"/>
      <c r="O325" s="337"/>
      <c r="P325" s="337"/>
      <c r="Q325" s="384">
        <v>8345</v>
      </c>
      <c r="R325" s="271">
        <f t="shared" si="23"/>
        <v>0</v>
      </c>
      <c r="S325" s="339">
        <f t="shared" si="22"/>
        <v>0</v>
      </c>
      <c r="T325" s="373"/>
      <c r="U325" s="373">
        <f>SUMIF(其他!$A$9:$A$65,"8345",其他!$G$9:$G$65)</f>
        <v>0</v>
      </c>
      <c r="V325" s="274"/>
      <c r="W325" s="374"/>
      <c r="X325" s="375"/>
      <c r="Y325" s="385" t="s">
        <v>664</v>
      </c>
      <c r="Z325" s="376"/>
      <c r="AA325" s="240"/>
      <c r="AB325" s="345">
        <v>1</v>
      </c>
      <c r="AC325" s="271"/>
      <c r="AD325" s="272"/>
      <c r="AE325" s="273"/>
      <c r="AF325" s="273"/>
      <c r="AG325" s="274"/>
      <c r="AH325" s="275"/>
      <c r="AI325" s="272"/>
      <c r="AJ325" s="276"/>
      <c r="AK325" s="277"/>
      <c r="AL325" s="278"/>
      <c r="AM325" s="277"/>
      <c r="AN325" s="279"/>
      <c r="AO325" s="279"/>
      <c r="AP325" s="279"/>
      <c r="AQ325" s="378"/>
      <c r="AR325" s="305">
        <f>'预算书-初步'!$F$10</f>
        <v>0.09</v>
      </c>
      <c r="AT325" s="272"/>
      <c r="BC325" s="272" t="s">
        <v>521</v>
      </c>
      <c r="BD325" s="380">
        <v>1120</v>
      </c>
      <c r="BE325" s="347" t="s">
        <v>700</v>
      </c>
    </row>
    <row r="326" s="52" customFormat="1" ht="15.75" customHeight="1" spans="1:57">
      <c r="A326" s="227"/>
      <c r="B326" s="332"/>
      <c r="C326" s="228"/>
      <c r="D326" s="333"/>
      <c r="E326" s="334"/>
      <c r="F326" s="229"/>
      <c r="G326" s="333"/>
      <c r="H326" s="335"/>
      <c r="I326" s="229"/>
      <c r="J326" s="229"/>
      <c r="K326" s="336"/>
      <c r="L326" s="337"/>
      <c r="M326" s="337"/>
      <c r="N326" s="337"/>
      <c r="O326" s="337"/>
      <c r="P326" s="337"/>
      <c r="Q326" s="384">
        <v>8346</v>
      </c>
      <c r="R326" s="271">
        <f t="shared" ref="R326:R389" si="24">ROUND(U326*(1+AR326),0)</f>
        <v>0</v>
      </c>
      <c r="S326" s="339">
        <f t="shared" si="22"/>
        <v>0</v>
      </c>
      <c r="T326" s="373"/>
      <c r="U326" s="373">
        <f>SUMIF(其他!$A$9:$A$65,"8346",其他!$G$9:$G$65)</f>
        <v>0</v>
      </c>
      <c r="V326" s="274"/>
      <c r="W326" s="374"/>
      <c r="X326" s="375"/>
      <c r="Y326" s="45" t="s">
        <v>665</v>
      </c>
      <c r="Z326" s="376"/>
      <c r="AA326" s="240"/>
      <c r="AB326" s="345">
        <v>1</v>
      </c>
      <c r="AC326" s="271"/>
      <c r="AD326" s="272"/>
      <c r="AE326" s="273"/>
      <c r="AF326" s="273"/>
      <c r="AG326" s="274"/>
      <c r="AH326" s="275"/>
      <c r="AI326" s="272"/>
      <c r="AJ326" s="276"/>
      <c r="AK326" s="277"/>
      <c r="AL326" s="278"/>
      <c r="AM326" s="277"/>
      <c r="AN326" s="279"/>
      <c r="AO326" s="279"/>
      <c r="AP326" s="279"/>
      <c r="AQ326" s="378"/>
      <c r="AR326" s="305">
        <f>'预算书-初步'!$F$10</f>
        <v>0.09</v>
      </c>
      <c r="AT326" s="272"/>
      <c r="BC326" s="272" t="s">
        <v>521</v>
      </c>
      <c r="BD326" s="380">
        <v>1120</v>
      </c>
      <c r="BE326" s="347" t="s">
        <v>700</v>
      </c>
    </row>
    <row r="327" s="52" customFormat="1" ht="15.75" customHeight="1" spans="1:57">
      <c r="A327" s="227"/>
      <c r="B327" s="332"/>
      <c r="C327" s="228"/>
      <c r="D327" s="333"/>
      <c r="E327" s="334"/>
      <c r="F327" s="229"/>
      <c r="G327" s="333"/>
      <c r="H327" s="335"/>
      <c r="I327" s="229"/>
      <c r="J327" s="229"/>
      <c r="K327" s="336"/>
      <c r="L327" s="337"/>
      <c r="M327" s="337"/>
      <c r="N327" s="337"/>
      <c r="O327" s="337"/>
      <c r="P327" s="337"/>
      <c r="Q327" s="384">
        <v>8347</v>
      </c>
      <c r="R327" s="271">
        <f t="shared" si="24"/>
        <v>0</v>
      </c>
      <c r="S327" s="339">
        <f t="shared" si="22"/>
        <v>0</v>
      </c>
      <c r="T327" s="373"/>
      <c r="U327" s="373">
        <f>SUMIF(其他!$A$9:$A$65,"8347",其他!$G$9:$G$65)</f>
        <v>0</v>
      </c>
      <c r="V327" s="274"/>
      <c r="W327" s="374"/>
      <c r="X327" s="375"/>
      <c r="Y327" s="45" t="s">
        <v>666</v>
      </c>
      <c r="Z327" s="376"/>
      <c r="AA327" s="240"/>
      <c r="AB327" s="345">
        <v>1</v>
      </c>
      <c r="AC327" s="271"/>
      <c r="AD327" s="272"/>
      <c r="AE327" s="273"/>
      <c r="AF327" s="273"/>
      <c r="AG327" s="274"/>
      <c r="AH327" s="275"/>
      <c r="AI327" s="272"/>
      <c r="AJ327" s="276"/>
      <c r="AK327" s="277"/>
      <c r="AL327" s="278"/>
      <c r="AM327" s="277"/>
      <c r="AN327" s="279"/>
      <c r="AO327" s="279"/>
      <c r="AP327" s="279"/>
      <c r="AQ327" s="378"/>
      <c r="AR327" s="305">
        <f>'预算书-初步'!$F$10</f>
        <v>0.09</v>
      </c>
      <c r="AT327" s="272"/>
      <c r="BC327" s="272" t="s">
        <v>521</v>
      </c>
      <c r="BD327" s="380">
        <v>1120</v>
      </c>
      <c r="BE327" s="347" t="s">
        <v>700</v>
      </c>
    </row>
    <row r="328" s="52" customFormat="1" ht="15.75" customHeight="1" spans="1:57">
      <c r="A328" s="227"/>
      <c r="B328" s="332"/>
      <c r="C328" s="228"/>
      <c r="D328" s="333"/>
      <c r="E328" s="334"/>
      <c r="F328" s="229"/>
      <c r="G328" s="333"/>
      <c r="H328" s="335"/>
      <c r="I328" s="229"/>
      <c r="J328" s="229"/>
      <c r="K328" s="336"/>
      <c r="L328" s="337"/>
      <c r="M328" s="337"/>
      <c r="N328" s="337"/>
      <c r="O328" s="337"/>
      <c r="P328" s="337"/>
      <c r="Q328" s="384">
        <v>8348</v>
      </c>
      <c r="R328" s="271">
        <f t="shared" si="24"/>
        <v>0</v>
      </c>
      <c r="S328" s="339">
        <f t="shared" si="22"/>
        <v>0</v>
      </c>
      <c r="T328" s="373"/>
      <c r="U328" s="373">
        <f>SUMIF(其他!$A$9:$A$65,"8348",其他!$G$9:$G$65)</f>
        <v>0</v>
      </c>
      <c r="V328" s="274"/>
      <c r="W328" s="374"/>
      <c r="X328" s="375"/>
      <c r="Y328" s="45" t="s">
        <v>667</v>
      </c>
      <c r="Z328" s="376"/>
      <c r="AA328" s="240"/>
      <c r="AB328" s="345">
        <v>1</v>
      </c>
      <c r="AC328" s="271"/>
      <c r="AD328" s="272"/>
      <c r="AE328" s="273"/>
      <c r="AF328" s="273"/>
      <c r="AG328" s="274"/>
      <c r="AH328" s="275"/>
      <c r="AI328" s="272"/>
      <c r="AJ328" s="276"/>
      <c r="AK328" s="277"/>
      <c r="AL328" s="278"/>
      <c r="AM328" s="277"/>
      <c r="AN328" s="279"/>
      <c r="AO328" s="279"/>
      <c r="AP328" s="279"/>
      <c r="AQ328" s="378"/>
      <c r="AR328" s="305">
        <f>'预算书-初步'!$F$10</f>
        <v>0.09</v>
      </c>
      <c r="AT328" s="272"/>
      <c r="BC328" s="272" t="s">
        <v>521</v>
      </c>
      <c r="BD328" s="380">
        <v>1120</v>
      </c>
      <c r="BE328" s="347" t="s">
        <v>700</v>
      </c>
    </row>
    <row r="329" s="52" customFormat="1" ht="15.75" customHeight="1" spans="1:57">
      <c r="A329" s="227"/>
      <c r="B329" s="332"/>
      <c r="C329" s="228"/>
      <c r="D329" s="333"/>
      <c r="E329" s="334"/>
      <c r="F329" s="229"/>
      <c r="G329" s="333"/>
      <c r="H329" s="335"/>
      <c r="I329" s="229"/>
      <c r="J329" s="229"/>
      <c r="K329" s="336"/>
      <c r="L329" s="337"/>
      <c r="M329" s="337"/>
      <c r="N329" s="337"/>
      <c r="O329" s="337"/>
      <c r="P329" s="337"/>
      <c r="Q329" s="384">
        <v>8349</v>
      </c>
      <c r="R329" s="271">
        <f t="shared" si="24"/>
        <v>0</v>
      </c>
      <c r="S329" s="339">
        <f t="shared" si="22"/>
        <v>0</v>
      </c>
      <c r="T329" s="373"/>
      <c r="U329" s="373">
        <f>SUMIF(其他!$A$9:$A$65,"8349",其他!$G$9:$G$65)</f>
        <v>0</v>
      </c>
      <c r="V329" s="274"/>
      <c r="W329" s="374"/>
      <c r="X329" s="375"/>
      <c r="Y329" s="45" t="s">
        <v>668</v>
      </c>
      <c r="Z329" s="376"/>
      <c r="AA329" s="240"/>
      <c r="AB329" s="345">
        <v>1</v>
      </c>
      <c r="AC329" s="271"/>
      <c r="AD329" s="272"/>
      <c r="AE329" s="273"/>
      <c r="AF329" s="273"/>
      <c r="AG329" s="274"/>
      <c r="AH329" s="275"/>
      <c r="AI329" s="272"/>
      <c r="AJ329" s="276"/>
      <c r="AK329" s="277"/>
      <c r="AL329" s="278"/>
      <c r="AM329" s="277"/>
      <c r="AN329" s="279"/>
      <c r="AO329" s="279"/>
      <c r="AP329" s="279"/>
      <c r="AQ329" s="378"/>
      <c r="AR329" s="305">
        <f>'预算书-初步'!$F$10</f>
        <v>0.09</v>
      </c>
      <c r="AT329" s="272"/>
      <c r="BC329" s="272" t="s">
        <v>521</v>
      </c>
      <c r="BD329" s="380">
        <v>1120</v>
      </c>
      <c r="BE329" s="347" t="s">
        <v>700</v>
      </c>
    </row>
    <row r="330" s="52" customFormat="1" ht="15.75" customHeight="1" spans="1:57">
      <c r="A330" s="227"/>
      <c r="B330" s="332"/>
      <c r="C330" s="228"/>
      <c r="D330" s="333"/>
      <c r="E330" s="334"/>
      <c r="F330" s="229"/>
      <c r="G330" s="333"/>
      <c r="H330" s="335"/>
      <c r="I330" s="229"/>
      <c r="J330" s="229"/>
      <c r="K330" s="336"/>
      <c r="L330" s="337"/>
      <c r="M330" s="337"/>
      <c r="N330" s="337"/>
      <c r="O330" s="337"/>
      <c r="P330" s="337"/>
      <c r="Q330" s="384">
        <v>8352</v>
      </c>
      <c r="R330" s="271">
        <f t="shared" si="24"/>
        <v>0</v>
      </c>
      <c r="S330" s="339">
        <f t="shared" si="22"/>
        <v>0</v>
      </c>
      <c r="T330" s="373"/>
      <c r="U330" s="373">
        <f>SUMIF(其他!$A$9:$A$65,"8352",其他!$G$9:$G$65)</f>
        <v>0</v>
      </c>
      <c r="V330" s="274"/>
      <c r="W330" s="374"/>
      <c r="X330" s="375"/>
      <c r="Y330" s="45" t="s">
        <v>669</v>
      </c>
      <c r="Z330" s="376"/>
      <c r="AA330" s="240"/>
      <c r="AB330" s="345">
        <v>1</v>
      </c>
      <c r="AC330" s="271"/>
      <c r="AD330" s="272"/>
      <c r="AE330" s="273"/>
      <c r="AF330" s="273"/>
      <c r="AG330" s="274"/>
      <c r="AH330" s="275"/>
      <c r="AI330" s="272"/>
      <c r="AJ330" s="276"/>
      <c r="AK330" s="277"/>
      <c r="AL330" s="278"/>
      <c r="AM330" s="277"/>
      <c r="AN330" s="279"/>
      <c r="AO330" s="279"/>
      <c r="AP330" s="279"/>
      <c r="AQ330" s="378"/>
      <c r="AR330" s="305">
        <f>'预算书-初步'!$F$10</f>
        <v>0.09</v>
      </c>
      <c r="AT330" s="272"/>
      <c r="BC330" s="272" t="s">
        <v>521</v>
      </c>
      <c r="BD330" s="380">
        <v>1121</v>
      </c>
      <c r="BE330" s="347" t="s">
        <v>700</v>
      </c>
    </row>
    <row r="331" s="52" customFormat="1" ht="15.75" customHeight="1" spans="1:57">
      <c r="A331" s="227"/>
      <c r="B331" s="332"/>
      <c r="C331" s="228"/>
      <c r="D331" s="333"/>
      <c r="E331" s="334"/>
      <c r="F331" s="229"/>
      <c r="G331" s="333"/>
      <c r="H331" s="335"/>
      <c r="I331" s="229"/>
      <c r="J331" s="229"/>
      <c r="K331" s="336"/>
      <c r="L331" s="337"/>
      <c r="M331" s="337"/>
      <c r="N331" s="337"/>
      <c r="O331" s="337"/>
      <c r="P331" s="337"/>
      <c r="Q331" s="384">
        <v>8353</v>
      </c>
      <c r="R331" s="271">
        <f t="shared" si="24"/>
        <v>0</v>
      </c>
      <c r="S331" s="339">
        <f t="shared" si="22"/>
        <v>0</v>
      </c>
      <c r="T331" s="373"/>
      <c r="U331" s="373">
        <f>SUMIF(其他!$A$9:$A$65,"8353",其他!$G$9:$G$65)</f>
        <v>0</v>
      </c>
      <c r="V331" s="274"/>
      <c r="W331" s="374"/>
      <c r="X331" s="375"/>
      <c r="Y331" s="45" t="s">
        <v>670</v>
      </c>
      <c r="Z331" s="376"/>
      <c r="AA331" s="240"/>
      <c r="AB331" s="345">
        <v>1</v>
      </c>
      <c r="AC331" s="271"/>
      <c r="AD331" s="272"/>
      <c r="AE331" s="273"/>
      <c r="AF331" s="273"/>
      <c r="AG331" s="274"/>
      <c r="AH331" s="275"/>
      <c r="AI331" s="272"/>
      <c r="AJ331" s="276"/>
      <c r="AK331" s="277"/>
      <c r="AL331" s="278"/>
      <c r="AM331" s="277"/>
      <c r="AN331" s="279"/>
      <c r="AO331" s="279"/>
      <c r="AP331" s="279"/>
      <c r="AQ331" s="378"/>
      <c r="AR331" s="305">
        <f>'预算书-初步'!$F$10</f>
        <v>0.09</v>
      </c>
      <c r="AT331" s="272"/>
      <c r="BC331" s="272" t="s">
        <v>521</v>
      </c>
      <c r="BD331" s="380">
        <v>1121</v>
      </c>
      <c r="BE331" s="347" t="s">
        <v>700</v>
      </c>
    </row>
    <row r="332" s="52" customFormat="1" ht="15.75" customHeight="1" spans="1:57">
      <c r="A332" s="227"/>
      <c r="B332" s="332"/>
      <c r="C332" s="228"/>
      <c r="D332" s="333"/>
      <c r="E332" s="334"/>
      <c r="F332" s="229"/>
      <c r="G332" s="333"/>
      <c r="H332" s="335"/>
      <c r="I332" s="229"/>
      <c r="J332" s="229"/>
      <c r="K332" s="336"/>
      <c r="L332" s="337"/>
      <c r="M332" s="337"/>
      <c r="N332" s="337"/>
      <c r="O332" s="337"/>
      <c r="P332" s="337"/>
      <c r="Q332" s="384">
        <v>8354</v>
      </c>
      <c r="R332" s="271">
        <f t="shared" si="24"/>
        <v>0</v>
      </c>
      <c r="S332" s="339">
        <f t="shared" si="22"/>
        <v>0</v>
      </c>
      <c r="T332" s="373"/>
      <c r="U332" s="373">
        <f>SUMIF(其他!$A$9:$A$65,"8354",其他!$G$9:$G$65)</f>
        <v>0</v>
      </c>
      <c r="V332" s="274"/>
      <c r="W332" s="374"/>
      <c r="X332" s="375"/>
      <c r="Y332" s="45" t="s">
        <v>671</v>
      </c>
      <c r="Z332" s="376"/>
      <c r="AA332" s="240"/>
      <c r="AB332" s="345">
        <v>1</v>
      </c>
      <c r="AC332" s="271"/>
      <c r="AD332" s="272"/>
      <c r="AE332" s="273"/>
      <c r="AF332" s="273"/>
      <c r="AG332" s="274"/>
      <c r="AH332" s="275"/>
      <c r="AI332" s="272"/>
      <c r="AJ332" s="276"/>
      <c r="AK332" s="277"/>
      <c r="AL332" s="278"/>
      <c r="AM332" s="277"/>
      <c r="AN332" s="279"/>
      <c r="AO332" s="279"/>
      <c r="AP332" s="279"/>
      <c r="AQ332" s="378"/>
      <c r="AR332" s="305">
        <f>'预算书-初步'!$F$10</f>
        <v>0.09</v>
      </c>
      <c r="AT332" s="272"/>
      <c r="BC332" s="272" t="s">
        <v>521</v>
      </c>
      <c r="BD332" s="380">
        <v>1121</v>
      </c>
      <c r="BE332" s="347" t="s">
        <v>700</v>
      </c>
    </row>
    <row r="333" s="52" customFormat="1" ht="15.75" customHeight="1" spans="1:57">
      <c r="A333" s="227"/>
      <c r="B333" s="332"/>
      <c r="C333" s="228"/>
      <c r="D333" s="333"/>
      <c r="E333" s="334"/>
      <c r="F333" s="229"/>
      <c r="G333" s="333"/>
      <c r="H333" s="335"/>
      <c r="I333" s="229"/>
      <c r="J333" s="229"/>
      <c r="K333" s="336"/>
      <c r="L333" s="337"/>
      <c r="M333" s="337"/>
      <c r="N333" s="337"/>
      <c r="O333" s="337"/>
      <c r="P333" s="337"/>
      <c r="Q333" s="384">
        <v>8355</v>
      </c>
      <c r="R333" s="271">
        <f t="shared" si="24"/>
        <v>0</v>
      </c>
      <c r="S333" s="339">
        <f t="shared" si="22"/>
        <v>0</v>
      </c>
      <c r="T333" s="373"/>
      <c r="U333" s="373">
        <f>SUMIF(其他!$A$9:$A$65,"8355",其他!$G$9:$G$65)</f>
        <v>0</v>
      </c>
      <c r="V333" s="274"/>
      <c r="W333" s="374"/>
      <c r="X333" s="375"/>
      <c r="Y333" s="365" t="s">
        <v>672</v>
      </c>
      <c r="Z333" s="376"/>
      <c r="AA333" s="240"/>
      <c r="AB333" s="345">
        <v>1</v>
      </c>
      <c r="AC333" s="271"/>
      <c r="AD333" s="272"/>
      <c r="AE333" s="273"/>
      <c r="AF333" s="273"/>
      <c r="AG333" s="274"/>
      <c r="AH333" s="275"/>
      <c r="AI333" s="272"/>
      <c r="AJ333" s="276"/>
      <c r="AK333" s="277"/>
      <c r="AL333" s="278"/>
      <c r="AM333" s="277"/>
      <c r="AN333" s="279"/>
      <c r="AO333" s="279"/>
      <c r="AP333" s="279"/>
      <c r="AQ333" s="378"/>
      <c r="AR333" s="305">
        <f>'预算书-初步'!$F$10</f>
        <v>0.09</v>
      </c>
      <c r="AT333" s="272"/>
      <c r="BC333" s="272" t="s">
        <v>521</v>
      </c>
      <c r="BD333" s="380">
        <v>1121</v>
      </c>
      <c r="BE333" s="347" t="s">
        <v>700</v>
      </c>
    </row>
    <row r="334" s="52" customFormat="1" ht="15.75" customHeight="1" spans="1:57">
      <c r="A334" s="227"/>
      <c r="B334" s="332"/>
      <c r="C334" s="228"/>
      <c r="D334" s="333"/>
      <c r="E334" s="334"/>
      <c r="F334" s="229"/>
      <c r="G334" s="333"/>
      <c r="H334" s="335"/>
      <c r="I334" s="229"/>
      <c r="J334" s="229"/>
      <c r="K334" s="336"/>
      <c r="L334" s="337"/>
      <c r="M334" s="337"/>
      <c r="N334" s="337"/>
      <c r="O334" s="337"/>
      <c r="P334" s="337"/>
      <c r="Q334" s="384">
        <v>8357</v>
      </c>
      <c r="R334" s="271">
        <f t="shared" si="24"/>
        <v>0</v>
      </c>
      <c r="S334" s="339">
        <f t="shared" si="22"/>
        <v>0</v>
      </c>
      <c r="T334" s="373"/>
      <c r="U334" s="373">
        <f>FA!I$133</f>
        <v>0</v>
      </c>
      <c r="V334" s="274"/>
      <c r="W334" s="374"/>
      <c r="X334" s="375"/>
      <c r="Y334" s="390" t="s">
        <v>673</v>
      </c>
      <c r="Z334" s="376"/>
      <c r="AA334" s="240"/>
      <c r="AB334" s="345">
        <v>1</v>
      </c>
      <c r="AC334" s="271"/>
      <c r="AD334" s="272"/>
      <c r="AE334" s="273"/>
      <c r="AF334" s="273"/>
      <c r="AG334" s="274"/>
      <c r="AH334" s="275"/>
      <c r="AI334" s="272"/>
      <c r="AJ334" s="276"/>
      <c r="AK334" s="277"/>
      <c r="AL334" s="278"/>
      <c r="AM334" s="277"/>
      <c r="AN334" s="279"/>
      <c r="AO334" s="279"/>
      <c r="AP334" s="279"/>
      <c r="AQ334" s="378"/>
      <c r="AR334" s="305">
        <f>'预算书-初步'!$F$10</f>
        <v>0.09</v>
      </c>
      <c r="AT334" s="272"/>
      <c r="BC334" s="272" t="s">
        <v>521</v>
      </c>
      <c r="BD334" s="380">
        <v>1122</v>
      </c>
      <c r="BE334" s="347" t="s">
        <v>700</v>
      </c>
    </row>
    <row r="335" s="52" customFormat="1" ht="15.75" customHeight="1" spans="1:57">
      <c r="A335" s="227"/>
      <c r="B335" s="332"/>
      <c r="C335" s="228"/>
      <c r="D335" s="333"/>
      <c r="E335" s="334"/>
      <c r="F335" s="229"/>
      <c r="G335" s="333"/>
      <c r="H335" s="335"/>
      <c r="I335" s="229"/>
      <c r="J335" s="229"/>
      <c r="K335" s="336"/>
      <c r="L335" s="337"/>
      <c r="M335" s="337"/>
      <c r="N335" s="337"/>
      <c r="O335" s="337"/>
      <c r="P335" s="337"/>
      <c r="Q335" s="381">
        <v>8361</v>
      </c>
      <c r="R335" s="271">
        <f t="shared" si="24"/>
        <v>0</v>
      </c>
      <c r="S335" s="339">
        <f t="shared" si="22"/>
        <v>0</v>
      </c>
      <c r="T335" s="373"/>
      <c r="U335" s="373">
        <f>SUMIF(其他!$A$9:$A$65,"8361",其他!$G$9:$G$65)</f>
        <v>0</v>
      </c>
      <c r="V335" s="274"/>
      <c r="W335" s="374"/>
      <c r="X335" s="375"/>
      <c r="Y335" s="45" t="s">
        <v>674</v>
      </c>
      <c r="Z335" s="376"/>
      <c r="AA335" s="240"/>
      <c r="AB335" s="345">
        <v>1</v>
      </c>
      <c r="AC335" s="271"/>
      <c r="AD335" s="272"/>
      <c r="AE335" s="273"/>
      <c r="AF335" s="273"/>
      <c r="AG335" s="274"/>
      <c r="AH335" s="275"/>
      <c r="AI335" s="272"/>
      <c r="AJ335" s="276"/>
      <c r="AK335" s="277"/>
      <c r="AL335" s="278"/>
      <c r="AM335" s="277"/>
      <c r="AN335" s="279"/>
      <c r="AO335" s="279"/>
      <c r="AP335" s="279"/>
      <c r="AQ335" s="378"/>
      <c r="AR335" s="305">
        <f>'预算书-初步'!$F$10</f>
        <v>0.09</v>
      </c>
      <c r="AT335" s="272"/>
      <c r="BC335" s="272" t="s">
        <v>521</v>
      </c>
      <c r="BD335" s="380">
        <v>1123</v>
      </c>
      <c r="BE335" s="347" t="s">
        <v>700</v>
      </c>
    </row>
    <row r="336" s="52" customFormat="1" ht="15.75" customHeight="1" spans="1:57">
      <c r="A336" s="227"/>
      <c r="B336" s="332"/>
      <c r="C336" s="228"/>
      <c r="D336" s="333"/>
      <c r="E336" s="334"/>
      <c r="F336" s="229"/>
      <c r="G336" s="333"/>
      <c r="H336" s="335"/>
      <c r="I336" s="229"/>
      <c r="J336" s="229"/>
      <c r="K336" s="336"/>
      <c r="L336" s="337"/>
      <c r="M336" s="337"/>
      <c r="N336" s="337"/>
      <c r="O336" s="337"/>
      <c r="P336" s="337"/>
      <c r="Q336" s="381">
        <v>8362</v>
      </c>
      <c r="R336" s="271">
        <f t="shared" si="24"/>
        <v>0</v>
      </c>
      <c r="S336" s="339">
        <f t="shared" si="22"/>
        <v>0</v>
      </c>
      <c r="T336" s="373"/>
      <c r="U336" s="373">
        <f>SUMIF(其他!$A$9:$A$65,"8362",其他!$G$9:$G$65)</f>
        <v>0</v>
      </c>
      <c r="V336" s="274"/>
      <c r="W336" s="374"/>
      <c r="X336" s="375"/>
      <c r="Y336" s="45" t="s">
        <v>675</v>
      </c>
      <c r="Z336" s="376"/>
      <c r="AA336" s="240"/>
      <c r="AB336" s="345">
        <v>1</v>
      </c>
      <c r="AC336" s="271"/>
      <c r="AD336" s="272"/>
      <c r="AE336" s="273"/>
      <c r="AF336" s="273"/>
      <c r="AG336" s="274"/>
      <c r="AH336" s="275"/>
      <c r="AI336" s="272"/>
      <c r="AJ336" s="276"/>
      <c r="AK336" s="277"/>
      <c r="AL336" s="278"/>
      <c r="AM336" s="277"/>
      <c r="AN336" s="279"/>
      <c r="AO336" s="279"/>
      <c r="AP336" s="279"/>
      <c r="AQ336" s="378"/>
      <c r="AR336" s="305">
        <f>'预算书-初步'!$F$10</f>
        <v>0.09</v>
      </c>
      <c r="AT336" s="272"/>
      <c r="BC336" s="272" t="s">
        <v>521</v>
      </c>
      <c r="BD336" s="380">
        <v>1123</v>
      </c>
      <c r="BE336" s="347" t="s">
        <v>700</v>
      </c>
    </row>
    <row r="337" s="52" customFormat="1" ht="15.75" customHeight="1" spans="1:57">
      <c r="A337" s="227"/>
      <c r="B337" s="332"/>
      <c r="C337" s="228"/>
      <c r="D337" s="333"/>
      <c r="E337" s="334"/>
      <c r="F337" s="229"/>
      <c r="G337" s="333"/>
      <c r="H337" s="335"/>
      <c r="I337" s="229"/>
      <c r="J337" s="229"/>
      <c r="K337" s="336"/>
      <c r="L337" s="337"/>
      <c r="M337" s="337"/>
      <c r="N337" s="337"/>
      <c r="O337" s="337"/>
      <c r="P337" s="337"/>
      <c r="Q337" s="381">
        <v>8391</v>
      </c>
      <c r="R337" s="271">
        <f t="shared" si="24"/>
        <v>0</v>
      </c>
      <c r="S337" s="339">
        <f t="shared" si="22"/>
        <v>0</v>
      </c>
      <c r="T337" s="373"/>
      <c r="U337" s="373">
        <f>FA!I$135</f>
        <v>0</v>
      </c>
      <c r="V337" s="274"/>
      <c r="W337" s="374"/>
      <c r="X337" s="375"/>
      <c r="Y337" s="45" t="s">
        <v>676</v>
      </c>
      <c r="Z337" s="376"/>
      <c r="AA337" s="240"/>
      <c r="AB337" s="345">
        <v>1</v>
      </c>
      <c r="AC337" s="271"/>
      <c r="AD337" s="272"/>
      <c r="AE337" s="273"/>
      <c r="AF337" s="273"/>
      <c r="AG337" s="274"/>
      <c r="AH337" s="275"/>
      <c r="AI337" s="272"/>
      <c r="AJ337" s="276"/>
      <c r="AK337" s="277"/>
      <c r="AL337" s="278"/>
      <c r="AM337" s="277"/>
      <c r="AN337" s="279"/>
      <c r="AO337" s="279"/>
      <c r="AP337" s="279"/>
      <c r="AQ337" s="378"/>
      <c r="AR337" s="305">
        <f>'预算书-初步'!$F$10</f>
        <v>0.09</v>
      </c>
      <c r="AT337" s="272"/>
      <c r="BC337" s="272" t="s">
        <v>521</v>
      </c>
      <c r="BD337" s="380">
        <v>1124</v>
      </c>
      <c r="BE337" s="347" t="s">
        <v>700</v>
      </c>
    </row>
    <row r="338" s="52" customFormat="1" ht="15.75" customHeight="1" spans="1:57">
      <c r="A338" s="227"/>
      <c r="B338" s="332"/>
      <c r="C338" s="228"/>
      <c r="D338" s="333"/>
      <c r="E338" s="334"/>
      <c r="F338" s="229"/>
      <c r="G338" s="333"/>
      <c r="H338" s="335"/>
      <c r="I338" s="229"/>
      <c r="J338" s="229"/>
      <c r="K338" s="336"/>
      <c r="L338" s="337"/>
      <c r="M338" s="337"/>
      <c r="N338" s="337"/>
      <c r="O338" s="337"/>
      <c r="P338" s="337"/>
      <c r="Q338" s="381">
        <v>8392</v>
      </c>
      <c r="R338" s="271">
        <f t="shared" si="24"/>
        <v>0</v>
      </c>
      <c r="S338" s="339">
        <f t="shared" si="22"/>
        <v>0</v>
      </c>
      <c r="T338" s="373"/>
      <c r="U338" s="373">
        <f>SUMIF(其他!$A$9:$A$65,"8392",其他!$G$9:$G$65)</f>
        <v>0</v>
      </c>
      <c r="V338" s="274"/>
      <c r="W338" s="374"/>
      <c r="X338" s="375"/>
      <c r="Y338" s="45" t="s">
        <v>677</v>
      </c>
      <c r="Z338" s="376"/>
      <c r="AA338" s="240"/>
      <c r="AB338" s="345">
        <v>1</v>
      </c>
      <c r="AC338" s="271"/>
      <c r="AD338" s="272"/>
      <c r="AE338" s="273"/>
      <c r="AF338" s="273"/>
      <c r="AG338" s="274"/>
      <c r="AH338" s="275"/>
      <c r="AI338" s="272"/>
      <c r="AJ338" s="276"/>
      <c r="AK338" s="277"/>
      <c r="AL338" s="278"/>
      <c r="AM338" s="277"/>
      <c r="AN338" s="279"/>
      <c r="AO338" s="279"/>
      <c r="AP338" s="279"/>
      <c r="AQ338" s="378"/>
      <c r="AR338" s="305">
        <f>'预算书-初步'!$F$10</f>
        <v>0.09</v>
      </c>
      <c r="AT338" s="272"/>
      <c r="BC338" s="272" t="s">
        <v>521</v>
      </c>
      <c r="BD338" s="380">
        <v>1125</v>
      </c>
      <c r="BE338" s="347" t="s">
        <v>700</v>
      </c>
    </row>
    <row r="339" s="52" customFormat="1" ht="15.75" customHeight="1" spans="1:57">
      <c r="A339" s="227"/>
      <c r="B339" s="332"/>
      <c r="C339" s="228"/>
      <c r="D339" s="333"/>
      <c r="E339" s="334"/>
      <c r="F339" s="229"/>
      <c r="G339" s="333"/>
      <c r="H339" s="335"/>
      <c r="I339" s="229"/>
      <c r="J339" s="229"/>
      <c r="K339" s="336"/>
      <c r="L339" s="337"/>
      <c r="M339" s="337"/>
      <c r="N339" s="337"/>
      <c r="O339" s="337"/>
      <c r="P339" s="337"/>
      <c r="Q339" s="381">
        <v>8393</v>
      </c>
      <c r="R339" s="271">
        <f t="shared" si="24"/>
        <v>0</v>
      </c>
      <c r="S339" s="339">
        <f t="shared" si="22"/>
        <v>0</v>
      </c>
      <c r="T339" s="373"/>
      <c r="U339" s="373">
        <f>SUMIF(其他!$A$9:$A$65,"8393",其他!$G$9:$G$65)</f>
        <v>0</v>
      </c>
      <c r="V339" s="274"/>
      <c r="W339" s="374"/>
      <c r="X339" s="375"/>
      <c r="Y339" s="45" t="s">
        <v>678</v>
      </c>
      <c r="Z339" s="376"/>
      <c r="AA339" s="240"/>
      <c r="AB339" s="345">
        <v>1</v>
      </c>
      <c r="AC339" s="271"/>
      <c r="AD339" s="272"/>
      <c r="AE339" s="273"/>
      <c r="AF339" s="273"/>
      <c r="AG339" s="274"/>
      <c r="AH339" s="275"/>
      <c r="AI339" s="272"/>
      <c r="AJ339" s="276"/>
      <c r="AK339" s="277"/>
      <c r="AL339" s="278"/>
      <c r="AM339" s="277"/>
      <c r="AN339" s="279"/>
      <c r="AO339" s="279"/>
      <c r="AP339" s="279"/>
      <c r="AQ339" s="378"/>
      <c r="AR339" s="305">
        <f>'预算书-初步'!$F$10</f>
        <v>0.09</v>
      </c>
      <c r="AT339" s="272"/>
      <c r="BC339" s="272" t="s">
        <v>521</v>
      </c>
      <c r="BD339" s="380">
        <v>1125</v>
      </c>
      <c r="BE339" s="347" t="s">
        <v>700</v>
      </c>
    </row>
    <row r="340" s="52" customFormat="1" ht="15.75" customHeight="1" spans="1:57">
      <c r="A340" s="227"/>
      <c r="B340" s="332"/>
      <c r="C340" s="228"/>
      <c r="D340" s="333"/>
      <c r="E340" s="334"/>
      <c r="F340" s="229"/>
      <c r="G340" s="333"/>
      <c r="H340" s="335"/>
      <c r="I340" s="229"/>
      <c r="J340" s="229"/>
      <c r="K340" s="336"/>
      <c r="L340" s="337"/>
      <c r="M340" s="337"/>
      <c r="N340" s="337"/>
      <c r="O340" s="337"/>
      <c r="P340" s="337"/>
      <c r="Q340" s="381">
        <v>8394</v>
      </c>
      <c r="R340" s="271">
        <f t="shared" si="24"/>
        <v>0</v>
      </c>
      <c r="S340" s="339">
        <f t="shared" si="22"/>
        <v>0</v>
      </c>
      <c r="T340" s="373"/>
      <c r="U340" s="373">
        <f>SUMIF(其他!$A$9:$A$65,"8394",其他!$G$9:$G$65)</f>
        <v>0</v>
      </c>
      <c r="V340" s="274"/>
      <c r="W340" s="374"/>
      <c r="X340" s="375"/>
      <c r="Y340" s="45" t="s">
        <v>679</v>
      </c>
      <c r="Z340" s="376"/>
      <c r="AA340" s="240"/>
      <c r="AB340" s="345">
        <v>1</v>
      </c>
      <c r="AC340" s="271"/>
      <c r="AD340" s="272"/>
      <c r="AE340" s="273"/>
      <c r="AF340" s="273"/>
      <c r="AG340" s="274"/>
      <c r="AH340" s="275"/>
      <c r="AI340" s="272"/>
      <c r="AJ340" s="276"/>
      <c r="AK340" s="277"/>
      <c r="AL340" s="278"/>
      <c r="AM340" s="277"/>
      <c r="AN340" s="279"/>
      <c r="AO340" s="279"/>
      <c r="AP340" s="279"/>
      <c r="AQ340" s="378"/>
      <c r="AR340" s="305">
        <f>'预算书-初步'!$F$10</f>
        <v>0.09</v>
      </c>
      <c r="AT340" s="272"/>
      <c r="BC340" s="272" t="s">
        <v>521</v>
      </c>
      <c r="BD340" s="380">
        <v>1125</v>
      </c>
      <c r="BE340" s="347" t="s">
        <v>700</v>
      </c>
    </row>
    <row r="341" s="52" customFormat="1" ht="15.75" customHeight="1" spans="1:57">
      <c r="A341" s="227"/>
      <c r="B341" s="332"/>
      <c r="C341" s="228"/>
      <c r="D341" s="333"/>
      <c r="E341" s="334"/>
      <c r="F341" s="229"/>
      <c r="G341" s="333"/>
      <c r="H341" s="335"/>
      <c r="I341" s="229"/>
      <c r="J341" s="229"/>
      <c r="K341" s="336"/>
      <c r="L341" s="337"/>
      <c r="M341" s="337"/>
      <c r="N341" s="337"/>
      <c r="O341" s="337"/>
      <c r="P341" s="337"/>
      <c r="Q341" s="381">
        <v>8329</v>
      </c>
      <c r="R341" s="271">
        <f t="shared" si="24"/>
        <v>0</v>
      </c>
      <c r="S341" s="339">
        <f t="shared" si="22"/>
        <v>0</v>
      </c>
      <c r="T341" s="373"/>
      <c r="U341" s="373">
        <f>FA!I$137</f>
        <v>0</v>
      </c>
      <c r="V341" s="274"/>
      <c r="W341" s="374"/>
      <c r="X341" s="375"/>
      <c r="Y341" s="388" t="s">
        <v>680</v>
      </c>
      <c r="Z341" s="376"/>
      <c r="AA341" s="240"/>
      <c r="AB341" s="345">
        <v>1</v>
      </c>
      <c r="AC341" s="271"/>
      <c r="AD341" s="272"/>
      <c r="AE341" s="273"/>
      <c r="AF341" s="273"/>
      <c r="AG341" s="274"/>
      <c r="AH341" s="275"/>
      <c r="AI341" s="272"/>
      <c r="AJ341" s="276"/>
      <c r="AK341" s="277"/>
      <c r="AL341" s="278"/>
      <c r="AM341" s="277"/>
      <c r="AN341" s="279"/>
      <c r="AO341" s="279"/>
      <c r="AP341" s="279"/>
      <c r="AQ341" s="378"/>
      <c r="AR341" s="305">
        <f>'预算书-初步'!$F$10</f>
        <v>0.09</v>
      </c>
      <c r="AT341" s="272"/>
      <c r="BC341" s="272" t="s">
        <v>521</v>
      </c>
      <c r="BD341" s="380">
        <v>1126</v>
      </c>
      <c r="BE341" s="347" t="s">
        <v>700</v>
      </c>
    </row>
    <row r="342" s="52" customFormat="1" ht="15.75" customHeight="1" spans="1:57">
      <c r="A342" s="227"/>
      <c r="B342" s="332"/>
      <c r="C342" s="228"/>
      <c r="D342" s="333"/>
      <c r="E342" s="334"/>
      <c r="F342" s="229"/>
      <c r="G342" s="333"/>
      <c r="H342" s="335"/>
      <c r="I342" s="229"/>
      <c r="J342" s="229"/>
      <c r="K342" s="336"/>
      <c r="L342" s="337"/>
      <c r="M342" s="337"/>
      <c r="N342" s="337"/>
      <c r="O342" s="337"/>
      <c r="P342" s="337"/>
      <c r="Q342" s="381">
        <v>8330</v>
      </c>
      <c r="R342" s="271">
        <f t="shared" si="24"/>
        <v>0</v>
      </c>
      <c r="S342" s="339">
        <f t="shared" ref="S342:S367" si="25">$S$5</f>
        <v>0</v>
      </c>
      <c r="T342" s="373"/>
      <c r="U342" s="373">
        <f>FA!I$138</f>
        <v>0</v>
      </c>
      <c r="V342" s="274"/>
      <c r="W342" s="374"/>
      <c r="X342" s="375"/>
      <c r="Y342" s="45" t="s">
        <v>681</v>
      </c>
      <c r="Z342" s="376"/>
      <c r="AA342" s="240"/>
      <c r="AB342" s="345">
        <v>1</v>
      </c>
      <c r="AC342" s="271"/>
      <c r="AD342" s="272"/>
      <c r="AE342" s="273"/>
      <c r="AF342" s="273"/>
      <c r="AG342" s="274"/>
      <c r="AH342" s="275"/>
      <c r="AI342" s="272"/>
      <c r="AJ342" s="276"/>
      <c r="AK342" s="277"/>
      <c r="AL342" s="278"/>
      <c r="AM342" s="277"/>
      <c r="AN342" s="279"/>
      <c r="AO342" s="279"/>
      <c r="AP342" s="279"/>
      <c r="AQ342" s="378"/>
      <c r="AR342" s="305">
        <f>'预算书-初步'!$F$10</f>
        <v>0.09</v>
      </c>
      <c r="AT342" s="272"/>
      <c r="BC342" s="272" t="s">
        <v>521</v>
      </c>
      <c r="BD342" s="380">
        <v>1127</v>
      </c>
      <c r="BE342" s="347" t="s">
        <v>700</v>
      </c>
    </row>
    <row r="343" s="52" customFormat="1" ht="15.75" customHeight="1" spans="1:57">
      <c r="A343" s="227"/>
      <c r="B343" s="332"/>
      <c r="C343" s="228"/>
      <c r="D343" s="333"/>
      <c r="E343" s="334"/>
      <c r="F343" s="229"/>
      <c r="G343" s="333"/>
      <c r="H343" s="335"/>
      <c r="I343" s="229"/>
      <c r="J343" s="229"/>
      <c r="K343" s="336"/>
      <c r="L343" s="337"/>
      <c r="M343" s="337"/>
      <c r="N343" s="337"/>
      <c r="O343" s="337"/>
      <c r="P343" s="337"/>
      <c r="Q343" s="381">
        <v>8440</v>
      </c>
      <c r="R343" s="271">
        <f t="shared" si="24"/>
        <v>0</v>
      </c>
      <c r="S343" s="339">
        <f t="shared" si="25"/>
        <v>0</v>
      </c>
      <c r="T343" s="373"/>
      <c r="U343" s="373">
        <f>FA!I$144</f>
        <v>0</v>
      </c>
      <c r="V343" s="274"/>
      <c r="W343" s="374"/>
      <c r="X343" s="375"/>
      <c r="Y343" s="385" t="s">
        <v>682</v>
      </c>
      <c r="Z343" s="376"/>
      <c r="AA343" s="240"/>
      <c r="AB343" s="345">
        <v>1</v>
      </c>
      <c r="AC343" s="271"/>
      <c r="AD343" s="272"/>
      <c r="AE343" s="273"/>
      <c r="AF343" s="273"/>
      <c r="AG343" s="274"/>
      <c r="AH343" s="275"/>
      <c r="AI343" s="272"/>
      <c r="AJ343" s="276"/>
      <c r="AK343" s="277"/>
      <c r="AL343" s="278"/>
      <c r="AM343" s="277"/>
      <c r="AN343" s="279"/>
      <c r="AO343" s="279"/>
      <c r="AP343" s="279"/>
      <c r="AQ343" s="378"/>
      <c r="AR343" s="305">
        <f>'预算书-初步'!$F$10</f>
        <v>0.09</v>
      </c>
      <c r="AT343" s="272"/>
      <c r="BC343" s="272" t="s">
        <v>521</v>
      </c>
      <c r="BD343" s="380">
        <v>1133</v>
      </c>
      <c r="BE343" s="347" t="s">
        <v>700</v>
      </c>
    </row>
    <row r="344" s="52" customFormat="1" ht="15.75" customHeight="1" spans="1:57">
      <c r="A344" s="227"/>
      <c r="B344" s="332"/>
      <c r="C344" s="228"/>
      <c r="D344" s="333"/>
      <c r="E344" s="334"/>
      <c r="F344" s="229"/>
      <c r="G344" s="333"/>
      <c r="H344" s="335"/>
      <c r="I344" s="229"/>
      <c r="J344" s="229"/>
      <c r="K344" s="336"/>
      <c r="L344" s="337"/>
      <c r="M344" s="337"/>
      <c r="N344" s="337"/>
      <c r="O344" s="337"/>
      <c r="P344" s="337"/>
      <c r="Q344" s="381">
        <v>8437</v>
      </c>
      <c r="R344" s="271">
        <f t="shared" si="24"/>
        <v>0</v>
      </c>
      <c r="S344" s="339">
        <f t="shared" si="25"/>
        <v>0</v>
      </c>
      <c r="T344" s="373"/>
      <c r="U344" s="373">
        <f>FA!I$145</f>
        <v>0</v>
      </c>
      <c r="V344" s="274"/>
      <c r="W344" s="374"/>
      <c r="X344" s="375"/>
      <c r="Y344" s="45" t="s">
        <v>683</v>
      </c>
      <c r="Z344" s="376"/>
      <c r="AA344" s="240"/>
      <c r="AB344" s="345">
        <v>1</v>
      </c>
      <c r="AC344" s="271"/>
      <c r="AD344" s="272"/>
      <c r="AE344" s="273"/>
      <c r="AF344" s="273"/>
      <c r="AG344" s="274"/>
      <c r="AH344" s="275"/>
      <c r="AI344" s="272"/>
      <c r="AJ344" s="276"/>
      <c r="AK344" s="277"/>
      <c r="AL344" s="278"/>
      <c r="AM344" s="277"/>
      <c r="AN344" s="279"/>
      <c r="AO344" s="279"/>
      <c r="AP344" s="279"/>
      <c r="AQ344" s="378"/>
      <c r="AR344" s="305">
        <f>'预算书-初步'!$F$10</f>
        <v>0.09</v>
      </c>
      <c r="AT344" s="272"/>
      <c r="BC344" s="272" t="s">
        <v>521</v>
      </c>
      <c r="BD344" s="380">
        <v>1134</v>
      </c>
      <c r="BE344" s="347" t="s">
        <v>700</v>
      </c>
    </row>
    <row r="345" s="52" customFormat="1" ht="15.75" customHeight="1" spans="1:57">
      <c r="A345" s="227"/>
      <c r="B345" s="332"/>
      <c r="C345" s="228"/>
      <c r="D345" s="333"/>
      <c r="E345" s="334"/>
      <c r="F345" s="229"/>
      <c r="G345" s="333"/>
      <c r="H345" s="335"/>
      <c r="I345" s="229"/>
      <c r="J345" s="229"/>
      <c r="K345" s="336"/>
      <c r="L345" s="337"/>
      <c r="M345" s="337"/>
      <c r="N345" s="337"/>
      <c r="O345" s="337"/>
      <c r="P345" s="337"/>
      <c r="Q345" s="381">
        <v>8441</v>
      </c>
      <c r="R345" s="271">
        <f t="shared" si="24"/>
        <v>0</v>
      </c>
      <c r="S345" s="339">
        <f t="shared" si="25"/>
        <v>0</v>
      </c>
      <c r="T345" s="373"/>
      <c r="U345" s="373">
        <f>FA!I$146</f>
        <v>0</v>
      </c>
      <c r="V345" s="274"/>
      <c r="W345" s="374"/>
      <c r="X345" s="375"/>
      <c r="Y345" s="388" t="s">
        <v>684</v>
      </c>
      <c r="Z345" s="376"/>
      <c r="AA345" s="240"/>
      <c r="AB345" s="345">
        <v>1</v>
      </c>
      <c r="AC345" s="271"/>
      <c r="AD345" s="272"/>
      <c r="AE345" s="273"/>
      <c r="AF345" s="273"/>
      <c r="AG345" s="274"/>
      <c r="AH345" s="275"/>
      <c r="AI345" s="272"/>
      <c r="AJ345" s="276"/>
      <c r="AK345" s="277"/>
      <c r="AL345" s="278"/>
      <c r="AM345" s="277"/>
      <c r="AN345" s="279"/>
      <c r="AO345" s="279"/>
      <c r="AP345" s="279"/>
      <c r="AQ345" s="378"/>
      <c r="AR345" s="305">
        <f>'预算书-初步'!$F$10</f>
        <v>0.09</v>
      </c>
      <c r="AT345" s="272"/>
      <c r="BC345" s="272" t="s">
        <v>521</v>
      </c>
      <c r="BD345" s="380">
        <v>1135</v>
      </c>
      <c r="BE345" s="347" t="s">
        <v>700</v>
      </c>
    </row>
    <row r="346" s="52" customFormat="1" ht="15.75" customHeight="1" spans="1:57">
      <c r="A346" s="227"/>
      <c r="B346" s="332"/>
      <c r="C346" s="228"/>
      <c r="D346" s="333"/>
      <c r="E346" s="334"/>
      <c r="F346" s="229"/>
      <c r="G346" s="333"/>
      <c r="H346" s="335"/>
      <c r="I346" s="229"/>
      <c r="J346" s="229"/>
      <c r="K346" s="336"/>
      <c r="L346" s="337"/>
      <c r="M346" s="337"/>
      <c r="N346" s="337"/>
      <c r="O346" s="337"/>
      <c r="P346" s="337"/>
      <c r="Q346" s="381">
        <v>8420</v>
      </c>
      <c r="R346" s="271">
        <f t="shared" si="24"/>
        <v>0</v>
      </c>
      <c r="S346" s="339">
        <f t="shared" si="25"/>
        <v>0</v>
      </c>
      <c r="T346" s="373"/>
      <c r="U346" s="373">
        <f>FA!I$148</f>
        <v>0</v>
      </c>
      <c r="V346" s="274"/>
      <c r="W346" s="374"/>
      <c r="X346" s="375"/>
      <c r="Y346" s="45" t="s">
        <v>685</v>
      </c>
      <c r="Z346" s="376"/>
      <c r="AA346" s="240"/>
      <c r="AB346" s="345">
        <v>1</v>
      </c>
      <c r="AC346" s="271"/>
      <c r="AD346" s="272"/>
      <c r="AE346" s="273"/>
      <c r="AF346" s="273"/>
      <c r="AG346" s="274"/>
      <c r="AH346" s="275"/>
      <c r="AI346" s="272"/>
      <c r="AJ346" s="276"/>
      <c r="AK346" s="277"/>
      <c r="AL346" s="278"/>
      <c r="AM346" s="277"/>
      <c r="AN346" s="279"/>
      <c r="AO346" s="279"/>
      <c r="AP346" s="279"/>
      <c r="AQ346" s="378"/>
      <c r="AR346" s="305">
        <f>'预算书-初步'!$F$10</f>
        <v>0.09</v>
      </c>
      <c r="AT346" s="272"/>
      <c r="BC346" s="272" t="s">
        <v>521</v>
      </c>
      <c r="BD346" s="380">
        <v>1137</v>
      </c>
      <c r="BE346" s="347" t="s">
        <v>700</v>
      </c>
    </row>
    <row r="347" s="52" customFormat="1" ht="15.75" customHeight="1" spans="1:57">
      <c r="A347" s="227"/>
      <c r="B347" s="332"/>
      <c r="C347" s="228"/>
      <c r="D347" s="333"/>
      <c r="E347" s="334"/>
      <c r="F347" s="229"/>
      <c r="G347" s="333"/>
      <c r="H347" s="335"/>
      <c r="I347" s="229"/>
      <c r="J347" s="229"/>
      <c r="K347" s="336"/>
      <c r="L347" s="337"/>
      <c r="M347" s="337"/>
      <c r="N347" s="337"/>
      <c r="O347" s="337"/>
      <c r="P347" s="337"/>
      <c r="Q347" s="381">
        <v>8450</v>
      </c>
      <c r="R347" s="271">
        <f t="shared" si="24"/>
        <v>0</v>
      </c>
      <c r="S347" s="339">
        <f t="shared" si="25"/>
        <v>0</v>
      </c>
      <c r="T347" s="373"/>
      <c r="U347" s="373">
        <f>FA!I$149</f>
        <v>0</v>
      </c>
      <c r="V347" s="274"/>
      <c r="W347" s="374"/>
      <c r="X347" s="375"/>
      <c r="Y347" s="388" t="s">
        <v>686</v>
      </c>
      <c r="Z347" s="376"/>
      <c r="AA347" s="240"/>
      <c r="AB347" s="345">
        <v>1</v>
      </c>
      <c r="AC347" s="271"/>
      <c r="AD347" s="272"/>
      <c r="AE347" s="273"/>
      <c r="AF347" s="273"/>
      <c r="AG347" s="274"/>
      <c r="AH347" s="275"/>
      <c r="AI347" s="272"/>
      <c r="AJ347" s="276"/>
      <c r="AK347" s="277"/>
      <c r="AL347" s="278"/>
      <c r="AM347" s="277"/>
      <c r="AN347" s="279"/>
      <c r="AO347" s="279"/>
      <c r="AP347" s="279"/>
      <c r="AQ347" s="378"/>
      <c r="AR347" s="305">
        <f>'预算书-初步'!$F$10</f>
        <v>0.09</v>
      </c>
      <c r="AT347" s="272"/>
      <c r="BC347" s="272" t="s">
        <v>521</v>
      </c>
      <c r="BD347" s="380">
        <v>1138</v>
      </c>
      <c r="BE347" s="347" t="s">
        <v>700</v>
      </c>
    </row>
    <row r="348" s="52" customFormat="1" ht="15.75" customHeight="1" spans="1:57">
      <c r="A348" s="227"/>
      <c r="B348" s="332"/>
      <c r="C348" s="228"/>
      <c r="D348" s="333"/>
      <c r="E348" s="334"/>
      <c r="F348" s="229"/>
      <c r="G348" s="333"/>
      <c r="H348" s="335"/>
      <c r="I348" s="229"/>
      <c r="J348" s="229"/>
      <c r="K348" s="336"/>
      <c r="L348" s="337"/>
      <c r="M348" s="337"/>
      <c r="N348" s="337"/>
      <c r="O348" s="337"/>
      <c r="P348" s="337"/>
      <c r="Q348" s="381">
        <v>8493</v>
      </c>
      <c r="R348" s="271">
        <f t="shared" si="24"/>
        <v>0</v>
      </c>
      <c r="S348" s="339">
        <f t="shared" si="25"/>
        <v>0</v>
      </c>
      <c r="T348" s="373"/>
      <c r="U348" s="373">
        <f>FA!I$155</f>
        <v>0</v>
      </c>
      <c r="V348" s="274"/>
      <c r="W348" s="374"/>
      <c r="X348" s="375"/>
      <c r="Y348" s="365" t="s">
        <v>687</v>
      </c>
      <c r="Z348" s="376"/>
      <c r="AA348" s="240"/>
      <c r="AB348" s="345">
        <v>1</v>
      </c>
      <c r="AC348" s="271"/>
      <c r="AD348" s="272"/>
      <c r="AE348" s="273"/>
      <c r="AF348" s="273"/>
      <c r="AG348" s="274"/>
      <c r="AH348" s="275"/>
      <c r="AI348" s="272"/>
      <c r="AJ348" s="276"/>
      <c r="AK348" s="277"/>
      <c r="AL348" s="278"/>
      <c r="AM348" s="277"/>
      <c r="AN348" s="279"/>
      <c r="AO348" s="279"/>
      <c r="AP348" s="279"/>
      <c r="AQ348" s="378"/>
      <c r="AR348" s="305">
        <f>'预算书-初步'!$F$10</f>
        <v>0.09</v>
      </c>
      <c r="AT348" s="272"/>
      <c r="BC348" s="272" t="s">
        <v>521</v>
      </c>
      <c r="BD348" s="380">
        <v>1152</v>
      </c>
      <c r="BE348" s="347" t="s">
        <v>700</v>
      </c>
    </row>
    <row r="349" s="52" customFormat="1" ht="15.75" customHeight="1" spans="1:57">
      <c r="A349" s="227"/>
      <c r="B349" s="332"/>
      <c r="C349" s="228"/>
      <c r="D349" s="333"/>
      <c r="E349" s="334"/>
      <c r="F349" s="229"/>
      <c r="G349" s="333"/>
      <c r="H349" s="335"/>
      <c r="I349" s="229"/>
      <c r="J349" s="229"/>
      <c r="K349" s="336"/>
      <c r="L349" s="337"/>
      <c r="M349" s="337"/>
      <c r="N349" s="337"/>
      <c r="O349" s="337"/>
      <c r="P349" s="337"/>
      <c r="Q349" s="381">
        <v>8494</v>
      </c>
      <c r="R349" s="271">
        <f t="shared" si="24"/>
        <v>0</v>
      </c>
      <c r="S349" s="339">
        <f t="shared" si="25"/>
        <v>0</v>
      </c>
      <c r="T349" s="373"/>
      <c r="U349" s="373">
        <f>FA!I$156</f>
        <v>0</v>
      </c>
      <c r="V349" s="274"/>
      <c r="W349" s="374"/>
      <c r="X349" s="375"/>
      <c r="Y349" s="365" t="s">
        <v>688</v>
      </c>
      <c r="Z349" s="376"/>
      <c r="AA349" s="240"/>
      <c r="AB349" s="345">
        <v>1</v>
      </c>
      <c r="AC349" s="271"/>
      <c r="AD349" s="272"/>
      <c r="AE349" s="273"/>
      <c r="AF349" s="273"/>
      <c r="AG349" s="274"/>
      <c r="AH349" s="275"/>
      <c r="AI349" s="272"/>
      <c r="AJ349" s="276"/>
      <c r="AK349" s="277"/>
      <c r="AL349" s="278"/>
      <c r="AM349" s="277"/>
      <c r="AN349" s="279"/>
      <c r="AO349" s="279"/>
      <c r="AP349" s="279"/>
      <c r="AQ349" s="378"/>
      <c r="AR349" s="305">
        <f>'预算书-初步'!$F$10</f>
        <v>0.09</v>
      </c>
      <c r="AT349" s="272"/>
      <c r="BC349" s="272" t="s">
        <v>521</v>
      </c>
      <c r="BD349" s="380">
        <v>1153</v>
      </c>
      <c r="BE349" s="347" t="s">
        <v>700</v>
      </c>
    </row>
    <row r="350" s="52" customFormat="1" ht="15.75" customHeight="1" spans="1:57">
      <c r="A350" s="227"/>
      <c r="B350" s="332"/>
      <c r="C350" s="228"/>
      <c r="D350" s="333"/>
      <c r="E350" s="334"/>
      <c r="F350" s="229"/>
      <c r="G350" s="333"/>
      <c r="H350" s="335"/>
      <c r="I350" s="229"/>
      <c r="J350" s="229"/>
      <c r="K350" s="336"/>
      <c r="L350" s="337"/>
      <c r="M350" s="337"/>
      <c r="N350" s="337"/>
      <c r="O350" s="337"/>
      <c r="P350" s="337"/>
      <c r="Q350" s="384">
        <v>2910</v>
      </c>
      <c r="R350" s="271">
        <f t="shared" si="24"/>
        <v>0</v>
      </c>
      <c r="S350" s="339">
        <f t="shared" si="25"/>
        <v>0</v>
      </c>
      <c r="T350" s="373"/>
      <c r="U350" s="373">
        <f>SUMIF(其他!$A$9:$A$65,"2910",其他!$G$9:$G$65)</f>
        <v>0</v>
      </c>
      <c r="V350" s="274"/>
      <c r="W350" s="374"/>
      <c r="X350" s="375"/>
      <c r="Y350" s="45" t="s">
        <v>689</v>
      </c>
      <c r="Z350" s="376"/>
      <c r="AA350" s="240"/>
      <c r="AB350" s="345">
        <v>1</v>
      </c>
      <c r="AC350" s="271"/>
      <c r="AD350" s="272"/>
      <c r="AE350" s="273"/>
      <c r="AF350" s="273"/>
      <c r="AG350" s="274"/>
      <c r="AH350" s="275"/>
      <c r="AI350" s="272"/>
      <c r="AJ350" s="276"/>
      <c r="AK350" s="277"/>
      <c r="AL350" s="278"/>
      <c r="AM350" s="277"/>
      <c r="AN350" s="279"/>
      <c r="AO350" s="279"/>
      <c r="AP350" s="279"/>
      <c r="AQ350" s="378"/>
      <c r="AR350" s="305">
        <f>'预算书-初步'!$F$10</f>
        <v>0.09</v>
      </c>
      <c r="AT350" s="272"/>
      <c r="BC350" s="272" t="s">
        <v>521</v>
      </c>
      <c r="BD350" s="380">
        <v>1160</v>
      </c>
      <c r="BE350" s="347" t="s">
        <v>700</v>
      </c>
    </row>
    <row r="351" s="52" customFormat="1" ht="15.75" customHeight="1" spans="1:57">
      <c r="A351" s="227"/>
      <c r="B351" s="332"/>
      <c r="C351" s="228"/>
      <c r="D351" s="333"/>
      <c r="E351" s="334"/>
      <c r="F351" s="229"/>
      <c r="G351" s="333"/>
      <c r="H351" s="335"/>
      <c r="I351" s="229"/>
      <c r="J351" s="229"/>
      <c r="K351" s="336"/>
      <c r="L351" s="337"/>
      <c r="M351" s="337"/>
      <c r="N351" s="337"/>
      <c r="O351" s="337"/>
      <c r="P351" s="337"/>
      <c r="Q351" s="384">
        <v>2920</v>
      </c>
      <c r="R351" s="271">
        <f t="shared" si="24"/>
        <v>0</v>
      </c>
      <c r="S351" s="339">
        <f t="shared" si="25"/>
        <v>0</v>
      </c>
      <c r="T351" s="373"/>
      <c r="U351" s="373">
        <f>SUMIF(其他!$A$9:$A$65,"2920",其他!$G$9:$G$65)</f>
        <v>0</v>
      </c>
      <c r="V351" s="274"/>
      <c r="W351" s="374"/>
      <c r="X351" s="375"/>
      <c r="Y351" s="45" t="s">
        <v>690</v>
      </c>
      <c r="Z351" s="376"/>
      <c r="AA351" s="240"/>
      <c r="AB351" s="345">
        <v>1</v>
      </c>
      <c r="AC351" s="271"/>
      <c r="AD351" s="272"/>
      <c r="AE351" s="273"/>
      <c r="AF351" s="273"/>
      <c r="AG351" s="274"/>
      <c r="AH351" s="275"/>
      <c r="AI351" s="272"/>
      <c r="AJ351" s="276"/>
      <c r="AK351" s="277"/>
      <c r="AL351" s="278"/>
      <c r="AM351" s="277"/>
      <c r="AN351" s="279"/>
      <c r="AO351" s="279"/>
      <c r="AP351" s="279"/>
      <c r="AQ351" s="378"/>
      <c r="AR351" s="305">
        <f>'预算书-初步'!$F$10</f>
        <v>0.09</v>
      </c>
      <c r="AT351" s="272"/>
      <c r="BC351" s="272" t="s">
        <v>521</v>
      </c>
      <c r="BD351" s="380">
        <v>1160</v>
      </c>
      <c r="BE351" s="347" t="s">
        <v>700</v>
      </c>
    </row>
    <row r="352" s="52" customFormat="1" ht="15.75" customHeight="1" spans="1:57">
      <c r="A352" s="227"/>
      <c r="B352" s="332"/>
      <c r="C352" s="228"/>
      <c r="D352" s="333"/>
      <c r="E352" s="334"/>
      <c r="F352" s="229"/>
      <c r="G352" s="333"/>
      <c r="H352" s="335"/>
      <c r="I352" s="229"/>
      <c r="J352" s="229"/>
      <c r="K352" s="336"/>
      <c r="L352" s="337"/>
      <c r="M352" s="337"/>
      <c r="N352" s="337"/>
      <c r="O352" s="337"/>
      <c r="P352" s="337"/>
      <c r="Q352" s="384">
        <v>2930</v>
      </c>
      <c r="R352" s="271">
        <f t="shared" si="24"/>
        <v>0</v>
      </c>
      <c r="S352" s="339">
        <f t="shared" si="25"/>
        <v>0</v>
      </c>
      <c r="T352" s="373"/>
      <c r="U352" s="373">
        <f>SUMIF(其他!$A$9:$A$65,"2930",其他!$G$9:$G$65)</f>
        <v>0</v>
      </c>
      <c r="V352" s="274"/>
      <c r="W352" s="374"/>
      <c r="X352" s="375"/>
      <c r="Y352" s="45" t="s">
        <v>691</v>
      </c>
      <c r="Z352" s="376"/>
      <c r="AA352" s="240"/>
      <c r="AB352" s="345">
        <v>1</v>
      </c>
      <c r="AC352" s="271"/>
      <c r="AD352" s="272"/>
      <c r="AE352" s="273"/>
      <c r="AF352" s="273"/>
      <c r="AG352" s="274"/>
      <c r="AH352" s="275"/>
      <c r="AI352" s="272"/>
      <c r="AJ352" s="276"/>
      <c r="AK352" s="277"/>
      <c r="AL352" s="278"/>
      <c r="AM352" s="277"/>
      <c r="AN352" s="279"/>
      <c r="AO352" s="279"/>
      <c r="AP352" s="279"/>
      <c r="AQ352" s="378"/>
      <c r="AR352" s="305">
        <f>'预算书-初步'!$F$10</f>
        <v>0.09</v>
      </c>
      <c r="AT352" s="272"/>
      <c r="BC352" s="272" t="s">
        <v>521</v>
      </c>
      <c r="BD352" s="380">
        <v>1160</v>
      </c>
      <c r="BE352" s="347" t="s">
        <v>700</v>
      </c>
    </row>
    <row r="353" s="52" customFormat="1" ht="15.75" customHeight="1" spans="1:57">
      <c r="A353" s="227"/>
      <c r="B353" s="332"/>
      <c r="C353" s="228"/>
      <c r="D353" s="333"/>
      <c r="E353" s="334"/>
      <c r="F353" s="229"/>
      <c r="G353" s="333"/>
      <c r="H353" s="335"/>
      <c r="I353" s="229"/>
      <c r="J353" s="229"/>
      <c r="K353" s="336"/>
      <c r="L353" s="337"/>
      <c r="M353" s="337"/>
      <c r="N353" s="337"/>
      <c r="O353" s="337"/>
      <c r="P353" s="337"/>
      <c r="Q353" s="384">
        <v>2940</v>
      </c>
      <c r="R353" s="271">
        <f t="shared" si="24"/>
        <v>0</v>
      </c>
      <c r="S353" s="339">
        <f t="shared" si="25"/>
        <v>0</v>
      </c>
      <c r="T353" s="373"/>
      <c r="U353" s="373">
        <f>SUMIF(其他!$A$9:$A$65,"2940",其他!$G$9:$G$65)</f>
        <v>0</v>
      </c>
      <c r="V353" s="274"/>
      <c r="W353" s="374"/>
      <c r="X353" s="375"/>
      <c r="Y353" s="45" t="s">
        <v>692</v>
      </c>
      <c r="Z353" s="376"/>
      <c r="AA353" s="240"/>
      <c r="AB353" s="345">
        <v>1</v>
      </c>
      <c r="AC353" s="271"/>
      <c r="AD353" s="272"/>
      <c r="AE353" s="273"/>
      <c r="AF353" s="273"/>
      <c r="AG353" s="274"/>
      <c r="AH353" s="275"/>
      <c r="AI353" s="272"/>
      <c r="AJ353" s="276"/>
      <c r="AK353" s="277"/>
      <c r="AL353" s="278"/>
      <c r="AM353" s="277"/>
      <c r="AN353" s="279"/>
      <c r="AO353" s="279"/>
      <c r="AP353" s="279"/>
      <c r="AQ353" s="378"/>
      <c r="AR353" s="305">
        <f>'预算书-初步'!$F$10</f>
        <v>0.09</v>
      </c>
      <c r="AT353" s="272"/>
      <c r="BC353" s="272" t="s">
        <v>521</v>
      </c>
      <c r="BD353" s="380">
        <v>1160</v>
      </c>
      <c r="BE353" s="347" t="s">
        <v>700</v>
      </c>
    </row>
    <row r="354" s="52" customFormat="1" ht="15.75" customHeight="1" spans="1:57">
      <c r="A354" s="227"/>
      <c r="B354" s="332"/>
      <c r="C354" s="228"/>
      <c r="D354" s="333"/>
      <c r="E354" s="334"/>
      <c r="F354" s="229"/>
      <c r="G354" s="333"/>
      <c r="H354" s="335"/>
      <c r="I354" s="229"/>
      <c r="J354" s="229"/>
      <c r="K354" s="336"/>
      <c r="L354" s="337"/>
      <c r="M354" s="337"/>
      <c r="N354" s="337"/>
      <c r="O354" s="337"/>
      <c r="P354" s="337"/>
      <c r="Q354" s="384">
        <v>2950</v>
      </c>
      <c r="R354" s="271">
        <f t="shared" si="24"/>
        <v>0</v>
      </c>
      <c r="S354" s="339">
        <f t="shared" si="25"/>
        <v>0</v>
      </c>
      <c r="T354" s="373"/>
      <c r="U354" s="373">
        <f>SUMIF(其他!$A$9:$A$65,"2950",其他!$G$9:$G$65)</f>
        <v>0</v>
      </c>
      <c r="V354" s="274"/>
      <c r="W354" s="374"/>
      <c r="X354" s="375"/>
      <c r="Y354" s="45" t="s">
        <v>693</v>
      </c>
      <c r="Z354" s="376"/>
      <c r="AA354" s="240"/>
      <c r="AB354" s="345">
        <v>1</v>
      </c>
      <c r="AC354" s="271"/>
      <c r="AD354" s="272"/>
      <c r="AE354" s="273"/>
      <c r="AF354" s="273"/>
      <c r="AG354" s="274"/>
      <c r="AH354" s="275"/>
      <c r="AI354" s="272"/>
      <c r="AJ354" s="276"/>
      <c r="AK354" s="277"/>
      <c r="AL354" s="278"/>
      <c r="AM354" s="277"/>
      <c r="AN354" s="279"/>
      <c r="AO354" s="279"/>
      <c r="AP354" s="279"/>
      <c r="AQ354" s="378"/>
      <c r="AR354" s="305">
        <f>'预算书-初步'!$F$10</f>
        <v>0.09</v>
      </c>
      <c r="AT354" s="272"/>
      <c r="BC354" s="272" t="s">
        <v>521</v>
      </c>
      <c r="BD354" s="380">
        <v>1160</v>
      </c>
      <c r="BE354" s="347" t="s">
        <v>700</v>
      </c>
    </row>
    <row r="355" s="52" customFormat="1" ht="15.75" customHeight="1" spans="1:57">
      <c r="A355" s="227"/>
      <c r="B355" s="332"/>
      <c r="C355" s="228"/>
      <c r="D355" s="333"/>
      <c r="E355" s="334"/>
      <c r="F355" s="229"/>
      <c r="G355" s="333"/>
      <c r="H355" s="335"/>
      <c r="I355" s="229"/>
      <c r="J355" s="229"/>
      <c r="K355" s="336"/>
      <c r="L355" s="337"/>
      <c r="M355" s="337"/>
      <c r="N355" s="337"/>
      <c r="O355" s="337"/>
      <c r="P355" s="337"/>
      <c r="Q355" s="384">
        <v>2992</v>
      </c>
      <c r="R355" s="271">
        <f t="shared" si="24"/>
        <v>0</v>
      </c>
      <c r="S355" s="339">
        <f t="shared" si="25"/>
        <v>0</v>
      </c>
      <c r="T355" s="373"/>
      <c r="U355" s="373">
        <f>SUMIF(其他!$A$9:$A$65,"2992",其他!$G$9:$G$65)</f>
        <v>0</v>
      </c>
      <c r="V355" s="274"/>
      <c r="W355" s="374"/>
      <c r="X355" s="375"/>
      <c r="Y355" s="45" t="s">
        <v>694</v>
      </c>
      <c r="Z355" s="376"/>
      <c r="AA355" s="240"/>
      <c r="AB355" s="345">
        <v>1</v>
      </c>
      <c r="AC355" s="271"/>
      <c r="AD355" s="272"/>
      <c r="AE355" s="273"/>
      <c r="AF355" s="273"/>
      <c r="AG355" s="274"/>
      <c r="AH355" s="275"/>
      <c r="AI355" s="272"/>
      <c r="AJ355" s="276"/>
      <c r="AK355" s="277"/>
      <c r="AL355" s="278"/>
      <c r="AM355" s="277"/>
      <c r="AN355" s="279"/>
      <c r="AO355" s="279"/>
      <c r="AP355" s="279"/>
      <c r="AQ355" s="378"/>
      <c r="AR355" s="305">
        <f>'预算书-初步'!$F$10</f>
        <v>0.09</v>
      </c>
      <c r="AT355" s="272"/>
      <c r="BC355" s="272" t="s">
        <v>521</v>
      </c>
      <c r="BD355" s="380">
        <v>1163</v>
      </c>
      <c r="BE355" s="347" t="s">
        <v>700</v>
      </c>
    </row>
    <row r="356" s="52" customFormat="1" ht="15.75" customHeight="1" spans="1:57">
      <c r="A356" s="227"/>
      <c r="B356" s="332"/>
      <c r="C356" s="228"/>
      <c r="D356" s="333"/>
      <c r="E356" s="334"/>
      <c r="F356" s="229"/>
      <c r="G356" s="333"/>
      <c r="H356" s="335"/>
      <c r="I356" s="229"/>
      <c r="J356" s="229"/>
      <c r="K356" s="336"/>
      <c r="L356" s="337"/>
      <c r="M356" s="337"/>
      <c r="N356" s="337"/>
      <c r="O356" s="337"/>
      <c r="P356" s="337"/>
      <c r="Q356" s="384">
        <v>2993</v>
      </c>
      <c r="R356" s="271">
        <f t="shared" si="24"/>
        <v>0</v>
      </c>
      <c r="S356" s="339">
        <f t="shared" si="25"/>
        <v>0</v>
      </c>
      <c r="T356" s="373"/>
      <c r="U356" s="373">
        <f>SUMIF(其他!$A$9:$A$65,"2993",其他!$G$9:$G$65)</f>
        <v>0</v>
      </c>
      <c r="V356" s="274"/>
      <c r="W356" s="374"/>
      <c r="X356" s="375"/>
      <c r="Y356" s="45" t="s">
        <v>695</v>
      </c>
      <c r="Z356" s="376"/>
      <c r="AA356" s="240"/>
      <c r="AB356" s="345">
        <v>1</v>
      </c>
      <c r="AC356" s="271"/>
      <c r="AD356" s="272"/>
      <c r="AE356" s="273"/>
      <c r="AF356" s="273"/>
      <c r="AG356" s="274"/>
      <c r="AH356" s="275"/>
      <c r="AI356" s="272"/>
      <c r="AJ356" s="276"/>
      <c r="AK356" s="277"/>
      <c r="AL356" s="278"/>
      <c r="AM356" s="277"/>
      <c r="AN356" s="279"/>
      <c r="AO356" s="279"/>
      <c r="AP356" s="279"/>
      <c r="AQ356" s="378"/>
      <c r="AR356" s="305">
        <f>'预算书-初步'!$F$10</f>
        <v>0.09</v>
      </c>
      <c r="AT356" s="272"/>
      <c r="BC356" s="272" t="s">
        <v>521</v>
      </c>
      <c r="BD356" s="380">
        <v>1163</v>
      </c>
      <c r="BE356" s="347" t="s">
        <v>700</v>
      </c>
    </row>
    <row r="357" s="52" customFormat="1" ht="15.75" customHeight="1" spans="1:57">
      <c r="A357" s="227"/>
      <c r="B357" s="332"/>
      <c r="C357" s="228"/>
      <c r="D357" s="333"/>
      <c r="E357" s="334"/>
      <c r="F357" s="229"/>
      <c r="G357" s="333"/>
      <c r="H357" s="335"/>
      <c r="I357" s="229"/>
      <c r="J357" s="229"/>
      <c r="K357" s="336"/>
      <c r="L357" s="337"/>
      <c r="M357" s="337"/>
      <c r="N357" s="337"/>
      <c r="O357" s="337"/>
      <c r="P357" s="337"/>
      <c r="Q357" s="384">
        <v>2994</v>
      </c>
      <c r="R357" s="271">
        <f t="shared" si="24"/>
        <v>0</v>
      </c>
      <c r="S357" s="339">
        <f t="shared" si="25"/>
        <v>0</v>
      </c>
      <c r="T357" s="373"/>
      <c r="U357" s="373">
        <f>SUMIF(其他!$A$9:$A$65,"2994",其他!$G$9:$G$65)</f>
        <v>0</v>
      </c>
      <c r="V357" s="274"/>
      <c r="W357" s="374"/>
      <c r="X357" s="375"/>
      <c r="Y357" s="45" t="s">
        <v>696</v>
      </c>
      <c r="Z357" s="376"/>
      <c r="AA357" s="240"/>
      <c r="AB357" s="345">
        <v>1</v>
      </c>
      <c r="AC357" s="271"/>
      <c r="AD357" s="272"/>
      <c r="AE357" s="273"/>
      <c r="AF357" s="273"/>
      <c r="AG357" s="274"/>
      <c r="AH357" s="275"/>
      <c r="AI357" s="272"/>
      <c r="AJ357" s="276"/>
      <c r="AK357" s="277"/>
      <c r="AL357" s="278"/>
      <c r="AM357" s="277"/>
      <c r="AN357" s="279"/>
      <c r="AO357" s="279"/>
      <c r="AP357" s="279"/>
      <c r="AQ357" s="378"/>
      <c r="AR357" s="305">
        <f>'预算书-初步'!$F$10</f>
        <v>0.09</v>
      </c>
      <c r="AT357" s="272"/>
      <c r="BC357" s="272" t="s">
        <v>521</v>
      </c>
      <c r="BD357" s="380">
        <v>1163</v>
      </c>
      <c r="BE357" s="347" t="s">
        <v>700</v>
      </c>
    </row>
    <row r="358" s="52" customFormat="1" spans="1:57">
      <c r="A358" s="227"/>
      <c r="B358" s="332"/>
      <c r="C358" s="228"/>
      <c r="D358" s="333"/>
      <c r="E358" s="334"/>
      <c r="F358" s="229"/>
      <c r="G358" s="333"/>
      <c r="H358" s="335"/>
      <c r="I358" s="229"/>
      <c r="J358" s="229"/>
      <c r="K358" s="336"/>
      <c r="L358" s="337"/>
      <c r="M358" s="337"/>
      <c r="N358" s="337"/>
      <c r="O358" s="337"/>
      <c r="P358" s="337"/>
      <c r="Q358" s="384">
        <v>4992</v>
      </c>
      <c r="R358" s="271">
        <f t="shared" si="24"/>
        <v>0</v>
      </c>
      <c r="S358" s="339">
        <f t="shared" si="25"/>
        <v>0</v>
      </c>
      <c r="T358" s="373"/>
      <c r="U358" s="373">
        <f>SUMIF(其他!$A$9:$A$65,"4992",其他!$G$9:$G$65)</f>
        <v>0</v>
      </c>
      <c r="V358" s="274"/>
      <c r="W358" s="374"/>
      <c r="X358" s="375"/>
      <c r="Y358" s="45" t="s">
        <v>697</v>
      </c>
      <c r="Z358" s="376"/>
      <c r="AA358" s="240"/>
      <c r="AB358" s="345">
        <v>1</v>
      </c>
      <c r="AC358" s="271"/>
      <c r="AD358" s="272"/>
      <c r="AE358" s="273"/>
      <c r="AF358" s="273"/>
      <c r="AG358" s="274"/>
      <c r="AH358" s="275"/>
      <c r="AI358" s="272"/>
      <c r="AJ358" s="276"/>
      <c r="AK358" s="277"/>
      <c r="AL358" s="278"/>
      <c r="AM358" s="277"/>
      <c r="AN358" s="279"/>
      <c r="AO358" s="279"/>
      <c r="AP358" s="279"/>
      <c r="AQ358" s="378"/>
      <c r="AR358" s="305">
        <f>'预算书-初步'!$F$10</f>
        <v>0.09</v>
      </c>
      <c r="AT358" s="272"/>
      <c r="BC358" s="272" t="s">
        <v>521</v>
      </c>
      <c r="BD358" s="380">
        <v>1174</v>
      </c>
      <c r="BE358" s="347" t="s">
        <v>700</v>
      </c>
    </row>
    <row r="359" s="52" customFormat="1" spans="1:57">
      <c r="A359" s="227"/>
      <c r="B359" s="332"/>
      <c r="C359" s="228"/>
      <c r="D359" s="333"/>
      <c r="E359" s="334"/>
      <c r="F359" s="229"/>
      <c r="G359" s="333"/>
      <c r="H359" s="335"/>
      <c r="I359" s="229"/>
      <c r="J359" s="229"/>
      <c r="K359" s="336"/>
      <c r="L359" s="337"/>
      <c r="M359" s="337"/>
      <c r="N359" s="337"/>
      <c r="O359" s="337"/>
      <c r="P359" s="337"/>
      <c r="Q359" s="384">
        <v>4993</v>
      </c>
      <c r="R359" s="271">
        <f t="shared" si="24"/>
        <v>0</v>
      </c>
      <c r="S359" s="339">
        <f t="shared" si="25"/>
        <v>0</v>
      </c>
      <c r="T359" s="373"/>
      <c r="U359" s="373">
        <f>SUMIF(其他!$A$9:$A$65,"4993",其他!$G$9:$G$65)</f>
        <v>0</v>
      </c>
      <c r="V359" s="274"/>
      <c r="W359" s="374"/>
      <c r="X359" s="375"/>
      <c r="Y359" s="45" t="s">
        <v>698</v>
      </c>
      <c r="Z359" s="376"/>
      <c r="AA359" s="240"/>
      <c r="AB359" s="345">
        <v>1</v>
      </c>
      <c r="AC359" s="271"/>
      <c r="AD359" s="272"/>
      <c r="AE359" s="273"/>
      <c r="AF359" s="273"/>
      <c r="AG359" s="274"/>
      <c r="AH359" s="275"/>
      <c r="AI359" s="272"/>
      <c r="AJ359" s="276"/>
      <c r="AK359" s="277"/>
      <c r="AL359" s="278"/>
      <c r="AM359" s="277"/>
      <c r="AN359" s="279"/>
      <c r="AO359" s="279"/>
      <c r="AP359" s="279"/>
      <c r="AQ359" s="378"/>
      <c r="AR359" s="305">
        <f>'预算书-初步'!$F$10</f>
        <v>0.09</v>
      </c>
      <c r="AT359" s="272"/>
      <c r="BC359" s="272" t="s">
        <v>521</v>
      </c>
      <c r="BD359" s="380">
        <v>1174</v>
      </c>
      <c r="BE359" s="347" t="s">
        <v>700</v>
      </c>
    </row>
    <row r="360" s="52" customFormat="1" spans="1:57">
      <c r="A360" s="227"/>
      <c r="B360" s="332"/>
      <c r="C360" s="228"/>
      <c r="D360" s="333"/>
      <c r="E360" s="334"/>
      <c r="F360" s="229"/>
      <c r="G360" s="333"/>
      <c r="H360" s="335"/>
      <c r="I360" s="229"/>
      <c r="J360" s="229"/>
      <c r="K360" s="336"/>
      <c r="L360" s="337"/>
      <c r="M360" s="337"/>
      <c r="N360" s="337"/>
      <c r="O360" s="337"/>
      <c r="P360" s="337"/>
      <c r="Q360" s="384">
        <v>4994</v>
      </c>
      <c r="R360" s="271">
        <f t="shared" si="24"/>
        <v>0</v>
      </c>
      <c r="S360" s="339">
        <f t="shared" si="25"/>
        <v>0</v>
      </c>
      <c r="T360" s="373"/>
      <c r="U360" s="373">
        <f>SUMIF(其他!$A$9:$A$65,"4994",其他!$G$9:$G$65)</f>
        <v>0</v>
      </c>
      <c r="V360" s="274"/>
      <c r="W360" s="374"/>
      <c r="X360" s="375"/>
      <c r="Y360" s="45" t="s">
        <v>699</v>
      </c>
      <c r="Z360" s="376"/>
      <c r="AA360" s="240"/>
      <c r="AB360" s="345">
        <v>1</v>
      </c>
      <c r="AC360" s="271"/>
      <c r="AD360" s="272"/>
      <c r="AE360" s="273"/>
      <c r="AF360" s="273"/>
      <c r="AG360" s="274"/>
      <c r="AH360" s="275"/>
      <c r="AI360" s="272"/>
      <c r="AJ360" s="276"/>
      <c r="AK360" s="277"/>
      <c r="AL360" s="278"/>
      <c r="AM360" s="277"/>
      <c r="AN360" s="279"/>
      <c r="AO360" s="279"/>
      <c r="AP360" s="279"/>
      <c r="AQ360" s="378"/>
      <c r="AR360" s="305">
        <f>'预算书-初步'!$F$10</f>
        <v>0.09</v>
      </c>
      <c r="AT360" s="272"/>
      <c r="BC360" s="272" t="s">
        <v>521</v>
      </c>
      <c r="BD360" s="380">
        <v>1174</v>
      </c>
      <c r="BE360" s="347" t="s">
        <v>700</v>
      </c>
    </row>
    <row r="361" s="52" customFormat="1" ht="15.75" customHeight="1" spans="1:57">
      <c r="A361" s="227"/>
      <c r="B361" s="332"/>
      <c r="C361" s="228"/>
      <c r="D361" s="333"/>
      <c r="E361" s="334"/>
      <c r="F361" s="229"/>
      <c r="G361" s="333"/>
      <c r="H361" s="335"/>
      <c r="I361" s="229"/>
      <c r="J361" s="229"/>
      <c r="K361" s="336"/>
      <c r="L361" s="337"/>
      <c r="M361" s="337"/>
      <c r="N361" s="337"/>
      <c r="O361" s="337"/>
      <c r="P361" s="337"/>
      <c r="Q361" s="338">
        <v>6002</v>
      </c>
      <c r="R361" s="271">
        <f t="shared" si="24"/>
        <v>0</v>
      </c>
      <c r="S361" s="339">
        <f t="shared" si="25"/>
        <v>0</v>
      </c>
      <c r="T361" s="340"/>
      <c r="U361" s="341">
        <f>FA!J$16</f>
        <v>0</v>
      </c>
      <c r="V361" s="274"/>
      <c r="W361" s="342"/>
      <c r="X361" s="343"/>
      <c r="Y361" s="6" t="s">
        <v>520</v>
      </c>
      <c r="Z361" s="344"/>
      <c r="AA361" s="240"/>
      <c r="AB361" s="345">
        <v>1</v>
      </c>
      <c r="AC361" s="271"/>
      <c r="AD361" s="272"/>
      <c r="AE361" s="273"/>
      <c r="AF361" s="273"/>
      <c r="AG361" s="274"/>
      <c r="AH361" s="275"/>
      <c r="AI361" s="272"/>
      <c r="AJ361" s="276"/>
      <c r="AK361" s="277"/>
      <c r="AL361" s="278"/>
      <c r="AM361" s="277"/>
      <c r="AN361" s="279"/>
      <c r="AO361" s="279"/>
      <c r="AP361" s="279"/>
      <c r="AQ361" s="279"/>
      <c r="AR361" s="305">
        <f>'预算书-初步'!$F$10</f>
        <v>0.09</v>
      </c>
      <c r="AT361" s="272">
        <v>12</v>
      </c>
      <c r="BC361" s="272" t="s">
        <v>521</v>
      </c>
      <c r="BD361" s="346">
        <v>1005</v>
      </c>
      <c r="BE361" s="392" t="s">
        <v>701</v>
      </c>
    </row>
    <row r="362" s="52" customFormat="1" ht="15.75" customHeight="1" spans="1:57">
      <c r="A362" s="227"/>
      <c r="B362" s="332"/>
      <c r="C362" s="228"/>
      <c r="D362" s="333"/>
      <c r="E362" s="334"/>
      <c r="F362" s="229"/>
      <c r="G362" s="333"/>
      <c r="H362" s="335"/>
      <c r="I362" s="229"/>
      <c r="J362" s="229"/>
      <c r="K362" s="336"/>
      <c r="L362" s="337"/>
      <c r="M362" s="337"/>
      <c r="N362" s="337"/>
      <c r="O362" s="337"/>
      <c r="P362" s="337"/>
      <c r="Q362" s="338">
        <v>6002</v>
      </c>
      <c r="R362" s="271">
        <f t="shared" si="24"/>
        <v>0</v>
      </c>
      <c r="S362" s="339">
        <f t="shared" si="25"/>
        <v>0</v>
      </c>
      <c r="T362" s="340"/>
      <c r="U362" s="341">
        <f>FA!J$17</f>
        <v>0</v>
      </c>
      <c r="V362" s="274"/>
      <c r="W362" s="342"/>
      <c r="X362" s="343"/>
      <c r="Y362" s="6" t="s">
        <v>523</v>
      </c>
      <c r="Z362" s="344"/>
      <c r="AA362" s="240"/>
      <c r="AB362" s="345">
        <v>1</v>
      </c>
      <c r="AC362" s="271"/>
      <c r="AD362" s="272"/>
      <c r="AE362" s="273"/>
      <c r="AF362" s="273"/>
      <c r="AG362" s="274"/>
      <c r="AH362" s="275"/>
      <c r="AI362" s="272"/>
      <c r="AJ362" s="276"/>
      <c r="AK362" s="277"/>
      <c r="AL362" s="278"/>
      <c r="AM362" s="277"/>
      <c r="AN362" s="279" t="str">
        <f>IF(AK362&lt;&gt;0,"N","")</f>
        <v/>
      </c>
      <c r="AO362" s="279"/>
      <c r="AP362" s="279" t="str">
        <f>IF(F362&lt;&gt;0,"Y","")</f>
        <v/>
      </c>
      <c r="AQ362" s="279"/>
      <c r="AR362" s="305">
        <f>'预算书-初步'!$F$10</f>
        <v>0.09</v>
      </c>
      <c r="AT362" s="272">
        <v>20</v>
      </c>
      <c r="BC362" s="272" t="s">
        <v>521</v>
      </c>
      <c r="BD362" s="346">
        <v>1006</v>
      </c>
      <c r="BE362" s="347" t="s">
        <v>701</v>
      </c>
    </row>
    <row r="363" s="52" customFormat="1" ht="15.75" customHeight="1" spans="1:57">
      <c r="A363" s="227"/>
      <c r="B363" s="332"/>
      <c r="C363" s="228"/>
      <c r="D363" s="333"/>
      <c r="E363" s="334"/>
      <c r="F363" s="229"/>
      <c r="G363" s="333"/>
      <c r="H363" s="335"/>
      <c r="I363" s="229"/>
      <c r="J363" s="229"/>
      <c r="K363" s="336"/>
      <c r="L363" s="337"/>
      <c r="M363" s="337"/>
      <c r="N363" s="337"/>
      <c r="O363" s="337"/>
      <c r="P363" s="337"/>
      <c r="Q363" s="338">
        <v>6002</v>
      </c>
      <c r="R363" s="271">
        <f t="shared" si="24"/>
        <v>0</v>
      </c>
      <c r="S363" s="339">
        <f t="shared" si="25"/>
        <v>0</v>
      </c>
      <c r="T363" s="340"/>
      <c r="U363" s="341">
        <f>FA!J$18</f>
        <v>0</v>
      </c>
      <c r="V363" s="274"/>
      <c r="W363" s="342"/>
      <c r="X363" s="343"/>
      <c r="Y363" s="6" t="s">
        <v>524</v>
      </c>
      <c r="Z363" s="344"/>
      <c r="AA363" s="240"/>
      <c r="AB363" s="345">
        <v>1</v>
      </c>
      <c r="AC363" s="271"/>
      <c r="AD363" s="272"/>
      <c r="AE363" s="273"/>
      <c r="AF363" s="273"/>
      <c r="AG363" s="274"/>
      <c r="AH363" s="275"/>
      <c r="AI363" s="272"/>
      <c r="AJ363" s="276"/>
      <c r="AK363" s="277"/>
      <c r="AL363" s="278"/>
      <c r="AM363" s="277"/>
      <c r="AN363" s="279" t="str">
        <f>IF(AK363&lt;&gt;0,"N","")</f>
        <v/>
      </c>
      <c r="AO363" s="279"/>
      <c r="AP363" s="279" t="str">
        <f>IF(F363&lt;&gt;0,"Y","")</f>
        <v/>
      </c>
      <c r="AQ363" s="279"/>
      <c r="AR363" s="305">
        <f>'预算书-初步'!$F$10</f>
        <v>0.09</v>
      </c>
      <c r="AT363" s="272">
        <v>23</v>
      </c>
      <c r="BC363" s="272" t="s">
        <v>521</v>
      </c>
      <c r="BD363" s="346">
        <v>1007</v>
      </c>
      <c r="BE363" s="347" t="s">
        <v>701</v>
      </c>
    </row>
    <row r="364" s="52" customFormat="1" ht="15.75" customHeight="1" spans="1:57">
      <c r="A364" s="227"/>
      <c r="B364" s="332"/>
      <c r="C364" s="228"/>
      <c r="D364" s="333"/>
      <c r="E364" s="334"/>
      <c r="F364" s="229"/>
      <c r="G364" s="333"/>
      <c r="H364" s="335"/>
      <c r="I364" s="229"/>
      <c r="J364" s="229"/>
      <c r="K364" s="336"/>
      <c r="L364" s="337"/>
      <c r="M364" s="337"/>
      <c r="N364" s="337"/>
      <c r="O364" s="337"/>
      <c r="P364" s="337"/>
      <c r="Q364" s="338">
        <v>1220</v>
      </c>
      <c r="R364" s="271">
        <f t="shared" si="24"/>
        <v>0</v>
      </c>
      <c r="S364" s="339">
        <f t="shared" si="25"/>
        <v>0</v>
      </c>
      <c r="T364" s="340"/>
      <c r="U364" s="341">
        <f>FA!J$36</f>
        <v>0</v>
      </c>
      <c r="V364" s="274"/>
      <c r="W364" s="342"/>
      <c r="X364" s="343"/>
      <c r="Y364" s="6" t="s">
        <v>525</v>
      </c>
      <c r="Z364" s="344"/>
      <c r="AA364" s="240"/>
      <c r="AB364" s="345">
        <v>1</v>
      </c>
      <c r="AC364" s="271"/>
      <c r="AD364" s="272"/>
      <c r="AE364" s="273"/>
      <c r="AF364" s="273"/>
      <c r="AG364" s="274"/>
      <c r="AH364" s="275"/>
      <c r="AI364" s="272"/>
      <c r="AJ364" s="276"/>
      <c r="AK364" s="277"/>
      <c r="AL364" s="278"/>
      <c r="AM364" s="277"/>
      <c r="AN364" s="279"/>
      <c r="AO364" s="279"/>
      <c r="AP364" s="279"/>
      <c r="AQ364" s="279"/>
      <c r="AR364" s="305">
        <f>'预算书-初步'!$F$10</f>
        <v>0.09</v>
      </c>
      <c r="AT364" s="272"/>
      <c r="BC364" s="272" t="s">
        <v>521</v>
      </c>
      <c r="BD364" s="346">
        <v>1025</v>
      </c>
      <c r="BE364" s="347" t="s">
        <v>701</v>
      </c>
    </row>
    <row r="365" s="52" customFormat="1" ht="15.75" customHeight="1" spans="1:57">
      <c r="A365" s="227"/>
      <c r="B365" s="332"/>
      <c r="C365" s="228"/>
      <c r="D365" s="333"/>
      <c r="E365" s="334"/>
      <c r="F365" s="229"/>
      <c r="G365" s="333"/>
      <c r="H365" s="335"/>
      <c r="I365" s="229"/>
      <c r="J365" s="229"/>
      <c r="K365" s="336"/>
      <c r="L365" s="337"/>
      <c r="M365" s="337"/>
      <c r="N365" s="337"/>
      <c r="O365" s="337"/>
      <c r="P365" s="337"/>
      <c r="Q365" s="338">
        <v>1314</v>
      </c>
      <c r="R365" s="271">
        <f t="shared" si="24"/>
        <v>0</v>
      </c>
      <c r="S365" s="339">
        <f t="shared" si="25"/>
        <v>0</v>
      </c>
      <c r="T365" s="340"/>
      <c r="U365" s="341">
        <f>FA!J$42</f>
        <v>0</v>
      </c>
      <c r="V365" s="274"/>
      <c r="W365" s="342"/>
      <c r="X365" s="343"/>
      <c r="Y365" s="6" t="s">
        <v>526</v>
      </c>
      <c r="Z365" s="344"/>
      <c r="AA365" s="240"/>
      <c r="AB365" s="345">
        <v>1</v>
      </c>
      <c r="AC365" s="271"/>
      <c r="AD365" s="272"/>
      <c r="AE365" s="273"/>
      <c r="AF365" s="273"/>
      <c r="AG365" s="274"/>
      <c r="AH365" s="275"/>
      <c r="AI365" s="272"/>
      <c r="AJ365" s="276"/>
      <c r="AK365" s="277"/>
      <c r="AL365" s="278"/>
      <c r="AM365" s="277"/>
      <c r="AN365" s="279"/>
      <c r="AO365" s="279"/>
      <c r="AP365" s="279"/>
      <c r="AQ365" s="279"/>
      <c r="AR365" s="305">
        <f>'预算书-初步'!$F$10</f>
        <v>0.09</v>
      </c>
      <c r="AT365" s="272"/>
      <c r="BC365" s="272" t="s">
        <v>521</v>
      </c>
      <c r="BD365" s="348">
        <v>1031</v>
      </c>
      <c r="BE365" s="347" t="s">
        <v>701</v>
      </c>
    </row>
    <row r="366" s="52" customFormat="1" ht="15.75" customHeight="1" spans="1:57">
      <c r="A366" s="227"/>
      <c r="B366" s="332"/>
      <c r="C366" s="228"/>
      <c r="D366" s="333"/>
      <c r="E366" s="334"/>
      <c r="F366" s="229"/>
      <c r="G366" s="333"/>
      <c r="H366" s="335"/>
      <c r="I366" s="229"/>
      <c r="J366" s="229"/>
      <c r="K366" s="336"/>
      <c r="L366" s="337"/>
      <c r="M366" s="337"/>
      <c r="N366" s="337"/>
      <c r="O366" s="337"/>
      <c r="P366" s="337"/>
      <c r="Q366" s="338">
        <v>1320</v>
      </c>
      <c r="R366" s="271">
        <f t="shared" si="24"/>
        <v>0</v>
      </c>
      <c r="S366" s="339">
        <f t="shared" si="25"/>
        <v>0</v>
      </c>
      <c r="T366" s="340"/>
      <c r="U366" s="341">
        <f>FA!J$43</f>
        <v>0</v>
      </c>
      <c r="V366" s="274"/>
      <c r="W366" s="342"/>
      <c r="X366" s="343"/>
      <c r="Y366" s="6" t="s">
        <v>527</v>
      </c>
      <c r="Z366" s="344"/>
      <c r="AA366" s="240"/>
      <c r="AB366" s="345">
        <v>1</v>
      </c>
      <c r="AC366" s="271"/>
      <c r="AD366" s="272"/>
      <c r="AE366" s="273"/>
      <c r="AF366" s="273"/>
      <c r="AG366" s="274"/>
      <c r="AH366" s="275"/>
      <c r="AI366" s="272"/>
      <c r="AJ366" s="276"/>
      <c r="AK366" s="277"/>
      <c r="AL366" s="278"/>
      <c r="AM366" s="277"/>
      <c r="AN366" s="279"/>
      <c r="AO366" s="279"/>
      <c r="AP366" s="279"/>
      <c r="AQ366" s="279"/>
      <c r="AR366" s="305">
        <f>'预算书-初步'!$F$10</f>
        <v>0.09</v>
      </c>
      <c r="AT366" s="272"/>
      <c r="BC366" s="272" t="s">
        <v>521</v>
      </c>
      <c r="BD366" s="348">
        <v>1032</v>
      </c>
      <c r="BE366" s="347" t="s">
        <v>701</v>
      </c>
    </row>
    <row r="367" s="52" customFormat="1" ht="15.75" customHeight="1" spans="1:57">
      <c r="A367" s="227"/>
      <c r="B367" s="332"/>
      <c r="C367" s="228"/>
      <c r="D367" s="333"/>
      <c r="E367" s="334"/>
      <c r="F367" s="229"/>
      <c r="G367" s="333"/>
      <c r="H367" s="335"/>
      <c r="I367" s="229"/>
      <c r="J367" s="229"/>
      <c r="K367" s="336"/>
      <c r="L367" s="337"/>
      <c r="M367" s="337"/>
      <c r="N367" s="337"/>
      <c r="O367" s="337"/>
      <c r="P367" s="337"/>
      <c r="Q367" s="338">
        <v>1350</v>
      </c>
      <c r="R367" s="271">
        <f t="shared" si="24"/>
        <v>0</v>
      </c>
      <c r="S367" s="339">
        <f t="shared" si="25"/>
        <v>0</v>
      </c>
      <c r="T367" s="340"/>
      <c r="U367" s="341">
        <f>FA!J$46</f>
        <v>0</v>
      </c>
      <c r="V367" s="274"/>
      <c r="W367" s="342"/>
      <c r="X367" s="343"/>
      <c r="Y367" s="6" t="s">
        <v>528</v>
      </c>
      <c r="Z367" s="344"/>
      <c r="AA367" s="240"/>
      <c r="AB367" s="345">
        <v>1</v>
      </c>
      <c r="AC367" s="271"/>
      <c r="AD367" s="272"/>
      <c r="AE367" s="273"/>
      <c r="AF367" s="273"/>
      <c r="AG367" s="274"/>
      <c r="AH367" s="275"/>
      <c r="AI367" s="272"/>
      <c r="AJ367" s="276"/>
      <c r="AK367" s="277"/>
      <c r="AL367" s="278"/>
      <c r="AM367" s="277"/>
      <c r="AN367" s="279"/>
      <c r="AO367" s="279"/>
      <c r="AP367" s="279"/>
      <c r="AQ367" s="279"/>
      <c r="AR367" s="305">
        <f>'预算书-初步'!$F$10</f>
        <v>0.09</v>
      </c>
      <c r="AT367" s="272"/>
      <c r="BC367" s="272" t="s">
        <v>521</v>
      </c>
      <c r="BD367" s="348">
        <v>1035</v>
      </c>
      <c r="BE367" s="347" t="s">
        <v>701</v>
      </c>
    </row>
    <row r="368" s="52" customFormat="1" ht="15.75" customHeight="1" spans="1:57">
      <c r="A368" s="227"/>
      <c r="B368" s="332"/>
      <c r="C368" s="228"/>
      <c r="D368" s="333"/>
      <c r="E368" s="334"/>
      <c r="F368" s="229"/>
      <c r="G368" s="333"/>
      <c r="H368" s="335"/>
      <c r="I368" s="229"/>
      <c r="J368" s="229"/>
      <c r="K368" s="336"/>
      <c r="L368" s="337"/>
      <c r="M368" s="337"/>
      <c r="N368" s="337"/>
      <c r="O368" s="337"/>
      <c r="P368" s="337"/>
      <c r="Q368" s="338">
        <v>1360</v>
      </c>
      <c r="R368" s="271">
        <f t="shared" si="24"/>
        <v>0</v>
      </c>
      <c r="S368" s="339">
        <f t="shared" ref="S368:S436" si="26">$S$5</f>
        <v>0</v>
      </c>
      <c r="T368" s="340"/>
      <c r="U368" s="341">
        <f>FA!J$47</f>
        <v>0</v>
      </c>
      <c r="V368" s="274"/>
      <c r="W368" s="342"/>
      <c r="X368" s="343"/>
      <c r="Y368" s="6" t="s">
        <v>529</v>
      </c>
      <c r="Z368" s="344"/>
      <c r="AA368" s="240"/>
      <c r="AB368" s="345">
        <v>1</v>
      </c>
      <c r="AC368" s="271"/>
      <c r="AD368" s="272"/>
      <c r="AE368" s="273"/>
      <c r="AF368" s="273"/>
      <c r="AG368" s="274"/>
      <c r="AH368" s="275"/>
      <c r="AI368" s="272"/>
      <c r="AJ368" s="276"/>
      <c r="AK368" s="277"/>
      <c r="AL368" s="278"/>
      <c r="AM368" s="277"/>
      <c r="AN368" s="279"/>
      <c r="AO368" s="279"/>
      <c r="AP368" s="279"/>
      <c r="AQ368" s="279"/>
      <c r="AR368" s="305">
        <f>'预算书-初步'!$F$10</f>
        <v>0.09</v>
      </c>
      <c r="AT368" s="272"/>
      <c r="BC368" s="272" t="s">
        <v>521</v>
      </c>
      <c r="BD368" s="348">
        <v>1036</v>
      </c>
      <c r="BE368" s="347" t="s">
        <v>701</v>
      </c>
    </row>
    <row r="369" s="52" customFormat="1" ht="15.75" customHeight="1" spans="1:57">
      <c r="A369" s="227"/>
      <c r="B369" s="332"/>
      <c r="C369" s="228"/>
      <c r="D369" s="333"/>
      <c r="E369" s="334"/>
      <c r="F369" s="229"/>
      <c r="G369" s="333"/>
      <c r="H369" s="335"/>
      <c r="I369" s="229"/>
      <c r="J369" s="229"/>
      <c r="K369" s="336"/>
      <c r="L369" s="337"/>
      <c r="M369" s="337"/>
      <c r="N369" s="337"/>
      <c r="O369" s="337"/>
      <c r="P369" s="337"/>
      <c r="Q369" s="338">
        <v>1410</v>
      </c>
      <c r="R369" s="271">
        <f t="shared" si="24"/>
        <v>0</v>
      </c>
      <c r="S369" s="339">
        <f t="shared" si="26"/>
        <v>0</v>
      </c>
      <c r="T369" s="340"/>
      <c r="U369" s="341">
        <f>FA!J$49</f>
        <v>0</v>
      </c>
      <c r="V369" s="274"/>
      <c r="W369" s="342"/>
      <c r="X369" s="343"/>
      <c r="Y369" s="6" t="s">
        <v>530</v>
      </c>
      <c r="Z369" s="344"/>
      <c r="AA369" s="240"/>
      <c r="AB369" s="345">
        <v>1</v>
      </c>
      <c r="AC369" s="271"/>
      <c r="AD369" s="272"/>
      <c r="AE369" s="273"/>
      <c r="AF369" s="273"/>
      <c r="AG369" s="274"/>
      <c r="AH369" s="275"/>
      <c r="AI369" s="272"/>
      <c r="AJ369" s="276"/>
      <c r="AK369" s="277"/>
      <c r="AL369" s="278"/>
      <c r="AM369" s="277"/>
      <c r="AN369" s="279"/>
      <c r="AO369" s="279"/>
      <c r="AP369" s="279"/>
      <c r="AQ369" s="279"/>
      <c r="AR369" s="305">
        <f>'预算书-初步'!$F$10</f>
        <v>0.09</v>
      </c>
      <c r="AT369" s="272"/>
      <c r="BC369" s="272" t="s">
        <v>521</v>
      </c>
      <c r="BD369" s="348">
        <v>1038</v>
      </c>
      <c r="BE369" s="347" t="s">
        <v>701</v>
      </c>
    </row>
    <row r="370" s="52" customFormat="1" ht="15.75" customHeight="1" spans="1:57">
      <c r="A370" s="227"/>
      <c r="B370" s="332"/>
      <c r="C370" s="228"/>
      <c r="D370" s="333"/>
      <c r="E370" s="334"/>
      <c r="F370" s="229"/>
      <c r="G370" s="333"/>
      <c r="H370" s="335"/>
      <c r="I370" s="229"/>
      <c r="J370" s="229"/>
      <c r="K370" s="336"/>
      <c r="L370" s="337"/>
      <c r="M370" s="337"/>
      <c r="N370" s="337"/>
      <c r="O370" s="337"/>
      <c r="P370" s="337"/>
      <c r="Q370" s="338">
        <v>1420</v>
      </c>
      <c r="R370" s="271">
        <f t="shared" si="24"/>
        <v>0</v>
      </c>
      <c r="S370" s="339">
        <f t="shared" si="26"/>
        <v>0</v>
      </c>
      <c r="T370" s="340"/>
      <c r="U370" s="341">
        <f>FA!J$50</f>
        <v>0</v>
      </c>
      <c r="V370" s="274"/>
      <c r="W370" s="342"/>
      <c r="X370" s="343"/>
      <c r="Y370" s="6" t="s">
        <v>531</v>
      </c>
      <c r="Z370" s="344"/>
      <c r="AA370" s="240"/>
      <c r="AB370" s="345">
        <v>1</v>
      </c>
      <c r="AC370" s="271"/>
      <c r="AD370" s="272"/>
      <c r="AE370" s="273"/>
      <c r="AF370" s="273"/>
      <c r="AG370" s="274"/>
      <c r="AH370" s="275"/>
      <c r="AI370" s="272"/>
      <c r="AJ370" s="276"/>
      <c r="AK370" s="277"/>
      <c r="AL370" s="278"/>
      <c r="AM370" s="277"/>
      <c r="AN370" s="279"/>
      <c r="AO370" s="279"/>
      <c r="AP370" s="279"/>
      <c r="AQ370" s="279"/>
      <c r="AR370" s="305">
        <f>'预算书-初步'!$F$10</f>
        <v>0.09</v>
      </c>
      <c r="AT370" s="272"/>
      <c r="BC370" s="272" t="s">
        <v>521</v>
      </c>
      <c r="BD370" s="348">
        <v>1039</v>
      </c>
      <c r="BE370" s="347" t="s">
        <v>701</v>
      </c>
    </row>
    <row r="371" s="52" customFormat="1" ht="15.75" customHeight="1" spans="1:57">
      <c r="A371" s="227"/>
      <c r="B371" s="332"/>
      <c r="C371" s="228"/>
      <c r="D371" s="333"/>
      <c r="E371" s="334"/>
      <c r="F371" s="229"/>
      <c r="G371" s="333"/>
      <c r="H371" s="335"/>
      <c r="I371" s="229"/>
      <c r="J371" s="229"/>
      <c r="K371" s="336"/>
      <c r="L371" s="337"/>
      <c r="M371" s="337"/>
      <c r="N371" s="337"/>
      <c r="O371" s="337"/>
      <c r="P371" s="337"/>
      <c r="Q371" s="338">
        <v>1510</v>
      </c>
      <c r="R371" s="271">
        <f t="shared" si="24"/>
        <v>0</v>
      </c>
      <c r="S371" s="339">
        <f t="shared" si="26"/>
        <v>0</v>
      </c>
      <c r="T371" s="340"/>
      <c r="U371" s="341">
        <f>FA!J$53</f>
        <v>0</v>
      </c>
      <c r="V371" s="274"/>
      <c r="W371" s="342"/>
      <c r="X371" s="343"/>
      <c r="Y371" s="6" t="s">
        <v>532</v>
      </c>
      <c r="Z371" s="344"/>
      <c r="AA371" s="240"/>
      <c r="AB371" s="345">
        <v>1</v>
      </c>
      <c r="AC371" s="271"/>
      <c r="AD371" s="272"/>
      <c r="AE371" s="273"/>
      <c r="AF371" s="273"/>
      <c r="AG371" s="274"/>
      <c r="AH371" s="275"/>
      <c r="AI371" s="272"/>
      <c r="AJ371" s="276"/>
      <c r="AK371" s="277"/>
      <c r="AL371" s="278"/>
      <c r="AM371" s="277"/>
      <c r="AN371" s="279" t="str">
        <f t="shared" ref="AN371:AN383" si="27">IF(AK371&lt;&gt;0,"N","")</f>
        <v/>
      </c>
      <c r="AO371" s="279"/>
      <c r="AP371" s="279" t="str">
        <f t="shared" ref="AP371:AP383" si="28">IF(F371&lt;&gt;0,"Y","")</f>
        <v/>
      </c>
      <c r="AQ371" s="279"/>
      <c r="AR371" s="305">
        <f>'预算书-初步'!$F$10</f>
        <v>0.09</v>
      </c>
      <c r="AT371" s="272"/>
      <c r="BC371" s="272" t="s">
        <v>521</v>
      </c>
      <c r="BD371" s="348">
        <v>1042</v>
      </c>
      <c r="BE371" s="347" t="s">
        <v>701</v>
      </c>
    </row>
    <row r="372" s="52" customFormat="1" ht="15.75" customHeight="1" spans="1:57">
      <c r="A372" s="227"/>
      <c r="B372" s="332"/>
      <c r="C372" s="228"/>
      <c r="D372" s="333"/>
      <c r="E372" s="334"/>
      <c r="F372" s="229"/>
      <c r="G372" s="333"/>
      <c r="H372" s="335"/>
      <c r="I372" s="229"/>
      <c r="J372" s="229"/>
      <c r="K372" s="336"/>
      <c r="L372" s="337"/>
      <c r="M372" s="337"/>
      <c r="N372" s="337"/>
      <c r="O372" s="337"/>
      <c r="P372" s="337"/>
      <c r="Q372" s="338">
        <v>1520</v>
      </c>
      <c r="R372" s="271">
        <f t="shared" si="24"/>
        <v>0</v>
      </c>
      <c r="S372" s="339">
        <f t="shared" si="26"/>
        <v>0</v>
      </c>
      <c r="T372" s="340"/>
      <c r="U372" s="341">
        <f>FA!J$54</f>
        <v>0</v>
      </c>
      <c r="V372" s="274"/>
      <c r="W372" s="342"/>
      <c r="X372" s="343"/>
      <c r="Y372" s="6" t="s">
        <v>533</v>
      </c>
      <c r="Z372" s="344"/>
      <c r="AA372" s="240"/>
      <c r="AB372" s="345">
        <v>1</v>
      </c>
      <c r="AC372" s="271"/>
      <c r="AD372" s="272"/>
      <c r="AE372" s="273"/>
      <c r="AF372" s="273"/>
      <c r="AG372" s="274"/>
      <c r="AH372" s="275"/>
      <c r="AI372" s="272"/>
      <c r="AJ372" s="276"/>
      <c r="AK372" s="277"/>
      <c r="AL372" s="278"/>
      <c r="AM372" s="277"/>
      <c r="AN372" s="279" t="str">
        <f t="shared" si="27"/>
        <v/>
      </c>
      <c r="AO372" s="279"/>
      <c r="AP372" s="279" t="str">
        <f t="shared" si="28"/>
        <v/>
      </c>
      <c r="AQ372" s="279"/>
      <c r="AR372" s="305">
        <f>'预算书-初步'!$F$10</f>
        <v>0.09</v>
      </c>
      <c r="AT372" s="272"/>
      <c r="BC372" s="272" t="s">
        <v>521</v>
      </c>
      <c r="BD372" s="348">
        <v>1043</v>
      </c>
      <c r="BE372" s="347" t="s">
        <v>701</v>
      </c>
    </row>
    <row r="373" s="52" customFormat="1" ht="15.75" customHeight="1" spans="1:57">
      <c r="A373" s="227"/>
      <c r="B373" s="332"/>
      <c r="C373" s="228"/>
      <c r="D373" s="333"/>
      <c r="E373" s="334"/>
      <c r="F373" s="229"/>
      <c r="G373" s="333"/>
      <c r="H373" s="335"/>
      <c r="I373" s="229"/>
      <c r="J373" s="229"/>
      <c r="K373" s="336"/>
      <c r="L373" s="337"/>
      <c r="M373" s="337"/>
      <c r="N373" s="337"/>
      <c r="O373" s="337"/>
      <c r="P373" s="337"/>
      <c r="Q373" s="338">
        <v>1530</v>
      </c>
      <c r="R373" s="271">
        <f t="shared" si="24"/>
        <v>0</v>
      </c>
      <c r="S373" s="339">
        <f t="shared" si="26"/>
        <v>0</v>
      </c>
      <c r="T373" s="340"/>
      <c r="U373" s="341">
        <f>FA!J$55</f>
        <v>0</v>
      </c>
      <c r="V373" s="274"/>
      <c r="W373" s="342"/>
      <c r="X373" s="343"/>
      <c r="Y373" s="6" t="s">
        <v>534</v>
      </c>
      <c r="Z373" s="344"/>
      <c r="AA373" s="240"/>
      <c r="AB373" s="345">
        <v>1</v>
      </c>
      <c r="AC373" s="271"/>
      <c r="AD373" s="272"/>
      <c r="AE373" s="273"/>
      <c r="AF373" s="273"/>
      <c r="AG373" s="274"/>
      <c r="AH373" s="275"/>
      <c r="AI373" s="272"/>
      <c r="AJ373" s="276"/>
      <c r="AK373" s="277"/>
      <c r="AL373" s="278"/>
      <c r="AM373" s="277"/>
      <c r="AN373" s="279" t="str">
        <f t="shared" si="27"/>
        <v/>
      </c>
      <c r="AO373" s="279"/>
      <c r="AP373" s="279" t="str">
        <f t="shared" si="28"/>
        <v/>
      </c>
      <c r="AQ373" s="279"/>
      <c r="AR373" s="305">
        <f>'预算书-初步'!$F$10</f>
        <v>0.09</v>
      </c>
      <c r="AT373" s="272"/>
      <c r="BC373" s="272" t="s">
        <v>521</v>
      </c>
      <c r="BD373" s="348">
        <v>1044</v>
      </c>
      <c r="BE373" s="347" t="s">
        <v>701</v>
      </c>
    </row>
    <row r="374" s="52" customFormat="1" ht="15.75" customHeight="1" spans="1:57">
      <c r="A374" s="227"/>
      <c r="B374" s="332"/>
      <c r="C374" s="228"/>
      <c r="D374" s="333"/>
      <c r="E374" s="334"/>
      <c r="F374" s="229"/>
      <c r="G374" s="333"/>
      <c r="H374" s="335"/>
      <c r="I374" s="229"/>
      <c r="J374" s="229"/>
      <c r="K374" s="336"/>
      <c r="L374" s="337"/>
      <c r="M374" s="337"/>
      <c r="N374" s="337"/>
      <c r="O374" s="337"/>
      <c r="P374" s="337"/>
      <c r="Q374" s="338">
        <v>1531</v>
      </c>
      <c r="R374" s="271">
        <f t="shared" si="24"/>
        <v>0</v>
      </c>
      <c r="S374" s="339">
        <f t="shared" si="26"/>
        <v>0</v>
      </c>
      <c r="T374" s="340"/>
      <c r="U374" s="341">
        <f>FA!J$56</f>
        <v>0</v>
      </c>
      <c r="V374" s="274"/>
      <c r="W374" s="342"/>
      <c r="X374" s="343"/>
      <c r="Y374" s="6" t="s">
        <v>535</v>
      </c>
      <c r="Z374" s="344"/>
      <c r="AA374" s="240"/>
      <c r="AB374" s="345">
        <v>1</v>
      </c>
      <c r="AC374" s="271"/>
      <c r="AD374" s="272"/>
      <c r="AE374" s="273"/>
      <c r="AF374" s="273"/>
      <c r="AG374" s="274"/>
      <c r="AH374" s="275"/>
      <c r="AI374" s="272"/>
      <c r="AJ374" s="276"/>
      <c r="AK374" s="277"/>
      <c r="AL374" s="278"/>
      <c r="AM374" s="277"/>
      <c r="AN374" s="279" t="str">
        <f t="shared" si="27"/>
        <v/>
      </c>
      <c r="AO374" s="279"/>
      <c r="AP374" s="279" t="str">
        <f t="shared" si="28"/>
        <v/>
      </c>
      <c r="AQ374" s="279"/>
      <c r="AR374" s="305">
        <f>'预算书-初步'!$F$10</f>
        <v>0.09</v>
      </c>
      <c r="AT374" s="272"/>
      <c r="BC374" s="272" t="s">
        <v>521</v>
      </c>
      <c r="BD374" s="348">
        <v>1045</v>
      </c>
      <c r="BE374" s="347" t="s">
        <v>701</v>
      </c>
    </row>
    <row r="375" s="52" customFormat="1" ht="15.75" customHeight="1" spans="1:57">
      <c r="A375" s="227"/>
      <c r="B375" s="332"/>
      <c r="C375" s="228"/>
      <c r="D375" s="333"/>
      <c r="E375" s="334"/>
      <c r="F375" s="229"/>
      <c r="G375" s="333"/>
      <c r="H375" s="335"/>
      <c r="I375" s="229"/>
      <c r="J375" s="229"/>
      <c r="K375" s="336"/>
      <c r="L375" s="337"/>
      <c r="M375" s="337"/>
      <c r="N375" s="337"/>
      <c r="O375" s="337"/>
      <c r="P375" s="337"/>
      <c r="Q375" s="338">
        <v>1532</v>
      </c>
      <c r="R375" s="271">
        <f t="shared" si="24"/>
        <v>0</v>
      </c>
      <c r="S375" s="339">
        <f t="shared" si="26"/>
        <v>0</v>
      </c>
      <c r="T375" s="340"/>
      <c r="U375" s="341">
        <f>FA!J$57</f>
        <v>0</v>
      </c>
      <c r="V375" s="274"/>
      <c r="W375" s="342"/>
      <c r="X375" s="343"/>
      <c r="Y375" s="6" t="s">
        <v>536</v>
      </c>
      <c r="Z375" s="344"/>
      <c r="AA375" s="240"/>
      <c r="AB375" s="345">
        <v>1</v>
      </c>
      <c r="AC375" s="271"/>
      <c r="AD375" s="272"/>
      <c r="AE375" s="273"/>
      <c r="AF375" s="273"/>
      <c r="AG375" s="274"/>
      <c r="AH375" s="275"/>
      <c r="AI375" s="272"/>
      <c r="AJ375" s="276"/>
      <c r="AK375" s="277"/>
      <c r="AL375" s="278"/>
      <c r="AM375" s="277"/>
      <c r="AN375" s="279" t="str">
        <f t="shared" si="27"/>
        <v/>
      </c>
      <c r="AO375" s="279"/>
      <c r="AP375" s="279" t="str">
        <f t="shared" si="28"/>
        <v/>
      </c>
      <c r="AQ375" s="279"/>
      <c r="AR375" s="305">
        <f>'预算书-初步'!$F$10</f>
        <v>0.09</v>
      </c>
      <c r="AT375" s="272"/>
      <c r="BC375" s="272" t="s">
        <v>521</v>
      </c>
      <c r="BD375" s="348">
        <v>1046</v>
      </c>
      <c r="BE375" s="347" t="s">
        <v>701</v>
      </c>
    </row>
    <row r="376" s="52" customFormat="1" ht="15.75" customHeight="1" spans="1:57">
      <c r="A376" s="227"/>
      <c r="B376" s="332"/>
      <c r="C376" s="228"/>
      <c r="D376" s="333"/>
      <c r="E376" s="334"/>
      <c r="F376" s="229"/>
      <c r="G376" s="333"/>
      <c r="H376" s="335"/>
      <c r="I376" s="229"/>
      <c r="J376" s="229"/>
      <c r="K376" s="336"/>
      <c r="L376" s="337"/>
      <c r="M376" s="337"/>
      <c r="N376" s="337"/>
      <c r="O376" s="337"/>
      <c r="P376" s="337"/>
      <c r="Q376" s="338">
        <v>1533</v>
      </c>
      <c r="R376" s="271">
        <f t="shared" si="24"/>
        <v>0</v>
      </c>
      <c r="S376" s="339">
        <f t="shared" si="26"/>
        <v>0</v>
      </c>
      <c r="T376" s="340"/>
      <c r="U376" s="341">
        <f>FA!J$58</f>
        <v>0</v>
      </c>
      <c r="V376" s="274"/>
      <c r="W376" s="342"/>
      <c r="X376" s="343"/>
      <c r="Y376" s="6" t="s">
        <v>537</v>
      </c>
      <c r="Z376" s="344"/>
      <c r="AA376" s="240"/>
      <c r="AB376" s="345">
        <v>1</v>
      </c>
      <c r="AC376" s="271"/>
      <c r="AD376" s="272"/>
      <c r="AE376" s="273"/>
      <c r="AF376" s="273"/>
      <c r="AG376" s="274"/>
      <c r="AH376" s="275"/>
      <c r="AI376" s="272"/>
      <c r="AJ376" s="276"/>
      <c r="AK376" s="277"/>
      <c r="AL376" s="278"/>
      <c r="AM376" s="277"/>
      <c r="AN376" s="279" t="str">
        <f t="shared" si="27"/>
        <v/>
      </c>
      <c r="AO376" s="279"/>
      <c r="AP376" s="279" t="str">
        <f t="shared" si="28"/>
        <v/>
      </c>
      <c r="AQ376" s="279"/>
      <c r="AR376" s="305">
        <f>'预算书-初步'!$F$10</f>
        <v>0.09</v>
      </c>
      <c r="AT376" s="272"/>
      <c r="BC376" s="272" t="s">
        <v>521</v>
      </c>
      <c r="BD376" s="348">
        <v>1047</v>
      </c>
      <c r="BE376" s="347" t="s">
        <v>701</v>
      </c>
    </row>
    <row r="377" s="52" customFormat="1" ht="15.75" customHeight="1" spans="1:57">
      <c r="A377" s="227"/>
      <c r="B377" s="332"/>
      <c r="C377" s="228"/>
      <c r="D377" s="333"/>
      <c r="E377" s="334"/>
      <c r="F377" s="229"/>
      <c r="G377" s="333"/>
      <c r="H377" s="335"/>
      <c r="I377" s="229"/>
      <c r="J377" s="229"/>
      <c r="K377" s="336"/>
      <c r="L377" s="337"/>
      <c r="M377" s="337"/>
      <c r="N377" s="337"/>
      <c r="O377" s="337"/>
      <c r="P377" s="337"/>
      <c r="Q377" s="338">
        <v>1534</v>
      </c>
      <c r="R377" s="271">
        <f t="shared" si="24"/>
        <v>0</v>
      </c>
      <c r="S377" s="339">
        <f t="shared" si="26"/>
        <v>0</v>
      </c>
      <c r="T377" s="340"/>
      <c r="U377" s="341">
        <f>FA!J$59</f>
        <v>0</v>
      </c>
      <c r="V377" s="274"/>
      <c r="W377" s="342"/>
      <c r="X377" s="343"/>
      <c r="Y377" s="6" t="s">
        <v>538</v>
      </c>
      <c r="Z377" s="344"/>
      <c r="AA377" s="240"/>
      <c r="AB377" s="345">
        <v>1</v>
      </c>
      <c r="AC377" s="271"/>
      <c r="AD377" s="272"/>
      <c r="AE377" s="273"/>
      <c r="AF377" s="273"/>
      <c r="AG377" s="274"/>
      <c r="AH377" s="275"/>
      <c r="AI377" s="272"/>
      <c r="AJ377" s="276"/>
      <c r="AK377" s="277"/>
      <c r="AL377" s="278"/>
      <c r="AM377" s="277"/>
      <c r="AN377" s="279" t="str">
        <f t="shared" si="27"/>
        <v/>
      </c>
      <c r="AO377" s="279"/>
      <c r="AP377" s="279" t="str">
        <f t="shared" si="28"/>
        <v/>
      </c>
      <c r="AQ377" s="279"/>
      <c r="AR377" s="305">
        <f>'预算书-初步'!$F$10</f>
        <v>0.09</v>
      </c>
      <c r="AT377" s="272"/>
      <c r="BC377" s="272" t="s">
        <v>521</v>
      </c>
      <c r="BD377" s="348">
        <v>1048</v>
      </c>
      <c r="BE377" s="347" t="s">
        <v>701</v>
      </c>
    </row>
    <row r="378" s="52" customFormat="1" ht="15.75" customHeight="1" spans="1:57">
      <c r="A378" s="227"/>
      <c r="B378" s="332"/>
      <c r="C378" s="228"/>
      <c r="D378" s="333"/>
      <c r="E378" s="334"/>
      <c r="F378" s="229"/>
      <c r="G378" s="333"/>
      <c r="H378" s="335"/>
      <c r="I378" s="229"/>
      <c r="J378" s="229"/>
      <c r="K378" s="336"/>
      <c r="L378" s="337"/>
      <c r="M378" s="337"/>
      <c r="N378" s="337"/>
      <c r="O378" s="337"/>
      <c r="P378" s="337"/>
      <c r="Q378" s="338">
        <v>1540</v>
      </c>
      <c r="R378" s="271">
        <f t="shared" si="24"/>
        <v>0</v>
      </c>
      <c r="S378" s="339">
        <f t="shared" si="26"/>
        <v>0</v>
      </c>
      <c r="T378" s="340"/>
      <c r="U378" s="341">
        <f>FA!J$60</f>
        <v>0</v>
      </c>
      <c r="V378" s="274"/>
      <c r="W378" s="342"/>
      <c r="X378" s="343"/>
      <c r="Y378" s="6" t="s">
        <v>539</v>
      </c>
      <c r="Z378" s="344"/>
      <c r="AA378" s="240"/>
      <c r="AB378" s="345">
        <v>1</v>
      </c>
      <c r="AC378" s="271"/>
      <c r="AD378" s="272"/>
      <c r="AE378" s="273"/>
      <c r="AF378" s="273"/>
      <c r="AG378" s="274"/>
      <c r="AH378" s="275"/>
      <c r="AI378" s="272"/>
      <c r="AJ378" s="276"/>
      <c r="AK378" s="277"/>
      <c r="AL378" s="278"/>
      <c r="AM378" s="277"/>
      <c r="AN378" s="279" t="str">
        <f t="shared" si="27"/>
        <v/>
      </c>
      <c r="AO378" s="279"/>
      <c r="AP378" s="279" t="str">
        <f t="shared" si="28"/>
        <v/>
      </c>
      <c r="AQ378" s="279"/>
      <c r="AR378" s="305">
        <f>'预算书-初步'!$F$10</f>
        <v>0.09</v>
      </c>
      <c r="AT378" s="272"/>
      <c r="BC378" s="272" t="s">
        <v>521</v>
      </c>
      <c r="BD378" s="348">
        <v>1049</v>
      </c>
      <c r="BE378" s="347" t="s">
        <v>701</v>
      </c>
    </row>
    <row r="379" s="52" customFormat="1" ht="15.75" customHeight="1" spans="1:57">
      <c r="A379" s="227"/>
      <c r="B379" s="332"/>
      <c r="C379" s="228"/>
      <c r="D379" s="333"/>
      <c r="E379" s="334"/>
      <c r="F379" s="229"/>
      <c r="G379" s="333"/>
      <c r="H379" s="335"/>
      <c r="I379" s="229"/>
      <c r="J379" s="229"/>
      <c r="K379" s="336"/>
      <c r="L379" s="337"/>
      <c r="M379" s="337"/>
      <c r="N379" s="337"/>
      <c r="O379" s="337"/>
      <c r="P379" s="337"/>
      <c r="Q379" s="338">
        <v>1611</v>
      </c>
      <c r="R379" s="271">
        <f t="shared" si="24"/>
        <v>0</v>
      </c>
      <c r="S379" s="339">
        <f t="shared" si="26"/>
        <v>0</v>
      </c>
      <c r="T379" s="340"/>
      <c r="U379" s="341">
        <f>FA!J$64</f>
        <v>0</v>
      </c>
      <c r="V379" s="274"/>
      <c r="W379" s="342"/>
      <c r="X379" s="343"/>
      <c r="Y379" s="6" t="s">
        <v>540</v>
      </c>
      <c r="Z379" s="344"/>
      <c r="AA379" s="240"/>
      <c r="AB379" s="345">
        <v>1</v>
      </c>
      <c r="AC379" s="271"/>
      <c r="AD379" s="272"/>
      <c r="AE379" s="273"/>
      <c r="AF379" s="273"/>
      <c r="AG379" s="274"/>
      <c r="AH379" s="275"/>
      <c r="AI379" s="272"/>
      <c r="AJ379" s="276"/>
      <c r="AK379" s="277"/>
      <c r="AL379" s="278"/>
      <c r="AM379" s="277"/>
      <c r="AN379" s="279" t="str">
        <f t="shared" si="27"/>
        <v/>
      </c>
      <c r="AO379" s="279"/>
      <c r="AP379" s="279" t="str">
        <f t="shared" si="28"/>
        <v/>
      </c>
      <c r="AQ379" s="279"/>
      <c r="AR379" s="305">
        <f>'预算书-初步'!$F$10</f>
        <v>0.09</v>
      </c>
      <c r="AT379" s="272"/>
      <c r="BC379" s="272" t="s">
        <v>521</v>
      </c>
      <c r="BD379" s="348">
        <v>1053</v>
      </c>
      <c r="BE379" s="347" t="s">
        <v>701</v>
      </c>
    </row>
    <row r="380" s="52" customFormat="1" ht="15.75" customHeight="1" spans="1:57">
      <c r="A380" s="227"/>
      <c r="B380" s="332"/>
      <c r="C380" s="228"/>
      <c r="D380" s="333"/>
      <c r="E380" s="334"/>
      <c r="F380" s="229"/>
      <c r="G380" s="333"/>
      <c r="H380" s="335"/>
      <c r="I380" s="229"/>
      <c r="J380" s="229"/>
      <c r="K380" s="336"/>
      <c r="L380" s="337"/>
      <c r="M380" s="337"/>
      <c r="N380" s="337"/>
      <c r="O380" s="337"/>
      <c r="P380" s="337"/>
      <c r="Q380" s="338">
        <v>1611</v>
      </c>
      <c r="R380" s="271">
        <f t="shared" si="24"/>
        <v>0</v>
      </c>
      <c r="S380" s="339">
        <f t="shared" si="26"/>
        <v>0</v>
      </c>
      <c r="T380" s="340"/>
      <c r="U380" s="341">
        <f>FA!J$65</f>
        <v>0</v>
      </c>
      <c r="V380" s="274"/>
      <c r="W380" s="342"/>
      <c r="X380" s="343"/>
      <c r="Y380" s="6" t="s">
        <v>541</v>
      </c>
      <c r="Z380" s="344"/>
      <c r="AA380" s="240"/>
      <c r="AB380" s="345">
        <v>1</v>
      </c>
      <c r="AC380" s="271"/>
      <c r="AD380" s="272"/>
      <c r="AE380" s="273"/>
      <c r="AF380" s="273"/>
      <c r="AG380" s="274"/>
      <c r="AH380" s="275"/>
      <c r="AI380" s="272"/>
      <c r="AJ380" s="276"/>
      <c r="AK380" s="277"/>
      <c r="AL380" s="278"/>
      <c r="AM380" s="277"/>
      <c r="AN380" s="279" t="str">
        <f t="shared" si="27"/>
        <v/>
      </c>
      <c r="AO380" s="279"/>
      <c r="AP380" s="279" t="str">
        <f t="shared" si="28"/>
        <v/>
      </c>
      <c r="AQ380" s="279"/>
      <c r="AR380" s="305">
        <f>'预算书-初步'!$F$10</f>
        <v>0.09</v>
      </c>
      <c r="AT380" s="272"/>
      <c r="BC380" s="272" t="s">
        <v>521</v>
      </c>
      <c r="BD380" s="348">
        <v>1054</v>
      </c>
      <c r="BE380" s="347" t="s">
        <v>701</v>
      </c>
    </row>
    <row r="381" s="52" customFormat="1" ht="15.75" customHeight="1" spans="1:57">
      <c r="A381" s="227"/>
      <c r="B381" s="332"/>
      <c r="C381" s="228"/>
      <c r="D381" s="333"/>
      <c r="E381" s="334"/>
      <c r="F381" s="229"/>
      <c r="G381" s="333"/>
      <c r="H381" s="335"/>
      <c r="I381" s="229"/>
      <c r="J381" s="229"/>
      <c r="K381" s="336"/>
      <c r="L381" s="337"/>
      <c r="M381" s="337"/>
      <c r="N381" s="337"/>
      <c r="O381" s="337"/>
      <c r="P381" s="337"/>
      <c r="Q381" s="338">
        <v>1611</v>
      </c>
      <c r="R381" s="271">
        <f t="shared" si="24"/>
        <v>0</v>
      </c>
      <c r="S381" s="339">
        <f t="shared" si="26"/>
        <v>0</v>
      </c>
      <c r="T381" s="340"/>
      <c r="U381" s="341">
        <f>FA!J$66</f>
        <v>0</v>
      </c>
      <c r="V381" s="274"/>
      <c r="W381" s="342"/>
      <c r="X381" s="343"/>
      <c r="Y381" s="6" t="s">
        <v>542</v>
      </c>
      <c r="Z381" s="344"/>
      <c r="AA381" s="240"/>
      <c r="AB381" s="345">
        <v>1</v>
      </c>
      <c r="AC381" s="271"/>
      <c r="AD381" s="272"/>
      <c r="AE381" s="273"/>
      <c r="AF381" s="273"/>
      <c r="AG381" s="274"/>
      <c r="AH381" s="275"/>
      <c r="AI381" s="272"/>
      <c r="AJ381" s="276"/>
      <c r="AK381" s="277"/>
      <c r="AL381" s="278"/>
      <c r="AM381" s="277"/>
      <c r="AN381" s="279" t="str">
        <f t="shared" si="27"/>
        <v/>
      </c>
      <c r="AO381" s="279"/>
      <c r="AP381" s="279" t="str">
        <f t="shared" si="28"/>
        <v/>
      </c>
      <c r="AQ381" s="279"/>
      <c r="AR381" s="305">
        <f>'预算书-初步'!$F$10</f>
        <v>0.09</v>
      </c>
      <c r="AT381" s="272"/>
      <c r="BC381" s="272" t="s">
        <v>521</v>
      </c>
      <c r="BD381" s="348">
        <v>1055</v>
      </c>
      <c r="BE381" s="347" t="s">
        <v>701</v>
      </c>
    </row>
    <row r="382" s="52" customFormat="1" ht="15.75" customHeight="1" spans="1:57">
      <c r="A382" s="227"/>
      <c r="B382" s="332"/>
      <c r="C382" s="228"/>
      <c r="D382" s="333"/>
      <c r="E382" s="334"/>
      <c r="F382" s="229"/>
      <c r="G382" s="333"/>
      <c r="H382" s="335"/>
      <c r="I382" s="229"/>
      <c r="J382" s="229"/>
      <c r="K382" s="336"/>
      <c r="L382" s="337"/>
      <c r="M382" s="337"/>
      <c r="N382" s="337"/>
      <c r="O382" s="337"/>
      <c r="P382" s="337"/>
      <c r="Q382" s="338">
        <v>1611</v>
      </c>
      <c r="R382" s="271">
        <f t="shared" si="24"/>
        <v>0</v>
      </c>
      <c r="S382" s="339">
        <f t="shared" si="26"/>
        <v>0</v>
      </c>
      <c r="T382" s="340"/>
      <c r="U382" s="341">
        <f>FA!J$67</f>
        <v>0</v>
      </c>
      <c r="V382" s="274"/>
      <c r="W382" s="342"/>
      <c r="X382" s="343"/>
      <c r="Y382" s="6" t="s">
        <v>543</v>
      </c>
      <c r="Z382" s="344"/>
      <c r="AA382" s="240"/>
      <c r="AB382" s="345">
        <v>1</v>
      </c>
      <c r="AC382" s="271"/>
      <c r="AD382" s="272"/>
      <c r="AE382" s="273"/>
      <c r="AF382" s="273"/>
      <c r="AG382" s="274"/>
      <c r="AH382" s="275"/>
      <c r="AI382" s="272"/>
      <c r="AJ382" s="276"/>
      <c r="AK382" s="277"/>
      <c r="AL382" s="278"/>
      <c r="AM382" s="277"/>
      <c r="AN382" s="279" t="str">
        <f t="shared" si="27"/>
        <v/>
      </c>
      <c r="AO382" s="279"/>
      <c r="AP382" s="279" t="str">
        <f t="shared" si="28"/>
        <v/>
      </c>
      <c r="AQ382" s="279"/>
      <c r="AR382" s="305">
        <f>'预算书-初步'!$F$10</f>
        <v>0.09</v>
      </c>
      <c r="AT382" s="272"/>
      <c r="BC382" s="272" t="s">
        <v>521</v>
      </c>
      <c r="BD382" s="348">
        <v>1056</v>
      </c>
      <c r="BE382" s="347" t="s">
        <v>701</v>
      </c>
    </row>
    <row r="383" s="52" customFormat="1" ht="15.75" customHeight="1" spans="1:57">
      <c r="A383" s="227"/>
      <c r="B383" s="332"/>
      <c r="C383" s="228"/>
      <c r="D383" s="333"/>
      <c r="E383" s="334"/>
      <c r="F383" s="229"/>
      <c r="G383" s="333"/>
      <c r="H383" s="335"/>
      <c r="I383" s="229"/>
      <c r="J383" s="229"/>
      <c r="K383" s="336"/>
      <c r="L383" s="337"/>
      <c r="M383" s="337"/>
      <c r="N383" s="337"/>
      <c r="O383" s="337"/>
      <c r="P383" s="337"/>
      <c r="Q383" s="338">
        <v>1611</v>
      </c>
      <c r="R383" s="271">
        <f t="shared" si="24"/>
        <v>0</v>
      </c>
      <c r="S383" s="339">
        <f t="shared" si="26"/>
        <v>0</v>
      </c>
      <c r="T383" s="340"/>
      <c r="U383" s="341">
        <f>FA!J$68</f>
        <v>0</v>
      </c>
      <c r="V383" s="274"/>
      <c r="W383" s="342"/>
      <c r="X383" s="343"/>
      <c r="Y383" s="6" t="s">
        <v>544</v>
      </c>
      <c r="Z383" s="344"/>
      <c r="AA383" s="240"/>
      <c r="AB383" s="345">
        <v>1</v>
      </c>
      <c r="AC383" s="271"/>
      <c r="AD383" s="272"/>
      <c r="AE383" s="273"/>
      <c r="AF383" s="273"/>
      <c r="AG383" s="274"/>
      <c r="AH383" s="275"/>
      <c r="AI383" s="272"/>
      <c r="AJ383" s="276"/>
      <c r="AK383" s="277"/>
      <c r="AL383" s="278"/>
      <c r="AM383" s="277"/>
      <c r="AN383" s="279" t="str">
        <f t="shared" si="27"/>
        <v/>
      </c>
      <c r="AO383" s="279"/>
      <c r="AP383" s="279" t="str">
        <f t="shared" si="28"/>
        <v/>
      </c>
      <c r="AQ383" s="279"/>
      <c r="AR383" s="305">
        <f>'预算书-初步'!$F$10</f>
        <v>0.09</v>
      </c>
      <c r="AT383" s="272"/>
      <c r="BC383" s="272" t="s">
        <v>521</v>
      </c>
      <c r="BD383" s="348">
        <v>1057</v>
      </c>
      <c r="BE383" s="347" t="s">
        <v>701</v>
      </c>
    </row>
    <row r="384" s="52" customFormat="1" ht="15.75" customHeight="1" spans="1:57">
      <c r="A384" s="227"/>
      <c r="B384" s="332"/>
      <c r="C384" s="228"/>
      <c r="D384" s="333"/>
      <c r="E384" s="334"/>
      <c r="F384" s="229"/>
      <c r="G384" s="333"/>
      <c r="H384" s="335"/>
      <c r="I384" s="229"/>
      <c r="J384" s="229"/>
      <c r="K384" s="336"/>
      <c r="L384" s="337"/>
      <c r="M384" s="337"/>
      <c r="N384" s="337"/>
      <c r="O384" s="337"/>
      <c r="P384" s="337"/>
      <c r="Q384" s="338">
        <v>1611</v>
      </c>
      <c r="R384" s="271">
        <f t="shared" si="24"/>
        <v>0</v>
      </c>
      <c r="S384" s="339">
        <f t="shared" si="26"/>
        <v>0</v>
      </c>
      <c r="T384" s="340"/>
      <c r="U384" s="341">
        <f>FA!J$69</f>
        <v>0</v>
      </c>
      <c r="V384" s="274"/>
      <c r="W384" s="342"/>
      <c r="X384" s="343"/>
      <c r="Y384" s="6" t="s">
        <v>545</v>
      </c>
      <c r="Z384" s="344"/>
      <c r="AA384" s="240"/>
      <c r="AB384" s="345">
        <v>1</v>
      </c>
      <c r="AC384" s="271"/>
      <c r="AD384" s="272"/>
      <c r="AE384" s="273"/>
      <c r="AF384" s="273"/>
      <c r="AG384" s="274"/>
      <c r="AH384" s="275"/>
      <c r="AI384" s="272"/>
      <c r="AJ384" s="276"/>
      <c r="AK384" s="277"/>
      <c r="AL384" s="278"/>
      <c r="AM384" s="277"/>
      <c r="AN384" s="279"/>
      <c r="AO384" s="279"/>
      <c r="AP384" s="279"/>
      <c r="AQ384" s="279"/>
      <c r="AR384" s="305">
        <f>'预算书-初步'!$F$10</f>
        <v>0.09</v>
      </c>
      <c r="AT384" s="272"/>
      <c r="BC384" s="272" t="s">
        <v>521</v>
      </c>
      <c r="BD384" s="348">
        <v>1058</v>
      </c>
      <c r="BE384" s="347" t="s">
        <v>701</v>
      </c>
    </row>
    <row r="385" s="52" customFormat="1" ht="15.75" customHeight="1" spans="1:57">
      <c r="A385" s="227"/>
      <c r="B385" s="332"/>
      <c r="C385" s="228"/>
      <c r="D385" s="333"/>
      <c r="E385" s="334"/>
      <c r="F385" s="229"/>
      <c r="G385" s="333"/>
      <c r="H385" s="335"/>
      <c r="I385" s="229"/>
      <c r="J385" s="229"/>
      <c r="K385" s="336"/>
      <c r="L385" s="337"/>
      <c r="M385" s="337"/>
      <c r="N385" s="337"/>
      <c r="O385" s="337"/>
      <c r="P385" s="337"/>
      <c r="Q385" s="338">
        <v>1611</v>
      </c>
      <c r="R385" s="271">
        <f t="shared" si="24"/>
        <v>0</v>
      </c>
      <c r="S385" s="339">
        <f t="shared" si="26"/>
        <v>0</v>
      </c>
      <c r="T385" s="340"/>
      <c r="U385" s="341">
        <f>FA!J$70</f>
        <v>0</v>
      </c>
      <c r="V385" s="274"/>
      <c r="W385" s="342"/>
      <c r="X385" s="343"/>
      <c r="Y385" s="349" t="s">
        <v>546</v>
      </c>
      <c r="Z385" s="344"/>
      <c r="AA385" s="240"/>
      <c r="AB385" s="345">
        <v>1</v>
      </c>
      <c r="AC385" s="271"/>
      <c r="AD385" s="272"/>
      <c r="AE385" s="273"/>
      <c r="AF385" s="273"/>
      <c r="AG385" s="274"/>
      <c r="AH385" s="275"/>
      <c r="AI385" s="272"/>
      <c r="AJ385" s="276"/>
      <c r="AK385" s="277"/>
      <c r="AL385" s="278"/>
      <c r="AM385" s="277"/>
      <c r="AN385" s="279"/>
      <c r="AO385" s="279"/>
      <c r="AP385" s="279"/>
      <c r="AQ385" s="279"/>
      <c r="AR385" s="305">
        <f>'预算书-初步'!$F$10</f>
        <v>0.09</v>
      </c>
      <c r="AT385" s="272"/>
      <c r="BC385" s="272" t="s">
        <v>521</v>
      </c>
      <c r="BD385" s="348">
        <v>1059</v>
      </c>
      <c r="BE385" s="347" t="s">
        <v>701</v>
      </c>
    </row>
    <row r="386" s="52" customFormat="1" ht="15.75" customHeight="1" spans="1:57">
      <c r="A386" s="227"/>
      <c r="B386" s="332"/>
      <c r="C386" s="228"/>
      <c r="D386" s="333"/>
      <c r="E386" s="334"/>
      <c r="F386" s="229"/>
      <c r="G386" s="333"/>
      <c r="H386" s="335"/>
      <c r="I386" s="229"/>
      <c r="J386" s="229"/>
      <c r="K386" s="336"/>
      <c r="L386" s="337"/>
      <c r="M386" s="337"/>
      <c r="N386" s="337"/>
      <c r="O386" s="337"/>
      <c r="P386" s="337"/>
      <c r="Q386" s="338">
        <v>1611</v>
      </c>
      <c r="R386" s="271">
        <f t="shared" si="24"/>
        <v>0</v>
      </c>
      <c r="S386" s="339">
        <f t="shared" si="26"/>
        <v>0</v>
      </c>
      <c r="T386" s="340"/>
      <c r="U386" s="341">
        <f>FA!J$71</f>
        <v>0</v>
      </c>
      <c r="V386" s="274"/>
      <c r="W386" s="342"/>
      <c r="X386" s="343"/>
      <c r="Y386" s="349" t="s">
        <v>547</v>
      </c>
      <c r="Z386" s="344"/>
      <c r="AA386" s="240"/>
      <c r="AB386" s="345">
        <v>1</v>
      </c>
      <c r="AC386" s="271"/>
      <c r="AD386" s="272"/>
      <c r="AE386" s="273"/>
      <c r="AF386" s="273"/>
      <c r="AG386" s="274"/>
      <c r="AH386" s="275"/>
      <c r="AI386" s="272"/>
      <c r="AJ386" s="276"/>
      <c r="AK386" s="277"/>
      <c r="AL386" s="278"/>
      <c r="AM386" s="277"/>
      <c r="AN386" s="279"/>
      <c r="AO386" s="279"/>
      <c r="AP386" s="279"/>
      <c r="AQ386" s="279"/>
      <c r="AR386" s="305">
        <f>'预算书-初步'!$F$10</f>
        <v>0.09</v>
      </c>
      <c r="AT386" s="272"/>
      <c r="BC386" s="272" t="s">
        <v>521</v>
      </c>
      <c r="BD386" s="348">
        <v>1060</v>
      </c>
      <c r="BE386" s="347" t="s">
        <v>701</v>
      </c>
    </row>
    <row r="387" s="52" customFormat="1" ht="15.75" customHeight="1" spans="1:57">
      <c r="A387" s="227"/>
      <c r="B387" s="332"/>
      <c r="C387" s="228"/>
      <c r="D387" s="333"/>
      <c r="E387" s="334"/>
      <c r="F387" s="229"/>
      <c r="G387" s="333"/>
      <c r="H387" s="335"/>
      <c r="I387" s="229"/>
      <c r="J387" s="229"/>
      <c r="K387" s="336"/>
      <c r="L387" s="337"/>
      <c r="M387" s="337"/>
      <c r="N387" s="337"/>
      <c r="O387" s="337"/>
      <c r="P387" s="337"/>
      <c r="Q387" s="338">
        <v>1611</v>
      </c>
      <c r="R387" s="271">
        <f t="shared" si="24"/>
        <v>0</v>
      </c>
      <c r="S387" s="339">
        <f t="shared" si="26"/>
        <v>0</v>
      </c>
      <c r="T387" s="340"/>
      <c r="U387" s="341">
        <f>FA!J$72</f>
        <v>0</v>
      </c>
      <c r="V387" s="274"/>
      <c r="W387" s="342"/>
      <c r="X387" s="343"/>
      <c r="Y387" s="349" t="s">
        <v>548</v>
      </c>
      <c r="Z387" s="344"/>
      <c r="AA387" s="240"/>
      <c r="AB387" s="345">
        <v>1</v>
      </c>
      <c r="AC387" s="271"/>
      <c r="AD387" s="272"/>
      <c r="AE387" s="273"/>
      <c r="AF387" s="273"/>
      <c r="AG387" s="274"/>
      <c r="AH387" s="275"/>
      <c r="AI387" s="272"/>
      <c r="AJ387" s="276"/>
      <c r="AK387" s="277"/>
      <c r="AL387" s="278"/>
      <c r="AM387" s="277"/>
      <c r="AN387" s="279" t="str">
        <f>IF(AK387&lt;&gt;0,"N","")</f>
        <v/>
      </c>
      <c r="AO387" s="279"/>
      <c r="AP387" s="279" t="str">
        <f>IF(F387&lt;&gt;0,"Y","")</f>
        <v/>
      </c>
      <c r="AQ387" s="279"/>
      <c r="AR387" s="305">
        <f>'预算书-初步'!$F$10</f>
        <v>0.09</v>
      </c>
      <c r="AT387" s="272"/>
      <c r="BC387" s="272" t="s">
        <v>521</v>
      </c>
      <c r="BD387" s="348">
        <v>1061</v>
      </c>
      <c r="BE387" s="347" t="s">
        <v>701</v>
      </c>
    </row>
    <row r="388" s="52" customFormat="1" ht="15.75" customHeight="1" spans="1:57">
      <c r="A388" s="227"/>
      <c r="B388" s="332"/>
      <c r="C388" s="228"/>
      <c r="D388" s="333"/>
      <c r="E388" s="334"/>
      <c r="F388" s="229"/>
      <c r="G388" s="333"/>
      <c r="H388" s="335"/>
      <c r="I388" s="229"/>
      <c r="J388" s="229"/>
      <c r="K388" s="336"/>
      <c r="L388" s="337"/>
      <c r="M388" s="337"/>
      <c r="N388" s="337"/>
      <c r="O388" s="337"/>
      <c r="P388" s="337"/>
      <c r="Q388" s="338">
        <v>1611</v>
      </c>
      <c r="R388" s="271">
        <f t="shared" si="24"/>
        <v>0</v>
      </c>
      <c r="S388" s="339">
        <f t="shared" si="26"/>
        <v>0</v>
      </c>
      <c r="T388" s="340"/>
      <c r="U388" s="341">
        <f>FA!J$73</f>
        <v>0</v>
      </c>
      <c r="V388" s="274"/>
      <c r="W388" s="342"/>
      <c r="X388" s="343"/>
      <c r="Y388" s="349" t="s">
        <v>549</v>
      </c>
      <c r="Z388" s="344"/>
      <c r="AA388" s="240"/>
      <c r="AB388" s="345">
        <v>1</v>
      </c>
      <c r="AC388" s="271"/>
      <c r="AD388" s="272"/>
      <c r="AE388" s="273"/>
      <c r="AF388" s="273"/>
      <c r="AG388" s="274"/>
      <c r="AH388" s="275"/>
      <c r="AI388" s="272"/>
      <c r="AJ388" s="276"/>
      <c r="AK388" s="277"/>
      <c r="AL388" s="278"/>
      <c r="AM388" s="277"/>
      <c r="AN388" s="279"/>
      <c r="AO388" s="279"/>
      <c r="AP388" s="279"/>
      <c r="AQ388" s="279"/>
      <c r="AR388" s="305">
        <f>'预算书-初步'!$F$10</f>
        <v>0.09</v>
      </c>
      <c r="AT388" s="272"/>
      <c r="BC388" s="272" t="s">
        <v>521</v>
      </c>
      <c r="BD388" s="348">
        <v>1062</v>
      </c>
      <c r="BE388" s="347" t="s">
        <v>701</v>
      </c>
    </row>
    <row r="389" s="52" customFormat="1" ht="15.75" customHeight="1" spans="1:57">
      <c r="A389" s="227"/>
      <c r="B389" s="332"/>
      <c r="C389" s="228"/>
      <c r="D389" s="333"/>
      <c r="E389" s="334"/>
      <c r="F389" s="229"/>
      <c r="G389" s="333"/>
      <c r="H389" s="335"/>
      <c r="I389" s="229"/>
      <c r="J389" s="229"/>
      <c r="K389" s="336"/>
      <c r="L389" s="337"/>
      <c r="M389" s="337"/>
      <c r="N389" s="337"/>
      <c r="O389" s="337"/>
      <c r="P389" s="337"/>
      <c r="Q389" s="338">
        <v>1643</v>
      </c>
      <c r="R389" s="271">
        <f t="shared" si="24"/>
        <v>0</v>
      </c>
      <c r="S389" s="339">
        <f t="shared" si="26"/>
        <v>0</v>
      </c>
      <c r="T389" s="340"/>
      <c r="U389" s="341">
        <f>FA!J$74</f>
        <v>0</v>
      </c>
      <c r="V389" s="274"/>
      <c r="W389" s="342"/>
      <c r="X389" s="343"/>
      <c r="Y389" s="349" t="s">
        <v>550</v>
      </c>
      <c r="Z389" s="344"/>
      <c r="AA389" s="240"/>
      <c r="AB389" s="345">
        <v>1</v>
      </c>
      <c r="AC389" s="271"/>
      <c r="AD389" s="272"/>
      <c r="AE389" s="273"/>
      <c r="AF389" s="273"/>
      <c r="AG389" s="274"/>
      <c r="AH389" s="275"/>
      <c r="AI389" s="272"/>
      <c r="AJ389" s="276"/>
      <c r="AK389" s="277"/>
      <c r="AL389" s="278"/>
      <c r="AM389" s="277"/>
      <c r="AN389" s="279" t="str">
        <f t="shared" ref="AN389:AN402" si="29">IF(AK389&lt;&gt;0,"N","")</f>
        <v/>
      </c>
      <c r="AO389" s="279"/>
      <c r="AP389" s="279" t="str">
        <f t="shared" ref="AP389:AP398" si="30">IF(F389&lt;&gt;0,"Y","")</f>
        <v/>
      </c>
      <c r="AQ389" s="279"/>
      <c r="AR389" s="305">
        <f>'预算书-初步'!$F$10</f>
        <v>0.09</v>
      </c>
      <c r="AT389" s="272"/>
      <c r="BC389" s="272" t="s">
        <v>521</v>
      </c>
      <c r="BD389" s="348">
        <v>1063</v>
      </c>
      <c r="BE389" s="347" t="s">
        <v>701</v>
      </c>
    </row>
    <row r="390" s="52" customFormat="1" ht="15.75" customHeight="1" spans="1:57">
      <c r="A390" s="227"/>
      <c r="B390" s="332"/>
      <c r="C390" s="228"/>
      <c r="D390" s="333"/>
      <c r="E390" s="334"/>
      <c r="F390" s="229"/>
      <c r="G390" s="333"/>
      <c r="H390" s="335"/>
      <c r="I390" s="229"/>
      <c r="J390" s="229"/>
      <c r="K390" s="336"/>
      <c r="L390" s="337"/>
      <c r="M390" s="337"/>
      <c r="N390" s="337"/>
      <c r="O390" s="337"/>
      <c r="P390" s="337"/>
      <c r="Q390" s="350">
        <v>1644</v>
      </c>
      <c r="R390" s="271">
        <f t="shared" ref="R390:R453" si="31">ROUND(U390*(1+AR390),0)</f>
        <v>0</v>
      </c>
      <c r="S390" s="339">
        <f t="shared" si="26"/>
        <v>0</v>
      </c>
      <c r="T390" s="340"/>
      <c r="U390" s="341">
        <f>FA!J$75</f>
        <v>0</v>
      </c>
      <c r="V390" s="274"/>
      <c r="W390" s="342"/>
      <c r="X390" s="343"/>
      <c r="Y390" s="349" t="s">
        <v>551</v>
      </c>
      <c r="Z390" s="344"/>
      <c r="AA390" s="240"/>
      <c r="AB390" s="345">
        <v>1</v>
      </c>
      <c r="AC390" s="271"/>
      <c r="AD390" s="272"/>
      <c r="AE390" s="273"/>
      <c r="AF390" s="273"/>
      <c r="AG390" s="274"/>
      <c r="AH390" s="275"/>
      <c r="AI390" s="272"/>
      <c r="AJ390" s="276"/>
      <c r="AK390" s="277"/>
      <c r="AL390" s="278"/>
      <c r="AM390" s="277"/>
      <c r="AN390" s="279" t="str">
        <f t="shared" si="29"/>
        <v/>
      </c>
      <c r="AO390" s="279"/>
      <c r="AP390" s="279" t="str">
        <f t="shared" si="30"/>
        <v/>
      </c>
      <c r="AQ390" s="279"/>
      <c r="AR390" s="305">
        <f>'预算书-初步'!$F$10</f>
        <v>0.09</v>
      </c>
      <c r="AT390" s="272"/>
      <c r="BC390" s="272" t="s">
        <v>521</v>
      </c>
      <c r="BD390" s="348">
        <v>1064</v>
      </c>
      <c r="BE390" s="347" t="s">
        <v>701</v>
      </c>
    </row>
    <row r="391" s="52" customFormat="1" ht="15.75" customHeight="1" spans="1:57">
      <c r="A391" s="227"/>
      <c r="B391" s="332"/>
      <c r="C391" s="228"/>
      <c r="D391" s="333"/>
      <c r="E391" s="334"/>
      <c r="F391" s="229"/>
      <c r="G391" s="333"/>
      <c r="H391" s="335"/>
      <c r="I391" s="229"/>
      <c r="J391" s="229"/>
      <c r="K391" s="336"/>
      <c r="L391" s="337"/>
      <c r="M391" s="337"/>
      <c r="N391" s="337"/>
      <c r="O391" s="337"/>
      <c r="P391" s="337"/>
      <c r="Q391" s="338">
        <v>1645</v>
      </c>
      <c r="R391" s="271">
        <f t="shared" si="31"/>
        <v>0</v>
      </c>
      <c r="S391" s="339">
        <f t="shared" si="26"/>
        <v>0</v>
      </c>
      <c r="T391" s="340"/>
      <c r="U391" s="341">
        <f>FA!J$76</f>
        <v>0</v>
      </c>
      <c r="V391" s="274"/>
      <c r="W391" s="342"/>
      <c r="X391" s="343"/>
      <c r="Y391" s="349" t="s">
        <v>552</v>
      </c>
      <c r="Z391" s="344"/>
      <c r="AA391" s="240"/>
      <c r="AB391" s="345">
        <v>1</v>
      </c>
      <c r="AC391" s="271"/>
      <c r="AD391" s="272"/>
      <c r="AE391" s="273"/>
      <c r="AF391" s="273"/>
      <c r="AG391" s="274"/>
      <c r="AH391" s="275"/>
      <c r="AI391" s="272"/>
      <c r="AJ391" s="276"/>
      <c r="AK391" s="277"/>
      <c r="AL391" s="278"/>
      <c r="AM391" s="277"/>
      <c r="AN391" s="279" t="str">
        <f t="shared" si="29"/>
        <v/>
      </c>
      <c r="AO391" s="279"/>
      <c r="AP391" s="279" t="str">
        <f t="shared" si="30"/>
        <v/>
      </c>
      <c r="AQ391" s="279"/>
      <c r="AR391" s="305">
        <f>'预算书-初步'!$F$10</f>
        <v>0.09</v>
      </c>
      <c r="AT391" s="272"/>
      <c r="BC391" s="272" t="s">
        <v>521</v>
      </c>
      <c r="BD391" s="348">
        <v>1065</v>
      </c>
      <c r="BE391" s="347" t="s">
        <v>701</v>
      </c>
    </row>
    <row r="392" s="52" customFormat="1" ht="15.75" customHeight="1" spans="1:57">
      <c r="A392" s="227"/>
      <c r="B392" s="332"/>
      <c r="C392" s="228"/>
      <c r="D392" s="333"/>
      <c r="E392" s="334"/>
      <c r="F392" s="229"/>
      <c r="G392" s="333"/>
      <c r="H392" s="335"/>
      <c r="I392" s="229"/>
      <c r="J392" s="229"/>
      <c r="K392" s="336"/>
      <c r="L392" s="337"/>
      <c r="M392" s="337"/>
      <c r="N392" s="337"/>
      <c r="O392" s="337"/>
      <c r="P392" s="337"/>
      <c r="Q392" s="338">
        <v>1612</v>
      </c>
      <c r="R392" s="271">
        <f t="shared" si="31"/>
        <v>0</v>
      </c>
      <c r="S392" s="339">
        <f t="shared" si="26"/>
        <v>0</v>
      </c>
      <c r="T392" s="340"/>
      <c r="U392" s="341">
        <f>FA!J$77</f>
        <v>0</v>
      </c>
      <c r="V392" s="274"/>
      <c r="W392" s="342"/>
      <c r="X392" s="343"/>
      <c r="Y392" s="6" t="s">
        <v>553</v>
      </c>
      <c r="Z392" s="344"/>
      <c r="AA392" s="240"/>
      <c r="AB392" s="345">
        <v>1</v>
      </c>
      <c r="AC392" s="271"/>
      <c r="AD392" s="272"/>
      <c r="AE392" s="273"/>
      <c r="AF392" s="273"/>
      <c r="AG392" s="274"/>
      <c r="AH392" s="275"/>
      <c r="AI392" s="272"/>
      <c r="AJ392" s="276"/>
      <c r="AK392" s="277"/>
      <c r="AL392" s="278"/>
      <c r="AM392" s="277"/>
      <c r="AN392" s="279" t="str">
        <f t="shared" si="29"/>
        <v/>
      </c>
      <c r="AO392" s="279"/>
      <c r="AP392" s="279" t="str">
        <f t="shared" si="30"/>
        <v/>
      </c>
      <c r="AQ392" s="279"/>
      <c r="AR392" s="305">
        <f>'预算书-初步'!$F$10</f>
        <v>0.09</v>
      </c>
      <c r="AT392" s="272"/>
      <c r="BC392" s="272" t="s">
        <v>521</v>
      </c>
      <c r="BD392" s="348">
        <v>1066</v>
      </c>
      <c r="BE392" s="347" t="s">
        <v>701</v>
      </c>
    </row>
    <row r="393" s="52" customFormat="1" ht="15.75" customHeight="1" spans="1:57">
      <c r="A393" s="227"/>
      <c r="B393" s="332"/>
      <c r="C393" s="228"/>
      <c r="D393" s="333"/>
      <c r="E393" s="334"/>
      <c r="F393" s="229"/>
      <c r="G393" s="333"/>
      <c r="H393" s="335"/>
      <c r="I393" s="229"/>
      <c r="J393" s="229"/>
      <c r="K393" s="336"/>
      <c r="L393" s="337"/>
      <c r="M393" s="337"/>
      <c r="N393" s="337"/>
      <c r="O393" s="337"/>
      <c r="P393" s="337"/>
      <c r="Q393" s="338">
        <v>1646</v>
      </c>
      <c r="R393" s="271">
        <f t="shared" si="31"/>
        <v>0</v>
      </c>
      <c r="S393" s="339">
        <f t="shared" si="26"/>
        <v>0</v>
      </c>
      <c r="T393" s="340"/>
      <c r="U393" s="341">
        <f>FA!J$79</f>
        <v>0</v>
      </c>
      <c r="V393" s="274"/>
      <c r="W393" s="342"/>
      <c r="X393" s="343"/>
      <c r="Y393" s="349" t="s">
        <v>554</v>
      </c>
      <c r="Z393" s="344"/>
      <c r="AA393" s="240"/>
      <c r="AB393" s="345">
        <v>1</v>
      </c>
      <c r="AC393" s="271"/>
      <c r="AD393" s="272"/>
      <c r="AE393" s="273"/>
      <c r="AF393" s="273"/>
      <c r="AG393" s="274"/>
      <c r="AH393" s="275"/>
      <c r="AI393" s="272"/>
      <c r="AJ393" s="276"/>
      <c r="AK393" s="277"/>
      <c r="AL393" s="278"/>
      <c r="AM393" s="277"/>
      <c r="AN393" s="279" t="str">
        <f t="shared" si="29"/>
        <v/>
      </c>
      <c r="AO393" s="279"/>
      <c r="AP393" s="279" t="str">
        <f t="shared" si="30"/>
        <v/>
      </c>
      <c r="AQ393" s="279"/>
      <c r="AR393" s="305">
        <f>'预算书-初步'!$F$10</f>
        <v>0.09</v>
      </c>
      <c r="AT393" s="272"/>
      <c r="BC393" s="272" t="s">
        <v>521</v>
      </c>
      <c r="BD393" s="348">
        <v>1068</v>
      </c>
      <c r="BE393" s="347" t="s">
        <v>701</v>
      </c>
    </row>
    <row r="394" s="52" customFormat="1" ht="15.75" customHeight="1" spans="1:57">
      <c r="A394" s="227"/>
      <c r="B394" s="332"/>
      <c r="C394" s="228"/>
      <c r="D394" s="333"/>
      <c r="E394" s="334"/>
      <c r="F394" s="229"/>
      <c r="G394" s="333"/>
      <c r="H394" s="335"/>
      <c r="I394" s="229"/>
      <c r="J394" s="229"/>
      <c r="K394" s="336"/>
      <c r="L394" s="337"/>
      <c r="M394" s="337"/>
      <c r="N394" s="337"/>
      <c r="O394" s="337"/>
      <c r="P394" s="337"/>
      <c r="Q394" s="338">
        <v>1646</v>
      </c>
      <c r="R394" s="271">
        <f t="shared" si="31"/>
        <v>0</v>
      </c>
      <c r="S394" s="339">
        <f t="shared" si="26"/>
        <v>0</v>
      </c>
      <c r="T394" s="340"/>
      <c r="U394" s="341">
        <f>FA!J$80</f>
        <v>0</v>
      </c>
      <c r="V394" s="274"/>
      <c r="W394" s="342"/>
      <c r="X394" s="343"/>
      <c r="Y394" s="6" t="s">
        <v>555</v>
      </c>
      <c r="Z394" s="344"/>
      <c r="AA394" s="240"/>
      <c r="AB394" s="345">
        <v>1</v>
      </c>
      <c r="AC394" s="271"/>
      <c r="AD394" s="272"/>
      <c r="AE394" s="273"/>
      <c r="AF394" s="273"/>
      <c r="AG394" s="274"/>
      <c r="AH394" s="275"/>
      <c r="AI394" s="272"/>
      <c r="AJ394" s="276"/>
      <c r="AK394" s="277"/>
      <c r="AL394" s="278"/>
      <c r="AM394" s="277"/>
      <c r="AN394" s="279" t="str">
        <f t="shared" si="29"/>
        <v/>
      </c>
      <c r="AO394" s="279"/>
      <c r="AP394" s="279" t="str">
        <f t="shared" si="30"/>
        <v/>
      </c>
      <c r="AQ394" s="279"/>
      <c r="AR394" s="305">
        <f>'预算书-初步'!$F$10</f>
        <v>0.09</v>
      </c>
      <c r="AT394" s="272"/>
      <c r="BC394" s="272" t="s">
        <v>521</v>
      </c>
      <c r="BD394" s="348">
        <v>1069</v>
      </c>
      <c r="BE394" s="347" t="s">
        <v>701</v>
      </c>
    </row>
    <row r="395" s="52" customFormat="1" ht="15.75" customHeight="1" spans="1:57">
      <c r="A395" s="227"/>
      <c r="B395" s="332"/>
      <c r="C395" s="228"/>
      <c r="D395" s="333"/>
      <c r="E395" s="334"/>
      <c r="F395" s="229"/>
      <c r="G395" s="333"/>
      <c r="H395" s="335"/>
      <c r="I395" s="229"/>
      <c r="J395" s="229"/>
      <c r="K395" s="336"/>
      <c r="L395" s="337"/>
      <c r="M395" s="337"/>
      <c r="N395" s="337"/>
      <c r="O395" s="337"/>
      <c r="P395" s="337"/>
      <c r="Q395" s="338">
        <v>1613</v>
      </c>
      <c r="R395" s="271">
        <f t="shared" si="31"/>
        <v>0</v>
      </c>
      <c r="S395" s="339">
        <f t="shared" si="26"/>
        <v>0</v>
      </c>
      <c r="T395" s="340"/>
      <c r="U395" s="341">
        <f>FA!J$81</f>
        <v>0</v>
      </c>
      <c r="V395" s="274"/>
      <c r="W395" s="342"/>
      <c r="X395" s="343"/>
      <c r="Y395" s="349" t="s">
        <v>556</v>
      </c>
      <c r="Z395" s="344"/>
      <c r="AA395" s="240"/>
      <c r="AB395" s="345">
        <v>1</v>
      </c>
      <c r="AC395" s="271"/>
      <c r="AD395" s="272"/>
      <c r="AE395" s="273"/>
      <c r="AF395" s="273"/>
      <c r="AG395" s="274"/>
      <c r="AH395" s="275"/>
      <c r="AI395" s="272"/>
      <c r="AJ395" s="276"/>
      <c r="AK395" s="277"/>
      <c r="AL395" s="278"/>
      <c r="AM395" s="277"/>
      <c r="AN395" s="279" t="str">
        <f t="shared" si="29"/>
        <v/>
      </c>
      <c r="AO395" s="279"/>
      <c r="AP395" s="279" t="str">
        <f t="shared" si="30"/>
        <v/>
      </c>
      <c r="AQ395" s="279"/>
      <c r="AR395" s="305">
        <f>'预算书-初步'!$F$10</f>
        <v>0.09</v>
      </c>
      <c r="AT395" s="272"/>
      <c r="BC395" s="272" t="s">
        <v>521</v>
      </c>
      <c r="BD395" s="348">
        <v>1070</v>
      </c>
      <c r="BE395" s="347" t="s">
        <v>701</v>
      </c>
    </row>
    <row r="396" s="52" customFormat="1" ht="15.75" customHeight="1" spans="1:57">
      <c r="A396" s="227"/>
      <c r="B396" s="332"/>
      <c r="C396" s="228"/>
      <c r="D396" s="333"/>
      <c r="E396" s="334"/>
      <c r="F396" s="229"/>
      <c r="G396" s="333"/>
      <c r="H396" s="335"/>
      <c r="I396" s="229"/>
      <c r="J396" s="229"/>
      <c r="K396" s="336"/>
      <c r="L396" s="337"/>
      <c r="M396" s="337"/>
      <c r="N396" s="337"/>
      <c r="O396" s="337"/>
      <c r="P396" s="337"/>
      <c r="Q396" s="338">
        <v>1614</v>
      </c>
      <c r="R396" s="271">
        <f t="shared" si="31"/>
        <v>0</v>
      </c>
      <c r="S396" s="339">
        <f t="shared" si="26"/>
        <v>0</v>
      </c>
      <c r="T396" s="340"/>
      <c r="U396" s="341">
        <f>FA!J$82</f>
        <v>0</v>
      </c>
      <c r="V396" s="274"/>
      <c r="W396" s="342"/>
      <c r="X396" s="343"/>
      <c r="Y396" s="349" t="s">
        <v>557</v>
      </c>
      <c r="Z396" s="344"/>
      <c r="AA396" s="240"/>
      <c r="AB396" s="345">
        <v>1</v>
      </c>
      <c r="AC396" s="271"/>
      <c r="AD396" s="272"/>
      <c r="AE396" s="273"/>
      <c r="AF396" s="273"/>
      <c r="AG396" s="274"/>
      <c r="AH396" s="275"/>
      <c r="AI396" s="272"/>
      <c r="AJ396" s="276"/>
      <c r="AK396" s="277"/>
      <c r="AL396" s="278"/>
      <c r="AM396" s="277"/>
      <c r="AN396" s="279" t="str">
        <f t="shared" si="29"/>
        <v/>
      </c>
      <c r="AO396" s="279"/>
      <c r="AP396" s="279" t="str">
        <f t="shared" si="30"/>
        <v/>
      </c>
      <c r="AQ396" s="279"/>
      <c r="AR396" s="305">
        <f>'预算书-初步'!$F$10</f>
        <v>0.09</v>
      </c>
      <c r="AT396" s="272"/>
      <c r="BC396" s="272" t="s">
        <v>521</v>
      </c>
      <c r="BD396" s="348">
        <v>1071</v>
      </c>
      <c r="BE396" s="347" t="s">
        <v>701</v>
      </c>
    </row>
    <row r="397" s="52" customFormat="1" ht="15.75" customHeight="1" spans="1:57">
      <c r="A397" s="227"/>
      <c r="B397" s="332"/>
      <c r="C397" s="228"/>
      <c r="D397" s="333"/>
      <c r="E397" s="334"/>
      <c r="F397" s="229"/>
      <c r="G397" s="333"/>
      <c r="H397" s="335"/>
      <c r="I397" s="229"/>
      <c r="J397" s="229"/>
      <c r="K397" s="336"/>
      <c r="L397" s="337"/>
      <c r="M397" s="337"/>
      <c r="N397" s="337"/>
      <c r="O397" s="337"/>
      <c r="P397" s="337"/>
      <c r="Q397" s="338">
        <v>1621</v>
      </c>
      <c r="R397" s="271">
        <f t="shared" si="31"/>
        <v>0</v>
      </c>
      <c r="S397" s="339">
        <f t="shared" si="26"/>
        <v>0</v>
      </c>
      <c r="T397" s="340"/>
      <c r="U397" s="341">
        <f>FA!J$84</f>
        <v>0</v>
      </c>
      <c r="V397" s="274"/>
      <c r="W397" s="342"/>
      <c r="X397" s="343"/>
      <c r="Y397" s="349" t="s">
        <v>558</v>
      </c>
      <c r="Z397" s="344"/>
      <c r="AA397" s="240"/>
      <c r="AB397" s="345">
        <v>1</v>
      </c>
      <c r="AC397" s="271"/>
      <c r="AD397" s="272"/>
      <c r="AE397" s="273"/>
      <c r="AF397" s="273"/>
      <c r="AG397" s="274"/>
      <c r="AH397" s="275"/>
      <c r="AI397" s="272"/>
      <c r="AJ397" s="276"/>
      <c r="AK397" s="277"/>
      <c r="AL397" s="278"/>
      <c r="AM397" s="277"/>
      <c r="AN397" s="279" t="str">
        <f t="shared" si="29"/>
        <v/>
      </c>
      <c r="AO397" s="279"/>
      <c r="AP397" s="279" t="str">
        <f t="shared" si="30"/>
        <v/>
      </c>
      <c r="AQ397" s="279"/>
      <c r="AR397" s="305">
        <f>'预算书-初步'!$F$10</f>
        <v>0.09</v>
      </c>
      <c r="AT397" s="272"/>
      <c r="BC397" s="272" t="s">
        <v>521</v>
      </c>
      <c r="BD397" s="348">
        <v>1073</v>
      </c>
      <c r="BE397" s="347" t="s">
        <v>701</v>
      </c>
    </row>
    <row r="398" s="52" customFormat="1" ht="15.75" customHeight="1" spans="1:57">
      <c r="A398" s="227"/>
      <c r="B398" s="332"/>
      <c r="C398" s="228"/>
      <c r="D398" s="333"/>
      <c r="E398" s="334"/>
      <c r="F398" s="229"/>
      <c r="G398" s="333"/>
      <c r="H398" s="335"/>
      <c r="I398" s="229"/>
      <c r="J398" s="229"/>
      <c r="K398" s="336"/>
      <c r="L398" s="337"/>
      <c r="M398" s="337"/>
      <c r="N398" s="337"/>
      <c r="O398" s="337"/>
      <c r="P398" s="337"/>
      <c r="Q398" s="338">
        <v>1622</v>
      </c>
      <c r="R398" s="271">
        <f t="shared" si="31"/>
        <v>0</v>
      </c>
      <c r="S398" s="339">
        <f t="shared" si="26"/>
        <v>0</v>
      </c>
      <c r="T398" s="340"/>
      <c r="U398" s="341">
        <f>FA!J$85</f>
        <v>0</v>
      </c>
      <c r="V398" s="274"/>
      <c r="W398" s="342"/>
      <c r="X398" s="343"/>
      <c r="Y398" s="349" t="s">
        <v>559</v>
      </c>
      <c r="Z398" s="344"/>
      <c r="AA398" s="240"/>
      <c r="AB398" s="345">
        <v>1</v>
      </c>
      <c r="AC398" s="271"/>
      <c r="AD398" s="272"/>
      <c r="AE398" s="273"/>
      <c r="AF398" s="273"/>
      <c r="AG398" s="274"/>
      <c r="AH398" s="275"/>
      <c r="AI398" s="272"/>
      <c r="AJ398" s="276"/>
      <c r="AK398" s="277"/>
      <c r="AL398" s="278"/>
      <c r="AM398" s="277"/>
      <c r="AN398" s="279" t="str">
        <f t="shared" si="29"/>
        <v/>
      </c>
      <c r="AO398" s="279"/>
      <c r="AP398" s="279" t="str">
        <f t="shared" si="30"/>
        <v/>
      </c>
      <c r="AQ398" s="279"/>
      <c r="AR398" s="305">
        <f>'预算书-初步'!$F$10</f>
        <v>0.09</v>
      </c>
      <c r="AT398" s="272"/>
      <c r="BC398" s="272" t="s">
        <v>521</v>
      </c>
      <c r="BD398" s="348">
        <v>1074</v>
      </c>
      <c r="BE398" s="347" t="s">
        <v>701</v>
      </c>
    </row>
    <row r="399" s="52" customFormat="1" ht="15.75" customHeight="1" spans="1:57">
      <c r="A399" s="227"/>
      <c r="B399" s="332"/>
      <c r="C399" s="228"/>
      <c r="D399" s="333"/>
      <c r="E399" s="334"/>
      <c r="F399" s="229"/>
      <c r="G399" s="333"/>
      <c r="H399" s="335"/>
      <c r="I399" s="229"/>
      <c r="J399" s="229"/>
      <c r="K399" s="336"/>
      <c r="L399" s="337"/>
      <c r="M399" s="337"/>
      <c r="N399" s="337"/>
      <c r="O399" s="337"/>
      <c r="P399" s="337"/>
      <c r="Q399" s="338">
        <v>1623</v>
      </c>
      <c r="R399" s="271">
        <f t="shared" si="31"/>
        <v>0</v>
      </c>
      <c r="S399" s="339">
        <f t="shared" si="26"/>
        <v>0</v>
      </c>
      <c r="T399" s="340"/>
      <c r="U399" s="341">
        <f>FA!J$86</f>
        <v>0</v>
      </c>
      <c r="V399" s="274"/>
      <c r="W399" s="342"/>
      <c r="X399" s="343"/>
      <c r="Y399" s="349" t="s">
        <v>560</v>
      </c>
      <c r="Z399" s="344"/>
      <c r="AA399" s="240"/>
      <c r="AB399" s="345">
        <v>1</v>
      </c>
      <c r="AC399" s="271"/>
      <c r="AD399" s="272"/>
      <c r="AE399" s="273"/>
      <c r="AF399" s="273"/>
      <c r="AG399" s="274"/>
      <c r="AH399" s="275"/>
      <c r="AI399" s="272"/>
      <c r="AJ399" s="276"/>
      <c r="AK399" s="277"/>
      <c r="AL399" s="278"/>
      <c r="AM399" s="277"/>
      <c r="AN399" s="279"/>
      <c r="AO399" s="279"/>
      <c r="AP399" s="279"/>
      <c r="AQ399" s="279"/>
      <c r="AR399" s="305">
        <f>'预算书-初步'!$F$10</f>
        <v>0.09</v>
      </c>
      <c r="AT399" s="272"/>
      <c r="BC399" s="272" t="s">
        <v>521</v>
      </c>
      <c r="BD399" s="348">
        <v>1075</v>
      </c>
      <c r="BE399" s="347" t="s">
        <v>701</v>
      </c>
    </row>
    <row r="400" s="52" customFormat="1" ht="15.75" customHeight="1" spans="1:57">
      <c r="A400" s="227"/>
      <c r="B400" s="332"/>
      <c r="C400" s="228"/>
      <c r="D400" s="333"/>
      <c r="E400" s="334"/>
      <c r="F400" s="229"/>
      <c r="G400" s="333"/>
      <c r="H400" s="335"/>
      <c r="I400" s="229"/>
      <c r="J400" s="229"/>
      <c r="K400" s="336"/>
      <c r="L400" s="337"/>
      <c r="M400" s="337"/>
      <c r="N400" s="337"/>
      <c r="O400" s="337"/>
      <c r="P400" s="337"/>
      <c r="Q400" s="338">
        <v>1630</v>
      </c>
      <c r="R400" s="271">
        <f t="shared" si="31"/>
        <v>0</v>
      </c>
      <c r="S400" s="339">
        <f t="shared" si="26"/>
        <v>0</v>
      </c>
      <c r="T400" s="340"/>
      <c r="U400" s="341">
        <f>FA!J$88</f>
        <v>0</v>
      </c>
      <c r="V400" s="274"/>
      <c r="W400" s="342"/>
      <c r="X400" s="343"/>
      <c r="Y400" s="6" t="s">
        <v>561</v>
      </c>
      <c r="Z400" s="344"/>
      <c r="AA400" s="240"/>
      <c r="AB400" s="345">
        <v>1</v>
      </c>
      <c r="AC400" s="271"/>
      <c r="AD400" s="272"/>
      <c r="AE400" s="273"/>
      <c r="AF400" s="273"/>
      <c r="AG400" s="274"/>
      <c r="AH400" s="275"/>
      <c r="AI400" s="272"/>
      <c r="AJ400" s="276"/>
      <c r="AK400" s="277"/>
      <c r="AL400" s="278"/>
      <c r="AM400" s="277"/>
      <c r="AN400" s="279" t="str">
        <f t="shared" si="29"/>
        <v/>
      </c>
      <c r="AO400" s="279"/>
      <c r="AP400" s="279" t="str">
        <f>IF(F400&lt;&gt;0,"Y","")</f>
        <v/>
      </c>
      <c r="AQ400" s="279"/>
      <c r="AR400" s="305">
        <f>'预算书-初步'!$F$10</f>
        <v>0.09</v>
      </c>
      <c r="AT400" s="272"/>
      <c r="BC400" s="272" t="s">
        <v>521</v>
      </c>
      <c r="BD400" s="348">
        <v>1077</v>
      </c>
      <c r="BE400" s="347" t="s">
        <v>701</v>
      </c>
    </row>
    <row r="401" s="52" customFormat="1" ht="15.75" customHeight="1" spans="1:57">
      <c r="A401" s="227"/>
      <c r="B401" s="332"/>
      <c r="C401" s="228"/>
      <c r="D401" s="333"/>
      <c r="E401" s="334"/>
      <c r="F401" s="229"/>
      <c r="G401" s="333"/>
      <c r="H401" s="335"/>
      <c r="I401" s="229"/>
      <c r="J401" s="229"/>
      <c r="K401" s="336"/>
      <c r="L401" s="337"/>
      <c r="M401" s="337"/>
      <c r="N401" s="337"/>
      <c r="O401" s="337"/>
      <c r="P401" s="337"/>
      <c r="Q401" s="338">
        <v>3791</v>
      </c>
      <c r="R401" s="271">
        <f t="shared" si="31"/>
        <v>0</v>
      </c>
      <c r="S401" s="339">
        <f t="shared" si="26"/>
        <v>0</v>
      </c>
      <c r="T401" s="340"/>
      <c r="U401" s="341">
        <f>FA!J$95</f>
        <v>0</v>
      </c>
      <c r="V401" s="274"/>
      <c r="W401" s="342"/>
      <c r="X401" s="343"/>
      <c r="Y401" s="6" t="s">
        <v>562</v>
      </c>
      <c r="Z401" s="344"/>
      <c r="AA401" s="240"/>
      <c r="AB401" s="345">
        <v>1</v>
      </c>
      <c r="AC401" s="271"/>
      <c r="AD401" s="272"/>
      <c r="AE401" s="273"/>
      <c r="AF401" s="273"/>
      <c r="AG401" s="274"/>
      <c r="AH401" s="275"/>
      <c r="AI401" s="272"/>
      <c r="AJ401" s="276"/>
      <c r="AK401" s="277"/>
      <c r="AL401" s="278"/>
      <c r="AM401" s="277"/>
      <c r="AN401" s="279" t="str">
        <f t="shared" si="29"/>
        <v/>
      </c>
      <c r="AO401" s="279"/>
      <c r="AP401" s="279" t="str">
        <f>IF(F401&lt;&gt;0,"Y","")</f>
        <v/>
      </c>
      <c r="AQ401" s="279"/>
      <c r="AR401" s="305">
        <f>'预算书-初步'!$F$10</f>
        <v>0.09</v>
      </c>
      <c r="AT401" s="272"/>
      <c r="BC401" s="272" t="s">
        <v>521</v>
      </c>
      <c r="BD401" s="348">
        <v>1084</v>
      </c>
      <c r="BE401" s="347" t="s">
        <v>701</v>
      </c>
    </row>
    <row r="402" s="52" customFormat="1" ht="15.75" customHeight="1" spans="1:57">
      <c r="A402" s="227"/>
      <c r="B402" s="332"/>
      <c r="C402" s="228"/>
      <c r="D402" s="333"/>
      <c r="E402" s="334"/>
      <c r="F402" s="229"/>
      <c r="G402" s="333"/>
      <c r="H402" s="335"/>
      <c r="I402" s="229"/>
      <c r="J402" s="229"/>
      <c r="K402" s="336"/>
      <c r="L402" s="337"/>
      <c r="M402" s="337"/>
      <c r="N402" s="337"/>
      <c r="O402" s="337"/>
      <c r="P402" s="337"/>
      <c r="Q402" s="338">
        <v>8410</v>
      </c>
      <c r="R402" s="271">
        <f t="shared" si="31"/>
        <v>0</v>
      </c>
      <c r="S402" s="339">
        <f t="shared" si="26"/>
        <v>0</v>
      </c>
      <c r="T402" s="340"/>
      <c r="U402" s="341">
        <f>FA!J$140</f>
        <v>0</v>
      </c>
      <c r="V402" s="274"/>
      <c r="W402" s="342"/>
      <c r="X402" s="343"/>
      <c r="Y402" s="349" t="s">
        <v>563</v>
      </c>
      <c r="Z402" s="344"/>
      <c r="AA402" s="240"/>
      <c r="AB402" s="345">
        <v>1</v>
      </c>
      <c r="AC402" s="271"/>
      <c r="AD402" s="272"/>
      <c r="AE402" s="273"/>
      <c r="AF402" s="273"/>
      <c r="AG402" s="274"/>
      <c r="AH402" s="275"/>
      <c r="AI402" s="272"/>
      <c r="AJ402" s="276"/>
      <c r="AK402" s="277"/>
      <c r="AL402" s="278"/>
      <c r="AM402" s="277"/>
      <c r="AN402" s="279" t="str">
        <f t="shared" si="29"/>
        <v/>
      </c>
      <c r="AO402" s="279"/>
      <c r="AP402" s="279" t="str">
        <f>IF(F402&lt;&gt;0,"Y","")</f>
        <v/>
      </c>
      <c r="AQ402" s="279"/>
      <c r="AR402" s="305">
        <f>'预算书-初步'!$F$10</f>
        <v>0.09</v>
      </c>
      <c r="AT402" s="272"/>
      <c r="BC402" s="272" t="s">
        <v>521</v>
      </c>
      <c r="BD402" s="348">
        <v>1129</v>
      </c>
      <c r="BE402" s="347" t="s">
        <v>701</v>
      </c>
    </row>
    <row r="403" s="52" customFormat="1" spans="1:57">
      <c r="A403" s="227"/>
      <c r="B403" s="332"/>
      <c r="C403" s="228"/>
      <c r="D403" s="333"/>
      <c r="E403" s="334"/>
      <c r="F403" s="229"/>
      <c r="G403" s="333"/>
      <c r="H403" s="335"/>
      <c r="I403" s="229"/>
      <c r="J403" s="229"/>
      <c r="K403" s="336"/>
      <c r="L403" s="337"/>
      <c r="M403" s="337"/>
      <c r="N403" s="337"/>
      <c r="O403" s="337"/>
      <c r="P403" s="337"/>
      <c r="Q403" s="352">
        <v>8421</v>
      </c>
      <c r="R403" s="271">
        <f t="shared" si="31"/>
        <v>0</v>
      </c>
      <c r="S403" s="339">
        <f t="shared" si="26"/>
        <v>0</v>
      </c>
      <c r="T403" s="354"/>
      <c r="U403" s="355"/>
      <c r="V403" s="274"/>
      <c r="W403" s="356"/>
      <c r="X403" s="357"/>
      <c r="Y403" s="6" t="s">
        <v>564</v>
      </c>
      <c r="Z403" s="344"/>
      <c r="AA403" s="240"/>
      <c r="AB403" s="345">
        <v>1</v>
      </c>
      <c r="AC403" s="271"/>
      <c r="AD403" s="272"/>
      <c r="AE403" s="273"/>
      <c r="AF403" s="273"/>
      <c r="AG403" s="274"/>
      <c r="AH403" s="275"/>
      <c r="AI403" s="272"/>
      <c r="AJ403" s="276"/>
      <c r="AK403" s="277"/>
      <c r="AL403" s="278"/>
      <c r="AM403" s="277"/>
      <c r="AN403" s="279"/>
      <c r="AO403" s="279"/>
      <c r="AP403" s="279"/>
      <c r="AQ403" s="279"/>
      <c r="AR403" s="305">
        <f>'预算书-初步'!$F$10</f>
        <v>0.09</v>
      </c>
      <c r="AT403" s="272"/>
      <c r="BC403" s="272" t="s">
        <v>521</v>
      </c>
      <c r="BD403" s="359">
        <v>1130</v>
      </c>
      <c r="BE403" s="347" t="s">
        <v>701</v>
      </c>
    </row>
    <row r="404" s="52" customFormat="1" spans="1:57">
      <c r="A404" s="227"/>
      <c r="B404" s="332"/>
      <c r="C404" s="228"/>
      <c r="D404" s="333"/>
      <c r="E404" s="334"/>
      <c r="F404" s="229"/>
      <c r="G404" s="333"/>
      <c r="H404" s="335"/>
      <c r="I404" s="229"/>
      <c r="J404" s="229"/>
      <c r="K404" s="336"/>
      <c r="L404" s="337"/>
      <c r="M404" s="337"/>
      <c r="N404" s="337"/>
      <c r="O404" s="337"/>
      <c r="P404" s="337"/>
      <c r="Q404" s="352">
        <v>8422</v>
      </c>
      <c r="R404" s="271">
        <f t="shared" si="31"/>
        <v>0</v>
      </c>
      <c r="S404" s="339">
        <f t="shared" si="26"/>
        <v>0</v>
      </c>
      <c r="T404" s="354"/>
      <c r="U404" s="355">
        <f>FA!J141</f>
        <v>0</v>
      </c>
      <c r="V404" s="274"/>
      <c r="W404" s="356"/>
      <c r="X404" s="357"/>
      <c r="Y404" s="349" t="s">
        <v>565</v>
      </c>
      <c r="Z404" s="344"/>
      <c r="AA404" s="240"/>
      <c r="AB404" s="351">
        <f>SUMIFS(其他!J:J,其他!A:A,Q404,其他!B:B,资产分摊表!BD404)+SUMIFS('预算书-初步'!K13:K1530,'预算书-初步'!A13:A1530,7132,'预算书-初步'!D13:D1530,8422)</f>
        <v>0</v>
      </c>
      <c r="AC404" s="271"/>
      <c r="AD404" s="272"/>
      <c r="AE404" s="273"/>
      <c r="AF404" s="273"/>
      <c r="AG404" s="274"/>
      <c r="AH404" s="275"/>
      <c r="AI404" s="272"/>
      <c r="AJ404" s="276"/>
      <c r="AK404" s="277"/>
      <c r="AL404" s="278"/>
      <c r="AM404" s="277"/>
      <c r="AN404" s="279"/>
      <c r="AO404" s="279"/>
      <c r="AP404" s="279"/>
      <c r="AQ404" s="279"/>
      <c r="AR404" s="305">
        <f>'预算书-初步'!$F$10</f>
        <v>0.09</v>
      </c>
      <c r="AT404" s="272"/>
      <c r="BC404" s="272" t="s">
        <v>521</v>
      </c>
      <c r="BD404" s="359">
        <v>1130</v>
      </c>
      <c r="BE404" s="347" t="s">
        <v>701</v>
      </c>
    </row>
    <row r="405" s="52" customFormat="1" spans="1:57">
      <c r="A405" s="227"/>
      <c r="B405" s="332"/>
      <c r="C405" s="228"/>
      <c r="D405" s="333"/>
      <c r="E405" s="334"/>
      <c r="F405" s="229"/>
      <c r="G405" s="333"/>
      <c r="H405" s="335"/>
      <c r="I405" s="229"/>
      <c r="J405" s="229"/>
      <c r="K405" s="336"/>
      <c r="L405" s="337"/>
      <c r="M405" s="337"/>
      <c r="N405" s="337"/>
      <c r="O405" s="337"/>
      <c r="P405" s="337"/>
      <c r="Q405" s="352">
        <v>8423</v>
      </c>
      <c r="R405" s="271">
        <f t="shared" si="31"/>
        <v>0</v>
      </c>
      <c r="S405" s="339">
        <f t="shared" si="26"/>
        <v>0</v>
      </c>
      <c r="T405" s="354"/>
      <c r="U405" s="355"/>
      <c r="V405" s="274"/>
      <c r="W405" s="356"/>
      <c r="X405" s="357"/>
      <c r="Y405" s="6" t="s">
        <v>566</v>
      </c>
      <c r="Z405" s="344"/>
      <c r="AA405" s="240"/>
      <c r="AB405" s="345">
        <v>1</v>
      </c>
      <c r="AC405" s="271"/>
      <c r="AD405" s="272"/>
      <c r="AE405" s="273"/>
      <c r="AF405" s="273"/>
      <c r="AG405" s="274"/>
      <c r="AH405" s="275"/>
      <c r="AI405" s="272"/>
      <c r="AJ405" s="276"/>
      <c r="AK405" s="277"/>
      <c r="AL405" s="278"/>
      <c r="AM405" s="277"/>
      <c r="AN405" s="279"/>
      <c r="AO405" s="279"/>
      <c r="AP405" s="279"/>
      <c r="AQ405" s="279"/>
      <c r="AR405" s="305">
        <f>'预算书-初步'!$F$10</f>
        <v>0.09</v>
      </c>
      <c r="AT405" s="272"/>
      <c r="BC405" s="272" t="s">
        <v>521</v>
      </c>
      <c r="BD405" s="359">
        <v>1130</v>
      </c>
      <c r="BE405" s="347" t="s">
        <v>701</v>
      </c>
    </row>
    <row r="406" s="52" customFormat="1" ht="15.75" customHeight="1" spans="1:57">
      <c r="A406" s="227"/>
      <c r="B406" s="332"/>
      <c r="C406" s="228"/>
      <c r="D406" s="333"/>
      <c r="E406" s="334"/>
      <c r="F406" s="229"/>
      <c r="G406" s="333"/>
      <c r="H406" s="335"/>
      <c r="I406" s="229"/>
      <c r="J406" s="229"/>
      <c r="K406" s="336"/>
      <c r="L406" s="337"/>
      <c r="M406" s="337"/>
      <c r="N406" s="337"/>
      <c r="O406" s="337"/>
      <c r="P406" s="337"/>
      <c r="Q406" s="338">
        <v>8424</v>
      </c>
      <c r="R406" s="271">
        <f t="shared" si="31"/>
        <v>0</v>
      </c>
      <c r="S406" s="339">
        <f t="shared" si="26"/>
        <v>0</v>
      </c>
      <c r="T406" s="340"/>
      <c r="U406" s="341">
        <f>FA!J$142</f>
        <v>0</v>
      </c>
      <c r="V406" s="274"/>
      <c r="W406" s="342"/>
      <c r="X406" s="343"/>
      <c r="Y406" s="6" t="s">
        <v>567</v>
      </c>
      <c r="Z406" s="344"/>
      <c r="AA406" s="240"/>
      <c r="AB406" s="345">
        <v>1</v>
      </c>
      <c r="AC406" s="271"/>
      <c r="AD406" s="272"/>
      <c r="AE406" s="273"/>
      <c r="AF406" s="273"/>
      <c r="AG406" s="274"/>
      <c r="AH406" s="275"/>
      <c r="AI406" s="272"/>
      <c r="AJ406" s="276"/>
      <c r="AK406" s="277"/>
      <c r="AL406" s="278"/>
      <c r="AM406" s="277"/>
      <c r="AN406" s="279" t="str">
        <f t="shared" ref="AN406:AN424" si="32">IF(AK406&lt;&gt;0,"N","")</f>
        <v/>
      </c>
      <c r="AO406" s="279"/>
      <c r="AP406" s="279" t="str">
        <f t="shared" ref="AP406:AP450" si="33">IF(F406&lt;&gt;0,"Y","")</f>
        <v/>
      </c>
      <c r="AQ406" s="279"/>
      <c r="AR406" s="305">
        <f>'预算书-初步'!$F$10</f>
        <v>0.09</v>
      </c>
      <c r="AT406" s="272"/>
      <c r="BC406" s="272" t="s">
        <v>521</v>
      </c>
      <c r="BD406" s="348">
        <v>1131</v>
      </c>
      <c r="BE406" s="347" t="s">
        <v>701</v>
      </c>
    </row>
    <row r="407" s="52" customFormat="1" ht="15.75" customHeight="1" spans="1:57">
      <c r="A407" s="227"/>
      <c r="B407" s="332"/>
      <c r="C407" s="228"/>
      <c r="D407" s="333"/>
      <c r="E407" s="334"/>
      <c r="F407" s="229"/>
      <c r="G407" s="333"/>
      <c r="H407" s="335"/>
      <c r="I407" s="229"/>
      <c r="J407" s="229"/>
      <c r="K407" s="336"/>
      <c r="L407" s="337"/>
      <c r="M407" s="337"/>
      <c r="N407" s="337"/>
      <c r="O407" s="337"/>
      <c r="P407" s="337"/>
      <c r="Q407" s="338">
        <v>8426</v>
      </c>
      <c r="R407" s="271">
        <f t="shared" si="31"/>
        <v>0</v>
      </c>
      <c r="S407" s="339">
        <f t="shared" si="26"/>
        <v>0</v>
      </c>
      <c r="T407" s="340"/>
      <c r="U407" s="341">
        <f>FA!J$143</f>
        <v>0</v>
      </c>
      <c r="V407" s="274"/>
      <c r="W407" s="342"/>
      <c r="X407" s="343"/>
      <c r="Y407" s="6" t="s">
        <v>568</v>
      </c>
      <c r="Z407" s="344"/>
      <c r="AA407" s="240"/>
      <c r="AB407" s="345">
        <v>1</v>
      </c>
      <c r="AC407" s="271"/>
      <c r="AD407" s="272"/>
      <c r="AE407" s="273"/>
      <c r="AF407" s="273"/>
      <c r="AG407" s="274"/>
      <c r="AH407" s="275"/>
      <c r="AI407" s="272"/>
      <c r="AJ407" s="276"/>
      <c r="AK407" s="277"/>
      <c r="AL407" s="278"/>
      <c r="AM407" s="277"/>
      <c r="AN407" s="279" t="str">
        <f t="shared" si="32"/>
        <v/>
      </c>
      <c r="AO407" s="279"/>
      <c r="AP407" s="279" t="str">
        <f t="shared" si="33"/>
        <v/>
      </c>
      <c r="AQ407" s="279"/>
      <c r="AR407" s="305">
        <f>'预算书-初步'!$F$10</f>
        <v>0.09</v>
      </c>
      <c r="AT407" s="272"/>
      <c r="BC407" s="272" t="s">
        <v>521</v>
      </c>
      <c r="BD407" s="348">
        <v>1132</v>
      </c>
      <c r="BE407" s="347" t="s">
        <v>701</v>
      </c>
    </row>
    <row r="408" s="52" customFormat="1" ht="15.75" customHeight="1" spans="1:57">
      <c r="A408" s="227"/>
      <c r="B408" s="332"/>
      <c r="C408" s="228"/>
      <c r="D408" s="333"/>
      <c r="E408" s="334"/>
      <c r="F408" s="229"/>
      <c r="G408" s="333"/>
      <c r="H408" s="335"/>
      <c r="I408" s="229"/>
      <c r="J408" s="229"/>
      <c r="K408" s="336"/>
      <c r="L408" s="337"/>
      <c r="M408" s="337"/>
      <c r="N408" s="337"/>
      <c r="O408" s="337"/>
      <c r="P408" s="337"/>
      <c r="Q408" s="338">
        <v>8451</v>
      </c>
      <c r="R408" s="271">
        <f t="shared" si="31"/>
        <v>0</v>
      </c>
      <c r="S408" s="339">
        <v>0</v>
      </c>
      <c r="T408" s="340"/>
      <c r="U408" s="364">
        <f>SUMIF(其他!$A$9:$A$65,$Q408,其他!$I$9:$I$65)</f>
        <v>0</v>
      </c>
      <c r="V408" s="274"/>
      <c r="W408" s="342"/>
      <c r="X408" s="343"/>
      <c r="Y408" s="20" t="s">
        <v>570</v>
      </c>
      <c r="Z408" s="344"/>
      <c r="AA408" s="240"/>
      <c r="AB408" s="345">
        <v>1</v>
      </c>
      <c r="AC408" s="271"/>
      <c r="AD408" s="272"/>
      <c r="AE408" s="273"/>
      <c r="AF408" s="273"/>
      <c r="AG408" s="274"/>
      <c r="AH408" s="275"/>
      <c r="AI408" s="272"/>
      <c r="AJ408" s="276"/>
      <c r="AK408" s="277"/>
      <c r="AL408" s="278"/>
      <c r="AM408" s="277"/>
      <c r="AN408" s="279"/>
      <c r="AO408" s="279"/>
      <c r="AP408" s="279"/>
      <c r="AQ408" s="279"/>
      <c r="AR408" s="305">
        <f>'预算书-初步'!$F$10</f>
        <v>0.09</v>
      </c>
      <c r="AT408" s="272"/>
      <c r="BC408" s="272" t="s">
        <v>521</v>
      </c>
      <c r="BD408" s="348">
        <v>1136</v>
      </c>
      <c r="BE408" s="347" t="s">
        <v>701</v>
      </c>
    </row>
    <row r="409" s="52" customFormat="1" ht="15.75" customHeight="1" spans="1:57">
      <c r="A409" s="227"/>
      <c r="B409" s="332"/>
      <c r="C409" s="228"/>
      <c r="D409" s="333"/>
      <c r="E409" s="334"/>
      <c r="F409" s="229"/>
      <c r="G409" s="333"/>
      <c r="H409" s="335"/>
      <c r="I409" s="229"/>
      <c r="J409" s="229"/>
      <c r="K409" s="336"/>
      <c r="L409" s="337"/>
      <c r="M409" s="337"/>
      <c r="N409" s="337"/>
      <c r="O409" s="337"/>
      <c r="P409" s="337"/>
      <c r="Q409" s="338">
        <v>8452</v>
      </c>
      <c r="R409" s="271">
        <f t="shared" si="31"/>
        <v>0</v>
      </c>
      <c r="S409" s="339">
        <v>0</v>
      </c>
      <c r="T409" s="340"/>
      <c r="U409" s="364">
        <f>SUMIF(其他!$A$9:$A$65,$Q409,其他!$I$9:$I$65)</f>
        <v>0</v>
      </c>
      <c r="V409" s="274"/>
      <c r="W409" s="342"/>
      <c r="X409" s="343"/>
      <c r="Y409" s="20" t="s">
        <v>570</v>
      </c>
      <c r="Z409" s="344"/>
      <c r="AA409" s="240"/>
      <c r="AB409" s="345">
        <v>1</v>
      </c>
      <c r="AC409" s="271"/>
      <c r="AD409" s="272"/>
      <c r="AE409" s="273"/>
      <c r="AF409" s="273"/>
      <c r="AG409" s="274"/>
      <c r="AH409" s="275"/>
      <c r="AI409" s="272"/>
      <c r="AJ409" s="276"/>
      <c r="AK409" s="277"/>
      <c r="AL409" s="278"/>
      <c r="AM409" s="277"/>
      <c r="AN409" s="279"/>
      <c r="AO409" s="279"/>
      <c r="AP409" s="279"/>
      <c r="AQ409" s="279"/>
      <c r="AR409" s="305">
        <f>'预算书-初步'!$F$10</f>
        <v>0.09</v>
      </c>
      <c r="AT409" s="272"/>
      <c r="BC409" s="272" t="s">
        <v>521</v>
      </c>
      <c r="BD409" s="348">
        <v>1136</v>
      </c>
      <c r="BE409" s="347" t="s">
        <v>701</v>
      </c>
    </row>
    <row r="410" s="52" customFormat="1" ht="15.75" customHeight="1" spans="1:57">
      <c r="A410" s="227"/>
      <c r="B410" s="332"/>
      <c r="C410" s="228"/>
      <c r="D410" s="333"/>
      <c r="E410" s="334"/>
      <c r="F410" s="229"/>
      <c r="G410" s="333"/>
      <c r="H410" s="335"/>
      <c r="I410" s="229"/>
      <c r="J410" s="229"/>
      <c r="K410" s="336"/>
      <c r="L410" s="337"/>
      <c r="M410" s="337"/>
      <c r="N410" s="337"/>
      <c r="O410" s="337"/>
      <c r="P410" s="337"/>
      <c r="Q410" s="338">
        <v>8453</v>
      </c>
      <c r="R410" s="271">
        <f t="shared" si="31"/>
        <v>0</v>
      </c>
      <c r="S410" s="339">
        <v>0</v>
      </c>
      <c r="T410" s="340"/>
      <c r="U410" s="364">
        <f>SUMIF(其他!$A$9:$A$65,$Q410,其他!$I$9:$I$65)</f>
        <v>0</v>
      </c>
      <c r="V410" s="274"/>
      <c r="W410" s="342"/>
      <c r="X410" s="343"/>
      <c r="Y410" s="365" t="s">
        <v>571</v>
      </c>
      <c r="Z410" s="344"/>
      <c r="AA410" s="240"/>
      <c r="AB410" s="345">
        <v>1</v>
      </c>
      <c r="AC410" s="271"/>
      <c r="AD410" s="272"/>
      <c r="AE410" s="273"/>
      <c r="AF410" s="273"/>
      <c r="AG410" s="274"/>
      <c r="AH410" s="275"/>
      <c r="AI410" s="272"/>
      <c r="AJ410" s="276"/>
      <c r="AK410" s="277"/>
      <c r="AL410" s="278"/>
      <c r="AM410" s="277"/>
      <c r="AN410" s="279"/>
      <c r="AO410" s="279"/>
      <c r="AP410" s="279"/>
      <c r="AQ410" s="279"/>
      <c r="AR410" s="305">
        <f>'预算书-初步'!$F$10</f>
        <v>0.09</v>
      </c>
      <c r="AT410" s="272"/>
      <c r="BC410" s="272" t="s">
        <v>521</v>
      </c>
      <c r="BD410" s="348">
        <v>1136</v>
      </c>
      <c r="BE410" s="347" t="s">
        <v>701</v>
      </c>
    </row>
    <row r="411" s="52" customFormat="1" ht="15.75" customHeight="1" spans="1:57">
      <c r="A411" s="227"/>
      <c r="B411" s="332"/>
      <c r="C411" s="228"/>
      <c r="D411" s="333"/>
      <c r="E411" s="334"/>
      <c r="F411" s="229"/>
      <c r="G411" s="333"/>
      <c r="H411" s="335"/>
      <c r="I411" s="229"/>
      <c r="J411" s="229"/>
      <c r="K411" s="336"/>
      <c r="L411" s="337"/>
      <c r="M411" s="337"/>
      <c r="N411" s="337"/>
      <c r="O411" s="337"/>
      <c r="P411" s="337"/>
      <c r="Q411" s="338">
        <v>8455</v>
      </c>
      <c r="R411" s="271">
        <f t="shared" si="31"/>
        <v>0</v>
      </c>
      <c r="S411" s="339">
        <v>0</v>
      </c>
      <c r="T411" s="340"/>
      <c r="U411" s="364">
        <f>SUMIF(其他!$A$9:$A$65,$Q411,其他!$I$9:$I$65)</f>
        <v>0</v>
      </c>
      <c r="V411" s="274"/>
      <c r="W411" s="342"/>
      <c r="X411" s="343"/>
      <c r="Y411" s="20" t="s">
        <v>572</v>
      </c>
      <c r="Z411" s="344"/>
      <c r="AA411" s="240"/>
      <c r="AB411" s="345">
        <v>1</v>
      </c>
      <c r="AC411" s="271"/>
      <c r="AD411" s="272"/>
      <c r="AE411" s="273"/>
      <c r="AF411" s="273"/>
      <c r="AG411" s="274"/>
      <c r="AH411" s="275"/>
      <c r="AI411" s="272"/>
      <c r="AJ411" s="276"/>
      <c r="AK411" s="277"/>
      <c r="AL411" s="278"/>
      <c r="AM411" s="277"/>
      <c r="AN411" s="279"/>
      <c r="AO411" s="279"/>
      <c r="AP411" s="279"/>
      <c r="AQ411" s="279"/>
      <c r="AR411" s="305">
        <f>'预算书-初步'!$F$10</f>
        <v>0.09</v>
      </c>
      <c r="AT411" s="272"/>
      <c r="BC411" s="272" t="s">
        <v>521</v>
      </c>
      <c r="BD411" s="348">
        <v>1136</v>
      </c>
      <c r="BE411" s="347" t="s">
        <v>701</v>
      </c>
    </row>
    <row r="412" s="52" customFormat="1" ht="15.75" customHeight="1" spans="1:57">
      <c r="A412" s="227"/>
      <c r="B412" s="332"/>
      <c r="C412" s="228"/>
      <c r="D412" s="333"/>
      <c r="E412" s="334"/>
      <c r="F412" s="229"/>
      <c r="G412" s="333"/>
      <c r="H412" s="335"/>
      <c r="I412" s="229"/>
      <c r="J412" s="229"/>
      <c r="K412" s="336"/>
      <c r="L412" s="337"/>
      <c r="M412" s="337"/>
      <c r="N412" s="337"/>
      <c r="O412" s="337"/>
      <c r="P412" s="337"/>
      <c r="Q412" s="366" t="s">
        <v>573</v>
      </c>
      <c r="R412" s="271">
        <f t="shared" si="31"/>
        <v>0</v>
      </c>
      <c r="S412" s="339">
        <f t="shared" si="26"/>
        <v>0</v>
      </c>
      <c r="T412" s="368"/>
      <c r="U412" s="369">
        <f>SUMIF(其他!$A$9:$A$65,$Q412,其他!$I$9:$I$65)</f>
        <v>0</v>
      </c>
      <c r="V412" s="274"/>
      <c r="W412" s="356"/>
      <c r="X412" s="357"/>
      <c r="Y412" s="6" t="s">
        <v>574</v>
      </c>
      <c r="Z412" s="344"/>
      <c r="AA412" s="240"/>
      <c r="AB412" s="345">
        <v>1</v>
      </c>
      <c r="AC412" s="271"/>
      <c r="AD412" s="272"/>
      <c r="AE412" s="273"/>
      <c r="AF412" s="273"/>
      <c r="AG412" s="274"/>
      <c r="AH412" s="275"/>
      <c r="AI412" s="272"/>
      <c r="AJ412" s="276"/>
      <c r="AK412" s="277"/>
      <c r="AL412" s="278"/>
      <c r="AM412" s="277"/>
      <c r="AN412" s="279" t="str">
        <f>IF(AK412&lt;&gt;0,"N","")</f>
        <v/>
      </c>
      <c r="AO412" s="279"/>
      <c r="AP412" s="279" t="str">
        <f>IF(F412&lt;&gt;0,"Y","")</f>
        <v/>
      </c>
      <c r="AQ412" s="279"/>
      <c r="AR412" s="305">
        <f>'预算书-初步'!$F$10</f>
        <v>0.09</v>
      </c>
      <c r="AT412" s="272"/>
      <c r="BC412" s="272" t="s">
        <v>521</v>
      </c>
      <c r="BD412" s="359">
        <v>1136</v>
      </c>
      <c r="BE412" s="347" t="s">
        <v>701</v>
      </c>
    </row>
    <row r="413" s="52" customFormat="1" ht="15.75" customHeight="1" spans="1:57">
      <c r="A413" s="227"/>
      <c r="B413" s="332"/>
      <c r="C413" s="228"/>
      <c r="D413" s="333"/>
      <c r="E413" s="334"/>
      <c r="F413" s="229"/>
      <c r="G413" s="333"/>
      <c r="H413" s="335"/>
      <c r="I413" s="229"/>
      <c r="J413" s="229"/>
      <c r="K413" s="336"/>
      <c r="L413" s="337"/>
      <c r="M413" s="337"/>
      <c r="N413" s="337"/>
      <c r="O413" s="337"/>
      <c r="P413" s="337"/>
      <c r="Q413" s="366">
        <v>8456</v>
      </c>
      <c r="R413" s="271">
        <f t="shared" si="31"/>
        <v>0</v>
      </c>
      <c r="S413" s="339">
        <f t="shared" si="26"/>
        <v>0</v>
      </c>
      <c r="T413" s="368"/>
      <c r="U413" s="369">
        <f>SUMIF(其他!$A$9:$A$65,$Q413,其他!$I$9:$I$65)</f>
        <v>0</v>
      </c>
      <c r="V413" s="274"/>
      <c r="W413" s="356"/>
      <c r="X413" s="357"/>
      <c r="Y413" s="6" t="s">
        <v>575</v>
      </c>
      <c r="Z413" s="344"/>
      <c r="AA413" s="240"/>
      <c r="AB413" s="345">
        <v>1</v>
      </c>
      <c r="AC413" s="271"/>
      <c r="AD413" s="272"/>
      <c r="AE413" s="273"/>
      <c r="AF413" s="273"/>
      <c r="AG413" s="274"/>
      <c r="AH413" s="275"/>
      <c r="AI413" s="272"/>
      <c r="AJ413" s="276"/>
      <c r="AK413" s="277"/>
      <c r="AL413" s="278"/>
      <c r="AM413" s="277"/>
      <c r="AN413" s="279" t="str">
        <f t="shared" si="32"/>
        <v/>
      </c>
      <c r="AO413" s="279"/>
      <c r="AP413" s="279" t="str">
        <f t="shared" si="33"/>
        <v/>
      </c>
      <c r="AQ413" s="279"/>
      <c r="AR413" s="305">
        <f>'预算书-初步'!$F$10</f>
        <v>0.09</v>
      </c>
      <c r="AT413" s="272"/>
      <c r="BC413" s="272" t="s">
        <v>521</v>
      </c>
      <c r="BD413" s="359">
        <v>1136</v>
      </c>
      <c r="BE413" s="347" t="s">
        <v>701</v>
      </c>
    </row>
    <row r="414" s="52" customFormat="1" ht="15.75" customHeight="1" spans="1:57">
      <c r="A414" s="227"/>
      <c r="B414" s="332"/>
      <c r="C414" s="228"/>
      <c r="D414" s="333"/>
      <c r="E414" s="334"/>
      <c r="F414" s="229"/>
      <c r="G414" s="333"/>
      <c r="H414" s="335"/>
      <c r="I414" s="229"/>
      <c r="J414" s="229"/>
      <c r="K414" s="336"/>
      <c r="L414" s="337"/>
      <c r="M414" s="337"/>
      <c r="N414" s="337"/>
      <c r="O414" s="337"/>
      <c r="P414" s="337"/>
      <c r="Q414" s="338">
        <v>8425</v>
      </c>
      <c r="R414" s="271">
        <f t="shared" si="31"/>
        <v>0</v>
      </c>
      <c r="S414" s="339">
        <f t="shared" si="26"/>
        <v>0</v>
      </c>
      <c r="T414" s="340"/>
      <c r="U414" s="341">
        <f>FA!J$151</f>
        <v>0</v>
      </c>
      <c r="V414" s="274"/>
      <c r="W414" s="342"/>
      <c r="X414" s="343"/>
      <c r="Y414" s="365" t="s">
        <v>576</v>
      </c>
      <c r="Z414" s="344"/>
      <c r="AA414" s="240"/>
      <c r="AB414" s="345">
        <v>1</v>
      </c>
      <c r="AC414" s="271"/>
      <c r="AD414" s="272"/>
      <c r="AE414" s="273"/>
      <c r="AF414" s="273"/>
      <c r="AG414" s="274"/>
      <c r="AH414" s="275"/>
      <c r="AI414" s="272"/>
      <c r="AJ414" s="276"/>
      <c r="AK414" s="277"/>
      <c r="AL414" s="278"/>
      <c r="AM414" s="277"/>
      <c r="AN414" s="279" t="str">
        <f t="shared" si="32"/>
        <v/>
      </c>
      <c r="AO414" s="279"/>
      <c r="AP414" s="279" t="str">
        <f t="shared" si="33"/>
        <v/>
      </c>
      <c r="AQ414" s="279"/>
      <c r="AR414" s="305">
        <f>'预算书-初步'!$F$10</f>
        <v>0.09</v>
      </c>
      <c r="AT414" s="272"/>
      <c r="BC414" s="272" t="s">
        <v>521</v>
      </c>
      <c r="BD414" s="348">
        <v>1140</v>
      </c>
      <c r="BE414" s="347" t="s">
        <v>701</v>
      </c>
    </row>
    <row r="415" s="52" customFormat="1" ht="15.75" customHeight="1" spans="1:57">
      <c r="A415" s="227"/>
      <c r="B415" s="332"/>
      <c r="C415" s="228"/>
      <c r="D415" s="333"/>
      <c r="E415" s="334"/>
      <c r="F415" s="229"/>
      <c r="G415" s="333"/>
      <c r="H415" s="335"/>
      <c r="I415" s="229"/>
      <c r="J415" s="229"/>
      <c r="K415" s="336"/>
      <c r="L415" s="337"/>
      <c r="M415" s="337"/>
      <c r="N415" s="337"/>
      <c r="O415" s="337"/>
      <c r="P415" s="337"/>
      <c r="Q415" s="338">
        <v>8491</v>
      </c>
      <c r="R415" s="271">
        <f t="shared" si="31"/>
        <v>0</v>
      </c>
      <c r="S415" s="339">
        <f t="shared" si="26"/>
        <v>0</v>
      </c>
      <c r="T415" s="340"/>
      <c r="U415" s="341">
        <f>FA!J$153</f>
        <v>0</v>
      </c>
      <c r="V415" s="274"/>
      <c r="W415" s="342"/>
      <c r="X415" s="343"/>
      <c r="Y415" s="6" t="s">
        <v>577</v>
      </c>
      <c r="Z415" s="344"/>
      <c r="AA415" s="240"/>
      <c r="AB415" s="345">
        <v>1</v>
      </c>
      <c r="AC415" s="271"/>
      <c r="AD415" s="272"/>
      <c r="AE415" s="273"/>
      <c r="AF415" s="273"/>
      <c r="AG415" s="274"/>
      <c r="AH415" s="275"/>
      <c r="AI415" s="272"/>
      <c r="AJ415" s="276"/>
      <c r="AK415" s="277"/>
      <c r="AL415" s="278"/>
      <c r="AM415" s="277"/>
      <c r="AN415" s="279" t="str">
        <f t="shared" si="32"/>
        <v/>
      </c>
      <c r="AO415" s="279"/>
      <c r="AP415" s="279" t="str">
        <f t="shared" si="33"/>
        <v/>
      </c>
      <c r="AQ415" s="279"/>
      <c r="AR415" s="305">
        <f>'预算书-初步'!$F$10</f>
        <v>0.09</v>
      </c>
      <c r="AT415" s="272"/>
      <c r="BC415" s="272" t="s">
        <v>521</v>
      </c>
      <c r="BD415" s="348">
        <v>1150</v>
      </c>
      <c r="BE415" s="347" t="s">
        <v>701</v>
      </c>
    </row>
    <row r="416" s="52" customFormat="1" ht="15.75" customHeight="1" spans="1:57">
      <c r="A416" s="227"/>
      <c r="B416" s="332"/>
      <c r="C416" s="228"/>
      <c r="D416" s="333"/>
      <c r="E416" s="334"/>
      <c r="F416" s="229"/>
      <c r="G416" s="333"/>
      <c r="H416" s="335"/>
      <c r="I416" s="229"/>
      <c r="J416" s="229"/>
      <c r="K416" s="336"/>
      <c r="L416" s="337"/>
      <c r="M416" s="337"/>
      <c r="N416" s="337"/>
      <c r="O416" s="337"/>
      <c r="P416" s="337"/>
      <c r="Q416" s="338">
        <v>8492</v>
      </c>
      <c r="R416" s="271">
        <f t="shared" si="31"/>
        <v>0</v>
      </c>
      <c r="S416" s="339">
        <f t="shared" si="26"/>
        <v>0</v>
      </c>
      <c r="T416" s="340"/>
      <c r="U416" s="341">
        <f>FA!J$154</f>
        <v>0</v>
      </c>
      <c r="V416" s="274"/>
      <c r="W416" s="342"/>
      <c r="X416" s="343"/>
      <c r="Y416" s="365" t="s">
        <v>578</v>
      </c>
      <c r="Z416" s="344"/>
      <c r="AA416" s="240"/>
      <c r="AB416" s="345">
        <v>1</v>
      </c>
      <c r="AC416" s="271"/>
      <c r="AD416" s="272"/>
      <c r="AE416" s="273"/>
      <c r="AF416" s="273"/>
      <c r="AG416" s="274"/>
      <c r="AH416" s="275"/>
      <c r="AI416" s="272"/>
      <c r="AJ416" s="276"/>
      <c r="AK416" s="277"/>
      <c r="AL416" s="278"/>
      <c r="AM416" s="277"/>
      <c r="AN416" s="279" t="str">
        <f t="shared" si="32"/>
        <v/>
      </c>
      <c r="AO416" s="279"/>
      <c r="AP416" s="279" t="str">
        <f t="shared" si="33"/>
        <v/>
      </c>
      <c r="AQ416" s="279"/>
      <c r="AR416" s="305">
        <f>'预算书-初步'!$F$10</f>
        <v>0.09</v>
      </c>
      <c r="AT416" s="272"/>
      <c r="BC416" s="272" t="s">
        <v>521</v>
      </c>
      <c r="BD416" s="348">
        <v>1151</v>
      </c>
      <c r="BE416" s="347" t="s">
        <v>701</v>
      </c>
    </row>
    <row r="417" s="52" customFormat="1" ht="15.75" customHeight="1" spans="1:57">
      <c r="A417" s="227"/>
      <c r="B417" s="332"/>
      <c r="C417" s="228"/>
      <c r="D417" s="333"/>
      <c r="E417" s="334"/>
      <c r="F417" s="229"/>
      <c r="G417" s="333"/>
      <c r="H417" s="335"/>
      <c r="I417" s="229"/>
      <c r="J417" s="229"/>
      <c r="K417" s="336"/>
      <c r="L417" s="337"/>
      <c r="M417" s="337"/>
      <c r="N417" s="337"/>
      <c r="O417" s="337"/>
      <c r="P417" s="337"/>
      <c r="Q417" s="338">
        <v>8485</v>
      </c>
      <c r="R417" s="271">
        <f t="shared" si="31"/>
        <v>0</v>
      </c>
      <c r="S417" s="339">
        <f t="shared" si="26"/>
        <v>0</v>
      </c>
      <c r="T417" s="340"/>
      <c r="U417" s="341">
        <f>FA!J$157</f>
        <v>0</v>
      </c>
      <c r="V417" s="274"/>
      <c r="W417" s="342"/>
      <c r="X417" s="343"/>
      <c r="Y417" s="349" t="s">
        <v>579</v>
      </c>
      <c r="Z417" s="344"/>
      <c r="AA417" s="240"/>
      <c r="AB417" s="345">
        <v>1</v>
      </c>
      <c r="AC417" s="271"/>
      <c r="AD417" s="272"/>
      <c r="AE417" s="273"/>
      <c r="AF417" s="273"/>
      <c r="AG417" s="274"/>
      <c r="AH417" s="275"/>
      <c r="AI417" s="272"/>
      <c r="AJ417" s="276"/>
      <c r="AK417" s="277"/>
      <c r="AL417" s="278"/>
      <c r="AM417" s="277"/>
      <c r="AN417" s="279" t="str">
        <f t="shared" si="32"/>
        <v/>
      </c>
      <c r="AO417" s="279"/>
      <c r="AP417" s="279" t="str">
        <f t="shared" si="33"/>
        <v/>
      </c>
      <c r="AQ417" s="279"/>
      <c r="AR417" s="305">
        <f>'预算书-初步'!$F$10</f>
        <v>0.09</v>
      </c>
      <c r="AT417" s="272"/>
      <c r="BC417" s="272" t="s">
        <v>521</v>
      </c>
      <c r="BD417" s="348">
        <v>1154</v>
      </c>
      <c r="BE417" s="347" t="s">
        <v>701</v>
      </c>
    </row>
    <row r="418" s="52" customFormat="1" ht="15.75" customHeight="1" spans="1:57">
      <c r="A418" s="227"/>
      <c r="B418" s="332"/>
      <c r="C418" s="228"/>
      <c r="D418" s="333"/>
      <c r="E418" s="334"/>
      <c r="F418" s="229"/>
      <c r="G418" s="333"/>
      <c r="H418" s="335"/>
      <c r="I418" s="229"/>
      <c r="J418" s="229"/>
      <c r="K418" s="336"/>
      <c r="L418" s="337"/>
      <c r="M418" s="337"/>
      <c r="N418" s="337"/>
      <c r="O418" s="337"/>
      <c r="P418" s="337"/>
      <c r="Q418" s="338">
        <v>8496</v>
      </c>
      <c r="R418" s="271">
        <f t="shared" si="31"/>
        <v>0</v>
      </c>
      <c r="S418" s="339">
        <f t="shared" si="26"/>
        <v>0</v>
      </c>
      <c r="T418" s="340"/>
      <c r="U418" s="341">
        <f>FA!J$158</f>
        <v>0</v>
      </c>
      <c r="V418" s="274"/>
      <c r="W418" s="342"/>
      <c r="X418" s="343"/>
      <c r="Y418" s="6" t="s">
        <v>580</v>
      </c>
      <c r="Z418" s="344"/>
      <c r="AA418" s="240"/>
      <c r="AB418" s="345">
        <v>1</v>
      </c>
      <c r="AC418" s="271"/>
      <c r="AD418" s="272"/>
      <c r="AE418" s="273"/>
      <c r="AF418" s="273"/>
      <c r="AG418" s="274"/>
      <c r="AH418" s="275"/>
      <c r="AI418" s="272"/>
      <c r="AJ418" s="276"/>
      <c r="AK418" s="277"/>
      <c r="AL418" s="278"/>
      <c r="AM418" s="277"/>
      <c r="AN418" s="279" t="str">
        <f t="shared" si="32"/>
        <v/>
      </c>
      <c r="AO418" s="279"/>
      <c r="AP418" s="279" t="str">
        <f t="shared" si="33"/>
        <v/>
      </c>
      <c r="AQ418" s="279"/>
      <c r="AR418" s="305">
        <f>'预算书-初步'!$F$10</f>
        <v>0.09</v>
      </c>
      <c r="AT418" s="272"/>
      <c r="BC418" s="272" t="s">
        <v>521</v>
      </c>
      <c r="BD418" s="348">
        <v>1155</v>
      </c>
      <c r="BE418" s="347" t="s">
        <v>701</v>
      </c>
    </row>
    <row r="419" s="52" customFormat="1" ht="15.75" customHeight="1" spans="1:57">
      <c r="A419" s="227"/>
      <c r="B419" s="332"/>
      <c r="C419" s="228"/>
      <c r="D419" s="333"/>
      <c r="E419" s="334"/>
      <c r="F419" s="229"/>
      <c r="G419" s="333"/>
      <c r="H419" s="335"/>
      <c r="I419" s="229"/>
      <c r="J419" s="229"/>
      <c r="K419" s="336"/>
      <c r="L419" s="337"/>
      <c r="M419" s="337"/>
      <c r="N419" s="337"/>
      <c r="O419" s="337"/>
      <c r="P419" s="337"/>
      <c r="Q419" s="338">
        <v>8497</v>
      </c>
      <c r="R419" s="271">
        <f t="shared" si="31"/>
        <v>0</v>
      </c>
      <c r="S419" s="339">
        <f t="shared" si="26"/>
        <v>0</v>
      </c>
      <c r="T419" s="340"/>
      <c r="U419" s="341">
        <f>FA!J$159</f>
        <v>0</v>
      </c>
      <c r="V419" s="274"/>
      <c r="W419" s="342"/>
      <c r="X419" s="343"/>
      <c r="Y419" s="349" t="s">
        <v>581</v>
      </c>
      <c r="Z419" s="344"/>
      <c r="AA419" s="240"/>
      <c r="AB419" s="345">
        <v>1</v>
      </c>
      <c r="AC419" s="271"/>
      <c r="AD419" s="272"/>
      <c r="AE419" s="273"/>
      <c r="AF419" s="273"/>
      <c r="AG419" s="274"/>
      <c r="AH419" s="275"/>
      <c r="AI419" s="272"/>
      <c r="AJ419" s="276"/>
      <c r="AK419" s="277"/>
      <c r="AL419" s="278"/>
      <c r="AM419" s="277"/>
      <c r="AN419" s="279" t="str">
        <f t="shared" si="32"/>
        <v/>
      </c>
      <c r="AO419" s="279"/>
      <c r="AP419" s="279" t="str">
        <f t="shared" si="33"/>
        <v/>
      </c>
      <c r="AQ419" s="279"/>
      <c r="AR419" s="305">
        <f>'预算书-初步'!$F$10</f>
        <v>0.09</v>
      </c>
      <c r="AT419" s="272"/>
      <c r="BC419" s="272" t="s">
        <v>521</v>
      </c>
      <c r="BD419" s="348">
        <v>1156</v>
      </c>
      <c r="BE419" s="347" t="s">
        <v>701</v>
      </c>
    </row>
    <row r="420" s="52" customFormat="1" ht="15.75" customHeight="1" spans="1:57">
      <c r="A420" s="227"/>
      <c r="B420" s="332"/>
      <c r="C420" s="228"/>
      <c r="D420" s="333"/>
      <c r="E420" s="334"/>
      <c r="F420" s="229"/>
      <c r="G420" s="333"/>
      <c r="H420" s="335"/>
      <c r="I420" s="229"/>
      <c r="J420" s="229"/>
      <c r="K420" s="336"/>
      <c r="L420" s="337"/>
      <c r="M420" s="337"/>
      <c r="N420" s="337"/>
      <c r="O420" s="337"/>
      <c r="P420" s="337"/>
      <c r="Q420" s="338">
        <v>8900</v>
      </c>
      <c r="R420" s="271">
        <f t="shared" si="31"/>
        <v>0</v>
      </c>
      <c r="S420" s="339">
        <f t="shared" si="26"/>
        <v>0</v>
      </c>
      <c r="T420" s="340"/>
      <c r="U420" s="341">
        <f>FA!J$161</f>
        <v>0</v>
      </c>
      <c r="V420" s="274"/>
      <c r="W420" s="342"/>
      <c r="X420" s="343"/>
      <c r="Y420" s="6" t="s">
        <v>582</v>
      </c>
      <c r="Z420" s="344"/>
      <c r="AA420" s="240"/>
      <c r="AB420" s="345">
        <v>1</v>
      </c>
      <c r="AC420" s="271"/>
      <c r="AD420" s="272"/>
      <c r="AE420" s="273"/>
      <c r="AF420" s="273"/>
      <c r="AG420" s="274"/>
      <c r="AH420" s="275"/>
      <c r="AI420" s="272"/>
      <c r="AJ420" s="276"/>
      <c r="AK420" s="277"/>
      <c r="AL420" s="278"/>
      <c r="AM420" s="277"/>
      <c r="AN420" s="279" t="str">
        <f t="shared" si="32"/>
        <v/>
      </c>
      <c r="AO420" s="279"/>
      <c r="AP420" s="279" t="str">
        <f t="shared" si="33"/>
        <v/>
      </c>
      <c r="AQ420" s="279"/>
      <c r="AR420" s="305">
        <f>'预算书-初步'!$F$10</f>
        <v>0.09</v>
      </c>
      <c r="AT420" s="272"/>
      <c r="BC420" s="272" t="s">
        <v>521</v>
      </c>
      <c r="BD420" s="348">
        <v>1158</v>
      </c>
      <c r="BE420" s="347" t="s">
        <v>701</v>
      </c>
    </row>
    <row r="421" s="52" customFormat="1" ht="15.75" customHeight="1" spans="1:57">
      <c r="A421" s="227"/>
      <c r="B421" s="332"/>
      <c r="C421" s="228"/>
      <c r="D421" s="333"/>
      <c r="E421" s="334"/>
      <c r="F421" s="229"/>
      <c r="G421" s="333"/>
      <c r="H421" s="335"/>
      <c r="I421" s="229"/>
      <c r="J421" s="229"/>
      <c r="K421" s="336"/>
      <c r="L421" s="337"/>
      <c r="M421" s="337"/>
      <c r="N421" s="337"/>
      <c r="O421" s="337"/>
      <c r="P421" s="337"/>
      <c r="Q421" s="338">
        <v>2991</v>
      </c>
      <c r="R421" s="271">
        <f t="shared" si="31"/>
        <v>0</v>
      </c>
      <c r="S421" s="339">
        <f t="shared" si="26"/>
        <v>0</v>
      </c>
      <c r="T421" s="340"/>
      <c r="U421" s="341">
        <f>FA!J$165</f>
        <v>0</v>
      </c>
      <c r="V421" s="274"/>
      <c r="W421" s="342"/>
      <c r="X421" s="343"/>
      <c r="Y421" s="6" t="s">
        <v>583</v>
      </c>
      <c r="Z421" s="344"/>
      <c r="AA421" s="240"/>
      <c r="AB421" s="345">
        <v>1</v>
      </c>
      <c r="AC421" s="271"/>
      <c r="AD421" s="272"/>
      <c r="AE421" s="273"/>
      <c r="AF421" s="273"/>
      <c r="AG421" s="274"/>
      <c r="AH421" s="275"/>
      <c r="AI421" s="272"/>
      <c r="AJ421" s="276"/>
      <c r="AK421" s="277"/>
      <c r="AL421" s="278"/>
      <c r="AM421" s="277"/>
      <c r="AN421" s="279" t="str">
        <f t="shared" si="32"/>
        <v/>
      </c>
      <c r="AO421" s="279"/>
      <c r="AP421" s="279" t="str">
        <f t="shared" si="33"/>
        <v/>
      </c>
      <c r="AQ421" s="279"/>
      <c r="AR421" s="305">
        <f>'预算书-初步'!$F$10</f>
        <v>0.09</v>
      </c>
      <c r="AT421" s="272"/>
      <c r="BC421" s="272" t="s">
        <v>521</v>
      </c>
      <c r="BD421" s="359">
        <v>1162</v>
      </c>
      <c r="BE421" s="347" t="s">
        <v>701</v>
      </c>
    </row>
    <row r="422" s="52" customFormat="1" ht="15.75" customHeight="1" spans="1:57">
      <c r="A422" s="227"/>
      <c r="B422" s="332"/>
      <c r="C422" s="228"/>
      <c r="D422" s="333"/>
      <c r="E422" s="334"/>
      <c r="F422" s="229"/>
      <c r="G422" s="333"/>
      <c r="H422" s="335"/>
      <c r="I422" s="229"/>
      <c r="J422" s="229"/>
      <c r="K422" s="336"/>
      <c r="L422" s="337"/>
      <c r="M422" s="337"/>
      <c r="N422" s="337"/>
      <c r="O422" s="337"/>
      <c r="P422" s="337"/>
      <c r="Q422" s="338">
        <v>4007</v>
      </c>
      <c r="R422" s="271">
        <f t="shared" si="31"/>
        <v>0</v>
      </c>
      <c r="S422" s="339">
        <f t="shared" si="26"/>
        <v>0</v>
      </c>
      <c r="T422" s="340"/>
      <c r="U422" s="341">
        <f>FA!J$174</f>
        <v>0</v>
      </c>
      <c r="V422" s="274"/>
      <c r="W422" s="342"/>
      <c r="X422" s="343"/>
      <c r="Y422" s="6" t="s">
        <v>584</v>
      </c>
      <c r="Z422" s="344"/>
      <c r="AA422" s="240"/>
      <c r="AB422" s="345">
        <v>1</v>
      </c>
      <c r="AC422" s="271"/>
      <c r="AD422" s="272"/>
      <c r="AE422" s="273"/>
      <c r="AF422" s="273"/>
      <c r="AG422" s="274"/>
      <c r="AH422" s="275"/>
      <c r="AI422" s="272"/>
      <c r="AJ422" s="276"/>
      <c r="AK422" s="277"/>
      <c r="AL422" s="278"/>
      <c r="AM422" s="277"/>
      <c r="AN422" s="279" t="str">
        <f t="shared" si="32"/>
        <v/>
      </c>
      <c r="AO422" s="279"/>
      <c r="AP422" s="279" t="str">
        <f t="shared" si="33"/>
        <v/>
      </c>
      <c r="AQ422" s="279"/>
      <c r="AR422" s="305">
        <f>'预算书-初步'!$F$10</f>
        <v>0.09</v>
      </c>
      <c r="AT422" s="272"/>
      <c r="BC422" s="272" t="s">
        <v>521</v>
      </c>
      <c r="BD422" s="348">
        <v>1171</v>
      </c>
      <c r="BE422" s="347" t="s">
        <v>701</v>
      </c>
    </row>
    <row r="423" s="52" customFormat="1" ht="15.75" customHeight="1" spans="1:57">
      <c r="A423" s="227"/>
      <c r="B423" s="332"/>
      <c r="C423" s="228"/>
      <c r="D423" s="333"/>
      <c r="E423" s="334"/>
      <c r="F423" s="229"/>
      <c r="G423" s="333"/>
      <c r="H423" s="335"/>
      <c r="I423" s="229"/>
      <c r="J423" s="229"/>
      <c r="K423" s="336"/>
      <c r="L423" s="337"/>
      <c r="M423" s="337"/>
      <c r="N423" s="337"/>
      <c r="O423" s="337"/>
      <c r="P423" s="337"/>
      <c r="Q423" s="338">
        <v>4081</v>
      </c>
      <c r="R423" s="271">
        <f t="shared" si="31"/>
        <v>0</v>
      </c>
      <c r="S423" s="339">
        <f t="shared" si="26"/>
        <v>0</v>
      </c>
      <c r="T423" s="340"/>
      <c r="U423" s="341">
        <f>FA!J$175</f>
        <v>0</v>
      </c>
      <c r="V423" s="274"/>
      <c r="W423" s="342"/>
      <c r="X423" s="343"/>
      <c r="Y423" s="349" t="s">
        <v>585</v>
      </c>
      <c r="Z423" s="344"/>
      <c r="AA423" s="240"/>
      <c r="AB423" s="345">
        <v>1</v>
      </c>
      <c r="AC423" s="271"/>
      <c r="AD423" s="272"/>
      <c r="AE423" s="273"/>
      <c r="AF423" s="273"/>
      <c r="AG423" s="274"/>
      <c r="AH423" s="275"/>
      <c r="AI423" s="272"/>
      <c r="AJ423" s="276"/>
      <c r="AK423" s="277"/>
      <c r="AL423" s="278"/>
      <c r="AM423" s="277"/>
      <c r="AN423" s="279" t="str">
        <f t="shared" si="32"/>
        <v/>
      </c>
      <c r="AO423" s="279"/>
      <c r="AP423" s="279" t="str">
        <f t="shared" si="33"/>
        <v/>
      </c>
      <c r="AQ423" s="279"/>
      <c r="AR423" s="305">
        <f>'预算书-初步'!$F$10</f>
        <v>0.09</v>
      </c>
      <c r="AT423" s="272"/>
      <c r="BC423" s="272" t="s">
        <v>521</v>
      </c>
      <c r="BD423" s="348">
        <v>1172</v>
      </c>
      <c r="BE423" s="347" t="s">
        <v>701</v>
      </c>
    </row>
    <row r="424" s="52" customFormat="1" ht="15.75" customHeight="1" spans="1:57">
      <c r="A424" s="227"/>
      <c r="B424" s="332"/>
      <c r="C424" s="228"/>
      <c r="D424" s="333"/>
      <c r="E424" s="334"/>
      <c r="F424" s="229"/>
      <c r="G424" s="333"/>
      <c r="H424" s="335"/>
      <c r="I424" s="229"/>
      <c r="J424" s="229"/>
      <c r="K424" s="336"/>
      <c r="L424" s="337"/>
      <c r="M424" s="337"/>
      <c r="N424" s="337"/>
      <c r="O424" s="337"/>
      <c r="P424" s="337"/>
      <c r="Q424" s="338">
        <v>4991</v>
      </c>
      <c r="R424" s="271">
        <f t="shared" si="31"/>
        <v>0</v>
      </c>
      <c r="S424" s="339">
        <f t="shared" si="26"/>
        <v>0</v>
      </c>
      <c r="T424" s="340"/>
      <c r="U424" s="341">
        <f>FA!J$176</f>
        <v>0</v>
      </c>
      <c r="V424" s="274"/>
      <c r="W424" s="342"/>
      <c r="X424" s="343"/>
      <c r="Y424" s="6" t="s">
        <v>586</v>
      </c>
      <c r="Z424" s="344"/>
      <c r="AA424" s="240"/>
      <c r="AB424" s="345">
        <v>1</v>
      </c>
      <c r="AC424" s="271"/>
      <c r="AD424" s="272"/>
      <c r="AE424" s="273"/>
      <c r="AF424" s="273"/>
      <c r="AG424" s="274"/>
      <c r="AH424" s="275"/>
      <c r="AI424" s="272"/>
      <c r="AJ424" s="276"/>
      <c r="AK424" s="277"/>
      <c r="AL424" s="278"/>
      <c r="AM424" s="277"/>
      <c r="AN424" s="279" t="str">
        <f t="shared" si="32"/>
        <v/>
      </c>
      <c r="AO424" s="279"/>
      <c r="AP424" s="279" t="str">
        <f t="shared" si="33"/>
        <v/>
      </c>
      <c r="AQ424" s="279"/>
      <c r="AR424" s="305">
        <f>'预算书-初步'!$F$10</f>
        <v>0.09</v>
      </c>
      <c r="AT424" s="272"/>
      <c r="BC424" s="272" t="s">
        <v>521</v>
      </c>
      <c r="BD424" s="348">
        <v>1173</v>
      </c>
      <c r="BE424" s="347" t="s">
        <v>701</v>
      </c>
    </row>
    <row r="425" s="52" customFormat="1" ht="15.75" customHeight="1" spans="1:57">
      <c r="A425" s="227"/>
      <c r="B425" s="332"/>
      <c r="C425" s="228"/>
      <c r="D425" s="333"/>
      <c r="E425" s="334"/>
      <c r="F425" s="229"/>
      <c r="G425" s="333"/>
      <c r="H425" s="335"/>
      <c r="I425" s="229"/>
      <c r="J425" s="229"/>
      <c r="K425" s="336"/>
      <c r="L425" s="337"/>
      <c r="M425" s="337"/>
      <c r="N425" s="337"/>
      <c r="O425" s="337"/>
      <c r="P425" s="337"/>
      <c r="Q425" s="372">
        <v>1120</v>
      </c>
      <c r="R425" s="271">
        <f t="shared" si="31"/>
        <v>0</v>
      </c>
      <c r="S425" s="339">
        <f t="shared" si="26"/>
        <v>0</v>
      </c>
      <c r="T425" s="373"/>
      <c r="U425" s="373">
        <f>FA!J$32</f>
        <v>0</v>
      </c>
      <c r="V425" s="274"/>
      <c r="W425" s="374"/>
      <c r="X425" s="375"/>
      <c r="Y425" s="30" t="s">
        <v>588</v>
      </c>
      <c r="Z425" s="376"/>
      <c r="AA425" s="240"/>
      <c r="AB425" s="345">
        <v>1</v>
      </c>
      <c r="AC425" s="271"/>
      <c r="AD425" s="272"/>
      <c r="AE425" s="273"/>
      <c r="AF425" s="273"/>
      <c r="AG425" s="274"/>
      <c r="AH425" s="275"/>
      <c r="AI425" s="272"/>
      <c r="AJ425" s="276"/>
      <c r="AK425" s="277"/>
      <c r="AL425" s="278"/>
      <c r="AM425" s="277"/>
      <c r="AN425" s="279" t="str">
        <f t="shared" ref="AN425:AN450" si="34">IF(AK425&lt;&gt;0,"N","")</f>
        <v/>
      </c>
      <c r="AO425" s="279"/>
      <c r="AP425" s="279" t="str">
        <f t="shared" si="33"/>
        <v/>
      </c>
      <c r="AQ425" s="279"/>
      <c r="AR425" s="305">
        <f>'预算书-初步'!$F$10</f>
        <v>0.09</v>
      </c>
      <c r="AT425" s="272"/>
      <c r="BC425" s="272" t="s">
        <v>521</v>
      </c>
      <c r="BD425" s="346">
        <v>1021</v>
      </c>
      <c r="BE425" s="347" t="s">
        <v>701</v>
      </c>
    </row>
    <row r="426" s="52" customFormat="1" ht="15.75" customHeight="1" spans="1:57">
      <c r="A426" s="227"/>
      <c r="B426" s="332"/>
      <c r="C426" s="228"/>
      <c r="D426" s="333"/>
      <c r="E426" s="334"/>
      <c r="F426" s="229"/>
      <c r="G426" s="333"/>
      <c r="H426" s="335"/>
      <c r="I426" s="229"/>
      <c r="J426" s="229"/>
      <c r="K426" s="336"/>
      <c r="L426" s="337"/>
      <c r="M426" s="337"/>
      <c r="N426" s="337"/>
      <c r="O426" s="337"/>
      <c r="P426" s="337"/>
      <c r="Q426" s="372">
        <v>1130</v>
      </c>
      <c r="R426" s="271">
        <f t="shared" si="31"/>
        <v>0</v>
      </c>
      <c r="S426" s="339">
        <f t="shared" si="26"/>
        <v>0</v>
      </c>
      <c r="T426" s="373"/>
      <c r="U426" s="373">
        <f>FA!J$33</f>
        <v>0</v>
      </c>
      <c r="V426" s="274"/>
      <c r="W426" s="374"/>
      <c r="X426" s="375"/>
      <c r="Y426" s="30" t="s">
        <v>589</v>
      </c>
      <c r="Z426" s="376"/>
      <c r="AA426" s="240"/>
      <c r="AB426" s="345">
        <v>1</v>
      </c>
      <c r="AC426" s="271"/>
      <c r="AD426" s="272"/>
      <c r="AE426" s="273"/>
      <c r="AF426" s="273"/>
      <c r="AG426" s="274"/>
      <c r="AH426" s="275"/>
      <c r="AI426" s="272"/>
      <c r="AJ426" s="276"/>
      <c r="AK426" s="277"/>
      <c r="AL426" s="278"/>
      <c r="AM426" s="277"/>
      <c r="AN426" s="279" t="str">
        <f t="shared" si="34"/>
        <v/>
      </c>
      <c r="AO426" s="279"/>
      <c r="AP426" s="279" t="str">
        <f t="shared" si="33"/>
        <v/>
      </c>
      <c r="AQ426" s="279"/>
      <c r="AR426" s="305">
        <f>'预算书-初步'!$F$10</f>
        <v>0.09</v>
      </c>
      <c r="AT426" s="272"/>
      <c r="BC426" s="272" t="s">
        <v>521</v>
      </c>
      <c r="BD426" s="346">
        <v>1022</v>
      </c>
      <c r="BE426" s="347" t="s">
        <v>701</v>
      </c>
    </row>
    <row r="427" s="52" customFormat="1" ht="15.75" customHeight="1" spans="1:57">
      <c r="A427" s="227"/>
      <c r="B427" s="332"/>
      <c r="C427" s="228"/>
      <c r="D427" s="333"/>
      <c r="E427" s="334"/>
      <c r="F427" s="229"/>
      <c r="G427" s="333"/>
      <c r="H427" s="335"/>
      <c r="I427" s="229"/>
      <c r="J427" s="229"/>
      <c r="K427" s="336"/>
      <c r="L427" s="337"/>
      <c r="M427" s="337"/>
      <c r="N427" s="337"/>
      <c r="O427" s="337"/>
      <c r="P427" s="337"/>
      <c r="Q427" s="372">
        <v>1210</v>
      </c>
      <c r="R427" s="271">
        <f t="shared" si="31"/>
        <v>0</v>
      </c>
      <c r="S427" s="339">
        <f t="shared" si="26"/>
        <v>0</v>
      </c>
      <c r="T427" s="373"/>
      <c r="U427" s="373">
        <f>FA!J$35</f>
        <v>0</v>
      </c>
      <c r="V427" s="274"/>
      <c r="W427" s="374"/>
      <c r="X427" s="375"/>
      <c r="Y427" s="30" t="s">
        <v>590</v>
      </c>
      <c r="Z427" s="376"/>
      <c r="AA427" s="240"/>
      <c r="AB427" s="345">
        <v>1</v>
      </c>
      <c r="AC427" s="271"/>
      <c r="AD427" s="272"/>
      <c r="AE427" s="273"/>
      <c r="AF427" s="273"/>
      <c r="AG427" s="274"/>
      <c r="AH427" s="275"/>
      <c r="AI427" s="272"/>
      <c r="AJ427" s="276"/>
      <c r="AK427" s="277"/>
      <c r="AL427" s="278"/>
      <c r="AM427" s="277"/>
      <c r="AN427" s="279" t="str">
        <f t="shared" si="34"/>
        <v/>
      </c>
      <c r="AO427" s="279"/>
      <c r="AP427" s="279" t="str">
        <f t="shared" si="33"/>
        <v/>
      </c>
      <c r="AQ427" s="279"/>
      <c r="AR427" s="305">
        <f>'预算书-初步'!$F$10</f>
        <v>0.09</v>
      </c>
      <c r="AT427" s="272"/>
      <c r="BC427" s="272" t="s">
        <v>521</v>
      </c>
      <c r="BD427" s="346">
        <v>1024</v>
      </c>
      <c r="BE427" s="347" t="s">
        <v>701</v>
      </c>
    </row>
    <row r="428" s="52" customFormat="1" ht="15.75" customHeight="1" spans="1:57">
      <c r="A428" s="227"/>
      <c r="B428" s="332"/>
      <c r="C428" s="228"/>
      <c r="D428" s="333"/>
      <c r="E428" s="334"/>
      <c r="F428" s="229"/>
      <c r="G428" s="333"/>
      <c r="H428" s="335"/>
      <c r="I428" s="229"/>
      <c r="J428" s="229"/>
      <c r="K428" s="336"/>
      <c r="L428" s="337"/>
      <c r="M428" s="337"/>
      <c r="N428" s="337"/>
      <c r="O428" s="337"/>
      <c r="P428" s="337"/>
      <c r="Q428" s="372">
        <v>1311</v>
      </c>
      <c r="R428" s="271">
        <f t="shared" si="31"/>
        <v>0</v>
      </c>
      <c r="S428" s="339">
        <f t="shared" si="26"/>
        <v>0</v>
      </c>
      <c r="T428" s="373"/>
      <c r="U428" s="373">
        <f>FA!J$39</f>
        <v>0</v>
      </c>
      <c r="V428" s="274"/>
      <c r="W428" s="374"/>
      <c r="X428" s="375"/>
      <c r="Y428" s="30" t="s">
        <v>591</v>
      </c>
      <c r="Z428" s="376"/>
      <c r="AA428" s="240"/>
      <c r="AB428" s="345">
        <v>1</v>
      </c>
      <c r="AC428" s="271"/>
      <c r="AD428" s="272"/>
      <c r="AE428" s="273"/>
      <c r="AF428" s="273"/>
      <c r="AG428" s="274"/>
      <c r="AH428" s="275"/>
      <c r="AI428" s="272"/>
      <c r="AJ428" s="276"/>
      <c r="AK428" s="277"/>
      <c r="AL428" s="278"/>
      <c r="AM428" s="277"/>
      <c r="AN428" s="279" t="str">
        <f t="shared" si="34"/>
        <v/>
      </c>
      <c r="AO428" s="279"/>
      <c r="AP428" s="279" t="str">
        <f t="shared" si="33"/>
        <v/>
      </c>
      <c r="AQ428" s="279"/>
      <c r="AR428" s="305">
        <f>'预算书-初步'!$F$10</f>
        <v>0.09</v>
      </c>
      <c r="AT428" s="272"/>
      <c r="BC428" s="272" t="s">
        <v>521</v>
      </c>
      <c r="BD428" s="346">
        <v>1028</v>
      </c>
      <c r="BE428" s="347" t="s">
        <v>701</v>
      </c>
    </row>
    <row r="429" s="52" customFormat="1" ht="15.75" customHeight="1" spans="1:57">
      <c r="A429" s="227"/>
      <c r="B429" s="332"/>
      <c r="C429" s="228"/>
      <c r="D429" s="333"/>
      <c r="E429" s="334"/>
      <c r="F429" s="229"/>
      <c r="G429" s="333"/>
      <c r="H429" s="335"/>
      <c r="I429" s="229"/>
      <c r="J429" s="229"/>
      <c r="K429" s="336"/>
      <c r="L429" s="337"/>
      <c r="M429" s="337"/>
      <c r="N429" s="337"/>
      <c r="O429" s="337"/>
      <c r="P429" s="337"/>
      <c r="Q429" s="372">
        <v>1312</v>
      </c>
      <c r="R429" s="271">
        <f t="shared" si="31"/>
        <v>0</v>
      </c>
      <c r="S429" s="339">
        <f t="shared" si="26"/>
        <v>0</v>
      </c>
      <c r="T429" s="373"/>
      <c r="U429" s="373">
        <f>FA!J$40</f>
        <v>0</v>
      </c>
      <c r="V429" s="274"/>
      <c r="W429" s="374"/>
      <c r="X429" s="375"/>
      <c r="Y429" s="30" t="s">
        <v>592</v>
      </c>
      <c r="Z429" s="376"/>
      <c r="AA429" s="240"/>
      <c r="AB429" s="345">
        <v>1</v>
      </c>
      <c r="AC429" s="271"/>
      <c r="AD429" s="272"/>
      <c r="AE429" s="273"/>
      <c r="AF429" s="273"/>
      <c r="AG429" s="274"/>
      <c r="AH429" s="275"/>
      <c r="AI429" s="272"/>
      <c r="AJ429" s="276"/>
      <c r="AK429" s="277"/>
      <c r="AL429" s="278"/>
      <c r="AM429" s="277"/>
      <c r="AN429" s="279" t="str">
        <f t="shared" si="34"/>
        <v/>
      </c>
      <c r="AO429" s="279"/>
      <c r="AP429" s="279" t="str">
        <f t="shared" si="33"/>
        <v/>
      </c>
      <c r="AQ429" s="279"/>
      <c r="AR429" s="305">
        <f>'预算书-初步'!$F$10</f>
        <v>0.09</v>
      </c>
      <c r="AT429" s="272"/>
      <c r="BC429" s="272" t="s">
        <v>521</v>
      </c>
      <c r="BD429" s="346">
        <v>1029</v>
      </c>
      <c r="BE429" s="347" t="s">
        <v>701</v>
      </c>
    </row>
    <row r="430" s="52" customFormat="1" ht="15.75" customHeight="1" spans="1:57">
      <c r="A430" s="227"/>
      <c r="B430" s="332"/>
      <c r="C430" s="228"/>
      <c r="D430" s="333"/>
      <c r="E430" s="334"/>
      <c r="F430" s="229"/>
      <c r="G430" s="333"/>
      <c r="H430" s="335"/>
      <c r="I430" s="229"/>
      <c r="J430" s="229"/>
      <c r="K430" s="336"/>
      <c r="L430" s="337"/>
      <c r="M430" s="337"/>
      <c r="N430" s="337"/>
      <c r="O430" s="337"/>
      <c r="P430" s="337"/>
      <c r="Q430" s="372">
        <v>1313</v>
      </c>
      <c r="R430" s="271">
        <f t="shared" si="31"/>
        <v>0</v>
      </c>
      <c r="S430" s="339">
        <f t="shared" si="26"/>
        <v>0</v>
      </c>
      <c r="T430" s="373"/>
      <c r="U430" s="373">
        <f>FA!J$41</f>
        <v>0</v>
      </c>
      <c r="V430" s="274"/>
      <c r="W430" s="374"/>
      <c r="X430" s="375"/>
      <c r="Y430" s="30" t="s">
        <v>593</v>
      </c>
      <c r="Z430" s="376"/>
      <c r="AA430" s="240"/>
      <c r="AB430" s="345">
        <v>1</v>
      </c>
      <c r="AC430" s="271"/>
      <c r="AD430" s="272"/>
      <c r="AE430" s="273"/>
      <c r="AF430" s="273"/>
      <c r="AG430" s="274"/>
      <c r="AH430" s="275"/>
      <c r="AI430" s="272"/>
      <c r="AJ430" s="276"/>
      <c r="AK430" s="277"/>
      <c r="AL430" s="278"/>
      <c r="AM430" s="277"/>
      <c r="AN430" s="279" t="str">
        <f t="shared" si="34"/>
        <v/>
      </c>
      <c r="AO430" s="279"/>
      <c r="AP430" s="279" t="str">
        <f t="shared" si="33"/>
        <v/>
      </c>
      <c r="AQ430" s="279"/>
      <c r="AR430" s="305">
        <f>'预算书-初步'!$F$10</f>
        <v>0.09</v>
      </c>
      <c r="AT430" s="272"/>
      <c r="BC430" s="272" t="s">
        <v>521</v>
      </c>
      <c r="BD430" s="346">
        <v>1030</v>
      </c>
      <c r="BE430" s="347" t="s">
        <v>701</v>
      </c>
    </row>
    <row r="431" s="52" customFormat="1" ht="15.75" customHeight="1" spans="1:57">
      <c r="A431" s="227"/>
      <c r="B431" s="332"/>
      <c r="C431" s="228"/>
      <c r="D431" s="333"/>
      <c r="E431" s="334"/>
      <c r="F431" s="229"/>
      <c r="G431" s="333"/>
      <c r="H431" s="335"/>
      <c r="I431" s="229"/>
      <c r="J431" s="229"/>
      <c r="K431" s="336"/>
      <c r="L431" s="337"/>
      <c r="M431" s="337"/>
      <c r="N431" s="337"/>
      <c r="O431" s="337"/>
      <c r="P431" s="337"/>
      <c r="Q431" s="372">
        <v>1330</v>
      </c>
      <c r="R431" s="271">
        <f t="shared" si="31"/>
        <v>0</v>
      </c>
      <c r="S431" s="339">
        <f t="shared" si="26"/>
        <v>0</v>
      </c>
      <c r="T431" s="373"/>
      <c r="U431" s="373">
        <f>FA!J$44</f>
        <v>0</v>
      </c>
      <c r="V431" s="274"/>
      <c r="W431" s="374"/>
      <c r="X431" s="375"/>
      <c r="Y431" s="30" t="s">
        <v>594</v>
      </c>
      <c r="Z431" s="376"/>
      <c r="AA431" s="240"/>
      <c r="AB431" s="345">
        <v>1</v>
      </c>
      <c r="AC431" s="271"/>
      <c r="AD431" s="272"/>
      <c r="AE431" s="273"/>
      <c r="AF431" s="273"/>
      <c r="AG431" s="274"/>
      <c r="AH431" s="275"/>
      <c r="AI431" s="272"/>
      <c r="AJ431" s="276"/>
      <c r="AK431" s="277"/>
      <c r="AL431" s="278"/>
      <c r="AM431" s="277"/>
      <c r="AN431" s="279" t="str">
        <f t="shared" si="34"/>
        <v/>
      </c>
      <c r="AO431" s="279"/>
      <c r="AP431" s="279" t="str">
        <f t="shared" si="33"/>
        <v/>
      </c>
      <c r="AQ431" s="279"/>
      <c r="AR431" s="305">
        <f>'预算书-初步'!$F$10</f>
        <v>0.09</v>
      </c>
      <c r="AT431" s="272"/>
      <c r="BC431" s="272" t="s">
        <v>521</v>
      </c>
      <c r="BD431" s="346">
        <v>1033</v>
      </c>
      <c r="BE431" s="347" t="s">
        <v>701</v>
      </c>
    </row>
    <row r="432" s="52" customFormat="1" ht="15.75" customHeight="1" spans="1:57">
      <c r="A432" s="227"/>
      <c r="B432" s="332"/>
      <c r="C432" s="228"/>
      <c r="D432" s="333"/>
      <c r="E432" s="334"/>
      <c r="F432" s="229"/>
      <c r="G432" s="333"/>
      <c r="H432" s="335"/>
      <c r="I432" s="229"/>
      <c r="J432" s="229"/>
      <c r="K432" s="336"/>
      <c r="L432" s="337"/>
      <c r="M432" s="337"/>
      <c r="N432" s="337"/>
      <c r="O432" s="337"/>
      <c r="P432" s="337"/>
      <c r="Q432" s="372">
        <v>1340</v>
      </c>
      <c r="R432" s="271">
        <f t="shared" si="31"/>
        <v>0</v>
      </c>
      <c r="S432" s="339">
        <f t="shared" si="26"/>
        <v>0</v>
      </c>
      <c r="T432" s="373"/>
      <c r="U432" s="373">
        <f>FA!J$45</f>
        <v>0</v>
      </c>
      <c r="V432" s="274"/>
      <c r="W432" s="374"/>
      <c r="X432" s="375"/>
      <c r="Y432" s="30" t="s">
        <v>595</v>
      </c>
      <c r="Z432" s="376"/>
      <c r="AA432" s="240"/>
      <c r="AB432" s="345">
        <v>1</v>
      </c>
      <c r="AC432" s="271"/>
      <c r="AD432" s="272"/>
      <c r="AE432" s="273"/>
      <c r="AF432" s="273"/>
      <c r="AG432" s="274"/>
      <c r="AH432" s="275"/>
      <c r="AI432" s="272"/>
      <c r="AJ432" s="276"/>
      <c r="AK432" s="277"/>
      <c r="AL432" s="278"/>
      <c r="AM432" s="277"/>
      <c r="AN432" s="279" t="str">
        <f t="shared" si="34"/>
        <v/>
      </c>
      <c r="AO432" s="279"/>
      <c r="AP432" s="279" t="str">
        <f t="shared" si="33"/>
        <v/>
      </c>
      <c r="AQ432" s="279"/>
      <c r="AR432" s="305">
        <f>'预算书-初步'!$F$10</f>
        <v>0.09</v>
      </c>
      <c r="AT432" s="272"/>
      <c r="BC432" s="272" t="s">
        <v>521</v>
      </c>
      <c r="BD432" s="346">
        <v>1034</v>
      </c>
      <c r="BE432" s="347" t="s">
        <v>701</v>
      </c>
    </row>
    <row r="433" s="52" customFormat="1" ht="15.75" customHeight="1" spans="1:57">
      <c r="A433" s="227"/>
      <c r="B433" s="332"/>
      <c r="C433" s="228"/>
      <c r="D433" s="333"/>
      <c r="E433" s="334"/>
      <c r="F433" s="229"/>
      <c r="G433" s="333"/>
      <c r="H433" s="335"/>
      <c r="I433" s="229"/>
      <c r="J433" s="229"/>
      <c r="K433" s="336"/>
      <c r="L433" s="337"/>
      <c r="M433" s="337"/>
      <c r="N433" s="337"/>
      <c r="O433" s="337"/>
      <c r="P433" s="337"/>
      <c r="Q433" s="372">
        <v>1430</v>
      </c>
      <c r="R433" s="271">
        <f t="shared" si="31"/>
        <v>0</v>
      </c>
      <c r="S433" s="339">
        <f t="shared" si="26"/>
        <v>0</v>
      </c>
      <c r="T433" s="373"/>
      <c r="U433" s="373">
        <f>FA!J$51</f>
        <v>0</v>
      </c>
      <c r="V433" s="274"/>
      <c r="W433" s="374"/>
      <c r="X433" s="375"/>
      <c r="Y433" s="30" t="s">
        <v>596</v>
      </c>
      <c r="Z433" s="376"/>
      <c r="AA433" s="240"/>
      <c r="AB433" s="345">
        <v>1</v>
      </c>
      <c r="AC433" s="271"/>
      <c r="AD433" s="272"/>
      <c r="AE433" s="273"/>
      <c r="AF433" s="273"/>
      <c r="AG433" s="274"/>
      <c r="AH433" s="275"/>
      <c r="AI433" s="272"/>
      <c r="AJ433" s="276"/>
      <c r="AK433" s="277"/>
      <c r="AL433" s="278"/>
      <c r="AM433" s="277"/>
      <c r="AN433" s="279" t="str">
        <f t="shared" si="34"/>
        <v/>
      </c>
      <c r="AO433" s="279"/>
      <c r="AP433" s="279" t="str">
        <f t="shared" si="33"/>
        <v/>
      </c>
      <c r="AQ433" s="279"/>
      <c r="AR433" s="305">
        <f>'预算书-初步'!$F$10</f>
        <v>0.09</v>
      </c>
      <c r="AT433" s="272"/>
      <c r="BC433" s="272" t="s">
        <v>521</v>
      </c>
      <c r="BD433" s="346">
        <v>1040</v>
      </c>
      <c r="BE433" s="347" t="s">
        <v>701</v>
      </c>
    </row>
    <row r="434" s="52" customFormat="1" ht="15.75" customHeight="1" spans="1:57">
      <c r="A434" s="227"/>
      <c r="B434" s="332"/>
      <c r="C434" s="228"/>
      <c r="D434" s="333"/>
      <c r="E434" s="334"/>
      <c r="F434" s="229"/>
      <c r="G434" s="333"/>
      <c r="H434" s="335"/>
      <c r="I434" s="229"/>
      <c r="J434" s="229"/>
      <c r="K434" s="336"/>
      <c r="L434" s="337"/>
      <c r="M434" s="337"/>
      <c r="N434" s="337"/>
      <c r="O434" s="337"/>
      <c r="P434" s="337"/>
      <c r="Q434" s="372">
        <v>1624</v>
      </c>
      <c r="R434" s="271">
        <f t="shared" si="31"/>
        <v>0</v>
      </c>
      <c r="S434" s="339">
        <f t="shared" si="26"/>
        <v>0</v>
      </c>
      <c r="T434" s="373"/>
      <c r="U434" s="373">
        <f>FA!J$87</f>
        <v>0</v>
      </c>
      <c r="V434" s="274"/>
      <c r="W434" s="374"/>
      <c r="X434" s="375"/>
      <c r="Y434" s="30" t="s">
        <v>597</v>
      </c>
      <c r="Z434" s="376"/>
      <c r="AA434" s="240"/>
      <c r="AB434" s="345">
        <v>1</v>
      </c>
      <c r="AC434" s="271"/>
      <c r="AD434" s="272"/>
      <c r="AE434" s="273"/>
      <c r="AF434" s="273"/>
      <c r="AG434" s="274"/>
      <c r="AH434" s="275"/>
      <c r="AI434" s="272"/>
      <c r="AJ434" s="276"/>
      <c r="AK434" s="277"/>
      <c r="AL434" s="278"/>
      <c r="AM434" s="277"/>
      <c r="AN434" s="279" t="str">
        <f t="shared" si="34"/>
        <v/>
      </c>
      <c r="AO434" s="279"/>
      <c r="AP434" s="279" t="str">
        <f t="shared" si="33"/>
        <v/>
      </c>
      <c r="AQ434" s="279"/>
      <c r="AR434" s="305">
        <f>'预算书-初步'!$F$10</f>
        <v>0.09</v>
      </c>
      <c r="AT434" s="272"/>
      <c r="BC434" s="272" t="s">
        <v>521</v>
      </c>
      <c r="BD434" s="346">
        <v>1076</v>
      </c>
      <c r="BE434" s="347" t="s">
        <v>701</v>
      </c>
    </row>
    <row r="435" s="52" customFormat="1" ht="15.75" customHeight="1" spans="1:57">
      <c r="A435" s="227"/>
      <c r="B435" s="332"/>
      <c r="C435" s="228"/>
      <c r="D435" s="333"/>
      <c r="E435" s="334"/>
      <c r="F435" s="229"/>
      <c r="G435" s="333"/>
      <c r="H435" s="335"/>
      <c r="I435" s="229"/>
      <c r="J435" s="229"/>
      <c r="K435" s="336"/>
      <c r="L435" s="337"/>
      <c r="M435" s="337"/>
      <c r="N435" s="337"/>
      <c r="O435" s="337"/>
      <c r="P435" s="337"/>
      <c r="Q435" s="377">
        <v>2960</v>
      </c>
      <c r="R435" s="271">
        <f t="shared" si="31"/>
        <v>0</v>
      </c>
      <c r="S435" s="339">
        <f t="shared" si="26"/>
        <v>0</v>
      </c>
      <c r="T435" s="373"/>
      <c r="U435" s="373">
        <f>FA!J$164</f>
        <v>0</v>
      </c>
      <c r="V435" s="274"/>
      <c r="W435" s="374"/>
      <c r="X435" s="375"/>
      <c r="Y435" s="36" t="s">
        <v>598</v>
      </c>
      <c r="Z435" s="376"/>
      <c r="AA435" s="240"/>
      <c r="AB435" s="345">
        <v>1</v>
      </c>
      <c r="AC435" s="271"/>
      <c r="AD435" s="272"/>
      <c r="AE435" s="273"/>
      <c r="AF435" s="273"/>
      <c r="AG435" s="274"/>
      <c r="AH435" s="275"/>
      <c r="AI435" s="272"/>
      <c r="AJ435" s="276"/>
      <c r="AK435" s="277"/>
      <c r="AL435" s="278"/>
      <c r="AM435" s="277"/>
      <c r="AN435" s="279" t="str">
        <f t="shared" si="34"/>
        <v/>
      </c>
      <c r="AO435" s="279"/>
      <c r="AP435" s="279" t="str">
        <f t="shared" si="33"/>
        <v/>
      </c>
      <c r="AQ435" s="279"/>
      <c r="AR435" s="305">
        <f>'预算书-初步'!$F$10</f>
        <v>0.09</v>
      </c>
      <c r="AT435" s="272"/>
      <c r="BC435" s="272" t="s">
        <v>521</v>
      </c>
      <c r="BD435" s="346">
        <v>1161</v>
      </c>
      <c r="BE435" s="347" t="s">
        <v>701</v>
      </c>
    </row>
    <row r="436" s="52" customFormat="1" ht="15.75" customHeight="1" spans="1:57">
      <c r="A436" s="227"/>
      <c r="B436" s="332"/>
      <c r="C436" s="228"/>
      <c r="D436" s="333"/>
      <c r="E436" s="334"/>
      <c r="F436" s="229"/>
      <c r="G436" s="333"/>
      <c r="H436" s="335"/>
      <c r="I436" s="229"/>
      <c r="J436" s="229"/>
      <c r="K436" s="336"/>
      <c r="L436" s="337"/>
      <c r="M436" s="337"/>
      <c r="N436" s="337"/>
      <c r="O436" s="337"/>
      <c r="P436" s="337"/>
      <c r="Q436" s="372">
        <v>3718</v>
      </c>
      <c r="R436" s="271">
        <f t="shared" si="31"/>
        <v>0</v>
      </c>
      <c r="S436" s="339">
        <f t="shared" si="26"/>
        <v>0</v>
      </c>
      <c r="T436" s="373"/>
      <c r="U436" s="373">
        <f>FA!J$94</f>
        <v>0</v>
      </c>
      <c r="V436" s="274"/>
      <c r="W436" s="374"/>
      <c r="X436" s="375"/>
      <c r="Y436" s="36" t="s">
        <v>599</v>
      </c>
      <c r="Z436" s="376"/>
      <c r="AA436" s="240"/>
      <c r="AB436" s="345">
        <v>1</v>
      </c>
      <c r="AC436" s="271"/>
      <c r="AD436" s="272"/>
      <c r="AE436" s="273"/>
      <c r="AF436" s="273"/>
      <c r="AG436" s="274"/>
      <c r="AH436" s="275"/>
      <c r="AI436" s="272"/>
      <c r="AJ436" s="276"/>
      <c r="AK436" s="277"/>
      <c r="AL436" s="278"/>
      <c r="AM436" s="277"/>
      <c r="AN436" s="279" t="str">
        <f t="shared" si="34"/>
        <v/>
      </c>
      <c r="AO436" s="279"/>
      <c r="AP436" s="279" t="str">
        <f t="shared" si="33"/>
        <v/>
      </c>
      <c r="AQ436" s="279"/>
      <c r="AR436" s="305">
        <f>'预算书-初步'!$F$10</f>
        <v>0.09</v>
      </c>
      <c r="AT436" s="272"/>
      <c r="BC436" s="272" t="s">
        <v>521</v>
      </c>
      <c r="BD436" s="346">
        <v>1083</v>
      </c>
      <c r="BE436" s="347" t="s">
        <v>701</v>
      </c>
    </row>
    <row r="437" s="52" customFormat="1" ht="15.75" customHeight="1" spans="1:57">
      <c r="A437" s="227"/>
      <c r="B437" s="332"/>
      <c r="C437" s="228"/>
      <c r="D437" s="333"/>
      <c r="E437" s="334"/>
      <c r="F437" s="229"/>
      <c r="G437" s="333"/>
      <c r="H437" s="335"/>
      <c r="I437" s="229"/>
      <c r="J437" s="229"/>
      <c r="K437" s="336"/>
      <c r="L437" s="337"/>
      <c r="M437" s="337"/>
      <c r="N437" s="337"/>
      <c r="O437" s="337"/>
      <c r="P437" s="337"/>
      <c r="Q437" s="372">
        <v>4001</v>
      </c>
      <c r="R437" s="271">
        <f t="shared" si="31"/>
        <v>0</v>
      </c>
      <c r="S437" s="339">
        <f t="shared" ref="S437:S482" si="35">$S$5</f>
        <v>0</v>
      </c>
      <c r="T437" s="373"/>
      <c r="U437" s="373">
        <f>FA!J$168</f>
        <v>0</v>
      </c>
      <c r="V437" s="274"/>
      <c r="W437" s="374"/>
      <c r="X437" s="375"/>
      <c r="Y437" s="36" t="s">
        <v>600</v>
      </c>
      <c r="Z437" s="376"/>
      <c r="AA437" s="240"/>
      <c r="AB437" s="345">
        <v>1</v>
      </c>
      <c r="AC437" s="271"/>
      <c r="AD437" s="272"/>
      <c r="AE437" s="273"/>
      <c r="AF437" s="273"/>
      <c r="AG437" s="274"/>
      <c r="AH437" s="275"/>
      <c r="AI437" s="272"/>
      <c r="AJ437" s="276"/>
      <c r="AK437" s="277"/>
      <c r="AL437" s="278"/>
      <c r="AM437" s="277"/>
      <c r="AN437" s="279" t="str">
        <f t="shared" si="34"/>
        <v/>
      </c>
      <c r="AO437" s="279"/>
      <c r="AP437" s="279" t="str">
        <f t="shared" si="33"/>
        <v/>
      </c>
      <c r="AQ437" s="279"/>
      <c r="AR437" s="305">
        <f>'预算书-初步'!$F$10</f>
        <v>0.09</v>
      </c>
      <c r="AT437" s="272"/>
      <c r="BC437" s="272" t="s">
        <v>521</v>
      </c>
      <c r="BD437" s="346">
        <v>1165</v>
      </c>
      <c r="BE437" s="347" t="s">
        <v>701</v>
      </c>
    </row>
    <row r="438" s="52" customFormat="1" ht="15.75" customHeight="1" spans="1:57">
      <c r="A438" s="227"/>
      <c r="B438" s="332"/>
      <c r="C438" s="228"/>
      <c r="D438" s="333"/>
      <c r="E438" s="334"/>
      <c r="F438" s="229"/>
      <c r="G438" s="333"/>
      <c r="H438" s="335"/>
      <c r="I438" s="229"/>
      <c r="J438" s="229"/>
      <c r="K438" s="336"/>
      <c r="L438" s="337"/>
      <c r="M438" s="337"/>
      <c r="N438" s="337"/>
      <c r="O438" s="337"/>
      <c r="P438" s="337"/>
      <c r="Q438" s="377">
        <v>4002</v>
      </c>
      <c r="R438" s="271">
        <f t="shared" si="31"/>
        <v>0</v>
      </c>
      <c r="S438" s="339">
        <f t="shared" si="35"/>
        <v>0</v>
      </c>
      <c r="T438" s="373"/>
      <c r="U438" s="373">
        <f>FA!J$169</f>
        <v>0</v>
      </c>
      <c r="V438" s="274"/>
      <c r="W438" s="374"/>
      <c r="X438" s="375"/>
      <c r="Y438" s="36" t="s">
        <v>601</v>
      </c>
      <c r="Z438" s="376"/>
      <c r="AA438" s="240"/>
      <c r="AB438" s="345">
        <v>1</v>
      </c>
      <c r="AC438" s="271"/>
      <c r="AD438" s="272"/>
      <c r="AE438" s="273"/>
      <c r="AF438" s="273"/>
      <c r="AG438" s="274"/>
      <c r="AH438" s="275"/>
      <c r="AI438" s="272"/>
      <c r="AJ438" s="276"/>
      <c r="AK438" s="277"/>
      <c r="AL438" s="278"/>
      <c r="AM438" s="277"/>
      <c r="AN438" s="279" t="str">
        <f t="shared" si="34"/>
        <v/>
      </c>
      <c r="AO438" s="279"/>
      <c r="AP438" s="279" t="str">
        <f t="shared" si="33"/>
        <v/>
      </c>
      <c r="AQ438" s="279"/>
      <c r="AR438" s="305">
        <f>'预算书-初步'!$F$10</f>
        <v>0.09</v>
      </c>
      <c r="AT438" s="272"/>
      <c r="BC438" s="272" t="s">
        <v>521</v>
      </c>
      <c r="BD438" s="346">
        <v>1166</v>
      </c>
      <c r="BE438" s="347" t="s">
        <v>701</v>
      </c>
    </row>
    <row r="439" s="52" customFormat="1" ht="15.75" customHeight="1" spans="1:57">
      <c r="A439" s="227"/>
      <c r="B439" s="332"/>
      <c r="C439" s="228"/>
      <c r="D439" s="333"/>
      <c r="E439" s="334"/>
      <c r="F439" s="229"/>
      <c r="G439" s="333"/>
      <c r="H439" s="335"/>
      <c r="I439" s="229"/>
      <c r="J439" s="229"/>
      <c r="K439" s="336"/>
      <c r="L439" s="337"/>
      <c r="M439" s="337"/>
      <c r="N439" s="337"/>
      <c r="O439" s="337"/>
      <c r="P439" s="337"/>
      <c r="Q439" s="377">
        <v>4003</v>
      </c>
      <c r="R439" s="271">
        <f t="shared" si="31"/>
        <v>0</v>
      </c>
      <c r="S439" s="339">
        <f t="shared" si="35"/>
        <v>0</v>
      </c>
      <c r="T439" s="373"/>
      <c r="U439" s="373">
        <f>FA!J$170</f>
        <v>0</v>
      </c>
      <c r="V439" s="274"/>
      <c r="W439" s="374"/>
      <c r="X439" s="375"/>
      <c r="Y439" s="36" t="s">
        <v>602</v>
      </c>
      <c r="Z439" s="376"/>
      <c r="AA439" s="240"/>
      <c r="AB439" s="345">
        <v>1</v>
      </c>
      <c r="AC439" s="271"/>
      <c r="AD439" s="272"/>
      <c r="AE439" s="273"/>
      <c r="AF439" s="273"/>
      <c r="AG439" s="274"/>
      <c r="AH439" s="275"/>
      <c r="AI439" s="272"/>
      <c r="AJ439" s="276"/>
      <c r="AK439" s="277"/>
      <c r="AL439" s="278"/>
      <c r="AM439" s="277"/>
      <c r="AN439" s="279" t="str">
        <f t="shared" si="34"/>
        <v/>
      </c>
      <c r="AO439" s="279"/>
      <c r="AP439" s="279" t="str">
        <f t="shared" si="33"/>
        <v/>
      </c>
      <c r="AQ439" s="279"/>
      <c r="AR439" s="305">
        <f>'预算书-初步'!$F$10</f>
        <v>0.09</v>
      </c>
      <c r="AT439" s="272"/>
      <c r="BC439" s="272" t="s">
        <v>521</v>
      </c>
      <c r="BD439" s="346">
        <v>1167</v>
      </c>
      <c r="BE439" s="347" t="s">
        <v>701</v>
      </c>
    </row>
    <row r="440" s="52" customFormat="1" ht="15.75" customHeight="1" spans="1:57">
      <c r="A440" s="227"/>
      <c r="B440" s="332"/>
      <c r="C440" s="228"/>
      <c r="D440" s="333"/>
      <c r="E440" s="334"/>
      <c r="F440" s="229"/>
      <c r="G440" s="333"/>
      <c r="H440" s="335"/>
      <c r="I440" s="229"/>
      <c r="J440" s="229"/>
      <c r="K440" s="336"/>
      <c r="L440" s="337"/>
      <c r="M440" s="337"/>
      <c r="N440" s="337"/>
      <c r="O440" s="337"/>
      <c r="P440" s="337"/>
      <c r="Q440" s="372">
        <v>4004</v>
      </c>
      <c r="R440" s="271">
        <f t="shared" si="31"/>
        <v>0</v>
      </c>
      <c r="S440" s="339">
        <f t="shared" si="35"/>
        <v>0</v>
      </c>
      <c r="T440" s="373"/>
      <c r="U440" s="373">
        <f>FA!J$171</f>
        <v>0</v>
      </c>
      <c r="V440" s="274"/>
      <c r="W440" s="374"/>
      <c r="X440" s="375"/>
      <c r="Y440" s="30" t="s">
        <v>603</v>
      </c>
      <c r="Z440" s="376"/>
      <c r="AA440" s="240"/>
      <c r="AB440" s="345">
        <v>1</v>
      </c>
      <c r="AC440" s="271"/>
      <c r="AD440" s="272"/>
      <c r="AE440" s="273"/>
      <c r="AF440" s="273"/>
      <c r="AG440" s="274"/>
      <c r="AH440" s="275"/>
      <c r="AI440" s="272"/>
      <c r="AJ440" s="276"/>
      <c r="AK440" s="277"/>
      <c r="AL440" s="278"/>
      <c r="AM440" s="277"/>
      <c r="AN440" s="279" t="str">
        <f t="shared" si="34"/>
        <v/>
      </c>
      <c r="AO440" s="279"/>
      <c r="AP440" s="279" t="str">
        <f t="shared" si="33"/>
        <v/>
      </c>
      <c r="AQ440" s="279"/>
      <c r="AR440" s="305">
        <f>'预算书-初步'!$F$10</f>
        <v>0.09</v>
      </c>
      <c r="AT440" s="272"/>
      <c r="BC440" s="272" t="s">
        <v>521</v>
      </c>
      <c r="BD440" s="346">
        <v>1168</v>
      </c>
      <c r="BE440" s="347" t="s">
        <v>701</v>
      </c>
    </row>
    <row r="441" s="52" customFormat="1" ht="15.75" customHeight="1" spans="1:57">
      <c r="A441" s="227"/>
      <c r="B441" s="332"/>
      <c r="C441" s="228"/>
      <c r="D441" s="333"/>
      <c r="E441" s="334"/>
      <c r="F441" s="229"/>
      <c r="G441" s="333"/>
      <c r="H441" s="335"/>
      <c r="I441" s="229"/>
      <c r="J441" s="229"/>
      <c r="K441" s="336"/>
      <c r="L441" s="337"/>
      <c r="M441" s="337"/>
      <c r="N441" s="337"/>
      <c r="O441" s="337"/>
      <c r="P441" s="337"/>
      <c r="Q441" s="372">
        <v>4005</v>
      </c>
      <c r="R441" s="271">
        <f t="shared" si="31"/>
        <v>0</v>
      </c>
      <c r="S441" s="339">
        <f t="shared" si="35"/>
        <v>0</v>
      </c>
      <c r="T441" s="373"/>
      <c r="U441" s="373">
        <f>FA!J$172</f>
        <v>0</v>
      </c>
      <c r="V441" s="274"/>
      <c r="W441" s="374"/>
      <c r="X441" s="375"/>
      <c r="Y441" s="30" t="s">
        <v>604</v>
      </c>
      <c r="Z441" s="376"/>
      <c r="AA441" s="240"/>
      <c r="AB441" s="345">
        <v>1</v>
      </c>
      <c r="AC441" s="271"/>
      <c r="AD441" s="272"/>
      <c r="AE441" s="273"/>
      <c r="AF441" s="273"/>
      <c r="AG441" s="274"/>
      <c r="AH441" s="275"/>
      <c r="AI441" s="272"/>
      <c r="AJ441" s="276"/>
      <c r="AK441" s="277"/>
      <c r="AL441" s="278"/>
      <c r="AM441" s="277"/>
      <c r="AN441" s="279" t="str">
        <f t="shared" si="34"/>
        <v/>
      </c>
      <c r="AO441" s="279"/>
      <c r="AP441" s="279" t="str">
        <f t="shared" si="33"/>
        <v/>
      </c>
      <c r="AQ441" s="279"/>
      <c r="AR441" s="305">
        <f>'预算书-初步'!$F$10</f>
        <v>0.09</v>
      </c>
      <c r="AT441" s="272"/>
      <c r="BC441" s="272" t="s">
        <v>521</v>
      </c>
      <c r="BD441" s="346">
        <v>1169</v>
      </c>
      <c r="BE441" s="347" t="s">
        <v>701</v>
      </c>
    </row>
    <row r="442" s="52" customFormat="1" spans="1:57">
      <c r="A442" s="227"/>
      <c r="B442" s="332"/>
      <c r="C442" s="228"/>
      <c r="D442" s="333"/>
      <c r="E442" s="334"/>
      <c r="F442" s="229"/>
      <c r="G442" s="333"/>
      <c r="H442" s="335"/>
      <c r="I442" s="229"/>
      <c r="J442" s="229"/>
      <c r="K442" s="336"/>
      <c r="L442" s="337"/>
      <c r="M442" s="337"/>
      <c r="N442" s="337"/>
      <c r="O442" s="337"/>
      <c r="P442" s="337"/>
      <c r="Q442" s="372">
        <v>4006</v>
      </c>
      <c r="R442" s="271">
        <f t="shared" si="31"/>
        <v>0</v>
      </c>
      <c r="S442" s="339">
        <f t="shared" si="35"/>
        <v>0</v>
      </c>
      <c r="T442" s="373"/>
      <c r="U442" s="373">
        <f>FA!J$173</f>
        <v>0</v>
      </c>
      <c r="V442" s="274"/>
      <c r="W442" s="374"/>
      <c r="X442" s="375"/>
      <c r="Y442" s="36" t="s">
        <v>605</v>
      </c>
      <c r="Z442" s="376"/>
      <c r="AA442" s="240"/>
      <c r="AB442" s="345">
        <v>1</v>
      </c>
      <c r="AC442" s="271"/>
      <c r="AD442" s="272"/>
      <c r="AE442" s="273"/>
      <c r="AF442" s="273"/>
      <c r="AG442" s="274"/>
      <c r="AH442" s="275"/>
      <c r="AI442" s="272"/>
      <c r="AJ442" s="276"/>
      <c r="AK442" s="277"/>
      <c r="AL442" s="278"/>
      <c r="AM442" s="277"/>
      <c r="AN442" s="279" t="str">
        <f t="shared" si="34"/>
        <v/>
      </c>
      <c r="AO442" s="279"/>
      <c r="AP442" s="279" t="str">
        <f t="shared" si="33"/>
        <v/>
      </c>
      <c r="AQ442" s="279"/>
      <c r="AR442" s="305">
        <f>'预算书-初步'!$F$10</f>
        <v>0.09</v>
      </c>
      <c r="AT442" s="272"/>
      <c r="BC442" s="272" t="s">
        <v>521</v>
      </c>
      <c r="BD442" s="346">
        <v>1170</v>
      </c>
      <c r="BE442" s="347" t="s">
        <v>701</v>
      </c>
    </row>
    <row r="443" s="52" customFormat="1" spans="1:57">
      <c r="A443" s="227"/>
      <c r="B443" s="332"/>
      <c r="C443" s="228"/>
      <c r="D443" s="333"/>
      <c r="E443" s="334"/>
      <c r="F443" s="229"/>
      <c r="G443" s="333"/>
      <c r="H443" s="335"/>
      <c r="I443" s="229"/>
      <c r="J443" s="229"/>
      <c r="K443" s="336"/>
      <c r="L443" s="337"/>
      <c r="M443" s="337"/>
      <c r="N443" s="337"/>
      <c r="O443" s="337"/>
      <c r="P443" s="337"/>
      <c r="Q443" s="377">
        <v>6003</v>
      </c>
      <c r="R443" s="271">
        <f t="shared" si="31"/>
        <v>0</v>
      </c>
      <c r="S443" s="339">
        <f t="shared" si="35"/>
        <v>0</v>
      </c>
      <c r="T443" s="373"/>
      <c r="U443" s="373">
        <f>FA!J$19</f>
        <v>0</v>
      </c>
      <c r="V443" s="274"/>
      <c r="W443" s="373"/>
      <c r="X443" s="375"/>
      <c r="Y443" s="36" t="s">
        <v>606</v>
      </c>
      <c r="Z443" s="376"/>
      <c r="AA443" s="240"/>
      <c r="AB443" s="345">
        <v>1</v>
      </c>
      <c r="AC443" s="271"/>
      <c r="AD443" s="272"/>
      <c r="AE443" s="273"/>
      <c r="AF443" s="273"/>
      <c r="AG443" s="274"/>
      <c r="AH443" s="275"/>
      <c r="AI443" s="272"/>
      <c r="AJ443" s="276"/>
      <c r="AK443" s="277"/>
      <c r="AL443" s="278"/>
      <c r="AM443" s="277"/>
      <c r="AN443" s="279" t="str">
        <f t="shared" si="34"/>
        <v/>
      </c>
      <c r="AO443" s="279"/>
      <c r="AP443" s="279" t="str">
        <f t="shared" si="33"/>
        <v/>
      </c>
      <c r="AQ443" s="279"/>
      <c r="AR443" s="305">
        <f>'预算书-初步'!$F$10</f>
        <v>0.09</v>
      </c>
      <c r="AT443" s="272"/>
      <c r="BC443" s="272" t="s">
        <v>521</v>
      </c>
      <c r="BD443" s="346">
        <v>1008</v>
      </c>
      <c r="BE443" s="347" t="s">
        <v>701</v>
      </c>
    </row>
    <row r="444" s="52" customFormat="1" spans="1:57">
      <c r="A444" s="227"/>
      <c r="B444" s="332"/>
      <c r="C444" s="228"/>
      <c r="D444" s="333"/>
      <c r="E444" s="334"/>
      <c r="F444" s="229"/>
      <c r="G444" s="333"/>
      <c r="H444" s="335"/>
      <c r="I444" s="229"/>
      <c r="J444" s="229"/>
      <c r="K444" s="336"/>
      <c r="L444" s="337"/>
      <c r="M444" s="337"/>
      <c r="N444" s="337"/>
      <c r="O444" s="337"/>
      <c r="P444" s="337"/>
      <c r="Q444" s="377">
        <v>6004</v>
      </c>
      <c r="R444" s="271">
        <f t="shared" si="31"/>
        <v>0</v>
      </c>
      <c r="S444" s="339">
        <f t="shared" si="35"/>
        <v>0</v>
      </c>
      <c r="T444" s="373"/>
      <c r="U444" s="373">
        <f>FA!J$20</f>
        <v>0</v>
      </c>
      <c r="V444" s="274"/>
      <c r="W444" s="373"/>
      <c r="X444" s="375"/>
      <c r="Y444" s="36" t="s">
        <v>607</v>
      </c>
      <c r="Z444" s="376"/>
      <c r="AA444" s="240"/>
      <c r="AB444" s="345">
        <v>1</v>
      </c>
      <c r="AC444" s="271"/>
      <c r="AD444" s="272"/>
      <c r="AE444" s="273"/>
      <c r="AF444" s="273"/>
      <c r="AG444" s="274"/>
      <c r="AH444" s="275"/>
      <c r="AI444" s="272"/>
      <c r="AJ444" s="276"/>
      <c r="AK444" s="277"/>
      <c r="AL444" s="278"/>
      <c r="AM444" s="277"/>
      <c r="AN444" s="279" t="str">
        <f t="shared" si="34"/>
        <v/>
      </c>
      <c r="AO444" s="279"/>
      <c r="AP444" s="279" t="str">
        <f t="shared" si="33"/>
        <v/>
      </c>
      <c r="AQ444" s="279"/>
      <c r="AR444" s="305">
        <f>'预算书-初步'!$F$10</f>
        <v>0.09</v>
      </c>
      <c r="AT444" s="272"/>
      <c r="BC444" s="272" t="s">
        <v>521</v>
      </c>
      <c r="BD444" s="346">
        <v>1009</v>
      </c>
      <c r="BE444" s="347" t="s">
        <v>701</v>
      </c>
    </row>
    <row r="445" s="52" customFormat="1" spans="1:57">
      <c r="A445" s="227"/>
      <c r="B445" s="332"/>
      <c r="C445" s="228"/>
      <c r="D445" s="333"/>
      <c r="E445" s="334"/>
      <c r="F445" s="229"/>
      <c r="G445" s="333"/>
      <c r="H445" s="335"/>
      <c r="I445" s="229"/>
      <c r="J445" s="229"/>
      <c r="K445" s="336"/>
      <c r="L445" s="337"/>
      <c r="M445" s="337"/>
      <c r="N445" s="337"/>
      <c r="O445" s="337"/>
      <c r="P445" s="337"/>
      <c r="Q445" s="377">
        <v>6005</v>
      </c>
      <c r="R445" s="271">
        <f t="shared" si="31"/>
        <v>0</v>
      </c>
      <c r="S445" s="339">
        <f t="shared" si="35"/>
        <v>0</v>
      </c>
      <c r="T445" s="373"/>
      <c r="U445" s="373">
        <f>FA!J$21</f>
        <v>0</v>
      </c>
      <c r="V445" s="274"/>
      <c r="W445" s="373"/>
      <c r="X445" s="375"/>
      <c r="Y445" s="36" t="s">
        <v>608</v>
      </c>
      <c r="Z445" s="376"/>
      <c r="AA445" s="240"/>
      <c r="AB445" s="345">
        <v>1</v>
      </c>
      <c r="AC445" s="271"/>
      <c r="AD445" s="272"/>
      <c r="AE445" s="273"/>
      <c r="AF445" s="273"/>
      <c r="AG445" s="274"/>
      <c r="AH445" s="275"/>
      <c r="AI445" s="272"/>
      <c r="AJ445" s="276"/>
      <c r="AK445" s="277"/>
      <c r="AL445" s="278"/>
      <c r="AM445" s="277"/>
      <c r="AN445" s="279" t="str">
        <f t="shared" si="34"/>
        <v/>
      </c>
      <c r="AO445" s="279"/>
      <c r="AP445" s="279" t="str">
        <f t="shared" si="33"/>
        <v/>
      </c>
      <c r="AQ445" s="279"/>
      <c r="AR445" s="305">
        <f>'预算书-初步'!$F$10</f>
        <v>0.09</v>
      </c>
      <c r="AT445" s="272"/>
      <c r="BC445" s="272" t="s">
        <v>521</v>
      </c>
      <c r="BD445" s="346">
        <v>1010</v>
      </c>
      <c r="BE445" s="347" t="s">
        <v>701</v>
      </c>
    </row>
    <row r="446" s="52" customFormat="1" spans="1:57">
      <c r="A446" s="227"/>
      <c r="B446" s="332"/>
      <c r="C446" s="228"/>
      <c r="D446" s="333"/>
      <c r="E446" s="334"/>
      <c r="F446" s="229"/>
      <c r="G446" s="333"/>
      <c r="H446" s="335"/>
      <c r="I446" s="229"/>
      <c r="J446" s="229"/>
      <c r="K446" s="336"/>
      <c r="L446" s="337"/>
      <c r="M446" s="337"/>
      <c r="N446" s="337"/>
      <c r="O446" s="337"/>
      <c r="P446" s="337"/>
      <c r="Q446" s="372">
        <v>6006</v>
      </c>
      <c r="R446" s="271">
        <f t="shared" si="31"/>
        <v>0</v>
      </c>
      <c r="S446" s="339">
        <f t="shared" si="35"/>
        <v>0</v>
      </c>
      <c r="T446" s="373"/>
      <c r="U446" s="373">
        <f>FA!J$22</f>
        <v>0</v>
      </c>
      <c r="V446" s="274"/>
      <c r="W446" s="373"/>
      <c r="X446" s="375"/>
      <c r="Y446" s="30" t="s">
        <v>609</v>
      </c>
      <c r="Z446" s="376"/>
      <c r="AA446" s="240"/>
      <c r="AB446" s="345">
        <v>1</v>
      </c>
      <c r="AC446" s="271"/>
      <c r="AD446" s="272"/>
      <c r="AE446" s="273"/>
      <c r="AF446" s="273"/>
      <c r="AG446" s="274"/>
      <c r="AH446" s="275"/>
      <c r="AI446" s="272"/>
      <c r="AJ446" s="276"/>
      <c r="AK446" s="277"/>
      <c r="AL446" s="278"/>
      <c r="AM446" s="277"/>
      <c r="AN446" s="279" t="str">
        <f t="shared" si="34"/>
        <v/>
      </c>
      <c r="AO446" s="279"/>
      <c r="AP446" s="279" t="str">
        <f t="shared" si="33"/>
        <v/>
      </c>
      <c r="AQ446" s="279"/>
      <c r="AR446" s="305">
        <f>'预算书-初步'!$F$10</f>
        <v>0.09</v>
      </c>
      <c r="AT446" s="272"/>
      <c r="BC446" s="272" t="s">
        <v>521</v>
      </c>
      <c r="BD446" s="346">
        <v>1011</v>
      </c>
      <c r="BE446" s="347" t="s">
        <v>701</v>
      </c>
    </row>
    <row r="447" s="52" customFormat="1" spans="1:57">
      <c r="A447" s="227"/>
      <c r="B447" s="332"/>
      <c r="C447" s="228"/>
      <c r="D447" s="333"/>
      <c r="E447" s="334"/>
      <c r="F447" s="229"/>
      <c r="G447" s="333"/>
      <c r="H447" s="335"/>
      <c r="I447" s="229"/>
      <c r="J447" s="229"/>
      <c r="K447" s="336"/>
      <c r="L447" s="337"/>
      <c r="M447" s="337"/>
      <c r="N447" s="337"/>
      <c r="O447" s="337"/>
      <c r="P447" s="337"/>
      <c r="Q447" s="372">
        <v>6007</v>
      </c>
      <c r="R447" s="271">
        <f t="shared" si="31"/>
        <v>0</v>
      </c>
      <c r="S447" s="339">
        <f t="shared" si="35"/>
        <v>0</v>
      </c>
      <c r="T447" s="373"/>
      <c r="U447" s="373">
        <f>FA!J$23</f>
        <v>0</v>
      </c>
      <c r="V447" s="274"/>
      <c r="W447" s="373"/>
      <c r="X447" s="375"/>
      <c r="Y447" s="30" t="s">
        <v>610</v>
      </c>
      <c r="Z447" s="376"/>
      <c r="AA447" s="240"/>
      <c r="AB447" s="345">
        <v>1</v>
      </c>
      <c r="AC447" s="271"/>
      <c r="AD447" s="272"/>
      <c r="AE447" s="273"/>
      <c r="AF447" s="273"/>
      <c r="AG447" s="274"/>
      <c r="AH447" s="275"/>
      <c r="AI447" s="272"/>
      <c r="AJ447" s="276"/>
      <c r="AK447" s="277"/>
      <c r="AL447" s="278"/>
      <c r="AM447" s="277"/>
      <c r="AN447" s="279" t="str">
        <f t="shared" si="34"/>
        <v/>
      </c>
      <c r="AO447" s="279"/>
      <c r="AP447" s="279" t="str">
        <f t="shared" si="33"/>
        <v/>
      </c>
      <c r="AQ447" s="279"/>
      <c r="AR447" s="305">
        <f>'预算书-初步'!$F$10</f>
        <v>0.09</v>
      </c>
      <c r="AT447" s="272"/>
      <c r="BC447" s="272" t="s">
        <v>521</v>
      </c>
      <c r="BD447" s="346">
        <v>1012</v>
      </c>
      <c r="BE447" s="347" t="s">
        <v>701</v>
      </c>
    </row>
    <row r="448" s="52" customFormat="1" spans="1:57">
      <c r="A448" s="227"/>
      <c r="B448" s="332"/>
      <c r="C448" s="228"/>
      <c r="D448" s="333"/>
      <c r="E448" s="334"/>
      <c r="F448" s="229"/>
      <c r="G448" s="333"/>
      <c r="H448" s="335"/>
      <c r="I448" s="229"/>
      <c r="J448" s="229"/>
      <c r="K448" s="336"/>
      <c r="L448" s="337"/>
      <c r="M448" s="337"/>
      <c r="N448" s="337"/>
      <c r="O448" s="337"/>
      <c r="P448" s="337"/>
      <c r="Q448" s="372">
        <v>8310</v>
      </c>
      <c r="R448" s="271">
        <f t="shared" si="31"/>
        <v>0</v>
      </c>
      <c r="S448" s="339">
        <f t="shared" si="35"/>
        <v>0</v>
      </c>
      <c r="T448" s="373"/>
      <c r="U448" s="373">
        <f>FA!J$116</f>
        <v>0</v>
      </c>
      <c r="V448" s="274"/>
      <c r="W448" s="373"/>
      <c r="X448" s="375"/>
      <c r="Y448" s="30" t="s">
        <v>611</v>
      </c>
      <c r="Z448" s="376"/>
      <c r="AA448" s="240"/>
      <c r="AB448" s="345">
        <v>1</v>
      </c>
      <c r="AC448" s="271"/>
      <c r="AD448" s="272"/>
      <c r="AE448" s="273"/>
      <c r="AF448" s="273"/>
      <c r="AG448" s="274"/>
      <c r="AH448" s="275"/>
      <c r="AI448" s="272"/>
      <c r="AJ448" s="276"/>
      <c r="AK448" s="277"/>
      <c r="AL448" s="278"/>
      <c r="AM448" s="277"/>
      <c r="AN448" s="279" t="str">
        <f t="shared" si="34"/>
        <v/>
      </c>
      <c r="AO448" s="279"/>
      <c r="AP448" s="279" t="str">
        <f t="shared" si="33"/>
        <v/>
      </c>
      <c r="AQ448" s="279"/>
      <c r="AR448" s="305">
        <f>'预算书-初步'!$F$10</f>
        <v>0.09</v>
      </c>
      <c r="AT448" s="272"/>
      <c r="BC448" s="272" t="s">
        <v>521</v>
      </c>
      <c r="BD448" s="346">
        <v>1105</v>
      </c>
      <c r="BE448" s="347" t="s">
        <v>701</v>
      </c>
    </row>
    <row r="449" s="52" customFormat="1" ht="15.75" customHeight="1" spans="1:57">
      <c r="A449" s="227"/>
      <c r="B449" s="332"/>
      <c r="C449" s="228"/>
      <c r="D449" s="333"/>
      <c r="E449" s="334"/>
      <c r="F449" s="229"/>
      <c r="G449" s="333"/>
      <c r="H449" s="335"/>
      <c r="I449" s="229"/>
      <c r="J449" s="229"/>
      <c r="K449" s="336"/>
      <c r="L449" s="337"/>
      <c r="M449" s="337"/>
      <c r="N449" s="337"/>
      <c r="O449" s="337"/>
      <c r="P449" s="337"/>
      <c r="Q449" s="372">
        <v>8457</v>
      </c>
      <c r="R449" s="271">
        <f t="shared" si="31"/>
        <v>0</v>
      </c>
      <c r="S449" s="339">
        <f t="shared" si="35"/>
        <v>0</v>
      </c>
      <c r="T449" s="373"/>
      <c r="U449" s="373">
        <f>FA!J$150</f>
        <v>0</v>
      </c>
      <c r="V449" s="274"/>
      <c r="W449" s="373"/>
      <c r="X449" s="375"/>
      <c r="Y449" s="30" t="s">
        <v>612</v>
      </c>
      <c r="Z449" s="376"/>
      <c r="AA449" s="240"/>
      <c r="AB449" s="345">
        <v>1</v>
      </c>
      <c r="AC449" s="271"/>
      <c r="AD449" s="272"/>
      <c r="AE449" s="273"/>
      <c r="AF449" s="273"/>
      <c r="AG449" s="274"/>
      <c r="AH449" s="275"/>
      <c r="AI449" s="272"/>
      <c r="AJ449" s="276"/>
      <c r="AK449" s="277"/>
      <c r="AL449" s="278"/>
      <c r="AM449" s="277"/>
      <c r="AN449" s="279" t="str">
        <f t="shared" si="34"/>
        <v/>
      </c>
      <c r="AO449" s="279"/>
      <c r="AP449" s="279" t="str">
        <f t="shared" si="33"/>
        <v/>
      </c>
      <c r="AQ449" s="279"/>
      <c r="AR449" s="305">
        <f>'预算书-初步'!$F$10</f>
        <v>0.09</v>
      </c>
      <c r="AT449" s="272"/>
      <c r="BC449" s="272" t="s">
        <v>521</v>
      </c>
      <c r="BD449" s="346">
        <v>1139</v>
      </c>
      <c r="BE449" s="347" t="s">
        <v>701</v>
      </c>
    </row>
    <row r="450" s="52" customFormat="1" spans="1:57">
      <c r="A450" s="227"/>
      <c r="B450" s="332"/>
      <c r="C450" s="228"/>
      <c r="D450" s="333"/>
      <c r="E450" s="334"/>
      <c r="Q450" s="372">
        <v>8500</v>
      </c>
      <c r="R450" s="271">
        <f t="shared" si="31"/>
        <v>0</v>
      </c>
      <c r="S450" s="339">
        <f t="shared" si="35"/>
        <v>0</v>
      </c>
      <c r="T450" s="373"/>
      <c r="U450" s="373">
        <f>FA!J$160</f>
        <v>0</v>
      </c>
      <c r="V450" s="274"/>
      <c r="W450" s="373"/>
      <c r="X450" s="375"/>
      <c r="Y450" s="30" t="s">
        <v>613</v>
      </c>
      <c r="Z450" s="376"/>
      <c r="AA450" s="240"/>
      <c r="AB450" s="345">
        <v>1</v>
      </c>
      <c r="AC450" s="271"/>
      <c r="AD450" s="272"/>
      <c r="AE450" s="273"/>
      <c r="AF450" s="273"/>
      <c r="AG450" s="274"/>
      <c r="AH450" s="275"/>
      <c r="AI450" s="272"/>
      <c r="AJ450" s="276"/>
      <c r="AK450" s="277"/>
      <c r="AL450" s="278"/>
      <c r="AM450" s="277"/>
      <c r="AN450" s="279" t="str">
        <f t="shared" si="34"/>
        <v/>
      </c>
      <c r="AO450" s="279"/>
      <c r="AP450" s="279" t="str">
        <f t="shared" si="33"/>
        <v/>
      </c>
      <c r="AQ450" s="378"/>
      <c r="AR450" s="305">
        <f>'预算书-初步'!$F$10</f>
        <v>0.09</v>
      </c>
      <c r="AT450" s="272"/>
      <c r="BC450" s="272" t="s">
        <v>521</v>
      </c>
      <c r="BD450" s="346">
        <v>1157</v>
      </c>
      <c r="BE450" s="347" t="s">
        <v>701</v>
      </c>
    </row>
    <row r="451" s="52" customFormat="1" spans="1:57">
      <c r="A451" s="227"/>
      <c r="B451" s="332"/>
      <c r="C451" s="228"/>
      <c r="D451" s="333"/>
      <c r="E451" s="334"/>
      <c r="F451" s="229"/>
      <c r="G451" s="333"/>
      <c r="H451" s="335"/>
      <c r="I451" s="229"/>
      <c r="J451" s="229"/>
      <c r="K451" s="336"/>
      <c r="L451" s="337"/>
      <c r="M451" s="337"/>
      <c r="N451" s="337"/>
      <c r="O451" s="337"/>
      <c r="P451" s="337"/>
      <c r="Q451" s="379">
        <v>9999</v>
      </c>
      <c r="R451" s="271">
        <f t="shared" si="31"/>
        <v>0</v>
      </c>
      <c r="S451" s="339">
        <f t="shared" si="35"/>
        <v>0</v>
      </c>
      <c r="T451" s="373"/>
      <c r="U451" s="373">
        <f>FA!J$24</f>
        <v>0</v>
      </c>
      <c r="V451" s="274"/>
      <c r="W451" s="373"/>
      <c r="X451" s="375"/>
      <c r="Y451" s="44" t="s">
        <v>40</v>
      </c>
      <c r="Z451" s="376"/>
      <c r="AA451" s="240"/>
      <c r="AB451" s="345">
        <v>1</v>
      </c>
      <c r="AC451" s="271"/>
      <c r="AD451" s="272"/>
      <c r="AE451" s="273"/>
      <c r="AF451" s="273"/>
      <c r="AG451" s="274"/>
      <c r="AH451" s="275"/>
      <c r="AI451" s="272"/>
      <c r="AJ451" s="276"/>
      <c r="AK451" s="277"/>
      <c r="AL451" s="278"/>
      <c r="AM451" s="277"/>
      <c r="AN451" s="279"/>
      <c r="AO451" s="279"/>
      <c r="AP451" s="279"/>
      <c r="AQ451" s="378"/>
      <c r="AR451" s="305">
        <f>'预算书-初步'!$F$10</f>
        <v>0.09</v>
      </c>
      <c r="AT451" s="272"/>
      <c r="BC451" s="272" t="s">
        <v>521</v>
      </c>
      <c r="BD451" s="380">
        <v>1013</v>
      </c>
      <c r="BE451" s="347" t="s">
        <v>701</v>
      </c>
    </row>
    <row r="452" s="52" customFormat="1" spans="1:57">
      <c r="A452" s="227"/>
      <c r="B452" s="332"/>
      <c r="C452" s="228"/>
      <c r="D452" s="333"/>
      <c r="E452" s="334"/>
      <c r="F452" s="229"/>
      <c r="G452" s="333"/>
      <c r="H452" s="335"/>
      <c r="I452" s="229"/>
      <c r="J452" s="229"/>
      <c r="K452" s="336"/>
      <c r="L452" s="337"/>
      <c r="M452" s="337"/>
      <c r="N452" s="337"/>
      <c r="O452" s="337"/>
      <c r="P452" s="337"/>
      <c r="Q452" s="379">
        <v>7001</v>
      </c>
      <c r="R452" s="271">
        <f t="shared" si="31"/>
        <v>0</v>
      </c>
      <c r="S452" s="339">
        <f t="shared" si="35"/>
        <v>0</v>
      </c>
      <c r="T452" s="373"/>
      <c r="U452" s="373">
        <f>FA!J$25</f>
        <v>0</v>
      </c>
      <c r="V452" s="274"/>
      <c r="W452" s="373"/>
      <c r="X452" s="375"/>
      <c r="Y452" s="44" t="s">
        <v>614</v>
      </c>
      <c r="Z452" s="376"/>
      <c r="AA452" s="240"/>
      <c r="AB452" s="345">
        <v>1</v>
      </c>
      <c r="AC452" s="271"/>
      <c r="AD452" s="272"/>
      <c r="AE452" s="273"/>
      <c r="AF452" s="273"/>
      <c r="AG452" s="274"/>
      <c r="AH452" s="275"/>
      <c r="AI452" s="272"/>
      <c r="AJ452" s="276"/>
      <c r="AK452" s="277"/>
      <c r="AL452" s="278"/>
      <c r="AM452" s="277"/>
      <c r="AN452" s="279"/>
      <c r="AO452" s="279"/>
      <c r="AP452" s="279"/>
      <c r="AQ452" s="378"/>
      <c r="AR452" s="305">
        <f>'预算书-初步'!$F$10</f>
        <v>0.09</v>
      </c>
      <c r="AT452" s="272"/>
      <c r="BC452" s="272" t="s">
        <v>521</v>
      </c>
      <c r="BD452" s="380">
        <v>1014</v>
      </c>
      <c r="BE452" s="347" t="s">
        <v>701</v>
      </c>
    </row>
    <row r="453" s="52" customFormat="1" spans="1:57">
      <c r="A453" s="227"/>
      <c r="B453" s="332"/>
      <c r="C453" s="228"/>
      <c r="D453" s="333"/>
      <c r="E453" s="334"/>
      <c r="F453" s="229"/>
      <c r="G453" s="333"/>
      <c r="H453" s="335"/>
      <c r="I453" s="229"/>
      <c r="J453" s="229"/>
      <c r="K453" s="336"/>
      <c r="L453" s="337"/>
      <c r="M453" s="337"/>
      <c r="N453" s="337"/>
      <c r="O453" s="337"/>
      <c r="P453" s="337"/>
      <c r="Q453" s="379">
        <v>7012</v>
      </c>
      <c r="R453" s="271">
        <f t="shared" si="31"/>
        <v>0</v>
      </c>
      <c r="S453" s="339">
        <f t="shared" si="35"/>
        <v>0</v>
      </c>
      <c r="T453" s="373"/>
      <c r="U453" s="373">
        <f>FA!J$26</f>
        <v>0</v>
      </c>
      <c r="V453" s="274"/>
      <c r="W453" s="373"/>
      <c r="X453" s="375"/>
      <c r="Y453" s="45" t="s">
        <v>615</v>
      </c>
      <c r="Z453" s="376"/>
      <c r="AA453" s="240"/>
      <c r="AB453" s="345">
        <v>1</v>
      </c>
      <c r="AC453" s="271"/>
      <c r="AD453" s="272"/>
      <c r="AE453" s="273"/>
      <c r="AF453" s="273"/>
      <c r="AG453" s="274"/>
      <c r="AH453" s="275"/>
      <c r="AI453" s="272"/>
      <c r="AJ453" s="276"/>
      <c r="AK453" s="277"/>
      <c r="AL453" s="278"/>
      <c r="AM453" s="277"/>
      <c r="AN453" s="279"/>
      <c r="AO453" s="279"/>
      <c r="AP453" s="279"/>
      <c r="AQ453" s="378"/>
      <c r="AR453" s="305">
        <f>'预算书-初步'!$F$10</f>
        <v>0.09</v>
      </c>
      <c r="AT453" s="272"/>
      <c r="BC453" s="272" t="s">
        <v>521</v>
      </c>
      <c r="BD453" s="380">
        <v>1015</v>
      </c>
      <c r="BE453" s="347" t="s">
        <v>701</v>
      </c>
    </row>
    <row r="454" s="52" customFormat="1" ht="15.75" customHeight="1" spans="1:57">
      <c r="A454" s="227"/>
      <c r="B454" s="332"/>
      <c r="C454" s="228"/>
      <c r="D454" s="333"/>
      <c r="E454" s="334"/>
      <c r="F454" s="229"/>
      <c r="G454" s="333"/>
      <c r="H454" s="335"/>
      <c r="I454" s="229"/>
      <c r="J454" s="229"/>
      <c r="K454" s="336"/>
      <c r="L454" s="337"/>
      <c r="M454" s="337"/>
      <c r="N454" s="337"/>
      <c r="O454" s="337"/>
      <c r="P454" s="337"/>
      <c r="Q454" s="381">
        <v>1650</v>
      </c>
      <c r="R454" s="271">
        <f t="shared" ref="R454:R517" si="36">ROUND(U454*(1+AR454),0)</f>
        <v>0</v>
      </c>
      <c r="S454" s="339">
        <f t="shared" si="35"/>
        <v>0</v>
      </c>
      <c r="T454" s="373"/>
      <c r="U454" s="373">
        <f>FA!J$89</f>
        <v>0</v>
      </c>
      <c r="V454" s="274"/>
      <c r="W454" s="374"/>
      <c r="X454" s="375"/>
      <c r="Y454" s="45" t="s">
        <v>616</v>
      </c>
      <c r="Z454" s="376"/>
      <c r="AA454" s="240"/>
      <c r="AB454" s="345">
        <v>1</v>
      </c>
      <c r="AC454" s="271"/>
      <c r="AD454" s="272"/>
      <c r="AE454" s="273"/>
      <c r="AF454" s="273"/>
      <c r="AG454" s="274"/>
      <c r="AH454" s="275"/>
      <c r="AI454" s="272"/>
      <c r="AJ454" s="276"/>
      <c r="AK454" s="277"/>
      <c r="AL454" s="278"/>
      <c r="AM454" s="277"/>
      <c r="AN454" s="279"/>
      <c r="AO454" s="279"/>
      <c r="AP454" s="279"/>
      <c r="AQ454" s="378"/>
      <c r="AR454" s="305">
        <f>'预算书-初步'!$F$10</f>
        <v>0.09</v>
      </c>
      <c r="AT454" s="272"/>
      <c r="BC454" s="272" t="s">
        <v>521</v>
      </c>
      <c r="BD454" s="380">
        <v>1078</v>
      </c>
      <c r="BE454" s="347" t="s">
        <v>701</v>
      </c>
    </row>
    <row r="455" s="52" customFormat="1" ht="15.75" customHeight="1" spans="1:57">
      <c r="A455" s="227"/>
      <c r="B455" s="332"/>
      <c r="C455" s="228"/>
      <c r="D455" s="333"/>
      <c r="E455" s="334"/>
      <c r="F455" s="229"/>
      <c r="G455" s="333"/>
      <c r="H455" s="335"/>
      <c r="I455" s="229"/>
      <c r="J455" s="229"/>
      <c r="K455" s="336"/>
      <c r="L455" s="337"/>
      <c r="M455" s="337"/>
      <c r="N455" s="337"/>
      <c r="O455" s="337"/>
      <c r="P455" s="337"/>
      <c r="Q455" s="384">
        <v>3711</v>
      </c>
      <c r="R455" s="271">
        <f t="shared" si="36"/>
        <v>0</v>
      </c>
      <c r="S455" s="339">
        <f t="shared" si="35"/>
        <v>0</v>
      </c>
      <c r="T455" s="373"/>
      <c r="U455" s="373">
        <f>SUMIF(其他!$A$9:$A$65,"3711",其他!$I$9:$I$65)</f>
        <v>0</v>
      </c>
      <c r="V455" s="274"/>
      <c r="W455" s="374"/>
      <c r="X455" s="375"/>
      <c r="Y455" s="45" t="s">
        <v>617</v>
      </c>
      <c r="Z455" s="376"/>
      <c r="AA455" s="240"/>
      <c r="AB455" s="345">
        <v>1</v>
      </c>
      <c r="AC455" s="271"/>
      <c r="AD455" s="272"/>
      <c r="AE455" s="273"/>
      <c r="AF455" s="273"/>
      <c r="AG455" s="274"/>
      <c r="AH455" s="275"/>
      <c r="AI455" s="272"/>
      <c r="AJ455" s="276"/>
      <c r="AK455" s="277"/>
      <c r="AL455" s="278"/>
      <c r="AM455" s="277"/>
      <c r="AN455" s="279"/>
      <c r="AO455" s="279"/>
      <c r="AP455" s="279"/>
      <c r="AQ455" s="378"/>
      <c r="AR455" s="305">
        <f>'预算书-初步'!$F$10</f>
        <v>0.09</v>
      </c>
      <c r="AT455" s="272"/>
      <c r="BC455" s="272" t="s">
        <v>521</v>
      </c>
      <c r="BD455" s="380">
        <v>1082</v>
      </c>
      <c r="BE455" s="347" t="s">
        <v>701</v>
      </c>
    </row>
    <row r="456" s="52" customFormat="1" ht="15.75" customHeight="1" spans="1:57">
      <c r="A456" s="227"/>
      <c r="B456" s="332"/>
      <c r="C456" s="228"/>
      <c r="D456" s="333"/>
      <c r="E456" s="334"/>
      <c r="F456" s="229"/>
      <c r="G456" s="333"/>
      <c r="H456" s="335"/>
      <c r="I456" s="229"/>
      <c r="J456" s="229"/>
      <c r="K456" s="336"/>
      <c r="L456" s="337"/>
      <c r="M456" s="337"/>
      <c r="N456" s="337"/>
      <c r="O456" s="337"/>
      <c r="P456" s="337"/>
      <c r="Q456" s="384">
        <v>3712</v>
      </c>
      <c r="R456" s="271">
        <f t="shared" si="36"/>
        <v>0</v>
      </c>
      <c r="S456" s="339">
        <f t="shared" si="35"/>
        <v>0</v>
      </c>
      <c r="T456" s="373"/>
      <c r="U456" s="373">
        <f>SUMIF(其他!$A$9:$A$65,"3712",其他!$I$9:$I$65)</f>
        <v>0</v>
      </c>
      <c r="V456" s="274"/>
      <c r="W456" s="374"/>
      <c r="X456" s="375"/>
      <c r="Y456" s="45" t="s">
        <v>618</v>
      </c>
      <c r="Z456" s="376"/>
      <c r="AA456" s="240"/>
      <c r="AB456" s="345">
        <v>1</v>
      </c>
      <c r="AC456" s="271"/>
      <c r="AD456" s="272"/>
      <c r="AE456" s="273"/>
      <c r="AF456" s="273"/>
      <c r="AG456" s="274"/>
      <c r="AH456" s="275"/>
      <c r="AI456" s="272"/>
      <c r="AJ456" s="276"/>
      <c r="AK456" s="277"/>
      <c r="AL456" s="278"/>
      <c r="AM456" s="277"/>
      <c r="AN456" s="279"/>
      <c r="AO456" s="279"/>
      <c r="AP456" s="279"/>
      <c r="AQ456" s="378"/>
      <c r="AR456" s="305">
        <f>'预算书-初步'!$F$10</f>
        <v>0.09</v>
      </c>
      <c r="AT456" s="272"/>
      <c r="BC456" s="272" t="s">
        <v>521</v>
      </c>
      <c r="BD456" s="380">
        <v>1082</v>
      </c>
      <c r="BE456" s="347" t="s">
        <v>701</v>
      </c>
    </row>
    <row r="457" s="52" customFormat="1" ht="15.75" customHeight="1" spans="1:57">
      <c r="A457" s="227"/>
      <c r="B457" s="332"/>
      <c r="C457" s="228"/>
      <c r="D457" s="333"/>
      <c r="E457" s="334"/>
      <c r="F457" s="229"/>
      <c r="G457" s="333"/>
      <c r="H457" s="335"/>
      <c r="I457" s="229"/>
      <c r="J457" s="229"/>
      <c r="K457" s="336"/>
      <c r="L457" s="337"/>
      <c r="M457" s="337"/>
      <c r="N457" s="337"/>
      <c r="O457" s="337"/>
      <c r="P457" s="337"/>
      <c r="Q457" s="384">
        <v>3713</v>
      </c>
      <c r="R457" s="271">
        <f t="shared" si="36"/>
        <v>0</v>
      </c>
      <c r="S457" s="339">
        <f t="shared" si="35"/>
        <v>0</v>
      </c>
      <c r="T457" s="373"/>
      <c r="U457" s="373">
        <f>SUMIF(其他!$A$9:$A$65,"3713",其他!$I$9:$I$65)</f>
        <v>0</v>
      </c>
      <c r="V457" s="274"/>
      <c r="W457" s="374"/>
      <c r="X457" s="375"/>
      <c r="Y457" s="45" t="s">
        <v>619</v>
      </c>
      <c r="Z457" s="376"/>
      <c r="AA457" s="240"/>
      <c r="AB457" s="345">
        <v>1</v>
      </c>
      <c r="AC457" s="271"/>
      <c r="AD457" s="272"/>
      <c r="AE457" s="273"/>
      <c r="AF457" s="273"/>
      <c r="AG457" s="274"/>
      <c r="AH457" s="275"/>
      <c r="AI457" s="272"/>
      <c r="AJ457" s="276"/>
      <c r="AK457" s="277"/>
      <c r="AL457" s="278"/>
      <c r="AM457" s="277"/>
      <c r="AN457" s="279"/>
      <c r="AO457" s="279"/>
      <c r="AP457" s="279"/>
      <c r="AQ457" s="378"/>
      <c r="AR457" s="305">
        <f>'预算书-初步'!$F$10</f>
        <v>0.09</v>
      </c>
      <c r="AT457" s="272"/>
      <c r="BC457" s="272" t="s">
        <v>521</v>
      </c>
      <c r="BD457" s="380">
        <v>1082</v>
      </c>
      <c r="BE457" s="347" t="s">
        <v>701</v>
      </c>
    </row>
    <row r="458" s="52" customFormat="1" ht="15.75" customHeight="1" spans="1:57">
      <c r="A458" s="227"/>
      <c r="B458" s="332"/>
      <c r="C458" s="228"/>
      <c r="D458" s="333"/>
      <c r="E458" s="334"/>
      <c r="F458" s="229"/>
      <c r="G458" s="333"/>
      <c r="H458" s="335"/>
      <c r="I458" s="229"/>
      <c r="J458" s="229"/>
      <c r="K458" s="336"/>
      <c r="L458" s="337"/>
      <c r="M458" s="337"/>
      <c r="N458" s="337"/>
      <c r="O458" s="337"/>
      <c r="P458" s="337"/>
      <c r="Q458" s="384">
        <v>3714</v>
      </c>
      <c r="R458" s="271">
        <f t="shared" si="36"/>
        <v>0</v>
      </c>
      <c r="S458" s="339">
        <f t="shared" si="35"/>
        <v>0</v>
      </c>
      <c r="T458" s="373"/>
      <c r="U458" s="373">
        <f>SUMIF(其他!$A$9:$A$65,"3714",其他!$I$9:$I$65)</f>
        <v>0</v>
      </c>
      <c r="V458" s="274"/>
      <c r="W458" s="374"/>
      <c r="X458" s="375"/>
      <c r="Y458" s="45" t="s">
        <v>620</v>
      </c>
      <c r="Z458" s="376"/>
      <c r="AA458" s="240"/>
      <c r="AB458" s="345">
        <v>1</v>
      </c>
      <c r="AC458" s="271"/>
      <c r="AD458" s="272"/>
      <c r="AE458" s="273"/>
      <c r="AF458" s="273"/>
      <c r="AG458" s="274"/>
      <c r="AH458" s="275"/>
      <c r="AI458" s="272"/>
      <c r="AJ458" s="276"/>
      <c r="AK458" s="277"/>
      <c r="AL458" s="278"/>
      <c r="AM458" s="277"/>
      <c r="AN458" s="279"/>
      <c r="AO458" s="279"/>
      <c r="AP458" s="279"/>
      <c r="AQ458" s="378"/>
      <c r="AR458" s="305">
        <f>'预算书-初步'!$F$10</f>
        <v>0.09</v>
      </c>
      <c r="AT458" s="272"/>
      <c r="BC458" s="272" t="s">
        <v>521</v>
      </c>
      <c r="BD458" s="380">
        <v>1082</v>
      </c>
      <c r="BE458" s="347" t="s">
        <v>701</v>
      </c>
    </row>
    <row r="459" s="52" customFormat="1" ht="15.75" customHeight="1" spans="1:57">
      <c r="A459" s="227"/>
      <c r="B459" s="332"/>
      <c r="C459" s="228"/>
      <c r="D459" s="333"/>
      <c r="E459" s="334"/>
      <c r="F459" s="229"/>
      <c r="G459" s="333"/>
      <c r="H459" s="335"/>
      <c r="I459" s="229"/>
      <c r="J459" s="229"/>
      <c r="K459" s="336"/>
      <c r="L459" s="337"/>
      <c r="M459" s="337"/>
      <c r="N459" s="337"/>
      <c r="O459" s="337"/>
      <c r="P459" s="337"/>
      <c r="Q459" s="384">
        <v>3792</v>
      </c>
      <c r="R459" s="271">
        <f t="shared" si="36"/>
        <v>0</v>
      </c>
      <c r="S459" s="339">
        <f t="shared" si="35"/>
        <v>0</v>
      </c>
      <c r="T459" s="373"/>
      <c r="U459" s="373">
        <f>SUMIF(其他!$A$9:$A$65,"3792",其他!$I$9:$I$65)</f>
        <v>0</v>
      </c>
      <c r="V459" s="274"/>
      <c r="W459" s="374"/>
      <c r="X459" s="375"/>
      <c r="Y459" s="45" t="s">
        <v>621</v>
      </c>
      <c r="Z459" s="376"/>
      <c r="AA459" s="240"/>
      <c r="AB459" s="345">
        <v>1</v>
      </c>
      <c r="AC459" s="271"/>
      <c r="AD459" s="272"/>
      <c r="AE459" s="273"/>
      <c r="AF459" s="273"/>
      <c r="AG459" s="274"/>
      <c r="AH459" s="275"/>
      <c r="AI459" s="272"/>
      <c r="AJ459" s="276"/>
      <c r="AK459" s="277"/>
      <c r="AL459" s="278"/>
      <c r="AM459" s="277"/>
      <c r="AN459" s="279"/>
      <c r="AO459" s="279"/>
      <c r="AP459" s="279"/>
      <c r="AQ459" s="378"/>
      <c r="AR459" s="305">
        <f>'预算书-初步'!$F$10</f>
        <v>0.09</v>
      </c>
      <c r="AT459" s="272"/>
      <c r="BC459" s="272" t="s">
        <v>521</v>
      </c>
      <c r="BD459" s="380">
        <v>1085</v>
      </c>
      <c r="BE459" s="347" t="s">
        <v>701</v>
      </c>
    </row>
    <row r="460" s="52" customFormat="1" ht="15.75" customHeight="1" spans="1:57">
      <c r="A460" s="227"/>
      <c r="B460" s="332"/>
      <c r="C460" s="228"/>
      <c r="D460" s="333"/>
      <c r="E460" s="334"/>
      <c r="F460" s="229"/>
      <c r="G460" s="333"/>
      <c r="H460" s="335"/>
      <c r="I460" s="229"/>
      <c r="J460" s="229"/>
      <c r="K460" s="336"/>
      <c r="L460" s="337"/>
      <c r="M460" s="337"/>
      <c r="N460" s="337"/>
      <c r="O460" s="337"/>
      <c r="P460" s="337"/>
      <c r="Q460" s="384">
        <v>3793</v>
      </c>
      <c r="R460" s="271">
        <f t="shared" si="36"/>
        <v>0</v>
      </c>
      <c r="S460" s="339">
        <f t="shared" si="35"/>
        <v>0</v>
      </c>
      <c r="T460" s="373"/>
      <c r="U460" s="373">
        <f>SUMIF(其他!$A$9:$A$65,"3793",其他!$I$9:$I$65)</f>
        <v>0</v>
      </c>
      <c r="V460" s="274"/>
      <c r="W460" s="374"/>
      <c r="X460" s="375"/>
      <c r="Y460" s="45" t="s">
        <v>622</v>
      </c>
      <c r="Z460" s="376"/>
      <c r="AA460" s="240"/>
      <c r="AB460" s="345">
        <v>1</v>
      </c>
      <c r="AC460" s="271"/>
      <c r="AD460" s="272"/>
      <c r="AE460" s="273"/>
      <c r="AF460" s="273"/>
      <c r="AG460" s="274"/>
      <c r="AH460" s="275"/>
      <c r="AI460" s="272"/>
      <c r="AJ460" s="276"/>
      <c r="AK460" s="277"/>
      <c r="AL460" s="278"/>
      <c r="AM460" s="277"/>
      <c r="AN460" s="279"/>
      <c r="AO460" s="279"/>
      <c r="AP460" s="279"/>
      <c r="AQ460" s="378"/>
      <c r="AR460" s="305">
        <f>'预算书-初步'!$F$10</f>
        <v>0.09</v>
      </c>
      <c r="AT460" s="272"/>
      <c r="BC460" s="272" t="s">
        <v>521</v>
      </c>
      <c r="BD460" s="380">
        <v>1085</v>
      </c>
      <c r="BE460" s="347" t="s">
        <v>701</v>
      </c>
    </row>
    <row r="461" s="52" customFormat="1" ht="15.75" customHeight="1" spans="1:57">
      <c r="A461" s="227"/>
      <c r="B461" s="332"/>
      <c r="C461" s="228"/>
      <c r="D461" s="333"/>
      <c r="E461" s="334"/>
      <c r="F461" s="229"/>
      <c r="G461" s="333"/>
      <c r="H461" s="335"/>
      <c r="I461" s="229"/>
      <c r="J461" s="229"/>
      <c r="K461" s="336"/>
      <c r="L461" s="337"/>
      <c r="M461" s="337"/>
      <c r="N461" s="337"/>
      <c r="O461" s="337"/>
      <c r="P461" s="337"/>
      <c r="Q461" s="384">
        <v>3794</v>
      </c>
      <c r="R461" s="271">
        <f t="shared" si="36"/>
        <v>0</v>
      </c>
      <c r="S461" s="339">
        <f t="shared" si="35"/>
        <v>0</v>
      </c>
      <c r="T461" s="373"/>
      <c r="U461" s="373">
        <f>SUMIF(其他!$A$9:$A$65,"3794",其他!$I$9:$I$65)</f>
        <v>0</v>
      </c>
      <c r="V461" s="274"/>
      <c r="W461" s="374"/>
      <c r="X461" s="375"/>
      <c r="Y461" s="45" t="s">
        <v>623</v>
      </c>
      <c r="Z461" s="376"/>
      <c r="AA461" s="240"/>
      <c r="AB461" s="345">
        <v>1</v>
      </c>
      <c r="AC461" s="271"/>
      <c r="AD461" s="272"/>
      <c r="AE461" s="273"/>
      <c r="AF461" s="273"/>
      <c r="AG461" s="274"/>
      <c r="AH461" s="275"/>
      <c r="AI461" s="272"/>
      <c r="AJ461" s="276"/>
      <c r="AK461" s="277"/>
      <c r="AL461" s="278"/>
      <c r="AM461" s="277"/>
      <c r="AN461" s="279"/>
      <c r="AO461" s="279"/>
      <c r="AP461" s="279"/>
      <c r="AQ461" s="378"/>
      <c r="AR461" s="305">
        <f>'预算书-初步'!$F$10</f>
        <v>0.09</v>
      </c>
      <c r="AT461" s="272"/>
      <c r="BC461" s="272" t="s">
        <v>521</v>
      </c>
      <c r="BD461" s="380">
        <v>1085</v>
      </c>
      <c r="BE461" s="347" t="s">
        <v>701</v>
      </c>
    </row>
    <row r="462" s="52" customFormat="1" ht="15.75" customHeight="1" spans="1:57">
      <c r="A462" s="227"/>
      <c r="B462" s="332"/>
      <c r="C462" s="228"/>
      <c r="D462" s="333"/>
      <c r="E462" s="334"/>
      <c r="F462" s="229"/>
      <c r="G462" s="333"/>
      <c r="H462" s="335"/>
      <c r="I462" s="229"/>
      <c r="J462" s="229"/>
      <c r="K462" s="336"/>
      <c r="L462" s="337"/>
      <c r="M462" s="337"/>
      <c r="N462" s="337"/>
      <c r="O462" s="337"/>
      <c r="P462" s="337"/>
      <c r="Q462" s="384">
        <v>8110</v>
      </c>
      <c r="R462" s="271">
        <f t="shared" si="36"/>
        <v>0</v>
      </c>
      <c r="S462" s="339">
        <f t="shared" si="35"/>
        <v>0</v>
      </c>
      <c r="T462" s="373"/>
      <c r="U462" s="373">
        <f>FA!J$99</f>
        <v>0</v>
      </c>
      <c r="V462" s="274"/>
      <c r="W462" s="374"/>
      <c r="X462" s="375"/>
      <c r="Y462" s="45" t="s">
        <v>624</v>
      </c>
      <c r="Z462" s="376"/>
      <c r="AA462" s="240"/>
      <c r="AB462" s="345">
        <v>1</v>
      </c>
      <c r="AC462" s="271"/>
      <c r="AD462" s="272"/>
      <c r="AE462" s="273"/>
      <c r="AF462" s="273"/>
      <c r="AG462" s="274"/>
      <c r="AH462" s="275"/>
      <c r="AI462" s="272"/>
      <c r="AJ462" s="276"/>
      <c r="AK462" s="277"/>
      <c r="AL462" s="278"/>
      <c r="AM462" s="277"/>
      <c r="AN462" s="279"/>
      <c r="AO462" s="279"/>
      <c r="AP462" s="279"/>
      <c r="AQ462" s="378"/>
      <c r="AR462" s="305">
        <f>'预算书-初步'!$F$10</f>
        <v>0.09</v>
      </c>
      <c r="AT462" s="272"/>
      <c r="BC462" s="272" t="s">
        <v>521</v>
      </c>
      <c r="BD462" s="380">
        <v>1088</v>
      </c>
      <c r="BE462" s="347" t="s">
        <v>701</v>
      </c>
    </row>
    <row r="463" s="52" customFormat="1" ht="15.75" customHeight="1" spans="1:57">
      <c r="A463" s="227"/>
      <c r="B463" s="332"/>
      <c r="C463" s="228"/>
      <c r="D463" s="333"/>
      <c r="E463" s="334"/>
      <c r="F463" s="229"/>
      <c r="G463" s="333"/>
      <c r="H463" s="335"/>
      <c r="I463" s="229"/>
      <c r="J463" s="229"/>
      <c r="K463" s="336"/>
      <c r="L463" s="337"/>
      <c r="M463" s="337"/>
      <c r="N463" s="337"/>
      <c r="O463" s="337"/>
      <c r="P463" s="337"/>
      <c r="Q463" s="384">
        <v>8120</v>
      </c>
      <c r="R463" s="271">
        <f t="shared" si="36"/>
        <v>0</v>
      </c>
      <c r="S463" s="339">
        <f t="shared" si="35"/>
        <v>0</v>
      </c>
      <c r="T463" s="373"/>
      <c r="U463" s="373">
        <f>FA!J$100</f>
        <v>0</v>
      </c>
      <c r="V463" s="274"/>
      <c r="W463" s="374"/>
      <c r="X463" s="375"/>
      <c r="Y463" s="385" t="s">
        <v>625</v>
      </c>
      <c r="Z463" s="376"/>
      <c r="AA463" s="240"/>
      <c r="AB463" s="345">
        <v>1</v>
      </c>
      <c r="AC463" s="271"/>
      <c r="AD463" s="272"/>
      <c r="AE463" s="273"/>
      <c r="AF463" s="273"/>
      <c r="AG463" s="274"/>
      <c r="AH463" s="275"/>
      <c r="AI463" s="272"/>
      <c r="AJ463" s="276"/>
      <c r="AK463" s="277"/>
      <c r="AL463" s="278"/>
      <c r="AM463" s="277"/>
      <c r="AN463" s="279"/>
      <c r="AO463" s="279"/>
      <c r="AP463" s="279"/>
      <c r="AQ463" s="378"/>
      <c r="AR463" s="305">
        <f>'预算书-初步'!$F$10</f>
        <v>0.09</v>
      </c>
      <c r="AT463" s="272"/>
      <c r="BC463" s="272" t="s">
        <v>521</v>
      </c>
      <c r="BD463" s="380">
        <v>1089</v>
      </c>
      <c r="BE463" s="347" t="s">
        <v>701</v>
      </c>
    </row>
    <row r="464" s="52" customFormat="1" ht="15.75" customHeight="1" spans="1:57">
      <c r="A464" s="227"/>
      <c r="B464" s="332"/>
      <c r="C464" s="228"/>
      <c r="D464" s="333"/>
      <c r="E464" s="334"/>
      <c r="F464" s="229"/>
      <c r="G464" s="333"/>
      <c r="H464" s="335"/>
      <c r="I464" s="229"/>
      <c r="J464" s="229"/>
      <c r="K464" s="336"/>
      <c r="L464" s="337"/>
      <c r="M464" s="337"/>
      <c r="N464" s="337"/>
      <c r="O464" s="337"/>
      <c r="P464" s="337"/>
      <c r="Q464" s="384">
        <v>8130</v>
      </c>
      <c r="R464" s="271">
        <f t="shared" si="36"/>
        <v>0</v>
      </c>
      <c r="S464" s="339">
        <f t="shared" si="35"/>
        <v>0</v>
      </c>
      <c r="T464" s="373"/>
      <c r="U464" s="373">
        <f>FA!J$101</f>
        <v>0</v>
      </c>
      <c r="V464" s="274"/>
      <c r="W464" s="374"/>
      <c r="X464" s="375"/>
      <c r="Y464" s="365" t="s">
        <v>626</v>
      </c>
      <c r="Z464" s="376"/>
      <c r="AA464" s="240"/>
      <c r="AB464" s="345">
        <v>1</v>
      </c>
      <c r="AC464" s="271"/>
      <c r="AD464" s="272"/>
      <c r="AE464" s="273"/>
      <c r="AF464" s="273"/>
      <c r="AG464" s="274"/>
      <c r="AH464" s="275"/>
      <c r="AI464" s="272"/>
      <c r="AJ464" s="276"/>
      <c r="AK464" s="277"/>
      <c r="AL464" s="278"/>
      <c r="AM464" s="277"/>
      <c r="AN464" s="279"/>
      <c r="AO464" s="279"/>
      <c r="AP464" s="279"/>
      <c r="AQ464" s="378"/>
      <c r="AR464" s="305">
        <f>'预算书-初步'!$F$10</f>
        <v>0.09</v>
      </c>
      <c r="AT464" s="272"/>
      <c r="BC464" s="272" t="s">
        <v>521</v>
      </c>
      <c r="BD464" s="380">
        <v>1090</v>
      </c>
      <c r="BE464" s="347" t="s">
        <v>701</v>
      </c>
    </row>
    <row r="465" s="52" customFormat="1" ht="15.75" customHeight="1" spans="1:57">
      <c r="A465" s="227"/>
      <c r="B465" s="332"/>
      <c r="C465" s="228"/>
      <c r="D465" s="333"/>
      <c r="E465" s="334"/>
      <c r="F465" s="229"/>
      <c r="G465" s="333"/>
      <c r="H465" s="335"/>
      <c r="I465" s="229"/>
      <c r="J465" s="229"/>
      <c r="K465" s="336"/>
      <c r="L465" s="337"/>
      <c r="M465" s="337"/>
      <c r="N465" s="337"/>
      <c r="O465" s="337"/>
      <c r="P465" s="337"/>
      <c r="Q465" s="384">
        <v>8140</v>
      </c>
      <c r="R465" s="271">
        <f t="shared" si="36"/>
        <v>0</v>
      </c>
      <c r="S465" s="339">
        <f t="shared" si="35"/>
        <v>0</v>
      </c>
      <c r="T465" s="373"/>
      <c r="U465" s="373">
        <f>FA!J$102</f>
        <v>0</v>
      </c>
      <c r="V465" s="274"/>
      <c r="W465" s="374"/>
      <c r="X465" s="375"/>
      <c r="Y465" s="385" t="s">
        <v>627</v>
      </c>
      <c r="Z465" s="376"/>
      <c r="AA465" s="240"/>
      <c r="AB465" s="345">
        <v>1</v>
      </c>
      <c r="AC465" s="271"/>
      <c r="AD465" s="272"/>
      <c r="AE465" s="273"/>
      <c r="AF465" s="273"/>
      <c r="AG465" s="274"/>
      <c r="AH465" s="275"/>
      <c r="AI465" s="272"/>
      <c r="AJ465" s="276"/>
      <c r="AK465" s="277"/>
      <c r="AL465" s="278"/>
      <c r="AM465" s="277"/>
      <c r="AN465" s="279"/>
      <c r="AO465" s="279"/>
      <c r="AP465" s="279"/>
      <c r="AQ465" s="378"/>
      <c r="AR465" s="305">
        <f>'预算书-初步'!$F$10</f>
        <v>0.09</v>
      </c>
      <c r="AT465" s="272"/>
      <c r="BC465" s="272" t="s">
        <v>521</v>
      </c>
      <c r="BD465" s="380">
        <v>1091</v>
      </c>
      <c r="BE465" s="347" t="s">
        <v>701</v>
      </c>
    </row>
    <row r="466" s="52" customFormat="1" ht="15.75" customHeight="1" spans="1:57">
      <c r="A466" s="227"/>
      <c r="B466" s="332"/>
      <c r="C466" s="228"/>
      <c r="D466" s="333"/>
      <c r="E466" s="334"/>
      <c r="F466" s="229"/>
      <c r="G466" s="333"/>
      <c r="H466" s="335"/>
      <c r="I466" s="229"/>
      <c r="J466" s="229"/>
      <c r="K466" s="336"/>
      <c r="L466" s="337"/>
      <c r="M466" s="337"/>
      <c r="N466" s="337"/>
      <c r="O466" s="337"/>
      <c r="P466" s="337"/>
      <c r="Q466" s="384">
        <v>8150</v>
      </c>
      <c r="R466" s="271">
        <f t="shared" si="36"/>
        <v>0</v>
      </c>
      <c r="S466" s="339">
        <f t="shared" si="35"/>
        <v>0</v>
      </c>
      <c r="T466" s="373"/>
      <c r="U466" s="373">
        <f>FA!J$103</f>
        <v>0</v>
      </c>
      <c r="V466" s="274"/>
      <c r="W466" s="374"/>
      <c r="X466" s="375"/>
      <c r="Y466" s="365" t="s">
        <v>628</v>
      </c>
      <c r="Z466" s="376"/>
      <c r="AA466" s="240"/>
      <c r="AB466" s="345">
        <v>1</v>
      </c>
      <c r="AC466" s="271"/>
      <c r="AD466" s="272"/>
      <c r="AE466" s="273"/>
      <c r="AF466" s="273"/>
      <c r="AG466" s="274"/>
      <c r="AH466" s="275"/>
      <c r="AI466" s="272"/>
      <c r="AJ466" s="276"/>
      <c r="AK466" s="277"/>
      <c r="AL466" s="278"/>
      <c r="AM466" s="277"/>
      <c r="AN466" s="279"/>
      <c r="AO466" s="279"/>
      <c r="AP466" s="279"/>
      <c r="AQ466" s="378"/>
      <c r="AR466" s="305">
        <f>'预算书-初步'!$F$10</f>
        <v>0.09</v>
      </c>
      <c r="AT466" s="272"/>
      <c r="BC466" s="272" t="s">
        <v>521</v>
      </c>
      <c r="BD466" s="380">
        <v>1092</v>
      </c>
      <c r="BE466" s="347" t="s">
        <v>701</v>
      </c>
    </row>
    <row r="467" s="52" customFormat="1" ht="15.75" customHeight="1" spans="1:57">
      <c r="A467" s="227"/>
      <c r="B467" s="332"/>
      <c r="C467" s="228"/>
      <c r="D467" s="333"/>
      <c r="E467" s="334"/>
      <c r="F467" s="229"/>
      <c r="G467" s="333"/>
      <c r="H467" s="335"/>
      <c r="I467" s="229"/>
      <c r="J467" s="229"/>
      <c r="K467" s="336"/>
      <c r="L467" s="337"/>
      <c r="M467" s="337"/>
      <c r="N467" s="337"/>
      <c r="O467" s="337"/>
      <c r="P467" s="337"/>
      <c r="Q467" s="384">
        <v>8160</v>
      </c>
      <c r="R467" s="271">
        <f t="shared" si="36"/>
        <v>0</v>
      </c>
      <c r="S467" s="339">
        <f t="shared" si="35"/>
        <v>0</v>
      </c>
      <c r="T467" s="373"/>
      <c r="U467" s="373">
        <f>FA!J$104</f>
        <v>0</v>
      </c>
      <c r="V467" s="274"/>
      <c r="W467" s="374"/>
      <c r="X467" s="375"/>
      <c r="Y467" s="365" t="s">
        <v>629</v>
      </c>
      <c r="Z467" s="376"/>
      <c r="AA467" s="240"/>
      <c r="AB467" s="345">
        <v>1</v>
      </c>
      <c r="AC467" s="271"/>
      <c r="AD467" s="272"/>
      <c r="AE467" s="273"/>
      <c r="AF467" s="273"/>
      <c r="AG467" s="274"/>
      <c r="AH467" s="275"/>
      <c r="AI467" s="272"/>
      <c r="AJ467" s="276"/>
      <c r="AK467" s="277"/>
      <c r="AL467" s="278"/>
      <c r="AM467" s="277"/>
      <c r="AN467" s="279"/>
      <c r="AO467" s="279"/>
      <c r="AP467" s="279"/>
      <c r="AQ467" s="378"/>
      <c r="AR467" s="305">
        <f>'预算书-初步'!$F$10</f>
        <v>0.09</v>
      </c>
      <c r="AT467" s="272"/>
      <c r="BC467" s="272" t="s">
        <v>521</v>
      </c>
      <c r="BD467" s="380">
        <v>1093</v>
      </c>
      <c r="BE467" s="347" t="s">
        <v>701</v>
      </c>
    </row>
    <row r="468" s="52" customFormat="1" ht="15.75" customHeight="1" spans="1:57">
      <c r="A468" s="227"/>
      <c r="B468" s="332"/>
      <c r="C468" s="228"/>
      <c r="D468" s="333"/>
      <c r="E468" s="334"/>
      <c r="F468" s="229"/>
      <c r="G468" s="333"/>
      <c r="H468" s="335"/>
      <c r="I468" s="229"/>
      <c r="J468" s="229"/>
      <c r="K468" s="336"/>
      <c r="L468" s="337"/>
      <c r="M468" s="337"/>
      <c r="N468" s="337"/>
      <c r="O468" s="337"/>
      <c r="P468" s="337"/>
      <c r="Q468" s="384">
        <v>8170</v>
      </c>
      <c r="R468" s="271">
        <f t="shared" si="36"/>
        <v>0</v>
      </c>
      <c r="S468" s="339">
        <f t="shared" si="35"/>
        <v>0</v>
      </c>
      <c r="T468" s="373"/>
      <c r="U468" s="373">
        <f>FA!J$105</f>
        <v>0</v>
      </c>
      <c r="V468" s="274"/>
      <c r="W468" s="374"/>
      <c r="X468" s="375"/>
      <c r="Y468" s="365" t="s">
        <v>630</v>
      </c>
      <c r="Z468" s="376"/>
      <c r="AA468" s="240"/>
      <c r="AB468" s="345">
        <v>1</v>
      </c>
      <c r="AC468" s="271"/>
      <c r="AD468" s="272"/>
      <c r="AE468" s="273"/>
      <c r="AF468" s="273"/>
      <c r="AG468" s="274"/>
      <c r="AH468" s="275"/>
      <c r="AI468" s="272"/>
      <c r="AJ468" s="276"/>
      <c r="AK468" s="277"/>
      <c r="AL468" s="278"/>
      <c r="AM468" s="277"/>
      <c r="AN468" s="279"/>
      <c r="AO468" s="279"/>
      <c r="AP468" s="279"/>
      <c r="AQ468" s="378"/>
      <c r="AR468" s="305">
        <f>'预算书-初步'!$F$10</f>
        <v>0.09</v>
      </c>
      <c r="AT468" s="272"/>
      <c r="BC468" s="272" t="s">
        <v>521</v>
      </c>
      <c r="BD468" s="380">
        <v>1094</v>
      </c>
      <c r="BE468" s="347" t="s">
        <v>701</v>
      </c>
    </row>
    <row r="469" s="52" customFormat="1" ht="15.75" customHeight="1" spans="1:57">
      <c r="A469" s="227"/>
      <c r="B469" s="332"/>
      <c r="C469" s="228"/>
      <c r="D469" s="333"/>
      <c r="E469" s="334"/>
      <c r="F469" s="229"/>
      <c r="G469" s="333"/>
      <c r="H469" s="335"/>
      <c r="I469" s="229"/>
      <c r="J469" s="229"/>
      <c r="K469" s="336"/>
      <c r="L469" s="337"/>
      <c r="M469" s="337"/>
      <c r="N469" s="337"/>
      <c r="O469" s="337"/>
      <c r="P469" s="337"/>
      <c r="Q469" s="384">
        <v>8180</v>
      </c>
      <c r="R469" s="271">
        <f t="shared" si="36"/>
        <v>0</v>
      </c>
      <c r="S469" s="339">
        <f t="shared" si="35"/>
        <v>0</v>
      </c>
      <c r="T469" s="373"/>
      <c r="U469" s="373">
        <f>FA!J$106</f>
        <v>0</v>
      </c>
      <c r="V469" s="274"/>
      <c r="W469" s="374"/>
      <c r="X469" s="375"/>
      <c r="Y469" s="386" t="s">
        <v>631</v>
      </c>
      <c r="Z469" s="376"/>
      <c r="AA469" s="240"/>
      <c r="AB469" s="345">
        <v>1</v>
      </c>
      <c r="AC469" s="271"/>
      <c r="AD469" s="272"/>
      <c r="AE469" s="273"/>
      <c r="AF469" s="273"/>
      <c r="AG469" s="274"/>
      <c r="AH469" s="275"/>
      <c r="AI469" s="272"/>
      <c r="AJ469" s="276"/>
      <c r="AK469" s="277"/>
      <c r="AL469" s="278"/>
      <c r="AM469" s="277"/>
      <c r="AN469" s="279"/>
      <c r="AO469" s="279"/>
      <c r="AP469" s="279"/>
      <c r="AQ469" s="378"/>
      <c r="AR469" s="305">
        <f>'预算书-初步'!$F$10</f>
        <v>0.09</v>
      </c>
      <c r="AT469" s="272"/>
      <c r="BC469" s="272" t="s">
        <v>521</v>
      </c>
      <c r="BD469" s="380">
        <v>1095</v>
      </c>
      <c r="BE469" s="347" t="s">
        <v>701</v>
      </c>
    </row>
    <row r="470" s="52" customFormat="1" ht="15.75" customHeight="1" spans="1:57">
      <c r="A470" s="227"/>
      <c r="B470" s="332"/>
      <c r="C470" s="228"/>
      <c r="D470" s="333"/>
      <c r="E470" s="334"/>
      <c r="F470" s="229"/>
      <c r="G470" s="333"/>
      <c r="H470" s="335"/>
      <c r="I470" s="229"/>
      <c r="J470" s="229"/>
      <c r="K470" s="336"/>
      <c r="L470" s="337"/>
      <c r="M470" s="337"/>
      <c r="N470" s="337"/>
      <c r="O470" s="337"/>
      <c r="P470" s="337"/>
      <c r="Q470" s="384">
        <v>8190</v>
      </c>
      <c r="R470" s="271">
        <f t="shared" si="36"/>
        <v>0</v>
      </c>
      <c r="S470" s="339">
        <f t="shared" si="35"/>
        <v>0</v>
      </c>
      <c r="T470" s="373"/>
      <c r="U470" s="373">
        <f>FA!J$107</f>
        <v>0</v>
      </c>
      <c r="V470" s="274"/>
      <c r="W470" s="374"/>
      <c r="X470" s="375"/>
      <c r="Y470" s="45" t="s">
        <v>632</v>
      </c>
      <c r="Z470" s="376"/>
      <c r="AA470" s="240"/>
      <c r="AB470" s="345">
        <v>1</v>
      </c>
      <c r="AC470" s="271"/>
      <c r="AD470" s="272"/>
      <c r="AE470" s="273"/>
      <c r="AF470" s="273"/>
      <c r="AG470" s="274"/>
      <c r="AH470" s="275"/>
      <c r="AI470" s="272"/>
      <c r="AJ470" s="276"/>
      <c r="AK470" s="277"/>
      <c r="AL470" s="278"/>
      <c r="AM470" s="277"/>
      <c r="AN470" s="279"/>
      <c r="AO470" s="279"/>
      <c r="AP470" s="279"/>
      <c r="AQ470" s="378"/>
      <c r="AR470" s="305">
        <f>'预算书-初步'!$F$10</f>
        <v>0.09</v>
      </c>
      <c r="AT470" s="272"/>
      <c r="BC470" s="272" t="s">
        <v>521</v>
      </c>
      <c r="BD470" s="380">
        <v>1096</v>
      </c>
      <c r="BE470" s="347" t="s">
        <v>701</v>
      </c>
    </row>
    <row r="471" s="52" customFormat="1" ht="15.75" customHeight="1" spans="1:57">
      <c r="A471" s="227"/>
      <c r="B471" s="332"/>
      <c r="C471" s="228"/>
      <c r="D471" s="333"/>
      <c r="E471" s="334"/>
      <c r="F471" s="229"/>
      <c r="G471" s="333"/>
      <c r="H471" s="335"/>
      <c r="I471" s="229"/>
      <c r="J471" s="229"/>
      <c r="K471" s="336"/>
      <c r="L471" s="337"/>
      <c r="M471" s="337"/>
      <c r="N471" s="337"/>
      <c r="O471" s="337"/>
      <c r="P471" s="337"/>
      <c r="Q471" s="381">
        <v>8210</v>
      </c>
      <c r="R471" s="271">
        <f t="shared" si="36"/>
        <v>0</v>
      </c>
      <c r="S471" s="339">
        <f t="shared" si="35"/>
        <v>0</v>
      </c>
      <c r="T471" s="373"/>
      <c r="U471" s="373">
        <f>SUMIF(其他!$A$9:$A$65,"8210",其他!$I$9:$I$65)</f>
        <v>0</v>
      </c>
      <c r="V471" s="274"/>
      <c r="W471" s="374"/>
      <c r="X471" s="375"/>
      <c r="Y471" s="45" t="s">
        <v>633</v>
      </c>
      <c r="Z471" s="376"/>
      <c r="AA471" s="240"/>
      <c r="AB471" s="345">
        <v>1</v>
      </c>
      <c r="AC471" s="271"/>
      <c r="AD471" s="272"/>
      <c r="AE471" s="273"/>
      <c r="AF471" s="273"/>
      <c r="AG471" s="274"/>
      <c r="AH471" s="275"/>
      <c r="AI471" s="272"/>
      <c r="AJ471" s="276"/>
      <c r="AK471" s="277"/>
      <c r="AL471" s="278"/>
      <c r="AM471" s="277"/>
      <c r="AN471" s="279"/>
      <c r="AO471" s="279"/>
      <c r="AP471" s="279"/>
      <c r="AQ471" s="378"/>
      <c r="AR471" s="305">
        <f>'预算书-初步'!$F$10</f>
        <v>0.09</v>
      </c>
      <c r="AT471" s="272"/>
      <c r="BC471" s="272" t="s">
        <v>521</v>
      </c>
      <c r="BD471" s="380">
        <v>1098</v>
      </c>
      <c r="BE471" s="347" t="s">
        <v>701</v>
      </c>
    </row>
    <row r="472" s="52" customFormat="1" ht="15.75" customHeight="1" spans="1:57">
      <c r="A472" s="227"/>
      <c r="B472" s="332"/>
      <c r="C472" s="228"/>
      <c r="D472" s="333"/>
      <c r="E472" s="334"/>
      <c r="F472" s="229"/>
      <c r="G472" s="333"/>
      <c r="H472" s="335"/>
      <c r="I472" s="229"/>
      <c r="J472" s="229"/>
      <c r="K472" s="336"/>
      <c r="L472" s="337"/>
      <c r="M472" s="337"/>
      <c r="N472" s="337"/>
      <c r="O472" s="337"/>
      <c r="P472" s="337"/>
      <c r="Q472" s="381">
        <v>8220</v>
      </c>
      <c r="R472" s="271">
        <f t="shared" si="36"/>
        <v>0</v>
      </c>
      <c r="S472" s="339">
        <f t="shared" si="35"/>
        <v>0</v>
      </c>
      <c r="T472" s="373"/>
      <c r="U472" s="373">
        <f>SUMIF(其他!$A$9:$A$65,"8220",其他!$I$9:$I$65)</f>
        <v>0</v>
      </c>
      <c r="V472" s="274"/>
      <c r="W472" s="374"/>
      <c r="X472" s="375"/>
      <c r="Y472" s="45" t="s">
        <v>634</v>
      </c>
      <c r="Z472" s="376"/>
      <c r="AA472" s="240"/>
      <c r="AB472" s="345">
        <v>1</v>
      </c>
      <c r="AC472" s="271"/>
      <c r="AD472" s="272"/>
      <c r="AE472" s="273"/>
      <c r="AF472" s="273"/>
      <c r="AG472" s="274"/>
      <c r="AH472" s="275"/>
      <c r="AI472" s="272"/>
      <c r="AJ472" s="276"/>
      <c r="AK472" s="277"/>
      <c r="AL472" s="278"/>
      <c r="AM472" s="277"/>
      <c r="AN472" s="279"/>
      <c r="AO472" s="279"/>
      <c r="AP472" s="279"/>
      <c r="AQ472" s="378"/>
      <c r="AR472" s="305">
        <f>'预算书-初步'!$F$10</f>
        <v>0.09</v>
      </c>
      <c r="AT472" s="272"/>
      <c r="BC472" s="272" t="s">
        <v>521</v>
      </c>
      <c r="BD472" s="380">
        <v>1098</v>
      </c>
      <c r="BE472" s="347" t="s">
        <v>701</v>
      </c>
    </row>
    <row r="473" s="52" customFormat="1" ht="15.75" customHeight="1" spans="1:57">
      <c r="A473" s="227"/>
      <c r="B473" s="332"/>
      <c r="C473" s="228"/>
      <c r="D473" s="333"/>
      <c r="E473" s="334"/>
      <c r="F473" s="229"/>
      <c r="G473" s="333"/>
      <c r="H473" s="335"/>
      <c r="I473" s="229"/>
      <c r="J473" s="229"/>
      <c r="K473" s="336"/>
      <c r="L473" s="337"/>
      <c r="M473" s="337"/>
      <c r="N473" s="337"/>
      <c r="O473" s="337"/>
      <c r="P473" s="337"/>
      <c r="Q473" s="381">
        <v>8230</v>
      </c>
      <c r="R473" s="271">
        <f t="shared" si="36"/>
        <v>0</v>
      </c>
      <c r="S473" s="339">
        <f t="shared" si="35"/>
        <v>0</v>
      </c>
      <c r="T473" s="373"/>
      <c r="U473" s="373">
        <f>SUMIF(其他!$A$9:$A$65,"8230",其他!$I$9:$I$65)</f>
        <v>0</v>
      </c>
      <c r="V473" s="274"/>
      <c r="W473" s="374"/>
      <c r="X473" s="375"/>
      <c r="Y473" s="45" t="s">
        <v>635</v>
      </c>
      <c r="Z473" s="376"/>
      <c r="AA473" s="240"/>
      <c r="AB473" s="345">
        <v>1</v>
      </c>
      <c r="AC473" s="271"/>
      <c r="AD473" s="272"/>
      <c r="AE473" s="273"/>
      <c r="AF473" s="273"/>
      <c r="AG473" s="274"/>
      <c r="AH473" s="275"/>
      <c r="AI473" s="272"/>
      <c r="AJ473" s="276"/>
      <c r="AK473" s="277"/>
      <c r="AL473" s="278"/>
      <c r="AM473" s="277"/>
      <c r="AN473" s="279"/>
      <c r="AO473" s="279"/>
      <c r="AP473" s="279"/>
      <c r="AQ473" s="378"/>
      <c r="AR473" s="305">
        <f>'预算书-初步'!$F$10</f>
        <v>0.09</v>
      </c>
      <c r="AT473" s="272"/>
      <c r="BC473" s="272" t="s">
        <v>521</v>
      </c>
      <c r="BD473" s="380">
        <v>1098</v>
      </c>
      <c r="BE473" s="347" t="s">
        <v>701</v>
      </c>
    </row>
    <row r="474" s="52" customFormat="1" ht="15.75" customHeight="1" spans="1:57">
      <c r="A474" s="227"/>
      <c r="B474" s="332"/>
      <c r="C474" s="228"/>
      <c r="D474" s="333"/>
      <c r="E474" s="334"/>
      <c r="F474" s="229"/>
      <c r="G474" s="333"/>
      <c r="H474" s="335"/>
      <c r="I474" s="229"/>
      <c r="J474" s="229"/>
      <c r="K474" s="336"/>
      <c r="L474" s="337"/>
      <c r="M474" s="337"/>
      <c r="N474" s="337"/>
      <c r="O474" s="337"/>
      <c r="P474" s="337"/>
      <c r="Q474" s="381">
        <v>8240</v>
      </c>
      <c r="R474" s="271">
        <f t="shared" si="36"/>
        <v>0</v>
      </c>
      <c r="S474" s="339">
        <f t="shared" si="35"/>
        <v>0</v>
      </c>
      <c r="T474" s="373"/>
      <c r="U474" s="373">
        <f>FA!J$110</f>
        <v>0</v>
      </c>
      <c r="V474" s="274"/>
      <c r="W474" s="374"/>
      <c r="X474" s="375"/>
      <c r="Y474" s="45" t="s">
        <v>636</v>
      </c>
      <c r="Z474" s="376"/>
      <c r="AA474" s="240"/>
      <c r="AB474" s="345">
        <v>1</v>
      </c>
      <c r="AC474" s="271"/>
      <c r="AD474" s="272"/>
      <c r="AE474" s="273"/>
      <c r="AF474" s="273"/>
      <c r="AG474" s="274"/>
      <c r="AH474" s="275"/>
      <c r="AI474" s="272"/>
      <c r="AJ474" s="276"/>
      <c r="AK474" s="277"/>
      <c r="AL474" s="278"/>
      <c r="AM474" s="277"/>
      <c r="AN474" s="279"/>
      <c r="AO474" s="279"/>
      <c r="AP474" s="279"/>
      <c r="AQ474" s="378"/>
      <c r="AR474" s="305">
        <f>'预算书-初步'!$F$10</f>
        <v>0.09</v>
      </c>
      <c r="AT474" s="272"/>
      <c r="BC474" s="272" t="s">
        <v>521</v>
      </c>
      <c r="BD474" s="380">
        <v>1099</v>
      </c>
      <c r="BE474" s="347" t="s">
        <v>701</v>
      </c>
    </row>
    <row r="475" s="52" customFormat="1" ht="15.75" customHeight="1" spans="1:57">
      <c r="A475" s="227"/>
      <c r="B475" s="332"/>
      <c r="C475" s="228"/>
      <c r="D475" s="333"/>
      <c r="E475" s="334"/>
      <c r="F475" s="229"/>
      <c r="G475" s="333"/>
      <c r="H475" s="335"/>
      <c r="I475" s="229"/>
      <c r="J475" s="229"/>
      <c r="K475" s="336"/>
      <c r="L475" s="337"/>
      <c r="M475" s="337"/>
      <c r="N475" s="337"/>
      <c r="O475" s="337"/>
      <c r="P475" s="337"/>
      <c r="Q475" s="381">
        <v>8250</v>
      </c>
      <c r="R475" s="271">
        <f t="shared" si="36"/>
        <v>0</v>
      </c>
      <c r="S475" s="339">
        <f t="shared" si="35"/>
        <v>0</v>
      </c>
      <c r="T475" s="373"/>
      <c r="U475" s="373">
        <f>FA!J$111</f>
        <v>0</v>
      </c>
      <c r="V475" s="274"/>
      <c r="W475" s="374"/>
      <c r="X475" s="375"/>
      <c r="Y475" s="45" t="s">
        <v>637</v>
      </c>
      <c r="Z475" s="376"/>
      <c r="AA475" s="240"/>
      <c r="AB475" s="345">
        <v>1</v>
      </c>
      <c r="AC475" s="271"/>
      <c r="AD475" s="272"/>
      <c r="AE475" s="273"/>
      <c r="AF475" s="273"/>
      <c r="AG475" s="274"/>
      <c r="AH475" s="275"/>
      <c r="AI475" s="272"/>
      <c r="AJ475" s="276"/>
      <c r="AK475" s="277"/>
      <c r="AL475" s="278"/>
      <c r="AM475" s="277"/>
      <c r="AN475" s="279"/>
      <c r="AO475" s="279"/>
      <c r="AP475" s="279"/>
      <c r="AQ475" s="378"/>
      <c r="AR475" s="305">
        <f>'预算书-初步'!$F$10</f>
        <v>0.09</v>
      </c>
      <c r="AT475" s="272"/>
      <c r="BC475" s="272" t="s">
        <v>521</v>
      </c>
      <c r="BD475" s="380">
        <v>1100</v>
      </c>
      <c r="BE475" s="347" t="s">
        <v>701</v>
      </c>
    </row>
    <row r="476" s="52" customFormat="1" ht="15.75" customHeight="1" spans="1:57">
      <c r="A476" s="227"/>
      <c r="B476" s="332"/>
      <c r="C476" s="228"/>
      <c r="D476" s="333"/>
      <c r="E476" s="334"/>
      <c r="F476" s="229"/>
      <c r="G476" s="333"/>
      <c r="H476" s="335"/>
      <c r="I476" s="229"/>
      <c r="J476" s="229"/>
      <c r="K476" s="336"/>
      <c r="L476" s="337"/>
      <c r="M476" s="337"/>
      <c r="N476" s="337"/>
      <c r="O476" s="337"/>
      <c r="P476" s="337"/>
      <c r="Q476" s="384">
        <v>8260</v>
      </c>
      <c r="R476" s="271">
        <f t="shared" si="36"/>
        <v>0</v>
      </c>
      <c r="S476" s="339">
        <f t="shared" si="35"/>
        <v>0</v>
      </c>
      <c r="T476" s="373"/>
      <c r="U476" s="373">
        <f>FA!J$112</f>
        <v>0</v>
      </c>
      <c r="V476" s="274"/>
      <c r="W476" s="374"/>
      <c r="X476" s="375"/>
      <c r="Y476" s="45" t="s">
        <v>638</v>
      </c>
      <c r="Z476" s="376"/>
      <c r="AA476" s="240"/>
      <c r="AB476" s="345">
        <v>1</v>
      </c>
      <c r="AC476" s="271"/>
      <c r="AD476" s="272"/>
      <c r="AE476" s="273"/>
      <c r="AF476" s="273"/>
      <c r="AG476" s="274"/>
      <c r="AH476" s="275"/>
      <c r="AI476" s="272"/>
      <c r="AJ476" s="276"/>
      <c r="AK476" s="277"/>
      <c r="AL476" s="278"/>
      <c r="AM476" s="277"/>
      <c r="AN476" s="279"/>
      <c r="AO476" s="279"/>
      <c r="AP476" s="279"/>
      <c r="AQ476" s="378"/>
      <c r="AR476" s="305">
        <f>'预算书-初步'!$F$10</f>
        <v>0.09</v>
      </c>
      <c r="AT476" s="272"/>
      <c r="BC476" s="272" t="s">
        <v>521</v>
      </c>
      <c r="BD476" s="380">
        <v>1101</v>
      </c>
      <c r="BE476" s="347" t="s">
        <v>701</v>
      </c>
    </row>
    <row r="477" s="52" customFormat="1" ht="15.75" customHeight="1" spans="1:57">
      <c r="A477" s="227"/>
      <c r="B477" s="332"/>
      <c r="C477" s="228"/>
      <c r="D477" s="333"/>
      <c r="E477" s="334"/>
      <c r="F477" s="229"/>
      <c r="G477" s="333"/>
      <c r="H477" s="335"/>
      <c r="I477" s="229"/>
      <c r="J477" s="229"/>
      <c r="K477" s="336"/>
      <c r="L477" s="337"/>
      <c r="M477" s="337"/>
      <c r="N477" s="337"/>
      <c r="O477" s="337"/>
      <c r="P477" s="337"/>
      <c r="Q477" s="384">
        <v>8431</v>
      </c>
      <c r="R477" s="271">
        <f t="shared" si="36"/>
        <v>0</v>
      </c>
      <c r="S477" s="339">
        <f t="shared" si="35"/>
        <v>0</v>
      </c>
      <c r="T477" s="373"/>
      <c r="U477" s="373">
        <f>SUMIF(其他!$A$9:$A$65,"8431",其他!$I$9:$I$65)</f>
        <v>0</v>
      </c>
      <c r="V477" s="274"/>
      <c r="W477" s="374"/>
      <c r="X477" s="375"/>
      <c r="Y477" s="45" t="s">
        <v>639</v>
      </c>
      <c r="Z477" s="376"/>
      <c r="AA477" s="240"/>
      <c r="AB477" s="345">
        <v>1</v>
      </c>
      <c r="AC477" s="271"/>
      <c r="AD477" s="272"/>
      <c r="AE477" s="273"/>
      <c r="AF477" s="273"/>
      <c r="AG477" s="274"/>
      <c r="AH477" s="275"/>
      <c r="AI477" s="272"/>
      <c r="AJ477" s="276"/>
      <c r="AK477" s="277"/>
      <c r="AL477" s="278"/>
      <c r="AM477" s="277"/>
      <c r="AN477" s="279"/>
      <c r="AO477" s="279"/>
      <c r="AP477" s="279"/>
      <c r="AQ477" s="378"/>
      <c r="AR477" s="305">
        <f>'预算书-初步'!$F$10</f>
        <v>0.09</v>
      </c>
      <c r="AT477" s="272"/>
      <c r="BC477" s="272" t="s">
        <v>521</v>
      </c>
      <c r="BD477" s="380">
        <v>1102</v>
      </c>
      <c r="BE477" s="347" t="s">
        <v>701</v>
      </c>
    </row>
    <row r="478" s="52" customFormat="1" ht="15.75" customHeight="1" spans="1:57">
      <c r="A478" s="227"/>
      <c r="B478" s="332"/>
      <c r="C478" s="228"/>
      <c r="D478" s="333"/>
      <c r="E478" s="334"/>
      <c r="F478" s="229"/>
      <c r="G478" s="333"/>
      <c r="H478" s="335"/>
      <c r="I478" s="229"/>
      <c r="J478" s="229"/>
      <c r="K478" s="336"/>
      <c r="L478" s="337"/>
      <c r="M478" s="337"/>
      <c r="N478" s="337"/>
      <c r="O478" s="337"/>
      <c r="P478" s="337"/>
      <c r="Q478" s="384">
        <v>8432</v>
      </c>
      <c r="R478" s="271">
        <f t="shared" si="36"/>
        <v>0</v>
      </c>
      <c r="S478" s="339">
        <f t="shared" si="35"/>
        <v>0</v>
      </c>
      <c r="T478" s="373"/>
      <c r="U478" s="373">
        <f>SUMIF(其他!$A$9:$A$65,"8432",其他!$I$9:$I$65)</f>
        <v>0</v>
      </c>
      <c r="V478" s="274"/>
      <c r="W478" s="374"/>
      <c r="X478" s="375"/>
      <c r="Y478" s="45" t="s">
        <v>640</v>
      </c>
      <c r="Z478" s="376"/>
      <c r="AA478" s="240"/>
      <c r="AB478" s="345">
        <v>1</v>
      </c>
      <c r="AC478" s="271"/>
      <c r="AD478" s="272"/>
      <c r="AE478" s="273"/>
      <c r="AF478" s="273"/>
      <c r="AG478" s="274"/>
      <c r="AH478" s="275"/>
      <c r="AI478" s="272"/>
      <c r="AJ478" s="276"/>
      <c r="AK478" s="277"/>
      <c r="AL478" s="278"/>
      <c r="AM478" s="277"/>
      <c r="AN478" s="279"/>
      <c r="AO478" s="279"/>
      <c r="AP478" s="279"/>
      <c r="AQ478" s="378"/>
      <c r="AR478" s="305">
        <f>'预算书-初步'!$F$10</f>
        <v>0.09</v>
      </c>
      <c r="AT478" s="272"/>
      <c r="BC478" s="272" t="s">
        <v>521</v>
      </c>
      <c r="BD478" s="380">
        <v>1102</v>
      </c>
      <c r="BE478" s="347" t="s">
        <v>701</v>
      </c>
    </row>
    <row r="479" s="52" customFormat="1" ht="15.75" customHeight="1" spans="1:57">
      <c r="A479" s="227"/>
      <c r="B479" s="332"/>
      <c r="C479" s="228"/>
      <c r="D479" s="333"/>
      <c r="E479" s="334"/>
      <c r="F479" s="229"/>
      <c r="G479" s="333"/>
      <c r="H479" s="335"/>
      <c r="I479" s="229"/>
      <c r="J479" s="229"/>
      <c r="K479" s="336"/>
      <c r="L479" s="337"/>
      <c r="M479" s="337"/>
      <c r="N479" s="337"/>
      <c r="O479" s="337"/>
      <c r="P479" s="337"/>
      <c r="Q479" s="384">
        <v>8433</v>
      </c>
      <c r="R479" s="271">
        <f t="shared" si="36"/>
        <v>0</v>
      </c>
      <c r="S479" s="339">
        <f t="shared" si="35"/>
        <v>0</v>
      </c>
      <c r="T479" s="373"/>
      <c r="U479" s="373">
        <f>SUMIF(其他!$A$9:$A$65,"8433",其他!$I$9:$I$65)</f>
        <v>0</v>
      </c>
      <c r="V479" s="274"/>
      <c r="W479" s="374"/>
      <c r="X479" s="375"/>
      <c r="Y479" s="45" t="s">
        <v>641</v>
      </c>
      <c r="Z479" s="376"/>
      <c r="AA479" s="240"/>
      <c r="AB479" s="345">
        <v>1</v>
      </c>
      <c r="AC479" s="271"/>
      <c r="AD479" s="272"/>
      <c r="AE479" s="273"/>
      <c r="AF479" s="273"/>
      <c r="AG479" s="274"/>
      <c r="AH479" s="275"/>
      <c r="AI479" s="272"/>
      <c r="AJ479" s="276"/>
      <c r="AK479" s="277"/>
      <c r="AL479" s="278"/>
      <c r="AM479" s="277"/>
      <c r="AN479" s="279"/>
      <c r="AO479" s="279"/>
      <c r="AP479" s="279"/>
      <c r="AQ479" s="378"/>
      <c r="AR479" s="305">
        <f>'预算书-初步'!$F$10</f>
        <v>0.09</v>
      </c>
      <c r="AT479" s="272"/>
      <c r="BC479" s="272" t="s">
        <v>521</v>
      </c>
      <c r="BD479" s="380">
        <v>1102</v>
      </c>
      <c r="BE479" s="347" t="s">
        <v>701</v>
      </c>
    </row>
    <row r="480" s="52" customFormat="1" ht="15.75" customHeight="1" spans="1:57">
      <c r="A480" s="227"/>
      <c r="B480" s="332"/>
      <c r="C480" s="228"/>
      <c r="D480" s="333"/>
      <c r="E480" s="334"/>
      <c r="F480" s="229"/>
      <c r="G480" s="333"/>
      <c r="H480" s="335"/>
      <c r="I480" s="229"/>
      <c r="J480" s="229"/>
      <c r="K480" s="336"/>
      <c r="L480" s="337"/>
      <c r="M480" s="337"/>
      <c r="N480" s="337"/>
      <c r="O480" s="337"/>
      <c r="P480" s="337"/>
      <c r="Q480" s="384">
        <v>8434</v>
      </c>
      <c r="R480" s="271">
        <f t="shared" si="36"/>
        <v>0</v>
      </c>
      <c r="S480" s="339">
        <f t="shared" si="35"/>
        <v>0</v>
      </c>
      <c r="T480" s="373"/>
      <c r="U480" s="373">
        <f>SUMIF(其他!$A$9:$A$65,"8434",其他!$I$9:$I$65)</f>
        <v>0</v>
      </c>
      <c r="V480" s="274"/>
      <c r="W480" s="374"/>
      <c r="X480" s="375"/>
      <c r="Y480" s="386" t="s">
        <v>642</v>
      </c>
      <c r="Z480" s="376"/>
      <c r="AA480" s="240"/>
      <c r="AB480" s="345">
        <v>1</v>
      </c>
      <c r="AC480" s="271"/>
      <c r="AD480" s="272"/>
      <c r="AE480" s="273"/>
      <c r="AF480" s="273"/>
      <c r="AG480" s="274"/>
      <c r="AH480" s="275"/>
      <c r="AI480" s="272"/>
      <c r="AJ480" s="276"/>
      <c r="AK480" s="277"/>
      <c r="AL480" s="278"/>
      <c r="AM480" s="277"/>
      <c r="AN480" s="279"/>
      <c r="AO480" s="279"/>
      <c r="AP480" s="279"/>
      <c r="AQ480" s="378"/>
      <c r="AR480" s="305">
        <f>'预算书-初步'!$F$10</f>
        <v>0.09</v>
      </c>
      <c r="AT480" s="272"/>
      <c r="BC480" s="272" t="s">
        <v>521</v>
      </c>
      <c r="BD480" s="380">
        <v>1102</v>
      </c>
      <c r="BE480" s="347" t="s">
        <v>701</v>
      </c>
    </row>
    <row r="481" s="52" customFormat="1" ht="15.75" customHeight="1" spans="1:57">
      <c r="A481" s="227"/>
      <c r="B481" s="332"/>
      <c r="C481" s="228"/>
      <c r="D481" s="333"/>
      <c r="E481" s="334"/>
      <c r="F481" s="229"/>
      <c r="G481" s="333"/>
      <c r="H481" s="335"/>
      <c r="I481" s="229"/>
      <c r="J481" s="229"/>
      <c r="K481" s="336"/>
      <c r="L481" s="337"/>
      <c r="M481" s="337"/>
      <c r="N481" s="337"/>
      <c r="O481" s="337"/>
      <c r="P481" s="337"/>
      <c r="Q481" s="384">
        <v>8435</v>
      </c>
      <c r="R481" s="271">
        <f t="shared" si="36"/>
        <v>0</v>
      </c>
      <c r="S481" s="339">
        <f t="shared" si="35"/>
        <v>0</v>
      </c>
      <c r="T481" s="373"/>
      <c r="U481" s="373">
        <f>SUMIF(其他!$A$9:$A$65,"8435",其他!$I$9:$I$65)</f>
        <v>0</v>
      </c>
      <c r="V481" s="274"/>
      <c r="W481" s="374"/>
      <c r="X481" s="375"/>
      <c r="Y481" s="385" t="s">
        <v>643</v>
      </c>
      <c r="Z481" s="376"/>
      <c r="AA481" s="240"/>
      <c r="AB481" s="345">
        <v>1</v>
      </c>
      <c r="AC481" s="271"/>
      <c r="AD481" s="272"/>
      <c r="AE481" s="273"/>
      <c r="AF481" s="273"/>
      <c r="AG481" s="274"/>
      <c r="AH481" s="275"/>
      <c r="AI481" s="272"/>
      <c r="AJ481" s="276"/>
      <c r="AK481" s="277"/>
      <c r="AL481" s="278"/>
      <c r="AM481" s="277"/>
      <c r="AN481" s="279"/>
      <c r="AO481" s="279"/>
      <c r="AP481" s="279"/>
      <c r="AQ481" s="378"/>
      <c r="AR481" s="305">
        <f>'预算书-初步'!$F$10</f>
        <v>0.09</v>
      </c>
      <c r="AT481" s="272"/>
      <c r="BC481" s="272" t="s">
        <v>521</v>
      </c>
      <c r="BD481" s="380">
        <v>1102</v>
      </c>
      <c r="BE481" s="347" t="s">
        <v>701</v>
      </c>
    </row>
    <row r="482" s="52" customFormat="1" ht="15.75" customHeight="1" spans="1:57">
      <c r="A482" s="227"/>
      <c r="B482" s="332"/>
      <c r="C482" s="228"/>
      <c r="D482" s="333"/>
      <c r="E482" s="334"/>
      <c r="F482" s="229"/>
      <c r="G482" s="333"/>
      <c r="H482" s="335"/>
      <c r="I482" s="229"/>
      <c r="J482" s="229"/>
      <c r="K482" s="336"/>
      <c r="L482" s="337"/>
      <c r="M482" s="337"/>
      <c r="N482" s="337"/>
      <c r="O482" s="337"/>
      <c r="P482" s="337"/>
      <c r="Q482" s="384">
        <v>8436</v>
      </c>
      <c r="R482" s="271">
        <f t="shared" si="36"/>
        <v>0</v>
      </c>
      <c r="S482" s="339">
        <f t="shared" si="35"/>
        <v>0</v>
      </c>
      <c r="T482" s="373"/>
      <c r="U482" s="373">
        <f>SUMIF(其他!$A$9:$A$65,"8436",其他!$I$9:$I$65)</f>
        <v>0</v>
      </c>
      <c r="V482" s="274"/>
      <c r="W482" s="374"/>
      <c r="X482" s="375"/>
      <c r="Y482" s="385" t="s">
        <v>644</v>
      </c>
      <c r="Z482" s="376"/>
      <c r="AA482" s="240"/>
      <c r="AB482" s="345">
        <v>1</v>
      </c>
      <c r="AC482" s="271"/>
      <c r="AD482" s="272"/>
      <c r="AE482" s="273"/>
      <c r="AF482" s="273"/>
      <c r="AG482" s="274"/>
      <c r="AH482" s="275"/>
      <c r="AI482" s="272"/>
      <c r="AJ482" s="276"/>
      <c r="AK482" s="277"/>
      <c r="AL482" s="278"/>
      <c r="AM482" s="277"/>
      <c r="AN482" s="279"/>
      <c r="AO482" s="279"/>
      <c r="AP482" s="279"/>
      <c r="AQ482" s="378"/>
      <c r="AR482" s="305">
        <f>'预算书-初步'!$F$10</f>
        <v>0.09</v>
      </c>
      <c r="AT482" s="272"/>
      <c r="BC482" s="272" t="s">
        <v>521</v>
      </c>
      <c r="BD482" s="380">
        <v>1102</v>
      </c>
      <c r="BE482" s="347" t="s">
        <v>701</v>
      </c>
    </row>
    <row r="483" s="52" customFormat="1" ht="15.75" customHeight="1" spans="1:57">
      <c r="A483" s="227"/>
      <c r="B483" s="332"/>
      <c r="C483" s="228"/>
      <c r="D483" s="333"/>
      <c r="E483" s="334"/>
      <c r="F483" s="229"/>
      <c r="G483" s="333"/>
      <c r="H483" s="335"/>
      <c r="I483" s="229"/>
      <c r="J483" s="229"/>
      <c r="K483" s="336"/>
      <c r="L483" s="337"/>
      <c r="M483" s="337"/>
      <c r="N483" s="337"/>
      <c r="O483" s="337"/>
      <c r="P483" s="337"/>
      <c r="Q483" s="384">
        <v>8280</v>
      </c>
      <c r="R483" s="271">
        <f t="shared" si="36"/>
        <v>0</v>
      </c>
      <c r="S483" s="339">
        <f t="shared" ref="S483:S528" si="37">$S$5</f>
        <v>0</v>
      </c>
      <c r="T483" s="373"/>
      <c r="U483" s="373">
        <f>FA!J$114</f>
        <v>0</v>
      </c>
      <c r="V483" s="274"/>
      <c r="W483" s="374"/>
      <c r="X483" s="375"/>
      <c r="Y483" s="385" t="s">
        <v>645</v>
      </c>
      <c r="Z483" s="376"/>
      <c r="AA483" s="240"/>
      <c r="AB483" s="345">
        <v>1</v>
      </c>
      <c r="AC483" s="271"/>
      <c r="AD483" s="272"/>
      <c r="AE483" s="273"/>
      <c r="AF483" s="273"/>
      <c r="AG483" s="274"/>
      <c r="AH483" s="275"/>
      <c r="AI483" s="272"/>
      <c r="AJ483" s="276"/>
      <c r="AK483" s="277"/>
      <c r="AL483" s="278"/>
      <c r="AM483" s="277"/>
      <c r="AN483" s="279"/>
      <c r="AO483" s="279"/>
      <c r="AP483" s="279"/>
      <c r="AQ483" s="378"/>
      <c r="AR483" s="305">
        <f>'预算书-初步'!$F$10</f>
        <v>0.09</v>
      </c>
      <c r="AT483" s="272"/>
      <c r="BC483" s="272" t="s">
        <v>521</v>
      </c>
      <c r="BD483" s="380">
        <v>1103</v>
      </c>
      <c r="BE483" s="347" t="s">
        <v>701</v>
      </c>
    </row>
    <row r="484" s="52" customFormat="1" ht="15.75" customHeight="1" spans="1:57">
      <c r="A484" s="227"/>
      <c r="B484" s="332"/>
      <c r="C484" s="228"/>
      <c r="D484" s="333"/>
      <c r="E484" s="334"/>
      <c r="F484" s="229"/>
      <c r="G484" s="333"/>
      <c r="H484" s="335"/>
      <c r="I484" s="229"/>
      <c r="J484" s="229"/>
      <c r="K484" s="336"/>
      <c r="L484" s="337"/>
      <c r="M484" s="337"/>
      <c r="N484" s="337"/>
      <c r="O484" s="337"/>
      <c r="P484" s="337"/>
      <c r="Q484" s="384">
        <v>8321</v>
      </c>
      <c r="R484" s="271">
        <f t="shared" si="36"/>
        <v>0</v>
      </c>
      <c r="S484" s="339">
        <f t="shared" si="37"/>
        <v>0</v>
      </c>
      <c r="T484" s="373"/>
      <c r="U484" s="373">
        <f>FA!J$117</f>
        <v>0</v>
      </c>
      <c r="V484" s="274"/>
      <c r="W484" s="374"/>
      <c r="X484" s="375"/>
      <c r="Y484" s="385" t="s">
        <v>646</v>
      </c>
      <c r="Z484" s="376"/>
      <c r="AA484" s="240"/>
      <c r="AB484" s="345">
        <v>1</v>
      </c>
      <c r="AC484" s="271"/>
      <c r="AD484" s="272"/>
      <c r="AE484" s="273"/>
      <c r="AF484" s="273"/>
      <c r="AG484" s="274"/>
      <c r="AH484" s="275"/>
      <c r="AI484" s="272"/>
      <c r="AJ484" s="276"/>
      <c r="AK484" s="277"/>
      <c r="AL484" s="278"/>
      <c r="AM484" s="277"/>
      <c r="AN484" s="279"/>
      <c r="AO484" s="279"/>
      <c r="AP484" s="279"/>
      <c r="AQ484" s="378"/>
      <c r="AR484" s="305">
        <f>'预算书-初步'!$F$10</f>
        <v>0.09</v>
      </c>
      <c r="AT484" s="272"/>
      <c r="BC484" s="272" t="s">
        <v>521</v>
      </c>
      <c r="BD484" s="380">
        <v>1106</v>
      </c>
      <c r="BE484" s="347" t="s">
        <v>701</v>
      </c>
    </row>
    <row r="485" s="52" customFormat="1" ht="15.75" customHeight="1" spans="1:57">
      <c r="A485" s="227"/>
      <c r="B485" s="332"/>
      <c r="C485" s="228"/>
      <c r="D485" s="333"/>
      <c r="E485" s="334"/>
      <c r="F485" s="229"/>
      <c r="G485" s="333"/>
      <c r="H485" s="335"/>
      <c r="I485" s="229"/>
      <c r="J485" s="229"/>
      <c r="K485" s="336"/>
      <c r="L485" s="337"/>
      <c r="M485" s="337"/>
      <c r="N485" s="337"/>
      <c r="O485" s="337"/>
      <c r="P485" s="337"/>
      <c r="Q485" s="384">
        <v>8322</v>
      </c>
      <c r="R485" s="271">
        <f t="shared" si="36"/>
        <v>0</v>
      </c>
      <c r="S485" s="339">
        <f t="shared" si="37"/>
        <v>0</v>
      </c>
      <c r="T485" s="373"/>
      <c r="U485" s="373">
        <f>FA!J$118</f>
        <v>0</v>
      </c>
      <c r="V485" s="274"/>
      <c r="W485" s="374"/>
      <c r="X485" s="375"/>
      <c r="Y485" s="385" t="s">
        <v>647</v>
      </c>
      <c r="Z485" s="376"/>
      <c r="AA485" s="240"/>
      <c r="AB485" s="345">
        <v>1</v>
      </c>
      <c r="AC485" s="271"/>
      <c r="AD485" s="272"/>
      <c r="AE485" s="273"/>
      <c r="AF485" s="273"/>
      <c r="AG485" s="274"/>
      <c r="AH485" s="275"/>
      <c r="AI485" s="272"/>
      <c r="AJ485" s="276"/>
      <c r="AK485" s="277"/>
      <c r="AL485" s="278"/>
      <c r="AM485" s="277"/>
      <c r="AN485" s="279"/>
      <c r="AO485" s="279"/>
      <c r="AP485" s="279"/>
      <c r="AQ485" s="378"/>
      <c r="AR485" s="305">
        <f>'预算书-初步'!$F$10</f>
        <v>0.09</v>
      </c>
      <c r="AT485" s="272"/>
      <c r="BC485" s="272" t="s">
        <v>521</v>
      </c>
      <c r="BD485" s="380">
        <v>1107</v>
      </c>
      <c r="BE485" s="347" t="s">
        <v>701</v>
      </c>
    </row>
    <row r="486" s="52" customFormat="1" ht="15.75" customHeight="1" spans="1:57">
      <c r="A486" s="227"/>
      <c r="B486" s="332"/>
      <c r="C486" s="228"/>
      <c r="D486" s="333"/>
      <c r="E486" s="334"/>
      <c r="F486" s="229"/>
      <c r="G486" s="333"/>
      <c r="H486" s="335"/>
      <c r="I486" s="229"/>
      <c r="J486" s="229"/>
      <c r="K486" s="336"/>
      <c r="L486" s="337"/>
      <c r="M486" s="337"/>
      <c r="N486" s="337"/>
      <c r="O486" s="337"/>
      <c r="P486" s="337"/>
      <c r="Q486" s="384">
        <v>8323</v>
      </c>
      <c r="R486" s="271">
        <f t="shared" si="36"/>
        <v>0</v>
      </c>
      <c r="S486" s="339">
        <f t="shared" si="37"/>
        <v>0</v>
      </c>
      <c r="T486" s="373"/>
      <c r="U486" s="373">
        <f>SUMIF(其他!$A$9:$A$65,"8323",其他!$I$9:$I$65)</f>
        <v>0</v>
      </c>
      <c r="V486" s="274"/>
      <c r="W486" s="374"/>
      <c r="X486" s="375"/>
      <c r="Y486" s="45" t="s">
        <v>648</v>
      </c>
      <c r="Z486" s="376"/>
      <c r="AA486" s="240"/>
      <c r="AB486" s="345">
        <v>1</v>
      </c>
      <c r="AC486" s="271"/>
      <c r="AD486" s="272"/>
      <c r="AE486" s="273"/>
      <c r="AF486" s="273"/>
      <c r="AG486" s="274"/>
      <c r="AH486" s="275"/>
      <c r="AI486" s="272"/>
      <c r="AJ486" s="276"/>
      <c r="AK486" s="277"/>
      <c r="AL486" s="278"/>
      <c r="AM486" s="277"/>
      <c r="AN486" s="279"/>
      <c r="AO486" s="279"/>
      <c r="AP486" s="279"/>
      <c r="AQ486" s="378"/>
      <c r="AR486" s="305">
        <f>'预算书-初步'!$F$10</f>
        <v>0.09</v>
      </c>
      <c r="AT486" s="272"/>
      <c r="BC486" s="272" t="s">
        <v>521</v>
      </c>
      <c r="BD486" s="380">
        <v>1108</v>
      </c>
      <c r="BE486" s="347" t="s">
        <v>701</v>
      </c>
    </row>
    <row r="487" s="52" customFormat="1" ht="15.75" customHeight="1" spans="1:57">
      <c r="A487" s="227"/>
      <c r="B487" s="332"/>
      <c r="C487" s="228"/>
      <c r="D487" s="333"/>
      <c r="E487" s="334"/>
      <c r="F487" s="229"/>
      <c r="G487" s="333"/>
      <c r="H487" s="335"/>
      <c r="I487" s="229"/>
      <c r="J487" s="229"/>
      <c r="K487" s="336"/>
      <c r="L487" s="337"/>
      <c r="M487" s="337"/>
      <c r="N487" s="337"/>
      <c r="O487" s="337"/>
      <c r="P487" s="337"/>
      <c r="Q487" s="384">
        <v>8324</v>
      </c>
      <c r="R487" s="271">
        <f t="shared" si="36"/>
        <v>0</v>
      </c>
      <c r="S487" s="339">
        <f t="shared" si="37"/>
        <v>0</v>
      </c>
      <c r="T487" s="373"/>
      <c r="U487" s="373">
        <f>SUMIF(其他!$A$9:$A$65,"8324",其他!$I$9:$I$65)</f>
        <v>0</v>
      </c>
      <c r="V487" s="274"/>
      <c r="W487" s="374"/>
      <c r="X487" s="375"/>
      <c r="Y487" s="385" t="s">
        <v>649</v>
      </c>
      <c r="Z487" s="376"/>
      <c r="AA487" s="240"/>
      <c r="AB487" s="345">
        <v>1</v>
      </c>
      <c r="AC487" s="271"/>
      <c r="AD487" s="272"/>
      <c r="AE487" s="273"/>
      <c r="AF487" s="273"/>
      <c r="AG487" s="274"/>
      <c r="AH487" s="275"/>
      <c r="AI487" s="272"/>
      <c r="AJ487" s="276"/>
      <c r="AK487" s="277"/>
      <c r="AL487" s="278"/>
      <c r="AM487" s="277"/>
      <c r="AN487" s="279"/>
      <c r="AO487" s="279"/>
      <c r="AP487" s="279"/>
      <c r="AQ487" s="378"/>
      <c r="AR487" s="305">
        <f>'预算书-初步'!$F$10</f>
        <v>0.09</v>
      </c>
      <c r="AT487" s="272"/>
      <c r="BC487" s="272" t="s">
        <v>521</v>
      </c>
      <c r="BD487" s="380">
        <v>1108</v>
      </c>
      <c r="BE487" s="347" t="s">
        <v>701</v>
      </c>
    </row>
    <row r="488" s="52" customFormat="1" ht="15.75" customHeight="1" spans="1:57">
      <c r="A488" s="227"/>
      <c r="B488" s="332"/>
      <c r="C488" s="228"/>
      <c r="D488" s="333"/>
      <c r="E488" s="334"/>
      <c r="F488" s="229"/>
      <c r="G488" s="333"/>
      <c r="H488" s="335"/>
      <c r="I488" s="229"/>
      <c r="J488" s="229"/>
      <c r="K488" s="336"/>
      <c r="L488" s="337"/>
      <c r="M488" s="337"/>
      <c r="N488" s="337"/>
      <c r="O488" s="337"/>
      <c r="P488" s="337"/>
      <c r="Q488" s="384">
        <v>8325</v>
      </c>
      <c r="R488" s="271">
        <f t="shared" si="36"/>
        <v>0</v>
      </c>
      <c r="S488" s="339">
        <f t="shared" si="37"/>
        <v>0</v>
      </c>
      <c r="T488" s="373"/>
      <c r="U488" s="373">
        <f>FA!J$120</f>
        <v>0</v>
      </c>
      <c r="V488" s="274"/>
      <c r="W488" s="374"/>
      <c r="X488" s="375"/>
      <c r="Y488" s="388" t="s">
        <v>650</v>
      </c>
      <c r="Z488" s="376"/>
      <c r="AA488" s="240"/>
      <c r="AB488" s="345">
        <v>1</v>
      </c>
      <c r="AC488" s="271"/>
      <c r="AD488" s="272"/>
      <c r="AE488" s="273"/>
      <c r="AF488" s="273"/>
      <c r="AG488" s="274"/>
      <c r="AH488" s="275"/>
      <c r="AI488" s="272"/>
      <c r="AJ488" s="276"/>
      <c r="AK488" s="277"/>
      <c r="AL488" s="278"/>
      <c r="AM488" s="277"/>
      <c r="AN488" s="279"/>
      <c r="AO488" s="279"/>
      <c r="AP488" s="279"/>
      <c r="AQ488" s="378"/>
      <c r="AR488" s="305">
        <f>'预算书-初步'!$F$10</f>
        <v>0.09</v>
      </c>
      <c r="AT488" s="272"/>
      <c r="BC488" s="272" t="s">
        <v>521</v>
      </c>
      <c r="BD488" s="380">
        <v>1109</v>
      </c>
      <c r="BE488" s="347" t="s">
        <v>701</v>
      </c>
    </row>
    <row r="489" s="52" customFormat="1" ht="15.75" customHeight="1" spans="1:57">
      <c r="A489" s="227"/>
      <c r="B489" s="332"/>
      <c r="C489" s="228"/>
      <c r="D489" s="333"/>
      <c r="E489" s="334"/>
      <c r="F489" s="229"/>
      <c r="G489" s="333"/>
      <c r="H489" s="335"/>
      <c r="I489" s="229"/>
      <c r="J489" s="229"/>
      <c r="K489" s="336"/>
      <c r="L489" s="337"/>
      <c r="M489" s="337"/>
      <c r="N489" s="337"/>
      <c r="O489" s="337"/>
      <c r="P489" s="337"/>
      <c r="Q489" s="384">
        <v>8326</v>
      </c>
      <c r="R489" s="271">
        <f t="shared" si="36"/>
        <v>0</v>
      </c>
      <c r="S489" s="339">
        <f t="shared" si="37"/>
        <v>0</v>
      </c>
      <c r="T489" s="373"/>
      <c r="U489" s="373">
        <f>FA!J$121</f>
        <v>0</v>
      </c>
      <c r="V489" s="274"/>
      <c r="W489" s="374"/>
      <c r="X489" s="375"/>
      <c r="Y489" s="45" t="s">
        <v>651</v>
      </c>
      <c r="Z489" s="376"/>
      <c r="AA489" s="240"/>
      <c r="AB489" s="345">
        <v>1</v>
      </c>
      <c r="AC489" s="271"/>
      <c r="AD489" s="272"/>
      <c r="AE489" s="273"/>
      <c r="AF489" s="273"/>
      <c r="AG489" s="274"/>
      <c r="AH489" s="275"/>
      <c r="AI489" s="272"/>
      <c r="AJ489" s="276"/>
      <c r="AK489" s="277"/>
      <c r="AL489" s="278"/>
      <c r="AM489" s="277"/>
      <c r="AN489" s="279"/>
      <c r="AO489" s="279"/>
      <c r="AP489" s="279"/>
      <c r="AQ489" s="378"/>
      <c r="AR489" s="305">
        <f>'预算书-初步'!$F$10</f>
        <v>0.09</v>
      </c>
      <c r="AT489" s="272"/>
      <c r="BC489" s="272" t="s">
        <v>521</v>
      </c>
      <c r="BD489" s="380">
        <v>1110</v>
      </c>
      <c r="BE489" s="347" t="s">
        <v>701</v>
      </c>
    </row>
    <row r="490" s="52" customFormat="1" ht="15.75" customHeight="1" spans="1:57">
      <c r="A490" s="227"/>
      <c r="B490" s="332"/>
      <c r="C490" s="228"/>
      <c r="D490" s="333"/>
      <c r="E490" s="334"/>
      <c r="F490" s="229"/>
      <c r="G490" s="333"/>
      <c r="H490" s="335"/>
      <c r="I490" s="229"/>
      <c r="J490" s="229"/>
      <c r="K490" s="336"/>
      <c r="L490" s="337"/>
      <c r="M490" s="337"/>
      <c r="N490" s="337"/>
      <c r="O490" s="337"/>
      <c r="P490" s="337"/>
      <c r="Q490" s="384">
        <v>8327</v>
      </c>
      <c r="R490" s="271">
        <f t="shared" si="36"/>
        <v>0</v>
      </c>
      <c r="S490" s="339">
        <f t="shared" si="37"/>
        <v>0</v>
      </c>
      <c r="T490" s="373"/>
      <c r="U490" s="373">
        <f>FA!J$122</f>
        <v>0</v>
      </c>
      <c r="V490" s="274"/>
      <c r="W490" s="374"/>
      <c r="X490" s="375"/>
      <c r="Y490" s="385" t="s">
        <v>652</v>
      </c>
      <c r="Z490" s="376"/>
      <c r="AA490" s="240"/>
      <c r="AB490" s="345">
        <v>1</v>
      </c>
      <c r="AC490" s="271"/>
      <c r="AD490" s="272"/>
      <c r="AE490" s="273"/>
      <c r="AF490" s="273"/>
      <c r="AG490" s="274"/>
      <c r="AH490" s="275"/>
      <c r="AI490" s="272"/>
      <c r="AJ490" s="276"/>
      <c r="AK490" s="277"/>
      <c r="AL490" s="278"/>
      <c r="AM490" s="277"/>
      <c r="AN490" s="279"/>
      <c r="AO490" s="279"/>
      <c r="AP490" s="279"/>
      <c r="AQ490" s="378"/>
      <c r="AR490" s="305">
        <f>'预算书-初步'!$F$10</f>
        <v>0.09</v>
      </c>
      <c r="AT490" s="272"/>
      <c r="BC490" s="272" t="s">
        <v>521</v>
      </c>
      <c r="BD490" s="380">
        <v>1111</v>
      </c>
      <c r="BE490" s="347" t="s">
        <v>701</v>
      </c>
    </row>
    <row r="491" s="52" customFormat="1" ht="15.75" customHeight="1" spans="1:57">
      <c r="A491" s="227"/>
      <c r="B491" s="332"/>
      <c r="C491" s="228"/>
      <c r="D491" s="333"/>
      <c r="E491" s="334"/>
      <c r="F491" s="229"/>
      <c r="G491" s="333"/>
      <c r="H491" s="335"/>
      <c r="I491" s="229"/>
      <c r="J491" s="229"/>
      <c r="K491" s="336"/>
      <c r="L491" s="337"/>
      <c r="M491" s="337"/>
      <c r="N491" s="337"/>
      <c r="O491" s="337"/>
      <c r="P491" s="337"/>
      <c r="Q491" s="384">
        <v>8328</v>
      </c>
      <c r="R491" s="271">
        <f t="shared" si="36"/>
        <v>0</v>
      </c>
      <c r="S491" s="339">
        <f t="shared" si="37"/>
        <v>0</v>
      </c>
      <c r="T491" s="373"/>
      <c r="U491" s="373">
        <f>FA!J$123</f>
        <v>0</v>
      </c>
      <c r="V491" s="274"/>
      <c r="W491" s="374"/>
      <c r="X491" s="375"/>
      <c r="Y491" s="45" t="s">
        <v>653</v>
      </c>
      <c r="Z491" s="376"/>
      <c r="AA491" s="240"/>
      <c r="AB491" s="345">
        <v>1</v>
      </c>
      <c r="AC491" s="271"/>
      <c r="AD491" s="272"/>
      <c r="AE491" s="273"/>
      <c r="AF491" s="273"/>
      <c r="AG491" s="274"/>
      <c r="AH491" s="275"/>
      <c r="AI491" s="272"/>
      <c r="AJ491" s="276"/>
      <c r="AK491" s="277"/>
      <c r="AL491" s="278"/>
      <c r="AM491" s="277"/>
      <c r="AN491" s="279"/>
      <c r="AO491" s="279"/>
      <c r="AP491" s="279"/>
      <c r="AQ491" s="378"/>
      <c r="AR491" s="305">
        <f>'预算书-初步'!$F$10</f>
        <v>0.09</v>
      </c>
      <c r="AT491" s="272"/>
      <c r="BC491" s="272" t="s">
        <v>521</v>
      </c>
      <c r="BD491" s="380">
        <v>1112</v>
      </c>
      <c r="BE491" s="347" t="s">
        <v>701</v>
      </c>
    </row>
    <row r="492" s="52" customFormat="1" ht="15.75" customHeight="1" spans="1:57">
      <c r="A492" s="227"/>
      <c r="B492" s="332"/>
      <c r="C492" s="228"/>
      <c r="D492" s="333"/>
      <c r="E492" s="334"/>
      <c r="F492" s="229"/>
      <c r="G492" s="333"/>
      <c r="H492" s="335"/>
      <c r="I492" s="229"/>
      <c r="J492" s="229"/>
      <c r="K492" s="336"/>
      <c r="L492" s="337"/>
      <c r="M492" s="337"/>
      <c r="N492" s="337"/>
      <c r="O492" s="337"/>
      <c r="P492" s="337"/>
      <c r="Q492" s="384">
        <v>8331</v>
      </c>
      <c r="R492" s="271">
        <f t="shared" si="36"/>
        <v>0</v>
      </c>
      <c r="S492" s="339">
        <f t="shared" si="37"/>
        <v>0</v>
      </c>
      <c r="T492" s="373"/>
      <c r="U492" s="373">
        <f>FA!J$124</f>
        <v>0</v>
      </c>
      <c r="V492" s="274"/>
      <c r="W492" s="374"/>
      <c r="X492" s="375"/>
      <c r="Y492" s="45" t="s">
        <v>654</v>
      </c>
      <c r="Z492" s="376"/>
      <c r="AA492" s="240"/>
      <c r="AB492" s="345">
        <v>1</v>
      </c>
      <c r="AC492" s="271"/>
      <c r="AD492" s="272"/>
      <c r="AE492" s="273"/>
      <c r="AF492" s="273"/>
      <c r="AG492" s="274"/>
      <c r="AH492" s="275"/>
      <c r="AI492" s="272"/>
      <c r="AJ492" s="276"/>
      <c r="AK492" s="277"/>
      <c r="AL492" s="278"/>
      <c r="AM492" s="277"/>
      <c r="AN492" s="279"/>
      <c r="AO492" s="279"/>
      <c r="AP492" s="279"/>
      <c r="AQ492" s="378"/>
      <c r="AR492" s="305">
        <f>'预算书-初步'!$F$10</f>
        <v>0.09</v>
      </c>
      <c r="AT492" s="272"/>
      <c r="BC492" s="272" t="s">
        <v>521</v>
      </c>
      <c r="BD492" s="380">
        <v>1113</v>
      </c>
      <c r="BE492" s="347" t="s">
        <v>701</v>
      </c>
    </row>
    <row r="493" s="52" customFormat="1" ht="15.75" customHeight="1" spans="1:57">
      <c r="A493" s="227"/>
      <c r="B493" s="332"/>
      <c r="C493" s="228"/>
      <c r="D493" s="333"/>
      <c r="E493" s="334"/>
      <c r="F493" s="229"/>
      <c r="G493" s="333"/>
      <c r="H493" s="335"/>
      <c r="I493" s="229"/>
      <c r="J493" s="229"/>
      <c r="K493" s="336"/>
      <c r="L493" s="337"/>
      <c r="M493" s="337"/>
      <c r="N493" s="337"/>
      <c r="O493" s="337"/>
      <c r="P493" s="337"/>
      <c r="Q493" s="384">
        <v>8332</v>
      </c>
      <c r="R493" s="271">
        <f t="shared" si="36"/>
        <v>0</v>
      </c>
      <c r="S493" s="339">
        <f t="shared" si="37"/>
        <v>0</v>
      </c>
      <c r="T493" s="373"/>
      <c r="U493" s="373">
        <f>FA!J$125</f>
        <v>0</v>
      </c>
      <c r="V493" s="274"/>
      <c r="W493" s="374"/>
      <c r="X493" s="375"/>
      <c r="Y493" s="45" t="s">
        <v>655</v>
      </c>
      <c r="Z493" s="376"/>
      <c r="AA493" s="240"/>
      <c r="AB493" s="345">
        <v>1</v>
      </c>
      <c r="AC493" s="271"/>
      <c r="AD493" s="272"/>
      <c r="AE493" s="273"/>
      <c r="AF493" s="273"/>
      <c r="AG493" s="274"/>
      <c r="AH493" s="275"/>
      <c r="AI493" s="272"/>
      <c r="AJ493" s="276"/>
      <c r="AK493" s="277"/>
      <c r="AL493" s="278"/>
      <c r="AM493" s="277"/>
      <c r="AN493" s="279"/>
      <c r="AO493" s="279"/>
      <c r="AP493" s="279"/>
      <c r="AQ493" s="378"/>
      <c r="AR493" s="305">
        <f>'预算书-初步'!$F$10</f>
        <v>0.09</v>
      </c>
      <c r="AT493" s="272"/>
      <c r="BC493" s="272" t="s">
        <v>521</v>
      </c>
      <c r="BD493" s="380">
        <v>1114</v>
      </c>
      <c r="BE493" s="347" t="s">
        <v>701</v>
      </c>
    </row>
    <row r="494" s="52" customFormat="1" ht="15.75" customHeight="1" spans="1:57">
      <c r="A494" s="227"/>
      <c r="B494" s="332"/>
      <c r="C494" s="228"/>
      <c r="D494" s="333"/>
      <c r="E494" s="334"/>
      <c r="F494" s="229"/>
      <c r="G494" s="333"/>
      <c r="H494" s="335"/>
      <c r="I494" s="229"/>
      <c r="J494" s="229"/>
      <c r="K494" s="336"/>
      <c r="L494" s="337"/>
      <c r="M494" s="337"/>
      <c r="N494" s="337"/>
      <c r="O494" s="337"/>
      <c r="P494" s="337"/>
      <c r="Q494" s="384">
        <v>8333</v>
      </c>
      <c r="R494" s="271">
        <f t="shared" si="36"/>
        <v>0</v>
      </c>
      <c r="S494" s="339">
        <f t="shared" si="37"/>
        <v>0</v>
      </c>
      <c r="T494" s="373"/>
      <c r="U494" s="373">
        <f>FA!J$126</f>
        <v>0</v>
      </c>
      <c r="V494" s="274"/>
      <c r="W494" s="374"/>
      <c r="X494" s="375"/>
      <c r="Y494" s="388" t="s">
        <v>656</v>
      </c>
      <c r="Z494" s="376"/>
      <c r="AA494" s="240"/>
      <c r="AB494" s="345">
        <v>1</v>
      </c>
      <c r="AC494" s="271"/>
      <c r="AD494" s="272"/>
      <c r="AE494" s="273"/>
      <c r="AF494" s="273"/>
      <c r="AG494" s="274"/>
      <c r="AH494" s="275"/>
      <c r="AI494" s="272"/>
      <c r="AJ494" s="276"/>
      <c r="AK494" s="277"/>
      <c r="AL494" s="278"/>
      <c r="AM494" s="277"/>
      <c r="AN494" s="279"/>
      <c r="AO494" s="279"/>
      <c r="AP494" s="279"/>
      <c r="AQ494" s="378"/>
      <c r="AR494" s="305">
        <f>'预算书-初步'!$F$10</f>
        <v>0.09</v>
      </c>
      <c r="AT494" s="272"/>
      <c r="BC494" s="272" t="s">
        <v>521</v>
      </c>
      <c r="BD494" s="380">
        <v>1115</v>
      </c>
      <c r="BE494" s="347" t="s">
        <v>701</v>
      </c>
    </row>
    <row r="495" s="52" customFormat="1" ht="15.75" customHeight="1" spans="1:57">
      <c r="A495" s="227"/>
      <c r="B495" s="332"/>
      <c r="C495" s="228"/>
      <c r="D495" s="333"/>
      <c r="E495" s="334"/>
      <c r="F495" s="229"/>
      <c r="G495" s="333"/>
      <c r="H495" s="335"/>
      <c r="I495" s="229"/>
      <c r="J495" s="229"/>
      <c r="K495" s="336"/>
      <c r="L495" s="337"/>
      <c r="M495" s="337"/>
      <c r="N495" s="337"/>
      <c r="O495" s="337"/>
      <c r="P495" s="337"/>
      <c r="Q495" s="384">
        <v>8334</v>
      </c>
      <c r="R495" s="271">
        <f t="shared" si="36"/>
        <v>0</v>
      </c>
      <c r="S495" s="339">
        <f t="shared" si="37"/>
        <v>0</v>
      </c>
      <c r="T495" s="373"/>
      <c r="U495" s="373">
        <f>FA!J$127</f>
        <v>0</v>
      </c>
      <c r="V495" s="274"/>
      <c r="W495" s="374"/>
      <c r="X495" s="375"/>
      <c r="Y495" s="388" t="s">
        <v>657</v>
      </c>
      <c r="Z495" s="376"/>
      <c r="AA495" s="240"/>
      <c r="AB495" s="345">
        <v>1</v>
      </c>
      <c r="AC495" s="271"/>
      <c r="AD495" s="272"/>
      <c r="AE495" s="273"/>
      <c r="AF495" s="273"/>
      <c r="AG495" s="274"/>
      <c r="AH495" s="275"/>
      <c r="AI495" s="272"/>
      <c r="AJ495" s="276"/>
      <c r="AK495" s="277"/>
      <c r="AL495" s="278"/>
      <c r="AM495" s="277"/>
      <c r="AN495" s="279"/>
      <c r="AO495" s="279"/>
      <c r="AP495" s="279"/>
      <c r="AQ495" s="378"/>
      <c r="AR495" s="305">
        <f>'预算书-初步'!$F$10</f>
        <v>0.09</v>
      </c>
      <c r="AT495" s="272"/>
      <c r="BC495" s="272" t="s">
        <v>521</v>
      </c>
      <c r="BD495" s="380">
        <v>1116</v>
      </c>
      <c r="BE495" s="347" t="s">
        <v>701</v>
      </c>
    </row>
    <row r="496" s="52" customFormat="1" ht="15.75" customHeight="1" spans="1:57">
      <c r="A496" s="227"/>
      <c r="B496" s="332"/>
      <c r="C496" s="228"/>
      <c r="D496" s="333"/>
      <c r="E496" s="334"/>
      <c r="F496" s="229"/>
      <c r="G496" s="333"/>
      <c r="H496" s="335"/>
      <c r="I496" s="229"/>
      <c r="J496" s="229"/>
      <c r="K496" s="336"/>
      <c r="L496" s="337"/>
      <c r="M496" s="337"/>
      <c r="N496" s="337"/>
      <c r="O496" s="337"/>
      <c r="P496" s="337"/>
      <c r="Q496" s="384">
        <v>8335</v>
      </c>
      <c r="R496" s="271">
        <f t="shared" si="36"/>
        <v>0</v>
      </c>
      <c r="S496" s="339">
        <f t="shared" si="37"/>
        <v>0</v>
      </c>
      <c r="T496" s="373"/>
      <c r="U496" s="373">
        <f>FA!J$128</f>
        <v>0</v>
      </c>
      <c r="V496" s="274"/>
      <c r="W496" s="374"/>
      <c r="X496" s="375"/>
      <c r="Y496" s="45" t="s">
        <v>658</v>
      </c>
      <c r="Z496" s="376"/>
      <c r="AA496" s="240"/>
      <c r="AB496" s="345">
        <v>1</v>
      </c>
      <c r="AC496" s="271"/>
      <c r="AD496" s="272"/>
      <c r="AE496" s="273"/>
      <c r="AF496" s="273"/>
      <c r="AG496" s="274"/>
      <c r="AH496" s="275"/>
      <c r="AI496" s="272"/>
      <c r="AJ496" s="276"/>
      <c r="AK496" s="277"/>
      <c r="AL496" s="278"/>
      <c r="AM496" s="277"/>
      <c r="AN496" s="279"/>
      <c r="AO496" s="279"/>
      <c r="AP496" s="279"/>
      <c r="AQ496" s="378"/>
      <c r="AR496" s="305">
        <f>'预算书-初步'!$F$10</f>
        <v>0.09</v>
      </c>
      <c r="AT496" s="272"/>
      <c r="BC496" s="272" t="s">
        <v>521</v>
      </c>
      <c r="BD496" s="380">
        <v>1117</v>
      </c>
      <c r="BE496" s="347" t="s">
        <v>701</v>
      </c>
    </row>
    <row r="497" s="52" customFormat="1" ht="15.75" customHeight="1" spans="1:57">
      <c r="A497" s="227"/>
      <c r="B497" s="332"/>
      <c r="C497" s="228"/>
      <c r="D497" s="333"/>
      <c r="E497" s="334"/>
      <c r="F497" s="229"/>
      <c r="G497" s="333"/>
      <c r="H497" s="335"/>
      <c r="I497" s="229"/>
      <c r="J497" s="229"/>
      <c r="K497" s="336"/>
      <c r="L497" s="337"/>
      <c r="M497" s="337"/>
      <c r="N497" s="337"/>
      <c r="O497" s="337"/>
      <c r="P497" s="337"/>
      <c r="Q497" s="384">
        <v>8351</v>
      </c>
      <c r="R497" s="271">
        <f t="shared" si="36"/>
        <v>0</v>
      </c>
      <c r="S497" s="339">
        <f t="shared" si="37"/>
        <v>0</v>
      </c>
      <c r="T497" s="373"/>
      <c r="U497" s="373">
        <f>FA!J$129</f>
        <v>0</v>
      </c>
      <c r="V497" s="274"/>
      <c r="W497" s="374"/>
      <c r="X497" s="375"/>
      <c r="Y497" s="388" t="s">
        <v>659</v>
      </c>
      <c r="Z497" s="376"/>
      <c r="AA497" s="240"/>
      <c r="AB497" s="345">
        <v>1</v>
      </c>
      <c r="AC497" s="271"/>
      <c r="AD497" s="272"/>
      <c r="AE497" s="273"/>
      <c r="AF497" s="273"/>
      <c r="AG497" s="274"/>
      <c r="AH497" s="275"/>
      <c r="AI497" s="272"/>
      <c r="AJ497" s="276"/>
      <c r="AK497" s="277"/>
      <c r="AL497" s="278"/>
      <c r="AM497" s="277"/>
      <c r="AN497" s="279"/>
      <c r="AO497" s="279"/>
      <c r="AP497" s="279"/>
      <c r="AQ497" s="378"/>
      <c r="AR497" s="305">
        <f>'预算书-初步'!$F$10</f>
        <v>0.09</v>
      </c>
      <c r="AT497" s="272"/>
      <c r="BC497" s="272" t="s">
        <v>521</v>
      </c>
      <c r="BD497" s="380">
        <v>1118</v>
      </c>
      <c r="BE497" s="347" t="s">
        <v>701</v>
      </c>
    </row>
    <row r="498" s="52" customFormat="1" ht="15.75" customHeight="1" spans="1:57">
      <c r="A498" s="227"/>
      <c r="B498" s="332"/>
      <c r="C498" s="228"/>
      <c r="D498" s="333"/>
      <c r="E498" s="334"/>
      <c r="F498" s="229"/>
      <c r="G498" s="333"/>
      <c r="H498" s="335"/>
      <c r="I498" s="229"/>
      <c r="J498" s="229"/>
      <c r="K498" s="336"/>
      <c r="L498" s="337"/>
      <c r="M498" s="337"/>
      <c r="N498" s="337"/>
      <c r="O498" s="337"/>
      <c r="P498" s="337"/>
      <c r="Q498" s="384">
        <v>8341</v>
      </c>
      <c r="R498" s="271">
        <f t="shared" si="36"/>
        <v>0</v>
      </c>
      <c r="S498" s="339">
        <f t="shared" si="37"/>
        <v>0</v>
      </c>
      <c r="T498" s="373"/>
      <c r="U498" s="373">
        <f>SUMIF(其他!$A$9:$A$65,"8341",其他!$I$9:$I$65)</f>
        <v>0</v>
      </c>
      <c r="V498" s="274"/>
      <c r="W498" s="374"/>
      <c r="X498" s="375"/>
      <c r="Y498" s="388" t="s">
        <v>660</v>
      </c>
      <c r="Z498" s="376"/>
      <c r="AA498" s="240"/>
      <c r="AB498" s="345">
        <v>1</v>
      </c>
      <c r="AC498" s="271"/>
      <c r="AD498" s="272"/>
      <c r="AE498" s="273"/>
      <c r="AF498" s="273"/>
      <c r="AG498" s="274"/>
      <c r="AH498" s="275"/>
      <c r="AI498" s="272"/>
      <c r="AJ498" s="276"/>
      <c r="AK498" s="277"/>
      <c r="AL498" s="278"/>
      <c r="AM498" s="277"/>
      <c r="AN498" s="279"/>
      <c r="AO498" s="279"/>
      <c r="AP498" s="279"/>
      <c r="AQ498" s="378"/>
      <c r="AR498" s="305">
        <f>'预算书-初步'!$F$10</f>
        <v>0.09</v>
      </c>
      <c r="AT498" s="272"/>
      <c r="BC498" s="272" t="s">
        <v>521</v>
      </c>
      <c r="BD498" s="380">
        <v>1119</v>
      </c>
      <c r="BE498" s="347" t="s">
        <v>701</v>
      </c>
    </row>
    <row r="499" s="52" customFormat="1" ht="15.75" customHeight="1" spans="1:57">
      <c r="A499" s="227"/>
      <c r="B499" s="332"/>
      <c r="C499" s="228"/>
      <c r="D499" s="333"/>
      <c r="E499" s="334"/>
      <c r="F499" s="229"/>
      <c r="G499" s="333"/>
      <c r="H499" s="335"/>
      <c r="I499" s="229"/>
      <c r="J499" s="229"/>
      <c r="K499" s="336"/>
      <c r="L499" s="337"/>
      <c r="M499" s="337"/>
      <c r="N499" s="337"/>
      <c r="O499" s="337"/>
      <c r="P499" s="337"/>
      <c r="Q499" s="384">
        <v>8342</v>
      </c>
      <c r="R499" s="271">
        <f t="shared" si="36"/>
        <v>0</v>
      </c>
      <c r="S499" s="339">
        <f t="shared" si="37"/>
        <v>0</v>
      </c>
      <c r="T499" s="373"/>
      <c r="U499" s="373">
        <f>SUMIF(其他!$A$9:$A$65,"8342",其他!$I$9:$I$65)</f>
        <v>0</v>
      </c>
      <c r="V499" s="274"/>
      <c r="W499" s="374"/>
      <c r="X499" s="375"/>
      <c r="Y499" s="45" t="s">
        <v>661</v>
      </c>
      <c r="Z499" s="376"/>
      <c r="AA499" s="240"/>
      <c r="AB499" s="345">
        <v>1</v>
      </c>
      <c r="AC499" s="271"/>
      <c r="AD499" s="272"/>
      <c r="AE499" s="273"/>
      <c r="AF499" s="273"/>
      <c r="AG499" s="274"/>
      <c r="AH499" s="275"/>
      <c r="AI499" s="272"/>
      <c r="AJ499" s="276"/>
      <c r="AK499" s="277"/>
      <c r="AL499" s="278"/>
      <c r="AM499" s="277"/>
      <c r="AN499" s="279"/>
      <c r="AO499" s="279"/>
      <c r="AP499" s="279"/>
      <c r="AQ499" s="378"/>
      <c r="AR499" s="305">
        <f>'预算书-初步'!$F$10</f>
        <v>0.09</v>
      </c>
      <c r="AT499" s="272"/>
      <c r="BC499" s="272" t="s">
        <v>521</v>
      </c>
      <c r="BD499" s="380">
        <v>1119</v>
      </c>
      <c r="BE499" s="347" t="s">
        <v>701</v>
      </c>
    </row>
    <row r="500" s="52" customFormat="1" ht="15.75" customHeight="1" spans="1:57">
      <c r="A500" s="227"/>
      <c r="B500" s="332"/>
      <c r="C500" s="228"/>
      <c r="D500" s="333"/>
      <c r="E500" s="334"/>
      <c r="F500" s="229"/>
      <c r="G500" s="333"/>
      <c r="H500" s="335"/>
      <c r="I500" s="229"/>
      <c r="J500" s="229"/>
      <c r="K500" s="336"/>
      <c r="L500" s="337"/>
      <c r="M500" s="337"/>
      <c r="N500" s="337"/>
      <c r="O500" s="337"/>
      <c r="P500" s="337"/>
      <c r="Q500" s="384">
        <v>8343</v>
      </c>
      <c r="R500" s="271">
        <f t="shared" si="36"/>
        <v>0</v>
      </c>
      <c r="S500" s="339">
        <f t="shared" si="37"/>
        <v>0</v>
      </c>
      <c r="T500" s="373"/>
      <c r="U500" s="373">
        <f>SUMIF(其他!$A$9:$A$65,"8343",其他!$I$9:$I$65)</f>
        <v>0</v>
      </c>
      <c r="V500" s="274"/>
      <c r="W500" s="374"/>
      <c r="X500" s="375"/>
      <c r="Y500" s="45" t="s">
        <v>662</v>
      </c>
      <c r="Z500" s="376"/>
      <c r="AA500" s="240"/>
      <c r="AB500" s="345">
        <v>1</v>
      </c>
      <c r="AC500" s="271"/>
      <c r="AD500" s="272"/>
      <c r="AE500" s="273"/>
      <c r="AF500" s="273"/>
      <c r="AG500" s="274"/>
      <c r="AH500" s="275"/>
      <c r="AI500" s="272"/>
      <c r="AJ500" s="276"/>
      <c r="AK500" s="277"/>
      <c r="AL500" s="278"/>
      <c r="AM500" s="277"/>
      <c r="AN500" s="279"/>
      <c r="AO500" s="279"/>
      <c r="AP500" s="279"/>
      <c r="AQ500" s="378"/>
      <c r="AR500" s="305">
        <f>'预算书-初步'!$F$10</f>
        <v>0.09</v>
      </c>
      <c r="AT500" s="272"/>
      <c r="BC500" s="272" t="s">
        <v>521</v>
      </c>
      <c r="BD500" s="380">
        <v>1119</v>
      </c>
      <c r="BE500" s="347" t="s">
        <v>701</v>
      </c>
    </row>
    <row r="501" s="52" customFormat="1" ht="15.75" customHeight="1" spans="1:57">
      <c r="A501" s="227"/>
      <c r="B501" s="332"/>
      <c r="C501" s="228"/>
      <c r="D501" s="333"/>
      <c r="E501" s="334"/>
      <c r="F501" s="229"/>
      <c r="G501" s="333"/>
      <c r="H501" s="335"/>
      <c r="I501" s="229"/>
      <c r="J501" s="229"/>
      <c r="K501" s="336"/>
      <c r="L501" s="337"/>
      <c r="M501" s="337"/>
      <c r="N501" s="337"/>
      <c r="O501" s="337"/>
      <c r="P501" s="337"/>
      <c r="Q501" s="384">
        <v>8344</v>
      </c>
      <c r="R501" s="271">
        <f t="shared" si="36"/>
        <v>0</v>
      </c>
      <c r="S501" s="339">
        <f t="shared" si="37"/>
        <v>0</v>
      </c>
      <c r="T501" s="373"/>
      <c r="U501" s="373">
        <f>SUMIF(其他!$A$9:$A$65,"8344",其他!$I$9:$I$65)</f>
        <v>0</v>
      </c>
      <c r="V501" s="274"/>
      <c r="W501" s="374"/>
      <c r="X501" s="375"/>
      <c r="Y501" s="385" t="s">
        <v>663</v>
      </c>
      <c r="Z501" s="376"/>
      <c r="AA501" s="240"/>
      <c r="AB501" s="345">
        <v>1</v>
      </c>
      <c r="AC501" s="271"/>
      <c r="AD501" s="272"/>
      <c r="AE501" s="273"/>
      <c r="AF501" s="273"/>
      <c r="AG501" s="274"/>
      <c r="AH501" s="275"/>
      <c r="AI501" s="272"/>
      <c r="AJ501" s="276"/>
      <c r="AK501" s="277"/>
      <c r="AL501" s="278"/>
      <c r="AM501" s="277"/>
      <c r="AN501" s="279"/>
      <c r="AO501" s="279"/>
      <c r="AP501" s="279"/>
      <c r="AQ501" s="378"/>
      <c r="AR501" s="305">
        <f>'预算书-初步'!$F$10</f>
        <v>0.09</v>
      </c>
      <c r="AT501" s="272"/>
      <c r="BC501" s="272" t="s">
        <v>521</v>
      </c>
      <c r="BD501" s="380">
        <v>1120</v>
      </c>
      <c r="BE501" s="347" t="s">
        <v>701</v>
      </c>
    </row>
    <row r="502" s="52" customFormat="1" ht="15.75" customHeight="1" spans="1:57">
      <c r="A502" s="227"/>
      <c r="B502" s="332"/>
      <c r="C502" s="228"/>
      <c r="D502" s="333"/>
      <c r="E502" s="334"/>
      <c r="F502" s="229"/>
      <c r="G502" s="333"/>
      <c r="H502" s="335"/>
      <c r="I502" s="229"/>
      <c r="J502" s="229"/>
      <c r="K502" s="336"/>
      <c r="L502" s="337"/>
      <c r="M502" s="337"/>
      <c r="N502" s="337"/>
      <c r="O502" s="337"/>
      <c r="P502" s="337"/>
      <c r="Q502" s="384">
        <v>8345</v>
      </c>
      <c r="R502" s="271">
        <f t="shared" si="36"/>
        <v>0</v>
      </c>
      <c r="S502" s="339">
        <f t="shared" si="37"/>
        <v>0</v>
      </c>
      <c r="T502" s="373"/>
      <c r="U502" s="373">
        <f>SUMIF(其他!$A$9:$A$65,"8345",其他!$I$9:$I$65)</f>
        <v>0</v>
      </c>
      <c r="V502" s="274"/>
      <c r="W502" s="374"/>
      <c r="X502" s="375"/>
      <c r="Y502" s="385" t="s">
        <v>664</v>
      </c>
      <c r="Z502" s="376"/>
      <c r="AA502" s="240"/>
      <c r="AB502" s="345">
        <v>1</v>
      </c>
      <c r="AC502" s="271"/>
      <c r="AD502" s="272"/>
      <c r="AE502" s="273"/>
      <c r="AF502" s="273"/>
      <c r="AG502" s="274"/>
      <c r="AH502" s="275"/>
      <c r="AI502" s="272"/>
      <c r="AJ502" s="276"/>
      <c r="AK502" s="277"/>
      <c r="AL502" s="278"/>
      <c r="AM502" s="277"/>
      <c r="AN502" s="279"/>
      <c r="AO502" s="279"/>
      <c r="AP502" s="279"/>
      <c r="AQ502" s="378"/>
      <c r="AR502" s="305">
        <f>'预算书-初步'!$F$10</f>
        <v>0.09</v>
      </c>
      <c r="AT502" s="272"/>
      <c r="BC502" s="272" t="s">
        <v>521</v>
      </c>
      <c r="BD502" s="380">
        <v>1120</v>
      </c>
      <c r="BE502" s="347" t="s">
        <v>701</v>
      </c>
    </row>
    <row r="503" s="52" customFormat="1" ht="15.75" customHeight="1" spans="1:57">
      <c r="A503" s="227"/>
      <c r="B503" s="332"/>
      <c r="C503" s="228"/>
      <c r="D503" s="333"/>
      <c r="E503" s="334"/>
      <c r="F503" s="229"/>
      <c r="G503" s="333"/>
      <c r="H503" s="335"/>
      <c r="I503" s="229"/>
      <c r="J503" s="229"/>
      <c r="K503" s="336"/>
      <c r="L503" s="337"/>
      <c r="M503" s="337"/>
      <c r="N503" s="337"/>
      <c r="O503" s="337"/>
      <c r="P503" s="337"/>
      <c r="Q503" s="384">
        <v>8346</v>
      </c>
      <c r="R503" s="271">
        <f t="shared" si="36"/>
        <v>0</v>
      </c>
      <c r="S503" s="339">
        <f t="shared" si="37"/>
        <v>0</v>
      </c>
      <c r="T503" s="373"/>
      <c r="U503" s="373">
        <f>SUMIF(其他!$A$9:$A$65,"8346",其他!$I$9:$I$65)</f>
        <v>0</v>
      </c>
      <c r="V503" s="274"/>
      <c r="W503" s="374"/>
      <c r="X503" s="375"/>
      <c r="Y503" s="45" t="s">
        <v>665</v>
      </c>
      <c r="Z503" s="376"/>
      <c r="AA503" s="240"/>
      <c r="AB503" s="345">
        <v>1</v>
      </c>
      <c r="AC503" s="271"/>
      <c r="AD503" s="272"/>
      <c r="AE503" s="273"/>
      <c r="AF503" s="273"/>
      <c r="AG503" s="274"/>
      <c r="AH503" s="275"/>
      <c r="AI503" s="272"/>
      <c r="AJ503" s="276"/>
      <c r="AK503" s="277"/>
      <c r="AL503" s="278"/>
      <c r="AM503" s="277"/>
      <c r="AN503" s="279"/>
      <c r="AO503" s="279"/>
      <c r="AP503" s="279"/>
      <c r="AQ503" s="378"/>
      <c r="AR503" s="305">
        <f>'预算书-初步'!$F$10</f>
        <v>0.09</v>
      </c>
      <c r="AT503" s="272"/>
      <c r="BC503" s="272" t="s">
        <v>521</v>
      </c>
      <c r="BD503" s="380">
        <v>1120</v>
      </c>
      <c r="BE503" s="347" t="s">
        <v>701</v>
      </c>
    </row>
    <row r="504" s="52" customFormat="1" ht="15.75" customHeight="1" spans="1:57">
      <c r="A504" s="227"/>
      <c r="B504" s="332"/>
      <c r="C504" s="228"/>
      <c r="D504" s="333"/>
      <c r="E504" s="334"/>
      <c r="F504" s="229"/>
      <c r="G504" s="333"/>
      <c r="H504" s="335"/>
      <c r="I504" s="229"/>
      <c r="J504" s="229"/>
      <c r="K504" s="336"/>
      <c r="L504" s="337"/>
      <c r="M504" s="337"/>
      <c r="N504" s="337"/>
      <c r="O504" s="337"/>
      <c r="P504" s="337"/>
      <c r="Q504" s="384">
        <v>8347</v>
      </c>
      <c r="R504" s="271">
        <f t="shared" si="36"/>
        <v>0</v>
      </c>
      <c r="S504" s="339">
        <f t="shared" si="37"/>
        <v>0</v>
      </c>
      <c r="T504" s="373"/>
      <c r="U504" s="373">
        <f>SUMIF(其他!$A$9:$A$65,"8347",其他!$I$9:$I$65)</f>
        <v>0</v>
      </c>
      <c r="V504" s="274"/>
      <c r="W504" s="374"/>
      <c r="X504" s="375"/>
      <c r="Y504" s="45" t="s">
        <v>666</v>
      </c>
      <c r="Z504" s="376"/>
      <c r="AA504" s="240"/>
      <c r="AB504" s="345">
        <v>1</v>
      </c>
      <c r="AC504" s="271"/>
      <c r="AD504" s="272"/>
      <c r="AE504" s="273"/>
      <c r="AF504" s="273"/>
      <c r="AG504" s="274"/>
      <c r="AH504" s="275"/>
      <c r="AI504" s="272"/>
      <c r="AJ504" s="276"/>
      <c r="AK504" s="277"/>
      <c r="AL504" s="278"/>
      <c r="AM504" s="277"/>
      <c r="AN504" s="279"/>
      <c r="AO504" s="279"/>
      <c r="AP504" s="279"/>
      <c r="AQ504" s="378"/>
      <c r="AR504" s="305">
        <f>'预算书-初步'!$F$10</f>
        <v>0.09</v>
      </c>
      <c r="AT504" s="272"/>
      <c r="BC504" s="272" t="s">
        <v>521</v>
      </c>
      <c r="BD504" s="380">
        <v>1120</v>
      </c>
      <c r="BE504" s="347" t="s">
        <v>701</v>
      </c>
    </row>
    <row r="505" s="52" customFormat="1" ht="15.75" customHeight="1" spans="1:57">
      <c r="A505" s="227"/>
      <c r="B505" s="332"/>
      <c r="C505" s="228"/>
      <c r="D505" s="333"/>
      <c r="E505" s="334"/>
      <c r="F505" s="229"/>
      <c r="G505" s="333"/>
      <c r="H505" s="335"/>
      <c r="I505" s="229"/>
      <c r="J505" s="229"/>
      <c r="K505" s="336"/>
      <c r="L505" s="337"/>
      <c r="M505" s="337"/>
      <c r="N505" s="337"/>
      <c r="O505" s="337"/>
      <c r="P505" s="337"/>
      <c r="Q505" s="384">
        <v>8348</v>
      </c>
      <c r="R505" s="271">
        <f t="shared" si="36"/>
        <v>0</v>
      </c>
      <c r="S505" s="339">
        <f t="shared" si="37"/>
        <v>0</v>
      </c>
      <c r="T505" s="373"/>
      <c r="U505" s="373">
        <f>SUMIF(其他!$A$9:$A$65,"8348",其他!$I$9:$I$65)</f>
        <v>0</v>
      </c>
      <c r="V505" s="274"/>
      <c r="W505" s="374"/>
      <c r="X505" s="375"/>
      <c r="Y505" s="45" t="s">
        <v>667</v>
      </c>
      <c r="Z505" s="376"/>
      <c r="AA505" s="240"/>
      <c r="AB505" s="345">
        <v>1</v>
      </c>
      <c r="AC505" s="271"/>
      <c r="AD505" s="272"/>
      <c r="AE505" s="273"/>
      <c r="AF505" s="273"/>
      <c r="AG505" s="274"/>
      <c r="AH505" s="275"/>
      <c r="AI505" s="272"/>
      <c r="AJ505" s="276"/>
      <c r="AK505" s="277"/>
      <c r="AL505" s="278"/>
      <c r="AM505" s="277"/>
      <c r="AN505" s="279"/>
      <c r="AO505" s="279"/>
      <c r="AP505" s="279"/>
      <c r="AQ505" s="378"/>
      <c r="AR505" s="305">
        <f>'预算书-初步'!$F$10</f>
        <v>0.09</v>
      </c>
      <c r="AT505" s="272"/>
      <c r="BC505" s="272" t="s">
        <v>521</v>
      </c>
      <c r="BD505" s="380">
        <v>1120</v>
      </c>
      <c r="BE505" s="347" t="s">
        <v>701</v>
      </c>
    </row>
    <row r="506" s="52" customFormat="1" ht="15.75" customHeight="1" spans="1:57">
      <c r="A506" s="227"/>
      <c r="B506" s="332"/>
      <c r="C506" s="228"/>
      <c r="D506" s="333"/>
      <c r="E506" s="334"/>
      <c r="F506" s="229"/>
      <c r="G506" s="333"/>
      <c r="H506" s="335"/>
      <c r="I506" s="229"/>
      <c r="J506" s="229"/>
      <c r="K506" s="336"/>
      <c r="L506" s="337"/>
      <c r="M506" s="337"/>
      <c r="N506" s="337"/>
      <c r="O506" s="337"/>
      <c r="P506" s="337"/>
      <c r="Q506" s="384">
        <v>8349</v>
      </c>
      <c r="R506" s="271">
        <f t="shared" si="36"/>
        <v>0</v>
      </c>
      <c r="S506" s="339">
        <f t="shared" si="37"/>
        <v>0</v>
      </c>
      <c r="T506" s="373"/>
      <c r="U506" s="373">
        <f>SUMIF(其他!$A$9:$A$65,"8349",其他!$I$9:$I$65)</f>
        <v>0</v>
      </c>
      <c r="V506" s="274"/>
      <c r="W506" s="374"/>
      <c r="X506" s="375"/>
      <c r="Y506" s="45" t="s">
        <v>668</v>
      </c>
      <c r="Z506" s="376"/>
      <c r="AA506" s="240"/>
      <c r="AB506" s="345">
        <v>1</v>
      </c>
      <c r="AC506" s="271"/>
      <c r="AD506" s="272"/>
      <c r="AE506" s="273"/>
      <c r="AF506" s="273"/>
      <c r="AG506" s="274"/>
      <c r="AH506" s="275"/>
      <c r="AI506" s="272"/>
      <c r="AJ506" s="276"/>
      <c r="AK506" s="277"/>
      <c r="AL506" s="278"/>
      <c r="AM506" s="277"/>
      <c r="AN506" s="279"/>
      <c r="AO506" s="279"/>
      <c r="AP506" s="279"/>
      <c r="AQ506" s="378"/>
      <c r="AR506" s="305">
        <f>'预算书-初步'!$F$10</f>
        <v>0.09</v>
      </c>
      <c r="AT506" s="272"/>
      <c r="BC506" s="272" t="s">
        <v>521</v>
      </c>
      <c r="BD506" s="380">
        <v>1120</v>
      </c>
      <c r="BE506" s="347" t="s">
        <v>701</v>
      </c>
    </row>
    <row r="507" s="52" customFormat="1" ht="15.75" customHeight="1" spans="1:57">
      <c r="A507" s="227"/>
      <c r="B507" s="332"/>
      <c r="C507" s="228"/>
      <c r="D507" s="333"/>
      <c r="E507" s="334"/>
      <c r="F507" s="229"/>
      <c r="G507" s="333"/>
      <c r="H507" s="335"/>
      <c r="I507" s="229"/>
      <c r="J507" s="229"/>
      <c r="K507" s="336"/>
      <c r="L507" s="337"/>
      <c r="M507" s="337"/>
      <c r="N507" s="337"/>
      <c r="O507" s="337"/>
      <c r="P507" s="337"/>
      <c r="Q507" s="384">
        <v>8352</v>
      </c>
      <c r="R507" s="271">
        <f t="shared" si="36"/>
        <v>0</v>
      </c>
      <c r="S507" s="339">
        <f t="shared" si="37"/>
        <v>0</v>
      </c>
      <c r="T507" s="373"/>
      <c r="U507" s="373">
        <f>SUMIF(其他!$A$9:$A$65,"8352",其他!$I$9:$I$65)</f>
        <v>0</v>
      </c>
      <c r="V507" s="274"/>
      <c r="W507" s="374"/>
      <c r="X507" s="375"/>
      <c r="Y507" s="45" t="s">
        <v>669</v>
      </c>
      <c r="Z507" s="376"/>
      <c r="AA507" s="240"/>
      <c r="AB507" s="345">
        <v>1</v>
      </c>
      <c r="AC507" s="271"/>
      <c r="AD507" s="272"/>
      <c r="AE507" s="273"/>
      <c r="AF507" s="273"/>
      <c r="AG507" s="274"/>
      <c r="AH507" s="275"/>
      <c r="AI507" s="272"/>
      <c r="AJ507" s="276"/>
      <c r="AK507" s="277"/>
      <c r="AL507" s="278"/>
      <c r="AM507" s="277"/>
      <c r="AN507" s="279"/>
      <c r="AO507" s="279"/>
      <c r="AP507" s="279"/>
      <c r="AQ507" s="378"/>
      <c r="AR507" s="305">
        <f>'预算书-初步'!$F$10</f>
        <v>0.09</v>
      </c>
      <c r="AT507" s="272"/>
      <c r="BC507" s="272" t="s">
        <v>521</v>
      </c>
      <c r="BD507" s="380">
        <v>1121</v>
      </c>
      <c r="BE507" s="347" t="s">
        <v>701</v>
      </c>
    </row>
    <row r="508" s="52" customFormat="1" ht="15.75" customHeight="1" spans="1:57">
      <c r="A508" s="227"/>
      <c r="B508" s="332"/>
      <c r="C508" s="228"/>
      <c r="D508" s="333"/>
      <c r="E508" s="334"/>
      <c r="F508" s="229"/>
      <c r="G508" s="333"/>
      <c r="H508" s="335"/>
      <c r="I508" s="229"/>
      <c r="J508" s="229"/>
      <c r="K508" s="336"/>
      <c r="L508" s="337"/>
      <c r="M508" s="337"/>
      <c r="N508" s="337"/>
      <c r="O508" s="337"/>
      <c r="P508" s="337"/>
      <c r="Q508" s="384">
        <v>8353</v>
      </c>
      <c r="R508" s="271">
        <f t="shared" si="36"/>
        <v>0</v>
      </c>
      <c r="S508" s="339">
        <f t="shared" si="37"/>
        <v>0</v>
      </c>
      <c r="T508" s="373"/>
      <c r="U508" s="373">
        <f>SUMIF(其他!$A$9:$A$65,"8353",其他!$I$9:$I$65)</f>
        <v>0</v>
      </c>
      <c r="V508" s="274"/>
      <c r="W508" s="374"/>
      <c r="X508" s="375"/>
      <c r="Y508" s="45" t="s">
        <v>670</v>
      </c>
      <c r="Z508" s="376"/>
      <c r="AA508" s="240"/>
      <c r="AB508" s="345">
        <v>1</v>
      </c>
      <c r="AC508" s="271"/>
      <c r="AD508" s="272"/>
      <c r="AE508" s="273"/>
      <c r="AF508" s="273"/>
      <c r="AG508" s="274"/>
      <c r="AH508" s="275"/>
      <c r="AI508" s="272"/>
      <c r="AJ508" s="276"/>
      <c r="AK508" s="277"/>
      <c r="AL508" s="278"/>
      <c r="AM508" s="277"/>
      <c r="AN508" s="279"/>
      <c r="AO508" s="279"/>
      <c r="AP508" s="279"/>
      <c r="AQ508" s="378"/>
      <c r="AR508" s="305">
        <f>'预算书-初步'!$F$10</f>
        <v>0.09</v>
      </c>
      <c r="AT508" s="272"/>
      <c r="BC508" s="272" t="s">
        <v>521</v>
      </c>
      <c r="BD508" s="380">
        <v>1121</v>
      </c>
      <c r="BE508" s="347" t="s">
        <v>701</v>
      </c>
    </row>
    <row r="509" s="52" customFormat="1" ht="15.75" customHeight="1" spans="1:57">
      <c r="A509" s="227"/>
      <c r="B509" s="332"/>
      <c r="C509" s="228"/>
      <c r="D509" s="333"/>
      <c r="E509" s="334"/>
      <c r="F509" s="229"/>
      <c r="G509" s="333"/>
      <c r="H509" s="335"/>
      <c r="I509" s="229"/>
      <c r="J509" s="229"/>
      <c r="K509" s="336"/>
      <c r="L509" s="337"/>
      <c r="M509" s="337"/>
      <c r="N509" s="337"/>
      <c r="O509" s="337"/>
      <c r="P509" s="337"/>
      <c r="Q509" s="384">
        <v>8354</v>
      </c>
      <c r="R509" s="271">
        <f t="shared" si="36"/>
        <v>0</v>
      </c>
      <c r="S509" s="339">
        <f t="shared" si="37"/>
        <v>0</v>
      </c>
      <c r="T509" s="373"/>
      <c r="U509" s="373">
        <f>SUMIF(其他!$A$9:$A$65,"8354",其他!$I$9:$I$65)</f>
        <v>0</v>
      </c>
      <c r="V509" s="274"/>
      <c r="W509" s="374"/>
      <c r="X509" s="375"/>
      <c r="Y509" s="45" t="s">
        <v>671</v>
      </c>
      <c r="Z509" s="376"/>
      <c r="AA509" s="240"/>
      <c r="AB509" s="345">
        <v>1</v>
      </c>
      <c r="AC509" s="271"/>
      <c r="AD509" s="272"/>
      <c r="AE509" s="273"/>
      <c r="AF509" s="273"/>
      <c r="AG509" s="274"/>
      <c r="AH509" s="275"/>
      <c r="AI509" s="272"/>
      <c r="AJ509" s="276"/>
      <c r="AK509" s="277"/>
      <c r="AL509" s="278"/>
      <c r="AM509" s="277"/>
      <c r="AN509" s="279"/>
      <c r="AO509" s="279"/>
      <c r="AP509" s="279"/>
      <c r="AQ509" s="378"/>
      <c r="AR509" s="305">
        <f>'预算书-初步'!$F$10</f>
        <v>0.09</v>
      </c>
      <c r="AT509" s="272"/>
      <c r="BC509" s="272" t="s">
        <v>521</v>
      </c>
      <c r="BD509" s="380">
        <v>1121</v>
      </c>
      <c r="BE509" s="347" t="s">
        <v>701</v>
      </c>
    </row>
    <row r="510" s="52" customFormat="1" ht="15.75" customHeight="1" spans="1:57">
      <c r="A510" s="227"/>
      <c r="B510" s="332"/>
      <c r="C510" s="228"/>
      <c r="D510" s="333"/>
      <c r="E510" s="334"/>
      <c r="F510" s="229"/>
      <c r="G510" s="333"/>
      <c r="H510" s="335"/>
      <c r="I510" s="229"/>
      <c r="J510" s="229"/>
      <c r="K510" s="336"/>
      <c r="L510" s="337"/>
      <c r="M510" s="337"/>
      <c r="N510" s="337"/>
      <c r="O510" s="337"/>
      <c r="P510" s="337"/>
      <c r="Q510" s="384">
        <v>8355</v>
      </c>
      <c r="R510" s="271">
        <f t="shared" si="36"/>
        <v>0</v>
      </c>
      <c r="S510" s="339">
        <f t="shared" si="37"/>
        <v>0</v>
      </c>
      <c r="T510" s="373"/>
      <c r="U510" s="373">
        <f>SUMIF(其他!$A$9:$A$65,"8355",其他!$I$9:$I$65)</f>
        <v>0</v>
      </c>
      <c r="V510" s="274"/>
      <c r="W510" s="374"/>
      <c r="X510" s="375"/>
      <c r="Y510" s="365" t="s">
        <v>672</v>
      </c>
      <c r="Z510" s="376"/>
      <c r="AA510" s="240"/>
      <c r="AB510" s="345">
        <v>1</v>
      </c>
      <c r="AC510" s="271"/>
      <c r="AD510" s="272"/>
      <c r="AE510" s="273"/>
      <c r="AF510" s="273"/>
      <c r="AG510" s="274"/>
      <c r="AH510" s="275"/>
      <c r="AI510" s="272"/>
      <c r="AJ510" s="276"/>
      <c r="AK510" s="277"/>
      <c r="AL510" s="278"/>
      <c r="AM510" s="277"/>
      <c r="AN510" s="279"/>
      <c r="AO510" s="279"/>
      <c r="AP510" s="279"/>
      <c r="AQ510" s="378"/>
      <c r="AR510" s="305">
        <f>'预算书-初步'!$F$10</f>
        <v>0.09</v>
      </c>
      <c r="AT510" s="272"/>
      <c r="BC510" s="272" t="s">
        <v>521</v>
      </c>
      <c r="BD510" s="380">
        <v>1121</v>
      </c>
      <c r="BE510" s="347" t="s">
        <v>701</v>
      </c>
    </row>
    <row r="511" s="52" customFormat="1" ht="15.75" customHeight="1" spans="1:57">
      <c r="A511" s="227"/>
      <c r="B511" s="332"/>
      <c r="C511" s="228"/>
      <c r="D511" s="333"/>
      <c r="E511" s="334"/>
      <c r="F511" s="229"/>
      <c r="G511" s="333"/>
      <c r="H511" s="335"/>
      <c r="I511" s="229"/>
      <c r="J511" s="229"/>
      <c r="K511" s="336"/>
      <c r="L511" s="337"/>
      <c r="M511" s="337"/>
      <c r="N511" s="337"/>
      <c r="O511" s="337"/>
      <c r="P511" s="337"/>
      <c r="Q511" s="384">
        <v>8357</v>
      </c>
      <c r="R511" s="271">
        <f t="shared" si="36"/>
        <v>0</v>
      </c>
      <c r="S511" s="339">
        <f t="shared" si="37"/>
        <v>0</v>
      </c>
      <c r="T511" s="373"/>
      <c r="U511" s="373">
        <f>FA!J$133</f>
        <v>0</v>
      </c>
      <c r="V511" s="274"/>
      <c r="W511" s="374"/>
      <c r="X511" s="375"/>
      <c r="Y511" s="390" t="s">
        <v>673</v>
      </c>
      <c r="Z511" s="376"/>
      <c r="AA511" s="240"/>
      <c r="AB511" s="345">
        <v>1</v>
      </c>
      <c r="AC511" s="271"/>
      <c r="AD511" s="272"/>
      <c r="AE511" s="273"/>
      <c r="AF511" s="273"/>
      <c r="AG511" s="274"/>
      <c r="AH511" s="275"/>
      <c r="AI511" s="272"/>
      <c r="AJ511" s="276"/>
      <c r="AK511" s="277"/>
      <c r="AL511" s="278"/>
      <c r="AM511" s="277"/>
      <c r="AN511" s="279"/>
      <c r="AO511" s="279"/>
      <c r="AP511" s="279"/>
      <c r="AQ511" s="378"/>
      <c r="AR511" s="305">
        <f>'预算书-初步'!$F$10</f>
        <v>0.09</v>
      </c>
      <c r="AT511" s="272"/>
      <c r="BC511" s="272" t="s">
        <v>521</v>
      </c>
      <c r="BD511" s="380">
        <v>1122</v>
      </c>
      <c r="BE511" s="347" t="s">
        <v>701</v>
      </c>
    </row>
    <row r="512" s="52" customFormat="1" ht="15.75" customHeight="1" spans="1:57">
      <c r="A512" s="227"/>
      <c r="B512" s="332"/>
      <c r="C512" s="228"/>
      <c r="D512" s="333"/>
      <c r="E512" s="334"/>
      <c r="F512" s="229"/>
      <c r="G512" s="333"/>
      <c r="H512" s="335"/>
      <c r="I512" s="229"/>
      <c r="J512" s="229"/>
      <c r="K512" s="336"/>
      <c r="L512" s="337"/>
      <c r="M512" s="337"/>
      <c r="N512" s="337"/>
      <c r="O512" s="337"/>
      <c r="P512" s="337"/>
      <c r="Q512" s="381">
        <v>8361</v>
      </c>
      <c r="R512" s="271">
        <f t="shared" si="36"/>
        <v>0</v>
      </c>
      <c r="S512" s="339">
        <f t="shared" si="37"/>
        <v>0</v>
      </c>
      <c r="T512" s="373"/>
      <c r="U512" s="373">
        <f>SUMIF(其他!$A$9:$A$65,"8361",其他!$I$9:$I$65)</f>
        <v>0</v>
      </c>
      <c r="V512" s="274"/>
      <c r="W512" s="374"/>
      <c r="X512" s="375"/>
      <c r="Y512" s="45" t="s">
        <v>674</v>
      </c>
      <c r="Z512" s="376"/>
      <c r="AA512" s="240"/>
      <c r="AB512" s="345">
        <v>1</v>
      </c>
      <c r="AC512" s="271"/>
      <c r="AD512" s="272"/>
      <c r="AE512" s="273"/>
      <c r="AF512" s="273"/>
      <c r="AG512" s="274"/>
      <c r="AH512" s="275"/>
      <c r="AI512" s="272"/>
      <c r="AJ512" s="276"/>
      <c r="AK512" s="277"/>
      <c r="AL512" s="278"/>
      <c r="AM512" s="277"/>
      <c r="AN512" s="279"/>
      <c r="AO512" s="279"/>
      <c r="AP512" s="279"/>
      <c r="AQ512" s="378"/>
      <c r="AR512" s="305">
        <f>'预算书-初步'!$F$10</f>
        <v>0.09</v>
      </c>
      <c r="AT512" s="272"/>
      <c r="BC512" s="272" t="s">
        <v>521</v>
      </c>
      <c r="BD512" s="380">
        <v>1123</v>
      </c>
      <c r="BE512" s="347" t="s">
        <v>701</v>
      </c>
    </row>
    <row r="513" s="52" customFormat="1" ht="15.75" customHeight="1" spans="1:57">
      <c r="A513" s="227"/>
      <c r="B513" s="332"/>
      <c r="C513" s="228"/>
      <c r="D513" s="333"/>
      <c r="E513" s="334"/>
      <c r="F513" s="229"/>
      <c r="G513" s="333"/>
      <c r="H513" s="335"/>
      <c r="I513" s="229"/>
      <c r="J513" s="229"/>
      <c r="K513" s="336"/>
      <c r="L513" s="337"/>
      <c r="M513" s="337"/>
      <c r="N513" s="337"/>
      <c r="O513" s="337"/>
      <c r="P513" s="337"/>
      <c r="Q513" s="381">
        <v>8362</v>
      </c>
      <c r="R513" s="271">
        <f t="shared" si="36"/>
        <v>0</v>
      </c>
      <c r="S513" s="339">
        <f t="shared" si="37"/>
        <v>0</v>
      </c>
      <c r="T513" s="373"/>
      <c r="U513" s="373">
        <f>SUMIF(其他!$A$9:$A$65,"8362",其他!$I$9:$I$65)</f>
        <v>0</v>
      </c>
      <c r="V513" s="274"/>
      <c r="W513" s="374"/>
      <c r="X513" s="375"/>
      <c r="Y513" s="45" t="s">
        <v>675</v>
      </c>
      <c r="Z513" s="376"/>
      <c r="AA513" s="240"/>
      <c r="AB513" s="345">
        <v>1</v>
      </c>
      <c r="AC513" s="271"/>
      <c r="AD513" s="272"/>
      <c r="AE513" s="273"/>
      <c r="AF513" s="273"/>
      <c r="AG513" s="274"/>
      <c r="AH513" s="275"/>
      <c r="AI513" s="272"/>
      <c r="AJ513" s="276"/>
      <c r="AK513" s="277"/>
      <c r="AL513" s="278"/>
      <c r="AM513" s="277"/>
      <c r="AN513" s="279"/>
      <c r="AO513" s="279"/>
      <c r="AP513" s="279"/>
      <c r="AQ513" s="378"/>
      <c r="AR513" s="305">
        <f>'预算书-初步'!$F$10</f>
        <v>0.09</v>
      </c>
      <c r="AT513" s="272"/>
      <c r="BC513" s="272" t="s">
        <v>521</v>
      </c>
      <c r="BD513" s="380">
        <v>1123</v>
      </c>
      <c r="BE513" s="347" t="s">
        <v>701</v>
      </c>
    </row>
    <row r="514" s="52" customFormat="1" ht="15.75" customHeight="1" spans="1:57">
      <c r="A514" s="227"/>
      <c r="B514" s="332"/>
      <c r="C514" s="228"/>
      <c r="D514" s="333"/>
      <c r="E514" s="334"/>
      <c r="F514" s="229"/>
      <c r="G514" s="333"/>
      <c r="H514" s="335"/>
      <c r="I514" s="229"/>
      <c r="J514" s="229"/>
      <c r="K514" s="336"/>
      <c r="L514" s="337"/>
      <c r="M514" s="337"/>
      <c r="N514" s="337"/>
      <c r="O514" s="337"/>
      <c r="P514" s="337"/>
      <c r="Q514" s="381">
        <v>8391</v>
      </c>
      <c r="R514" s="271">
        <f t="shared" si="36"/>
        <v>0</v>
      </c>
      <c r="S514" s="339">
        <f t="shared" si="37"/>
        <v>0</v>
      </c>
      <c r="T514" s="373"/>
      <c r="U514" s="373">
        <f>FA!J$135</f>
        <v>0</v>
      </c>
      <c r="V514" s="274"/>
      <c r="W514" s="374"/>
      <c r="X514" s="375"/>
      <c r="Y514" s="45" t="s">
        <v>676</v>
      </c>
      <c r="Z514" s="376"/>
      <c r="AA514" s="240"/>
      <c r="AB514" s="345">
        <v>1</v>
      </c>
      <c r="AC514" s="271"/>
      <c r="AD514" s="272"/>
      <c r="AE514" s="273"/>
      <c r="AF514" s="273"/>
      <c r="AG514" s="274"/>
      <c r="AH514" s="275"/>
      <c r="AI514" s="272"/>
      <c r="AJ514" s="276"/>
      <c r="AK514" s="277"/>
      <c r="AL514" s="278"/>
      <c r="AM514" s="277"/>
      <c r="AN514" s="279"/>
      <c r="AO514" s="279"/>
      <c r="AP514" s="279"/>
      <c r="AQ514" s="378"/>
      <c r="AR514" s="305">
        <f>'预算书-初步'!$F$10</f>
        <v>0.09</v>
      </c>
      <c r="AT514" s="272"/>
      <c r="BC514" s="272" t="s">
        <v>521</v>
      </c>
      <c r="BD514" s="380">
        <v>1124</v>
      </c>
      <c r="BE514" s="347" t="s">
        <v>701</v>
      </c>
    </row>
    <row r="515" s="52" customFormat="1" ht="15.75" customHeight="1" spans="1:57">
      <c r="A515" s="227"/>
      <c r="B515" s="332"/>
      <c r="C515" s="228"/>
      <c r="D515" s="333"/>
      <c r="E515" s="334"/>
      <c r="F515" s="229"/>
      <c r="G515" s="333"/>
      <c r="H515" s="335"/>
      <c r="I515" s="229"/>
      <c r="J515" s="229"/>
      <c r="K515" s="336"/>
      <c r="L515" s="337"/>
      <c r="M515" s="337"/>
      <c r="N515" s="337"/>
      <c r="O515" s="337"/>
      <c r="P515" s="337"/>
      <c r="Q515" s="381">
        <v>8392</v>
      </c>
      <c r="R515" s="271">
        <f t="shared" si="36"/>
        <v>0</v>
      </c>
      <c r="S515" s="339">
        <f t="shared" si="37"/>
        <v>0</v>
      </c>
      <c r="T515" s="373"/>
      <c r="U515" s="373">
        <f>SUMIF(其他!$A$9:$A$65,"8392",其他!$I$9:$I$65)</f>
        <v>0</v>
      </c>
      <c r="V515" s="274"/>
      <c r="W515" s="374"/>
      <c r="X515" s="375"/>
      <c r="Y515" s="45" t="s">
        <v>677</v>
      </c>
      <c r="Z515" s="376"/>
      <c r="AA515" s="240"/>
      <c r="AB515" s="345">
        <v>1</v>
      </c>
      <c r="AC515" s="271"/>
      <c r="AD515" s="272"/>
      <c r="AE515" s="273"/>
      <c r="AF515" s="273"/>
      <c r="AG515" s="274"/>
      <c r="AH515" s="275"/>
      <c r="AI515" s="272"/>
      <c r="AJ515" s="276"/>
      <c r="AK515" s="277"/>
      <c r="AL515" s="278"/>
      <c r="AM515" s="277"/>
      <c r="AN515" s="279"/>
      <c r="AO515" s="279"/>
      <c r="AP515" s="279"/>
      <c r="AQ515" s="378"/>
      <c r="AR515" s="305">
        <f>'预算书-初步'!$F$10</f>
        <v>0.09</v>
      </c>
      <c r="AT515" s="272"/>
      <c r="BC515" s="272" t="s">
        <v>521</v>
      </c>
      <c r="BD515" s="380">
        <v>1125</v>
      </c>
      <c r="BE515" s="347" t="s">
        <v>701</v>
      </c>
    </row>
    <row r="516" s="52" customFormat="1" ht="15.75" customHeight="1" spans="1:57">
      <c r="A516" s="227"/>
      <c r="B516" s="332"/>
      <c r="C516" s="228"/>
      <c r="D516" s="333"/>
      <c r="E516" s="334"/>
      <c r="F516" s="229"/>
      <c r="G516" s="333"/>
      <c r="H516" s="335"/>
      <c r="I516" s="229"/>
      <c r="J516" s="229"/>
      <c r="K516" s="336"/>
      <c r="L516" s="337"/>
      <c r="M516" s="337"/>
      <c r="N516" s="337"/>
      <c r="O516" s="337"/>
      <c r="P516" s="337"/>
      <c r="Q516" s="381">
        <v>8393</v>
      </c>
      <c r="R516" s="271">
        <f t="shared" si="36"/>
        <v>0</v>
      </c>
      <c r="S516" s="339">
        <f t="shared" si="37"/>
        <v>0</v>
      </c>
      <c r="T516" s="373"/>
      <c r="U516" s="373">
        <f>SUMIF(其他!$A$9:$A$65,"8393",其他!$I$9:$I$65)</f>
        <v>0</v>
      </c>
      <c r="V516" s="274"/>
      <c r="W516" s="374"/>
      <c r="X516" s="375"/>
      <c r="Y516" s="45" t="s">
        <v>678</v>
      </c>
      <c r="Z516" s="376"/>
      <c r="AA516" s="240"/>
      <c r="AB516" s="345">
        <v>1</v>
      </c>
      <c r="AC516" s="271"/>
      <c r="AD516" s="272"/>
      <c r="AE516" s="273"/>
      <c r="AF516" s="273"/>
      <c r="AG516" s="274"/>
      <c r="AH516" s="275"/>
      <c r="AI516" s="272"/>
      <c r="AJ516" s="276"/>
      <c r="AK516" s="277"/>
      <c r="AL516" s="278"/>
      <c r="AM516" s="277"/>
      <c r="AN516" s="279"/>
      <c r="AO516" s="279"/>
      <c r="AP516" s="279"/>
      <c r="AQ516" s="378"/>
      <c r="AR516" s="305">
        <f>'预算书-初步'!$F$10</f>
        <v>0.09</v>
      </c>
      <c r="AT516" s="272"/>
      <c r="BC516" s="272" t="s">
        <v>521</v>
      </c>
      <c r="BD516" s="380">
        <v>1125</v>
      </c>
      <c r="BE516" s="347" t="s">
        <v>701</v>
      </c>
    </row>
    <row r="517" s="52" customFormat="1" ht="15.75" customHeight="1" spans="1:57">
      <c r="A517" s="227"/>
      <c r="B517" s="332"/>
      <c r="C517" s="228"/>
      <c r="D517" s="333"/>
      <c r="E517" s="334"/>
      <c r="F517" s="229"/>
      <c r="G517" s="333"/>
      <c r="H517" s="335"/>
      <c r="I517" s="229"/>
      <c r="J517" s="229"/>
      <c r="K517" s="336"/>
      <c r="L517" s="337"/>
      <c r="M517" s="337"/>
      <c r="N517" s="337"/>
      <c r="O517" s="337"/>
      <c r="P517" s="337"/>
      <c r="Q517" s="381">
        <v>8394</v>
      </c>
      <c r="R517" s="271">
        <f t="shared" si="36"/>
        <v>0</v>
      </c>
      <c r="S517" s="339">
        <f t="shared" si="37"/>
        <v>0</v>
      </c>
      <c r="T517" s="373"/>
      <c r="U517" s="373">
        <f>SUMIF(其他!$A$9:$A$65,"8394",其他!$I$9:$I$65)</f>
        <v>0</v>
      </c>
      <c r="V517" s="274"/>
      <c r="W517" s="374"/>
      <c r="X517" s="375"/>
      <c r="Y517" s="45" t="s">
        <v>679</v>
      </c>
      <c r="Z517" s="376"/>
      <c r="AA517" s="240"/>
      <c r="AB517" s="345">
        <v>1</v>
      </c>
      <c r="AC517" s="271"/>
      <c r="AD517" s="272"/>
      <c r="AE517" s="273"/>
      <c r="AF517" s="273"/>
      <c r="AG517" s="274"/>
      <c r="AH517" s="275"/>
      <c r="AI517" s="272"/>
      <c r="AJ517" s="276"/>
      <c r="AK517" s="277"/>
      <c r="AL517" s="278"/>
      <c r="AM517" s="277"/>
      <c r="AN517" s="279"/>
      <c r="AO517" s="279"/>
      <c r="AP517" s="279"/>
      <c r="AQ517" s="378"/>
      <c r="AR517" s="305">
        <f>'预算书-初步'!$F$10</f>
        <v>0.09</v>
      </c>
      <c r="AT517" s="272"/>
      <c r="BC517" s="272" t="s">
        <v>521</v>
      </c>
      <c r="BD517" s="380">
        <v>1125</v>
      </c>
      <c r="BE517" s="347" t="s">
        <v>701</v>
      </c>
    </row>
    <row r="518" s="52" customFormat="1" ht="15.75" customHeight="1" spans="1:57">
      <c r="A518" s="227"/>
      <c r="B518" s="332"/>
      <c r="C518" s="228"/>
      <c r="D518" s="333"/>
      <c r="E518" s="334"/>
      <c r="F518" s="229"/>
      <c r="G518" s="333"/>
      <c r="H518" s="335"/>
      <c r="I518" s="229"/>
      <c r="J518" s="229"/>
      <c r="K518" s="336"/>
      <c r="L518" s="337"/>
      <c r="M518" s="337"/>
      <c r="N518" s="337"/>
      <c r="O518" s="337"/>
      <c r="P518" s="337"/>
      <c r="Q518" s="381">
        <v>8329</v>
      </c>
      <c r="R518" s="271">
        <f t="shared" ref="R518:R581" si="38">ROUND(U518*(1+AR518),0)</f>
        <v>0</v>
      </c>
      <c r="S518" s="339">
        <f t="shared" si="37"/>
        <v>0</v>
      </c>
      <c r="T518" s="373"/>
      <c r="U518" s="373">
        <f>FA!J$137</f>
        <v>0</v>
      </c>
      <c r="V518" s="274"/>
      <c r="W518" s="374"/>
      <c r="X518" s="375"/>
      <c r="Y518" s="388" t="s">
        <v>680</v>
      </c>
      <c r="Z518" s="376"/>
      <c r="AA518" s="240"/>
      <c r="AB518" s="345">
        <v>1</v>
      </c>
      <c r="AC518" s="271"/>
      <c r="AD518" s="272"/>
      <c r="AE518" s="273"/>
      <c r="AF518" s="273"/>
      <c r="AG518" s="274"/>
      <c r="AH518" s="275"/>
      <c r="AI518" s="272"/>
      <c r="AJ518" s="276"/>
      <c r="AK518" s="277"/>
      <c r="AL518" s="278"/>
      <c r="AM518" s="277"/>
      <c r="AN518" s="279"/>
      <c r="AO518" s="279"/>
      <c r="AP518" s="279"/>
      <c r="AQ518" s="378"/>
      <c r="AR518" s="305">
        <f>'预算书-初步'!$F$10</f>
        <v>0.09</v>
      </c>
      <c r="AT518" s="272"/>
      <c r="BC518" s="272" t="s">
        <v>521</v>
      </c>
      <c r="BD518" s="380">
        <v>1126</v>
      </c>
      <c r="BE518" s="347" t="s">
        <v>701</v>
      </c>
    </row>
    <row r="519" s="52" customFormat="1" ht="15.75" customHeight="1" spans="1:57">
      <c r="A519" s="227"/>
      <c r="B519" s="332"/>
      <c r="C519" s="228"/>
      <c r="D519" s="333"/>
      <c r="E519" s="334"/>
      <c r="F519" s="229"/>
      <c r="G519" s="333"/>
      <c r="H519" s="335"/>
      <c r="I519" s="229"/>
      <c r="J519" s="229"/>
      <c r="K519" s="336"/>
      <c r="L519" s="337"/>
      <c r="M519" s="337"/>
      <c r="N519" s="337"/>
      <c r="O519" s="337"/>
      <c r="P519" s="337"/>
      <c r="Q519" s="381">
        <v>8330</v>
      </c>
      <c r="R519" s="271">
        <f t="shared" si="38"/>
        <v>0</v>
      </c>
      <c r="S519" s="339">
        <f t="shared" si="37"/>
        <v>0</v>
      </c>
      <c r="T519" s="373"/>
      <c r="U519" s="373">
        <f>FA!J$138</f>
        <v>0</v>
      </c>
      <c r="V519" s="274"/>
      <c r="W519" s="374"/>
      <c r="X519" s="375"/>
      <c r="Y519" s="45" t="s">
        <v>681</v>
      </c>
      <c r="Z519" s="376"/>
      <c r="AA519" s="240"/>
      <c r="AB519" s="345">
        <v>1</v>
      </c>
      <c r="AC519" s="271"/>
      <c r="AD519" s="272"/>
      <c r="AE519" s="273"/>
      <c r="AF519" s="273"/>
      <c r="AG519" s="274"/>
      <c r="AH519" s="275"/>
      <c r="AI519" s="272"/>
      <c r="AJ519" s="276"/>
      <c r="AK519" s="277"/>
      <c r="AL519" s="278"/>
      <c r="AM519" s="277"/>
      <c r="AN519" s="279"/>
      <c r="AO519" s="279"/>
      <c r="AP519" s="279"/>
      <c r="AQ519" s="378"/>
      <c r="AR519" s="305">
        <f>'预算书-初步'!$F$10</f>
        <v>0.09</v>
      </c>
      <c r="AT519" s="272"/>
      <c r="BC519" s="272" t="s">
        <v>521</v>
      </c>
      <c r="BD519" s="380">
        <v>1127</v>
      </c>
      <c r="BE519" s="347" t="s">
        <v>701</v>
      </c>
    </row>
    <row r="520" s="52" customFormat="1" ht="15.75" customHeight="1" spans="1:57">
      <c r="A520" s="227"/>
      <c r="B520" s="332"/>
      <c r="C520" s="228"/>
      <c r="D520" s="333"/>
      <c r="E520" s="334"/>
      <c r="F520" s="229"/>
      <c r="G520" s="333"/>
      <c r="H520" s="335"/>
      <c r="I520" s="229"/>
      <c r="J520" s="229"/>
      <c r="K520" s="336"/>
      <c r="L520" s="337"/>
      <c r="M520" s="337"/>
      <c r="N520" s="337"/>
      <c r="O520" s="337"/>
      <c r="P520" s="337"/>
      <c r="Q520" s="381">
        <v>8440</v>
      </c>
      <c r="R520" s="271">
        <f t="shared" si="38"/>
        <v>0</v>
      </c>
      <c r="S520" s="339">
        <f t="shared" si="37"/>
        <v>0</v>
      </c>
      <c r="T520" s="373"/>
      <c r="U520" s="373">
        <f>FA!J$144</f>
        <v>0</v>
      </c>
      <c r="V520" s="274"/>
      <c r="W520" s="374"/>
      <c r="X520" s="375"/>
      <c r="Y520" s="385" t="s">
        <v>682</v>
      </c>
      <c r="Z520" s="376"/>
      <c r="AA520" s="240"/>
      <c r="AB520" s="345">
        <v>1</v>
      </c>
      <c r="AC520" s="271"/>
      <c r="AD520" s="272"/>
      <c r="AE520" s="273"/>
      <c r="AF520" s="273"/>
      <c r="AG520" s="274"/>
      <c r="AH520" s="275"/>
      <c r="AI520" s="272"/>
      <c r="AJ520" s="276"/>
      <c r="AK520" s="277"/>
      <c r="AL520" s="278"/>
      <c r="AM520" s="277"/>
      <c r="AN520" s="279"/>
      <c r="AO520" s="279"/>
      <c r="AP520" s="279"/>
      <c r="AQ520" s="378"/>
      <c r="AR520" s="305">
        <f>'预算书-初步'!$F$10</f>
        <v>0.09</v>
      </c>
      <c r="AT520" s="272"/>
      <c r="BC520" s="272" t="s">
        <v>521</v>
      </c>
      <c r="BD520" s="380">
        <v>1133</v>
      </c>
      <c r="BE520" s="347" t="s">
        <v>701</v>
      </c>
    </row>
    <row r="521" s="52" customFormat="1" ht="15.75" customHeight="1" spans="1:57">
      <c r="A521" s="227"/>
      <c r="B521" s="332"/>
      <c r="C521" s="228"/>
      <c r="D521" s="333"/>
      <c r="E521" s="334"/>
      <c r="F521" s="229"/>
      <c r="G521" s="333"/>
      <c r="H521" s="335"/>
      <c r="I521" s="229"/>
      <c r="J521" s="229"/>
      <c r="K521" s="336"/>
      <c r="L521" s="337"/>
      <c r="M521" s="337"/>
      <c r="N521" s="337"/>
      <c r="O521" s="337"/>
      <c r="P521" s="337"/>
      <c r="Q521" s="381">
        <v>8437</v>
      </c>
      <c r="R521" s="271">
        <f t="shared" si="38"/>
        <v>0</v>
      </c>
      <c r="S521" s="339">
        <f t="shared" si="37"/>
        <v>0</v>
      </c>
      <c r="T521" s="373"/>
      <c r="U521" s="373">
        <f>FA!J$145</f>
        <v>0</v>
      </c>
      <c r="V521" s="274"/>
      <c r="W521" s="374"/>
      <c r="X521" s="375"/>
      <c r="Y521" s="45" t="s">
        <v>683</v>
      </c>
      <c r="Z521" s="376"/>
      <c r="AA521" s="240"/>
      <c r="AB521" s="345">
        <v>1</v>
      </c>
      <c r="AC521" s="271"/>
      <c r="AD521" s="272"/>
      <c r="AE521" s="273"/>
      <c r="AF521" s="273"/>
      <c r="AG521" s="274"/>
      <c r="AH521" s="275"/>
      <c r="AI521" s="272"/>
      <c r="AJ521" s="276"/>
      <c r="AK521" s="277"/>
      <c r="AL521" s="278"/>
      <c r="AM521" s="277"/>
      <c r="AN521" s="279"/>
      <c r="AO521" s="279"/>
      <c r="AP521" s="279"/>
      <c r="AQ521" s="378"/>
      <c r="AR521" s="305">
        <f>'预算书-初步'!$F$10</f>
        <v>0.09</v>
      </c>
      <c r="AT521" s="272"/>
      <c r="BC521" s="272" t="s">
        <v>521</v>
      </c>
      <c r="BD521" s="380">
        <v>1134</v>
      </c>
      <c r="BE521" s="347" t="s">
        <v>701</v>
      </c>
    </row>
    <row r="522" s="52" customFormat="1" ht="15.75" customHeight="1" spans="1:57">
      <c r="A522" s="227"/>
      <c r="B522" s="332"/>
      <c r="C522" s="228"/>
      <c r="D522" s="333"/>
      <c r="E522" s="334"/>
      <c r="F522" s="229"/>
      <c r="G522" s="333"/>
      <c r="H522" s="335"/>
      <c r="I522" s="229"/>
      <c r="J522" s="229"/>
      <c r="K522" s="336"/>
      <c r="L522" s="337"/>
      <c r="M522" s="337"/>
      <c r="N522" s="337"/>
      <c r="O522" s="337"/>
      <c r="P522" s="337"/>
      <c r="Q522" s="381">
        <v>8441</v>
      </c>
      <c r="R522" s="271">
        <f t="shared" si="38"/>
        <v>0</v>
      </c>
      <c r="S522" s="339">
        <f t="shared" si="37"/>
        <v>0</v>
      </c>
      <c r="T522" s="373"/>
      <c r="U522" s="373">
        <f>FA!J$146</f>
        <v>0</v>
      </c>
      <c r="V522" s="274"/>
      <c r="W522" s="374"/>
      <c r="X522" s="375"/>
      <c r="Y522" s="388" t="s">
        <v>684</v>
      </c>
      <c r="Z522" s="376"/>
      <c r="AA522" s="240"/>
      <c r="AB522" s="345">
        <v>1</v>
      </c>
      <c r="AC522" s="271"/>
      <c r="AD522" s="272"/>
      <c r="AE522" s="273"/>
      <c r="AF522" s="273"/>
      <c r="AG522" s="274"/>
      <c r="AH522" s="275"/>
      <c r="AI522" s="272"/>
      <c r="AJ522" s="276"/>
      <c r="AK522" s="277"/>
      <c r="AL522" s="278"/>
      <c r="AM522" s="277"/>
      <c r="AN522" s="279"/>
      <c r="AO522" s="279"/>
      <c r="AP522" s="279"/>
      <c r="AQ522" s="378"/>
      <c r="AR522" s="305">
        <f>'预算书-初步'!$F$10</f>
        <v>0.09</v>
      </c>
      <c r="AT522" s="272"/>
      <c r="BC522" s="272" t="s">
        <v>521</v>
      </c>
      <c r="BD522" s="380">
        <v>1135</v>
      </c>
      <c r="BE522" s="347" t="s">
        <v>701</v>
      </c>
    </row>
    <row r="523" s="52" customFormat="1" ht="15.75" customHeight="1" spans="1:57">
      <c r="A523" s="227"/>
      <c r="B523" s="332"/>
      <c r="C523" s="228"/>
      <c r="D523" s="333"/>
      <c r="E523" s="334"/>
      <c r="F523" s="229"/>
      <c r="G523" s="333"/>
      <c r="H523" s="335"/>
      <c r="I523" s="229"/>
      <c r="J523" s="229"/>
      <c r="K523" s="336"/>
      <c r="L523" s="337"/>
      <c r="M523" s="337"/>
      <c r="N523" s="337"/>
      <c r="O523" s="337"/>
      <c r="P523" s="337"/>
      <c r="Q523" s="381">
        <v>8420</v>
      </c>
      <c r="R523" s="271">
        <f t="shared" si="38"/>
        <v>0</v>
      </c>
      <c r="S523" s="339">
        <f t="shared" si="37"/>
        <v>0</v>
      </c>
      <c r="T523" s="373"/>
      <c r="U523" s="373">
        <f>FA!J$148</f>
        <v>0</v>
      </c>
      <c r="V523" s="274"/>
      <c r="W523" s="374"/>
      <c r="X523" s="375"/>
      <c r="Y523" s="45" t="s">
        <v>685</v>
      </c>
      <c r="Z523" s="376"/>
      <c r="AA523" s="240"/>
      <c r="AB523" s="345">
        <v>1</v>
      </c>
      <c r="AC523" s="271"/>
      <c r="AD523" s="272"/>
      <c r="AE523" s="273"/>
      <c r="AF523" s="273"/>
      <c r="AG523" s="274"/>
      <c r="AH523" s="275"/>
      <c r="AI523" s="272"/>
      <c r="AJ523" s="276"/>
      <c r="AK523" s="277"/>
      <c r="AL523" s="278"/>
      <c r="AM523" s="277"/>
      <c r="AN523" s="279"/>
      <c r="AO523" s="279"/>
      <c r="AP523" s="279"/>
      <c r="AQ523" s="378"/>
      <c r="AR523" s="305">
        <f>'预算书-初步'!$F$10</f>
        <v>0.09</v>
      </c>
      <c r="AT523" s="272"/>
      <c r="BC523" s="272" t="s">
        <v>521</v>
      </c>
      <c r="BD523" s="380">
        <v>1137</v>
      </c>
      <c r="BE523" s="347" t="s">
        <v>701</v>
      </c>
    </row>
    <row r="524" s="52" customFormat="1" ht="15.75" customHeight="1" spans="1:57">
      <c r="A524" s="227"/>
      <c r="B524" s="332"/>
      <c r="C524" s="228"/>
      <c r="D524" s="333"/>
      <c r="E524" s="334"/>
      <c r="F524" s="229"/>
      <c r="G524" s="333"/>
      <c r="H524" s="335"/>
      <c r="I524" s="229"/>
      <c r="J524" s="229"/>
      <c r="K524" s="336"/>
      <c r="L524" s="337"/>
      <c r="M524" s="337"/>
      <c r="N524" s="337"/>
      <c r="O524" s="337"/>
      <c r="P524" s="337"/>
      <c r="Q524" s="381">
        <v>8450</v>
      </c>
      <c r="R524" s="271">
        <f t="shared" si="38"/>
        <v>0</v>
      </c>
      <c r="S524" s="339">
        <f t="shared" si="37"/>
        <v>0</v>
      </c>
      <c r="T524" s="373"/>
      <c r="U524" s="373">
        <f>FA!J$149</f>
        <v>0</v>
      </c>
      <c r="V524" s="274"/>
      <c r="W524" s="374"/>
      <c r="X524" s="375"/>
      <c r="Y524" s="388" t="s">
        <v>686</v>
      </c>
      <c r="Z524" s="376"/>
      <c r="AA524" s="240"/>
      <c r="AB524" s="345">
        <v>1</v>
      </c>
      <c r="AC524" s="271"/>
      <c r="AD524" s="272"/>
      <c r="AE524" s="273"/>
      <c r="AF524" s="273"/>
      <c r="AG524" s="274"/>
      <c r="AH524" s="275"/>
      <c r="AI524" s="272"/>
      <c r="AJ524" s="276"/>
      <c r="AK524" s="277"/>
      <c r="AL524" s="278"/>
      <c r="AM524" s="277"/>
      <c r="AN524" s="279"/>
      <c r="AO524" s="279"/>
      <c r="AP524" s="279"/>
      <c r="AQ524" s="378"/>
      <c r="AR524" s="305">
        <f>'预算书-初步'!$F$10</f>
        <v>0.09</v>
      </c>
      <c r="AT524" s="272"/>
      <c r="BC524" s="272" t="s">
        <v>521</v>
      </c>
      <c r="BD524" s="380">
        <v>1138</v>
      </c>
      <c r="BE524" s="347" t="s">
        <v>701</v>
      </c>
    </row>
    <row r="525" s="52" customFormat="1" ht="15.75" customHeight="1" spans="1:57">
      <c r="A525" s="227"/>
      <c r="B525" s="332"/>
      <c r="C525" s="228"/>
      <c r="D525" s="333"/>
      <c r="E525" s="334"/>
      <c r="F525" s="229"/>
      <c r="G525" s="333"/>
      <c r="H525" s="335"/>
      <c r="I525" s="229"/>
      <c r="J525" s="229"/>
      <c r="K525" s="336"/>
      <c r="L525" s="337"/>
      <c r="M525" s="337"/>
      <c r="N525" s="337"/>
      <c r="O525" s="337"/>
      <c r="P525" s="337"/>
      <c r="Q525" s="381">
        <v>8493</v>
      </c>
      <c r="R525" s="271">
        <f t="shared" si="38"/>
        <v>0</v>
      </c>
      <c r="S525" s="339">
        <f t="shared" si="37"/>
        <v>0</v>
      </c>
      <c r="T525" s="373"/>
      <c r="U525" s="373">
        <f>FA!J$155</f>
        <v>0</v>
      </c>
      <c r="V525" s="274"/>
      <c r="W525" s="374"/>
      <c r="X525" s="375"/>
      <c r="Y525" s="365" t="s">
        <v>687</v>
      </c>
      <c r="Z525" s="376"/>
      <c r="AA525" s="240"/>
      <c r="AB525" s="345">
        <v>1</v>
      </c>
      <c r="AC525" s="271"/>
      <c r="AD525" s="272"/>
      <c r="AE525" s="273"/>
      <c r="AF525" s="273"/>
      <c r="AG525" s="274"/>
      <c r="AH525" s="275"/>
      <c r="AI525" s="272"/>
      <c r="AJ525" s="276"/>
      <c r="AK525" s="277"/>
      <c r="AL525" s="278"/>
      <c r="AM525" s="277"/>
      <c r="AN525" s="279"/>
      <c r="AO525" s="279"/>
      <c r="AP525" s="279"/>
      <c r="AQ525" s="378"/>
      <c r="AR525" s="305">
        <f>'预算书-初步'!$F$10</f>
        <v>0.09</v>
      </c>
      <c r="AT525" s="272"/>
      <c r="BC525" s="272" t="s">
        <v>521</v>
      </c>
      <c r="BD525" s="380">
        <v>1152</v>
      </c>
      <c r="BE525" s="347" t="s">
        <v>701</v>
      </c>
    </row>
    <row r="526" s="52" customFormat="1" ht="14.25" customHeight="1" spans="1:57">
      <c r="A526" s="227"/>
      <c r="B526" s="332"/>
      <c r="C526" s="228"/>
      <c r="D526" s="333"/>
      <c r="E526" s="334"/>
      <c r="F526" s="229"/>
      <c r="G526" s="333"/>
      <c r="H526" s="335"/>
      <c r="I526" s="229"/>
      <c r="J526" s="229"/>
      <c r="K526" s="336"/>
      <c r="L526" s="337"/>
      <c r="M526" s="337"/>
      <c r="N526" s="337"/>
      <c r="O526" s="337"/>
      <c r="P526" s="337"/>
      <c r="Q526" s="381">
        <v>8494</v>
      </c>
      <c r="R526" s="271">
        <f t="shared" si="38"/>
        <v>0</v>
      </c>
      <c r="S526" s="339">
        <f t="shared" si="37"/>
        <v>0</v>
      </c>
      <c r="T526" s="373"/>
      <c r="U526" s="373">
        <f>FA!J$156</f>
        <v>0</v>
      </c>
      <c r="V526" s="274"/>
      <c r="W526" s="374"/>
      <c r="X526" s="375"/>
      <c r="Y526" s="365" t="s">
        <v>688</v>
      </c>
      <c r="Z526" s="376"/>
      <c r="AA526" s="240"/>
      <c r="AB526" s="345">
        <v>1</v>
      </c>
      <c r="AC526" s="271"/>
      <c r="AD526" s="272"/>
      <c r="AE526" s="273"/>
      <c r="AF526" s="273"/>
      <c r="AG526" s="274"/>
      <c r="AH526" s="275"/>
      <c r="AI526" s="272"/>
      <c r="AJ526" s="276"/>
      <c r="AK526" s="277"/>
      <c r="AL526" s="278"/>
      <c r="AM526" s="277"/>
      <c r="AN526" s="279"/>
      <c r="AO526" s="279"/>
      <c r="AP526" s="279"/>
      <c r="AQ526" s="378"/>
      <c r="AR526" s="305">
        <f>'预算书-初步'!$F$10</f>
        <v>0.09</v>
      </c>
      <c r="AT526" s="272"/>
      <c r="BC526" s="272" t="s">
        <v>521</v>
      </c>
      <c r="BD526" s="380">
        <v>1153</v>
      </c>
      <c r="BE526" s="347" t="s">
        <v>701</v>
      </c>
    </row>
    <row r="527" s="52" customFormat="1" ht="15.75" customHeight="1" spans="1:57">
      <c r="A527" s="227"/>
      <c r="B527" s="332"/>
      <c r="C527" s="228"/>
      <c r="D527" s="333"/>
      <c r="E527" s="334"/>
      <c r="F527" s="229"/>
      <c r="G527" s="333"/>
      <c r="H527" s="335"/>
      <c r="I527" s="229"/>
      <c r="J527" s="229"/>
      <c r="K527" s="336"/>
      <c r="L527" s="337"/>
      <c r="M527" s="337"/>
      <c r="N527" s="337"/>
      <c r="O527" s="337"/>
      <c r="P527" s="337"/>
      <c r="Q527" s="384">
        <v>2910</v>
      </c>
      <c r="R527" s="271">
        <f t="shared" si="38"/>
        <v>0</v>
      </c>
      <c r="S527" s="339">
        <f t="shared" si="37"/>
        <v>0</v>
      </c>
      <c r="T527" s="373"/>
      <c r="U527" s="373">
        <f>SUMIF(其他!$A$9:$A$65,"2910",其他!$I$9:$I$65)</f>
        <v>0</v>
      </c>
      <c r="V527" s="274"/>
      <c r="W527" s="374"/>
      <c r="X527" s="375"/>
      <c r="Y527" s="45" t="s">
        <v>689</v>
      </c>
      <c r="Z527" s="376"/>
      <c r="AA527" s="240"/>
      <c r="AB527" s="345">
        <v>1</v>
      </c>
      <c r="AC527" s="271"/>
      <c r="AD527" s="272"/>
      <c r="AE527" s="273"/>
      <c r="AF527" s="273"/>
      <c r="AG527" s="274"/>
      <c r="AH527" s="275"/>
      <c r="AI527" s="272"/>
      <c r="AJ527" s="276"/>
      <c r="AK527" s="277"/>
      <c r="AL527" s="278"/>
      <c r="AM527" s="277"/>
      <c r="AN527" s="279"/>
      <c r="AO527" s="279"/>
      <c r="AP527" s="279"/>
      <c r="AQ527" s="378"/>
      <c r="AR527" s="305">
        <f>'预算书-初步'!$F$10</f>
        <v>0.09</v>
      </c>
      <c r="AT527" s="272"/>
      <c r="BC527" s="272" t="s">
        <v>521</v>
      </c>
      <c r="BD527" s="380">
        <v>1160</v>
      </c>
      <c r="BE527" s="347" t="s">
        <v>701</v>
      </c>
    </row>
    <row r="528" s="52" customFormat="1" ht="15.75" customHeight="1" spans="1:57">
      <c r="A528" s="227"/>
      <c r="B528" s="332"/>
      <c r="C528" s="228"/>
      <c r="D528" s="333"/>
      <c r="E528" s="334"/>
      <c r="F528" s="229"/>
      <c r="G528" s="333"/>
      <c r="H528" s="335"/>
      <c r="I528" s="229"/>
      <c r="J528" s="229"/>
      <c r="K528" s="336"/>
      <c r="L528" s="337"/>
      <c r="M528" s="337"/>
      <c r="N528" s="337"/>
      <c r="O528" s="337"/>
      <c r="P528" s="337"/>
      <c r="Q528" s="384">
        <v>2920</v>
      </c>
      <c r="R528" s="271">
        <f t="shared" si="38"/>
        <v>0</v>
      </c>
      <c r="S528" s="339">
        <f t="shared" si="37"/>
        <v>0</v>
      </c>
      <c r="T528" s="373"/>
      <c r="U528" s="373">
        <f>SUMIF(其他!$A$9:$A$65,"2920",其他!$I$9:$I$65)</f>
        <v>0</v>
      </c>
      <c r="V528" s="274"/>
      <c r="W528" s="374"/>
      <c r="X528" s="375"/>
      <c r="Y528" s="45" t="s">
        <v>690</v>
      </c>
      <c r="Z528" s="376"/>
      <c r="AA528" s="240"/>
      <c r="AB528" s="345">
        <v>1</v>
      </c>
      <c r="AC528" s="271"/>
      <c r="AD528" s="272"/>
      <c r="AE528" s="273"/>
      <c r="AF528" s="273"/>
      <c r="AG528" s="274"/>
      <c r="AH528" s="275"/>
      <c r="AI528" s="272"/>
      <c r="AJ528" s="276"/>
      <c r="AK528" s="277"/>
      <c r="AL528" s="278"/>
      <c r="AM528" s="277"/>
      <c r="AN528" s="279"/>
      <c r="AO528" s="279"/>
      <c r="AP528" s="279"/>
      <c r="AQ528" s="378"/>
      <c r="AR528" s="305">
        <f>'预算书-初步'!$F$10</f>
        <v>0.09</v>
      </c>
      <c r="AT528" s="272"/>
      <c r="BC528" s="272" t="s">
        <v>521</v>
      </c>
      <c r="BD528" s="380">
        <v>1160</v>
      </c>
      <c r="BE528" s="347" t="s">
        <v>701</v>
      </c>
    </row>
    <row r="529" s="52" customFormat="1" ht="15.75" customHeight="1" spans="1:57">
      <c r="A529" s="227"/>
      <c r="B529" s="332"/>
      <c r="C529" s="228"/>
      <c r="D529" s="333"/>
      <c r="E529" s="334"/>
      <c r="F529" s="229"/>
      <c r="G529" s="333"/>
      <c r="H529" s="335"/>
      <c r="I529" s="229"/>
      <c r="J529" s="229"/>
      <c r="K529" s="336"/>
      <c r="L529" s="337"/>
      <c r="M529" s="337"/>
      <c r="N529" s="337"/>
      <c r="O529" s="337"/>
      <c r="P529" s="337"/>
      <c r="Q529" s="384">
        <v>2930</v>
      </c>
      <c r="R529" s="271">
        <f t="shared" si="38"/>
        <v>0</v>
      </c>
      <c r="S529" s="339">
        <f t="shared" ref="S529:S572" si="39">$S$5</f>
        <v>0</v>
      </c>
      <c r="T529" s="373"/>
      <c r="U529" s="373">
        <f>SUMIF(其他!$A$9:$A$65,"2930",其他!$I$9:$I$65)</f>
        <v>0</v>
      </c>
      <c r="V529" s="274"/>
      <c r="W529" s="374"/>
      <c r="X529" s="375"/>
      <c r="Y529" s="45" t="s">
        <v>691</v>
      </c>
      <c r="Z529" s="376"/>
      <c r="AA529" s="240"/>
      <c r="AB529" s="345">
        <v>1</v>
      </c>
      <c r="AC529" s="271"/>
      <c r="AD529" s="272"/>
      <c r="AE529" s="273"/>
      <c r="AF529" s="273"/>
      <c r="AG529" s="274"/>
      <c r="AH529" s="275"/>
      <c r="AI529" s="272"/>
      <c r="AJ529" s="276"/>
      <c r="AK529" s="277"/>
      <c r="AL529" s="278"/>
      <c r="AM529" s="277"/>
      <c r="AN529" s="279"/>
      <c r="AO529" s="279"/>
      <c r="AP529" s="279"/>
      <c r="AQ529" s="378"/>
      <c r="AR529" s="305">
        <f>'预算书-初步'!$F$10</f>
        <v>0.09</v>
      </c>
      <c r="AT529" s="272"/>
      <c r="BC529" s="272" t="s">
        <v>521</v>
      </c>
      <c r="BD529" s="380">
        <v>1160</v>
      </c>
      <c r="BE529" s="347" t="s">
        <v>701</v>
      </c>
    </row>
    <row r="530" s="52" customFormat="1" ht="15.75" customHeight="1" spans="1:57">
      <c r="A530" s="227"/>
      <c r="B530" s="332"/>
      <c r="C530" s="228"/>
      <c r="D530" s="333"/>
      <c r="E530" s="334"/>
      <c r="F530" s="229"/>
      <c r="G530" s="333"/>
      <c r="H530" s="335"/>
      <c r="I530" s="229"/>
      <c r="J530" s="229"/>
      <c r="K530" s="336"/>
      <c r="L530" s="337"/>
      <c r="M530" s="337"/>
      <c r="N530" s="337"/>
      <c r="O530" s="337"/>
      <c r="P530" s="337"/>
      <c r="Q530" s="384">
        <v>2940</v>
      </c>
      <c r="R530" s="271">
        <f t="shared" si="38"/>
        <v>0</v>
      </c>
      <c r="S530" s="339">
        <f t="shared" si="39"/>
        <v>0</v>
      </c>
      <c r="T530" s="373"/>
      <c r="U530" s="373">
        <f>SUMIF(其他!$A$9:$A$65,"2940",其他!$I$9:$I$65)</f>
        <v>0</v>
      </c>
      <c r="V530" s="274"/>
      <c r="W530" s="374"/>
      <c r="X530" s="375"/>
      <c r="Y530" s="45" t="s">
        <v>692</v>
      </c>
      <c r="Z530" s="376"/>
      <c r="AA530" s="240"/>
      <c r="AB530" s="345">
        <v>1</v>
      </c>
      <c r="AC530" s="271"/>
      <c r="AD530" s="272"/>
      <c r="AE530" s="273"/>
      <c r="AF530" s="273"/>
      <c r="AG530" s="274"/>
      <c r="AH530" s="275"/>
      <c r="AI530" s="272"/>
      <c r="AJ530" s="276"/>
      <c r="AK530" s="277"/>
      <c r="AL530" s="278"/>
      <c r="AM530" s="277"/>
      <c r="AN530" s="279"/>
      <c r="AO530" s="279"/>
      <c r="AP530" s="279"/>
      <c r="AQ530" s="378"/>
      <c r="AR530" s="305">
        <f>'预算书-初步'!$F$10</f>
        <v>0.09</v>
      </c>
      <c r="AT530" s="272"/>
      <c r="BC530" s="272" t="s">
        <v>521</v>
      </c>
      <c r="BD530" s="380">
        <v>1160</v>
      </c>
      <c r="BE530" s="347" t="s">
        <v>701</v>
      </c>
    </row>
    <row r="531" s="52" customFormat="1" ht="15.75" customHeight="1" spans="1:57">
      <c r="A531" s="227"/>
      <c r="B531" s="332"/>
      <c r="C531" s="228"/>
      <c r="D531" s="333"/>
      <c r="E531" s="334"/>
      <c r="F531" s="229"/>
      <c r="G531" s="333"/>
      <c r="H531" s="335"/>
      <c r="I531" s="229"/>
      <c r="J531" s="229"/>
      <c r="K531" s="336"/>
      <c r="L531" s="337"/>
      <c r="M531" s="337"/>
      <c r="N531" s="337"/>
      <c r="O531" s="337"/>
      <c r="P531" s="337"/>
      <c r="Q531" s="384">
        <v>2950</v>
      </c>
      <c r="R531" s="271">
        <f t="shared" si="38"/>
        <v>0</v>
      </c>
      <c r="S531" s="339">
        <f t="shared" si="39"/>
        <v>0</v>
      </c>
      <c r="T531" s="373"/>
      <c r="U531" s="373">
        <f>SUMIF(其他!$A$9:$A$65,"2950",其他!$I$9:$I$65)</f>
        <v>0</v>
      </c>
      <c r="V531" s="274"/>
      <c r="W531" s="374"/>
      <c r="X531" s="375"/>
      <c r="Y531" s="45" t="s">
        <v>693</v>
      </c>
      <c r="Z531" s="376"/>
      <c r="AA531" s="240"/>
      <c r="AB531" s="345">
        <v>1</v>
      </c>
      <c r="AC531" s="271"/>
      <c r="AD531" s="272"/>
      <c r="AE531" s="273"/>
      <c r="AF531" s="273"/>
      <c r="AG531" s="274"/>
      <c r="AH531" s="275"/>
      <c r="AI531" s="272"/>
      <c r="AJ531" s="276"/>
      <c r="AK531" s="277"/>
      <c r="AL531" s="278"/>
      <c r="AM531" s="277"/>
      <c r="AN531" s="279"/>
      <c r="AO531" s="279"/>
      <c r="AP531" s="279"/>
      <c r="AQ531" s="378"/>
      <c r="AR531" s="305">
        <f>'预算书-初步'!$F$10</f>
        <v>0.09</v>
      </c>
      <c r="AT531" s="272"/>
      <c r="BC531" s="272" t="s">
        <v>521</v>
      </c>
      <c r="BD531" s="380">
        <v>1160</v>
      </c>
      <c r="BE531" s="347" t="s">
        <v>701</v>
      </c>
    </row>
    <row r="532" s="52" customFormat="1" ht="15.75" customHeight="1" spans="1:57">
      <c r="A532" s="227"/>
      <c r="B532" s="332"/>
      <c r="C532" s="228"/>
      <c r="D532" s="333"/>
      <c r="E532" s="334"/>
      <c r="F532" s="229"/>
      <c r="G532" s="333"/>
      <c r="H532" s="335"/>
      <c r="I532" s="229"/>
      <c r="J532" s="229"/>
      <c r="K532" s="336"/>
      <c r="L532" s="337"/>
      <c r="M532" s="337"/>
      <c r="N532" s="337"/>
      <c r="O532" s="337"/>
      <c r="P532" s="337"/>
      <c r="Q532" s="384">
        <v>2992</v>
      </c>
      <c r="R532" s="271">
        <f t="shared" si="38"/>
        <v>0</v>
      </c>
      <c r="S532" s="339">
        <f t="shared" si="39"/>
        <v>0</v>
      </c>
      <c r="T532" s="373"/>
      <c r="U532" s="373">
        <f>SUMIF(其他!$A$9:$A$65,"2992",其他!$I$9:$I$65)</f>
        <v>0</v>
      </c>
      <c r="V532" s="274"/>
      <c r="W532" s="374"/>
      <c r="X532" s="375"/>
      <c r="Y532" s="45" t="s">
        <v>694</v>
      </c>
      <c r="Z532" s="376"/>
      <c r="AA532" s="240"/>
      <c r="AB532" s="345">
        <v>1</v>
      </c>
      <c r="AC532" s="271"/>
      <c r="AD532" s="272"/>
      <c r="AE532" s="273"/>
      <c r="AF532" s="273"/>
      <c r="AG532" s="274"/>
      <c r="AH532" s="275"/>
      <c r="AI532" s="272"/>
      <c r="AJ532" s="276"/>
      <c r="AK532" s="277"/>
      <c r="AL532" s="278"/>
      <c r="AM532" s="277"/>
      <c r="AN532" s="279"/>
      <c r="AO532" s="279"/>
      <c r="AP532" s="279"/>
      <c r="AQ532" s="378"/>
      <c r="AR532" s="305">
        <f>'预算书-初步'!$F$10</f>
        <v>0.09</v>
      </c>
      <c r="AT532" s="272"/>
      <c r="BC532" s="272" t="s">
        <v>521</v>
      </c>
      <c r="BD532" s="380">
        <v>1163</v>
      </c>
      <c r="BE532" s="347" t="s">
        <v>701</v>
      </c>
    </row>
    <row r="533" s="52" customFormat="1" ht="15.75" customHeight="1" spans="1:57">
      <c r="A533" s="227"/>
      <c r="B533" s="332"/>
      <c r="C533" s="228"/>
      <c r="D533" s="333"/>
      <c r="E533" s="334"/>
      <c r="F533" s="229"/>
      <c r="G533" s="333"/>
      <c r="H533" s="335"/>
      <c r="I533" s="229"/>
      <c r="J533" s="229"/>
      <c r="K533" s="336"/>
      <c r="L533" s="337"/>
      <c r="M533" s="337"/>
      <c r="N533" s="337"/>
      <c r="O533" s="337"/>
      <c r="P533" s="337"/>
      <c r="Q533" s="384">
        <v>2993</v>
      </c>
      <c r="R533" s="271">
        <f t="shared" si="38"/>
        <v>0</v>
      </c>
      <c r="S533" s="339">
        <f t="shared" si="39"/>
        <v>0</v>
      </c>
      <c r="T533" s="373"/>
      <c r="U533" s="373">
        <f>SUMIF(其他!$A$9:$A$65,"2993",其他!$I$9:$I$65)</f>
        <v>0</v>
      </c>
      <c r="V533" s="274"/>
      <c r="W533" s="374"/>
      <c r="X533" s="375"/>
      <c r="Y533" s="45" t="s">
        <v>695</v>
      </c>
      <c r="Z533" s="376"/>
      <c r="AA533" s="240"/>
      <c r="AB533" s="345">
        <v>1</v>
      </c>
      <c r="AC533" s="271"/>
      <c r="AD533" s="272"/>
      <c r="AE533" s="273"/>
      <c r="AF533" s="273"/>
      <c r="AG533" s="274"/>
      <c r="AH533" s="275"/>
      <c r="AI533" s="272"/>
      <c r="AJ533" s="276"/>
      <c r="AK533" s="277"/>
      <c r="AL533" s="278"/>
      <c r="AM533" s="277"/>
      <c r="AN533" s="279"/>
      <c r="AO533" s="279"/>
      <c r="AP533" s="279"/>
      <c r="AQ533" s="378"/>
      <c r="AR533" s="305">
        <f>'预算书-初步'!$F$10</f>
        <v>0.09</v>
      </c>
      <c r="AT533" s="272"/>
      <c r="BC533" s="272" t="s">
        <v>521</v>
      </c>
      <c r="BD533" s="380">
        <v>1163</v>
      </c>
      <c r="BE533" s="347" t="s">
        <v>701</v>
      </c>
    </row>
    <row r="534" s="52" customFormat="1" ht="15.75" customHeight="1" spans="1:57">
      <c r="A534" s="227"/>
      <c r="B534" s="332"/>
      <c r="C534" s="228"/>
      <c r="D534" s="333"/>
      <c r="E534" s="334"/>
      <c r="F534" s="229"/>
      <c r="G534" s="333"/>
      <c r="H534" s="335"/>
      <c r="I534" s="229"/>
      <c r="J534" s="229"/>
      <c r="K534" s="336"/>
      <c r="L534" s="337"/>
      <c r="M534" s="337"/>
      <c r="N534" s="337"/>
      <c r="O534" s="337"/>
      <c r="P534" s="337"/>
      <c r="Q534" s="384">
        <v>2994</v>
      </c>
      <c r="R534" s="271">
        <f t="shared" si="38"/>
        <v>0</v>
      </c>
      <c r="S534" s="339">
        <f t="shared" si="39"/>
        <v>0</v>
      </c>
      <c r="T534" s="373"/>
      <c r="U534" s="373">
        <f>SUMIF(其他!$A$9:$A$65,"2994",其他!$I$9:$I$65)</f>
        <v>0</v>
      </c>
      <c r="V534" s="274"/>
      <c r="W534" s="374"/>
      <c r="X534" s="375"/>
      <c r="Y534" s="45" t="s">
        <v>696</v>
      </c>
      <c r="Z534" s="376"/>
      <c r="AA534" s="240"/>
      <c r="AB534" s="345">
        <v>1</v>
      </c>
      <c r="AC534" s="271"/>
      <c r="AD534" s="272"/>
      <c r="AE534" s="273"/>
      <c r="AF534" s="273"/>
      <c r="AG534" s="274"/>
      <c r="AH534" s="275"/>
      <c r="AI534" s="272"/>
      <c r="AJ534" s="276"/>
      <c r="AK534" s="277"/>
      <c r="AL534" s="278"/>
      <c r="AM534" s="277"/>
      <c r="AN534" s="279"/>
      <c r="AO534" s="279"/>
      <c r="AP534" s="279"/>
      <c r="AQ534" s="378"/>
      <c r="AR534" s="305">
        <f>'预算书-初步'!$F$10</f>
        <v>0.09</v>
      </c>
      <c r="AT534" s="272"/>
      <c r="BC534" s="272" t="s">
        <v>521</v>
      </c>
      <c r="BD534" s="380">
        <v>1163</v>
      </c>
      <c r="BE534" s="347" t="s">
        <v>701</v>
      </c>
    </row>
    <row r="535" s="52" customFormat="1" spans="1:57">
      <c r="A535" s="227"/>
      <c r="B535" s="332"/>
      <c r="C535" s="228"/>
      <c r="D535" s="333"/>
      <c r="E535" s="334"/>
      <c r="F535" s="229"/>
      <c r="G535" s="333"/>
      <c r="H535" s="335"/>
      <c r="I535" s="229"/>
      <c r="J535" s="229"/>
      <c r="K535" s="336"/>
      <c r="L535" s="337"/>
      <c r="M535" s="337"/>
      <c r="N535" s="337"/>
      <c r="O535" s="337"/>
      <c r="P535" s="337"/>
      <c r="Q535" s="384">
        <v>4992</v>
      </c>
      <c r="R535" s="271">
        <f t="shared" si="38"/>
        <v>0</v>
      </c>
      <c r="S535" s="339">
        <f t="shared" si="39"/>
        <v>0</v>
      </c>
      <c r="T535" s="373"/>
      <c r="U535" s="373">
        <f>SUMIF(其他!$A$9:$A$65,"4992",其他!$I$9:$I$65)</f>
        <v>0</v>
      </c>
      <c r="V535" s="274"/>
      <c r="W535" s="374"/>
      <c r="X535" s="375"/>
      <c r="Y535" s="45" t="s">
        <v>697</v>
      </c>
      <c r="Z535" s="376"/>
      <c r="AA535" s="240"/>
      <c r="AB535" s="345">
        <v>1</v>
      </c>
      <c r="AC535" s="271"/>
      <c r="AD535" s="272"/>
      <c r="AE535" s="273"/>
      <c r="AF535" s="273"/>
      <c r="AG535" s="274"/>
      <c r="AH535" s="275"/>
      <c r="AI535" s="272"/>
      <c r="AJ535" s="276"/>
      <c r="AK535" s="277"/>
      <c r="AL535" s="278"/>
      <c r="AM535" s="277"/>
      <c r="AN535" s="279"/>
      <c r="AO535" s="279"/>
      <c r="AP535" s="279"/>
      <c r="AQ535" s="378"/>
      <c r="AR535" s="305">
        <f>'预算书-初步'!$F$10</f>
        <v>0.09</v>
      </c>
      <c r="AT535" s="272"/>
      <c r="BC535" s="272" t="s">
        <v>521</v>
      </c>
      <c r="BD535" s="380">
        <v>1174</v>
      </c>
      <c r="BE535" s="347" t="s">
        <v>701</v>
      </c>
    </row>
    <row r="536" s="52" customFormat="1" spans="1:57">
      <c r="A536" s="227"/>
      <c r="B536" s="332"/>
      <c r="C536" s="228"/>
      <c r="D536" s="333"/>
      <c r="E536" s="334"/>
      <c r="F536" s="229"/>
      <c r="G536" s="333"/>
      <c r="H536" s="335"/>
      <c r="I536" s="229"/>
      <c r="J536" s="229"/>
      <c r="K536" s="336"/>
      <c r="L536" s="337"/>
      <c r="M536" s="337"/>
      <c r="N536" s="337"/>
      <c r="O536" s="337"/>
      <c r="P536" s="337"/>
      <c r="Q536" s="384">
        <v>4993</v>
      </c>
      <c r="R536" s="271">
        <f t="shared" si="38"/>
        <v>0</v>
      </c>
      <c r="S536" s="339">
        <f t="shared" si="39"/>
        <v>0</v>
      </c>
      <c r="T536" s="373"/>
      <c r="U536" s="373">
        <f>SUMIF(其他!$A$9:$A$65,"4993",其他!$I$9:$I$65)</f>
        <v>0</v>
      </c>
      <c r="V536" s="274"/>
      <c r="W536" s="374"/>
      <c r="X536" s="375"/>
      <c r="Y536" s="45" t="s">
        <v>698</v>
      </c>
      <c r="Z536" s="376"/>
      <c r="AA536" s="240"/>
      <c r="AB536" s="345">
        <v>1</v>
      </c>
      <c r="AC536" s="271"/>
      <c r="AD536" s="272"/>
      <c r="AE536" s="273"/>
      <c r="AF536" s="273"/>
      <c r="AG536" s="274"/>
      <c r="AH536" s="275"/>
      <c r="AI536" s="272"/>
      <c r="AJ536" s="276"/>
      <c r="AK536" s="277"/>
      <c r="AL536" s="278"/>
      <c r="AM536" s="277"/>
      <c r="AN536" s="279"/>
      <c r="AO536" s="279"/>
      <c r="AP536" s="279"/>
      <c r="AQ536" s="378"/>
      <c r="AR536" s="305">
        <f>'预算书-初步'!$F$10</f>
        <v>0.09</v>
      </c>
      <c r="AT536" s="272"/>
      <c r="BC536" s="272" t="s">
        <v>521</v>
      </c>
      <c r="BD536" s="380">
        <v>1174</v>
      </c>
      <c r="BE536" s="347" t="s">
        <v>701</v>
      </c>
    </row>
    <row r="537" s="225" customFormat="1" spans="1:57">
      <c r="A537" s="393"/>
      <c r="B537" s="332"/>
      <c r="C537" s="228"/>
      <c r="D537" s="333"/>
      <c r="E537" s="334"/>
      <c r="F537" s="229"/>
      <c r="G537" s="333"/>
      <c r="H537" s="335"/>
      <c r="I537" s="229"/>
      <c r="J537" s="229"/>
      <c r="K537" s="336"/>
      <c r="L537" s="337"/>
      <c r="M537" s="337"/>
      <c r="N537" s="337"/>
      <c r="O537" s="337"/>
      <c r="P537" s="337"/>
      <c r="Q537" s="391">
        <v>4994</v>
      </c>
      <c r="R537" s="271">
        <f t="shared" si="38"/>
        <v>0</v>
      </c>
      <c r="S537" s="394">
        <f t="shared" si="39"/>
        <v>0</v>
      </c>
      <c r="T537" s="395"/>
      <c r="U537" s="395">
        <f>SUMIF(其他!$A$9:$A$65,"4994",其他!$I$9:$I$65)</f>
        <v>0</v>
      </c>
      <c r="V537" s="396"/>
      <c r="W537" s="397"/>
      <c r="X537" s="398"/>
      <c r="Y537" s="45" t="s">
        <v>699</v>
      </c>
      <c r="Z537" s="376"/>
      <c r="AA537" s="240"/>
      <c r="AB537" s="345">
        <v>1</v>
      </c>
      <c r="AC537" s="271"/>
      <c r="AD537" s="272"/>
      <c r="AE537" s="273"/>
      <c r="AF537" s="273"/>
      <c r="AG537" s="274"/>
      <c r="AH537" s="275"/>
      <c r="AI537" s="272"/>
      <c r="AJ537" s="276"/>
      <c r="AK537" s="277"/>
      <c r="AL537" s="278"/>
      <c r="AM537" s="277"/>
      <c r="AN537" s="279"/>
      <c r="AO537" s="279"/>
      <c r="AP537" s="279"/>
      <c r="AQ537" s="378"/>
      <c r="AR537" s="305">
        <f>'预算书-初步'!$F$10</f>
        <v>0.09</v>
      </c>
      <c r="AT537" s="399"/>
      <c r="BC537" s="399" t="s">
        <v>521</v>
      </c>
      <c r="BD537" s="400">
        <v>1174</v>
      </c>
      <c r="BE537" s="401" t="s">
        <v>701</v>
      </c>
    </row>
    <row r="538" s="52" customFormat="1" ht="15.75" customHeight="1" spans="1:57">
      <c r="A538" s="227"/>
      <c r="B538" s="332"/>
      <c r="C538" s="228"/>
      <c r="D538" s="333"/>
      <c r="E538" s="334"/>
      <c r="F538" s="229"/>
      <c r="G538" s="333"/>
      <c r="H538" s="335"/>
      <c r="I538" s="229"/>
      <c r="J538" s="229"/>
      <c r="K538" s="336"/>
      <c r="L538" s="337"/>
      <c r="M538" s="337"/>
      <c r="N538" s="337"/>
      <c r="O538" s="337"/>
      <c r="P538" s="337"/>
      <c r="Q538" s="338">
        <v>6002</v>
      </c>
      <c r="R538" s="271">
        <f t="shared" si="38"/>
        <v>0</v>
      </c>
      <c r="S538" s="339">
        <f t="shared" si="39"/>
        <v>0</v>
      </c>
      <c r="T538" s="340"/>
      <c r="U538" s="341">
        <f>FA!K$16</f>
        <v>0</v>
      </c>
      <c r="V538" s="274"/>
      <c r="W538" s="342"/>
      <c r="X538" s="343"/>
      <c r="Y538" s="6" t="s">
        <v>520</v>
      </c>
      <c r="Z538" s="344"/>
      <c r="AA538" s="240"/>
      <c r="AB538" s="345">
        <v>1</v>
      </c>
      <c r="AC538" s="271"/>
      <c r="AD538" s="272"/>
      <c r="AE538" s="273"/>
      <c r="AF538" s="273"/>
      <c r="AG538" s="274"/>
      <c r="AH538" s="275"/>
      <c r="AI538" s="272"/>
      <c r="AJ538" s="276"/>
      <c r="AK538" s="277"/>
      <c r="AL538" s="278"/>
      <c r="AM538" s="277"/>
      <c r="AN538" s="279"/>
      <c r="AO538" s="279"/>
      <c r="AP538" s="279"/>
      <c r="AQ538" s="279"/>
      <c r="AR538" s="305">
        <f>'预算书-初步'!$F$10</f>
        <v>0.09</v>
      </c>
      <c r="AT538" s="272">
        <v>12</v>
      </c>
      <c r="BC538" s="272" t="s">
        <v>521</v>
      </c>
      <c r="BD538" s="346">
        <v>1005</v>
      </c>
      <c r="BE538" s="347" t="s">
        <v>702</v>
      </c>
    </row>
    <row r="539" s="52" customFormat="1" ht="15.75" customHeight="1" spans="1:57">
      <c r="A539" s="227"/>
      <c r="B539" s="332"/>
      <c r="C539" s="228"/>
      <c r="D539" s="333"/>
      <c r="E539" s="334"/>
      <c r="F539" s="229"/>
      <c r="G539" s="333"/>
      <c r="H539" s="335"/>
      <c r="I539" s="229"/>
      <c r="J539" s="229"/>
      <c r="K539" s="336"/>
      <c r="L539" s="337"/>
      <c r="M539" s="337"/>
      <c r="N539" s="337"/>
      <c r="O539" s="337"/>
      <c r="P539" s="337"/>
      <c r="Q539" s="338">
        <v>6002</v>
      </c>
      <c r="R539" s="271">
        <f t="shared" si="38"/>
        <v>0</v>
      </c>
      <c r="S539" s="339">
        <f t="shared" si="39"/>
        <v>0</v>
      </c>
      <c r="T539" s="340"/>
      <c r="U539" s="341">
        <f>FA!K$17</f>
        <v>0</v>
      </c>
      <c r="V539" s="274"/>
      <c r="W539" s="342"/>
      <c r="X539" s="343"/>
      <c r="Y539" s="6" t="s">
        <v>523</v>
      </c>
      <c r="Z539" s="344"/>
      <c r="AA539" s="240"/>
      <c r="AB539" s="345">
        <v>1</v>
      </c>
      <c r="AC539" s="271"/>
      <c r="AD539" s="272"/>
      <c r="AE539" s="273"/>
      <c r="AF539" s="273"/>
      <c r="AG539" s="274"/>
      <c r="AH539" s="275"/>
      <c r="AI539" s="272"/>
      <c r="AJ539" s="276"/>
      <c r="AK539" s="277"/>
      <c r="AL539" s="278"/>
      <c r="AM539" s="277"/>
      <c r="AN539" s="279" t="str">
        <f>IF(AK539&lt;&gt;0,"N","")</f>
        <v/>
      </c>
      <c r="AO539" s="279"/>
      <c r="AP539" s="279" t="str">
        <f>IF(F539&lt;&gt;0,"Y","")</f>
        <v/>
      </c>
      <c r="AQ539" s="279"/>
      <c r="AR539" s="305">
        <f>'预算书-初步'!$F$10</f>
        <v>0.09</v>
      </c>
      <c r="AT539" s="272">
        <v>20</v>
      </c>
      <c r="BC539" s="272" t="s">
        <v>521</v>
      </c>
      <c r="BD539" s="346">
        <v>1006</v>
      </c>
      <c r="BE539" s="347" t="s">
        <v>702</v>
      </c>
    </row>
    <row r="540" s="52" customFormat="1" ht="15.75" customHeight="1" spans="1:57">
      <c r="A540" s="227"/>
      <c r="B540" s="332"/>
      <c r="C540" s="228"/>
      <c r="D540" s="333"/>
      <c r="E540" s="334"/>
      <c r="F540" s="229"/>
      <c r="G540" s="333"/>
      <c r="H540" s="335"/>
      <c r="I540" s="229"/>
      <c r="J540" s="229"/>
      <c r="K540" s="336"/>
      <c r="L540" s="337"/>
      <c r="M540" s="337"/>
      <c r="N540" s="337"/>
      <c r="O540" s="337"/>
      <c r="P540" s="337"/>
      <c r="Q540" s="338">
        <v>6002</v>
      </c>
      <c r="R540" s="271">
        <f t="shared" si="38"/>
        <v>0</v>
      </c>
      <c r="S540" s="339">
        <f t="shared" si="39"/>
        <v>0</v>
      </c>
      <c r="T540" s="340"/>
      <c r="U540" s="341">
        <f>FA!K$18</f>
        <v>0</v>
      </c>
      <c r="V540" s="274"/>
      <c r="W540" s="342"/>
      <c r="X540" s="343"/>
      <c r="Y540" s="6" t="s">
        <v>524</v>
      </c>
      <c r="Z540" s="344"/>
      <c r="AA540" s="240"/>
      <c r="AB540" s="345">
        <v>1</v>
      </c>
      <c r="AC540" s="271"/>
      <c r="AD540" s="272"/>
      <c r="AE540" s="273"/>
      <c r="AF540" s="273"/>
      <c r="AG540" s="274"/>
      <c r="AH540" s="275"/>
      <c r="AI540" s="272"/>
      <c r="AJ540" s="276"/>
      <c r="AK540" s="277"/>
      <c r="AL540" s="278"/>
      <c r="AM540" s="277"/>
      <c r="AN540" s="279" t="str">
        <f>IF(AK540&lt;&gt;0,"N","")</f>
        <v/>
      </c>
      <c r="AO540" s="279"/>
      <c r="AP540" s="279" t="str">
        <f>IF(F540&lt;&gt;0,"Y","")</f>
        <v/>
      </c>
      <c r="AQ540" s="279"/>
      <c r="AR540" s="305">
        <f>'预算书-初步'!$F$10</f>
        <v>0.09</v>
      </c>
      <c r="AT540" s="272">
        <v>23</v>
      </c>
      <c r="BC540" s="272" t="s">
        <v>521</v>
      </c>
      <c r="BD540" s="346">
        <v>1007</v>
      </c>
      <c r="BE540" s="347" t="s">
        <v>702</v>
      </c>
    </row>
    <row r="541" s="52" customFormat="1" ht="15.75" customHeight="1" spans="1:57">
      <c r="A541" s="227"/>
      <c r="B541" s="332"/>
      <c r="C541" s="228"/>
      <c r="D541" s="333"/>
      <c r="E541" s="334"/>
      <c r="F541" s="229"/>
      <c r="G541" s="333"/>
      <c r="H541" s="335"/>
      <c r="I541" s="229"/>
      <c r="J541" s="229"/>
      <c r="K541" s="336"/>
      <c r="L541" s="337"/>
      <c r="M541" s="337"/>
      <c r="N541" s="337"/>
      <c r="O541" s="337"/>
      <c r="P541" s="337"/>
      <c r="Q541" s="338">
        <v>1220</v>
      </c>
      <c r="R541" s="271">
        <f t="shared" si="38"/>
        <v>0</v>
      </c>
      <c r="S541" s="339">
        <f t="shared" si="39"/>
        <v>0</v>
      </c>
      <c r="T541" s="340"/>
      <c r="U541" s="341">
        <f>FA!K$36</f>
        <v>0</v>
      </c>
      <c r="V541" s="274"/>
      <c r="W541" s="342"/>
      <c r="X541" s="343"/>
      <c r="Y541" s="6" t="s">
        <v>525</v>
      </c>
      <c r="Z541" s="344"/>
      <c r="AA541" s="240"/>
      <c r="AB541" s="345">
        <v>1</v>
      </c>
      <c r="AC541" s="271"/>
      <c r="AD541" s="272"/>
      <c r="AE541" s="273"/>
      <c r="AF541" s="273"/>
      <c r="AG541" s="274"/>
      <c r="AH541" s="275"/>
      <c r="AI541" s="272"/>
      <c r="AJ541" s="276"/>
      <c r="AK541" s="277"/>
      <c r="AL541" s="278"/>
      <c r="AM541" s="277"/>
      <c r="AN541" s="279"/>
      <c r="AO541" s="279"/>
      <c r="AP541" s="279"/>
      <c r="AQ541" s="279"/>
      <c r="AR541" s="305">
        <f>'预算书-初步'!$F$10</f>
        <v>0.09</v>
      </c>
      <c r="AT541" s="272"/>
      <c r="BC541" s="272" t="s">
        <v>521</v>
      </c>
      <c r="BD541" s="346">
        <v>1025</v>
      </c>
      <c r="BE541" s="347" t="s">
        <v>702</v>
      </c>
    </row>
    <row r="542" s="52" customFormat="1" ht="15.75" customHeight="1" spans="1:57">
      <c r="A542" s="227"/>
      <c r="B542" s="332"/>
      <c r="C542" s="228"/>
      <c r="D542" s="333"/>
      <c r="E542" s="334"/>
      <c r="F542" s="229"/>
      <c r="G542" s="333"/>
      <c r="H542" s="335"/>
      <c r="I542" s="229"/>
      <c r="J542" s="229"/>
      <c r="K542" s="336"/>
      <c r="L542" s="337"/>
      <c r="M542" s="337"/>
      <c r="N542" s="337"/>
      <c r="O542" s="337"/>
      <c r="P542" s="337"/>
      <c r="Q542" s="338">
        <v>1314</v>
      </c>
      <c r="R542" s="271">
        <f t="shared" si="38"/>
        <v>0</v>
      </c>
      <c r="S542" s="339">
        <f t="shared" si="39"/>
        <v>0</v>
      </c>
      <c r="T542" s="340"/>
      <c r="U542" s="341">
        <f>FA!K$42</f>
        <v>0</v>
      </c>
      <c r="V542" s="274"/>
      <c r="W542" s="342"/>
      <c r="X542" s="343"/>
      <c r="Y542" s="6" t="s">
        <v>526</v>
      </c>
      <c r="Z542" s="344"/>
      <c r="AA542" s="240"/>
      <c r="AB542" s="345">
        <v>1</v>
      </c>
      <c r="AC542" s="271"/>
      <c r="AD542" s="272"/>
      <c r="AE542" s="273"/>
      <c r="AF542" s="273"/>
      <c r="AG542" s="274"/>
      <c r="AH542" s="275"/>
      <c r="AI542" s="272"/>
      <c r="AJ542" s="276"/>
      <c r="AK542" s="277"/>
      <c r="AL542" s="278"/>
      <c r="AM542" s="277"/>
      <c r="AN542" s="279"/>
      <c r="AO542" s="279"/>
      <c r="AP542" s="279"/>
      <c r="AQ542" s="279"/>
      <c r="AR542" s="305">
        <f>'预算书-初步'!$F$10</f>
        <v>0.09</v>
      </c>
      <c r="AT542" s="272"/>
      <c r="BC542" s="272" t="s">
        <v>521</v>
      </c>
      <c r="BD542" s="348">
        <v>1031</v>
      </c>
      <c r="BE542" s="347" t="s">
        <v>702</v>
      </c>
    </row>
    <row r="543" s="52" customFormat="1" ht="15.75" customHeight="1" spans="1:57">
      <c r="A543" s="227"/>
      <c r="B543" s="332"/>
      <c r="C543" s="228"/>
      <c r="D543" s="333"/>
      <c r="E543" s="334"/>
      <c r="F543" s="229"/>
      <c r="G543" s="333"/>
      <c r="H543" s="335"/>
      <c r="I543" s="229"/>
      <c r="J543" s="229"/>
      <c r="K543" s="336"/>
      <c r="L543" s="337"/>
      <c r="M543" s="337"/>
      <c r="N543" s="337"/>
      <c r="O543" s="337"/>
      <c r="P543" s="337"/>
      <c r="Q543" s="338">
        <v>1320</v>
      </c>
      <c r="R543" s="271">
        <f t="shared" si="38"/>
        <v>0</v>
      </c>
      <c r="S543" s="339">
        <f t="shared" si="39"/>
        <v>0</v>
      </c>
      <c r="T543" s="340"/>
      <c r="U543" s="341">
        <f>FA!K$43</f>
        <v>0</v>
      </c>
      <c r="V543" s="274"/>
      <c r="W543" s="342"/>
      <c r="X543" s="343"/>
      <c r="Y543" s="6" t="s">
        <v>527</v>
      </c>
      <c r="Z543" s="344"/>
      <c r="AA543" s="240"/>
      <c r="AB543" s="345">
        <v>1</v>
      </c>
      <c r="AC543" s="271"/>
      <c r="AD543" s="272"/>
      <c r="AE543" s="273"/>
      <c r="AF543" s="273"/>
      <c r="AG543" s="274"/>
      <c r="AH543" s="275"/>
      <c r="AI543" s="272"/>
      <c r="AJ543" s="276"/>
      <c r="AK543" s="277"/>
      <c r="AL543" s="278"/>
      <c r="AM543" s="277"/>
      <c r="AN543" s="279"/>
      <c r="AO543" s="279"/>
      <c r="AP543" s="279"/>
      <c r="AQ543" s="279"/>
      <c r="AR543" s="305">
        <f>'预算书-初步'!$F$10</f>
        <v>0.09</v>
      </c>
      <c r="AT543" s="272"/>
      <c r="BC543" s="272" t="s">
        <v>521</v>
      </c>
      <c r="BD543" s="348">
        <v>1032</v>
      </c>
      <c r="BE543" s="347" t="s">
        <v>702</v>
      </c>
    </row>
    <row r="544" s="52" customFormat="1" ht="15.75" customHeight="1" spans="1:57">
      <c r="A544" s="227"/>
      <c r="B544" s="332"/>
      <c r="C544" s="228"/>
      <c r="D544" s="333"/>
      <c r="E544" s="334"/>
      <c r="F544" s="229"/>
      <c r="G544" s="333"/>
      <c r="H544" s="335"/>
      <c r="I544" s="229"/>
      <c r="J544" s="229"/>
      <c r="K544" s="336"/>
      <c r="L544" s="337"/>
      <c r="M544" s="337"/>
      <c r="N544" s="337"/>
      <c r="O544" s="337"/>
      <c r="P544" s="337"/>
      <c r="Q544" s="338">
        <v>1350</v>
      </c>
      <c r="R544" s="271">
        <f t="shared" si="38"/>
        <v>0</v>
      </c>
      <c r="S544" s="339">
        <f t="shared" si="39"/>
        <v>0</v>
      </c>
      <c r="T544" s="340"/>
      <c r="U544" s="341">
        <f>FA!K$46</f>
        <v>0</v>
      </c>
      <c r="V544" s="274"/>
      <c r="W544" s="342"/>
      <c r="X544" s="343"/>
      <c r="Y544" s="6" t="s">
        <v>528</v>
      </c>
      <c r="Z544" s="344"/>
      <c r="AA544" s="240"/>
      <c r="AB544" s="345">
        <v>1</v>
      </c>
      <c r="AC544" s="271"/>
      <c r="AD544" s="272"/>
      <c r="AE544" s="273"/>
      <c r="AF544" s="273"/>
      <c r="AG544" s="274"/>
      <c r="AH544" s="275"/>
      <c r="AI544" s="272"/>
      <c r="AJ544" s="276"/>
      <c r="AK544" s="277"/>
      <c r="AL544" s="278"/>
      <c r="AM544" s="277"/>
      <c r="AN544" s="279"/>
      <c r="AO544" s="279"/>
      <c r="AP544" s="279"/>
      <c r="AQ544" s="279"/>
      <c r="AR544" s="305">
        <f>'预算书-初步'!$F$10</f>
        <v>0.09</v>
      </c>
      <c r="AT544" s="272"/>
      <c r="BC544" s="272" t="s">
        <v>521</v>
      </c>
      <c r="BD544" s="348">
        <v>1035</v>
      </c>
      <c r="BE544" s="347" t="s">
        <v>702</v>
      </c>
    </row>
    <row r="545" s="52" customFormat="1" ht="15.75" customHeight="1" spans="1:57">
      <c r="A545" s="227"/>
      <c r="B545" s="332"/>
      <c r="C545" s="228"/>
      <c r="D545" s="333"/>
      <c r="E545" s="334"/>
      <c r="F545" s="229"/>
      <c r="G545" s="333"/>
      <c r="H545" s="335"/>
      <c r="I545" s="229"/>
      <c r="J545" s="229"/>
      <c r="K545" s="336"/>
      <c r="L545" s="337"/>
      <c r="M545" s="337"/>
      <c r="N545" s="337"/>
      <c r="O545" s="337"/>
      <c r="P545" s="337"/>
      <c r="Q545" s="338">
        <v>1360</v>
      </c>
      <c r="R545" s="271">
        <f t="shared" si="38"/>
        <v>0</v>
      </c>
      <c r="S545" s="339">
        <f t="shared" si="39"/>
        <v>0</v>
      </c>
      <c r="T545" s="340"/>
      <c r="U545" s="341">
        <f>FA!K$47</f>
        <v>0</v>
      </c>
      <c r="V545" s="274"/>
      <c r="W545" s="342"/>
      <c r="X545" s="343"/>
      <c r="Y545" s="6" t="s">
        <v>529</v>
      </c>
      <c r="Z545" s="344"/>
      <c r="AA545" s="240"/>
      <c r="AB545" s="345">
        <v>1</v>
      </c>
      <c r="AC545" s="271"/>
      <c r="AD545" s="272"/>
      <c r="AE545" s="273"/>
      <c r="AF545" s="273"/>
      <c r="AG545" s="274"/>
      <c r="AH545" s="275"/>
      <c r="AI545" s="272"/>
      <c r="AJ545" s="276"/>
      <c r="AK545" s="277"/>
      <c r="AL545" s="278"/>
      <c r="AM545" s="277"/>
      <c r="AN545" s="279"/>
      <c r="AO545" s="279"/>
      <c r="AP545" s="279"/>
      <c r="AQ545" s="279"/>
      <c r="AR545" s="305">
        <f>'预算书-初步'!$F$10</f>
        <v>0.09</v>
      </c>
      <c r="AT545" s="272"/>
      <c r="BC545" s="272" t="s">
        <v>521</v>
      </c>
      <c r="BD545" s="348">
        <v>1036</v>
      </c>
      <c r="BE545" s="347" t="s">
        <v>702</v>
      </c>
    </row>
    <row r="546" s="52" customFormat="1" ht="15.75" customHeight="1" spans="1:57">
      <c r="A546" s="227"/>
      <c r="B546" s="332"/>
      <c r="C546" s="228"/>
      <c r="D546" s="333"/>
      <c r="E546" s="334"/>
      <c r="F546" s="229"/>
      <c r="G546" s="333"/>
      <c r="H546" s="335"/>
      <c r="I546" s="229"/>
      <c r="J546" s="229"/>
      <c r="K546" s="336"/>
      <c r="L546" s="337"/>
      <c r="M546" s="337"/>
      <c r="N546" s="337"/>
      <c r="O546" s="337"/>
      <c r="P546" s="337"/>
      <c r="Q546" s="338">
        <v>1410</v>
      </c>
      <c r="R546" s="271">
        <f t="shared" si="38"/>
        <v>0</v>
      </c>
      <c r="S546" s="339">
        <f t="shared" si="39"/>
        <v>0</v>
      </c>
      <c r="T546" s="340"/>
      <c r="U546" s="341">
        <f>FA!K$49</f>
        <v>0</v>
      </c>
      <c r="V546" s="274"/>
      <c r="W546" s="342"/>
      <c r="X546" s="343"/>
      <c r="Y546" s="6" t="s">
        <v>530</v>
      </c>
      <c r="Z546" s="344"/>
      <c r="AA546" s="240"/>
      <c r="AB546" s="345">
        <v>1</v>
      </c>
      <c r="AC546" s="271"/>
      <c r="AD546" s="272"/>
      <c r="AE546" s="273"/>
      <c r="AF546" s="273"/>
      <c r="AG546" s="274"/>
      <c r="AH546" s="275"/>
      <c r="AI546" s="272"/>
      <c r="AJ546" s="276"/>
      <c r="AK546" s="277"/>
      <c r="AL546" s="278"/>
      <c r="AM546" s="277"/>
      <c r="AN546" s="279"/>
      <c r="AO546" s="279"/>
      <c r="AP546" s="279"/>
      <c r="AQ546" s="279"/>
      <c r="AR546" s="305">
        <f>'预算书-初步'!$F$10</f>
        <v>0.09</v>
      </c>
      <c r="AT546" s="272"/>
      <c r="BC546" s="272" t="s">
        <v>521</v>
      </c>
      <c r="BD546" s="348">
        <v>1038</v>
      </c>
      <c r="BE546" s="347" t="s">
        <v>702</v>
      </c>
    </row>
    <row r="547" s="52" customFormat="1" ht="15.75" customHeight="1" spans="1:57">
      <c r="A547" s="227"/>
      <c r="B547" s="332"/>
      <c r="C547" s="228"/>
      <c r="D547" s="333"/>
      <c r="E547" s="334"/>
      <c r="F547" s="229"/>
      <c r="G547" s="333"/>
      <c r="H547" s="335"/>
      <c r="I547" s="229"/>
      <c r="J547" s="229"/>
      <c r="K547" s="336"/>
      <c r="L547" s="337"/>
      <c r="M547" s="337"/>
      <c r="N547" s="337"/>
      <c r="O547" s="337"/>
      <c r="P547" s="337"/>
      <c r="Q547" s="338">
        <v>1420</v>
      </c>
      <c r="R547" s="271">
        <f t="shared" si="38"/>
        <v>0</v>
      </c>
      <c r="S547" s="339">
        <f t="shared" si="39"/>
        <v>0</v>
      </c>
      <c r="T547" s="340"/>
      <c r="U547" s="341">
        <f>FA!K$50</f>
        <v>0</v>
      </c>
      <c r="V547" s="274"/>
      <c r="W547" s="342"/>
      <c r="X547" s="343"/>
      <c r="Y547" s="6" t="s">
        <v>531</v>
      </c>
      <c r="Z547" s="344"/>
      <c r="AA547" s="240"/>
      <c r="AB547" s="345">
        <v>1</v>
      </c>
      <c r="AC547" s="271"/>
      <c r="AD547" s="272"/>
      <c r="AE547" s="273"/>
      <c r="AF547" s="273"/>
      <c r="AG547" s="274"/>
      <c r="AH547" s="275"/>
      <c r="AI547" s="272"/>
      <c r="AJ547" s="276"/>
      <c r="AK547" s="277"/>
      <c r="AL547" s="278"/>
      <c r="AM547" s="277"/>
      <c r="AN547" s="279"/>
      <c r="AO547" s="279"/>
      <c r="AP547" s="279"/>
      <c r="AQ547" s="279"/>
      <c r="AR547" s="305">
        <f>'预算书-初步'!$F$10</f>
        <v>0.09</v>
      </c>
      <c r="AT547" s="272"/>
      <c r="BC547" s="272" t="s">
        <v>521</v>
      </c>
      <c r="BD547" s="348">
        <v>1039</v>
      </c>
      <c r="BE547" s="347" t="s">
        <v>702</v>
      </c>
    </row>
    <row r="548" s="52" customFormat="1" ht="15.75" customHeight="1" spans="1:57">
      <c r="A548" s="227"/>
      <c r="B548" s="332"/>
      <c r="C548" s="228"/>
      <c r="D548" s="333"/>
      <c r="E548" s="334"/>
      <c r="F548" s="229"/>
      <c r="G548" s="333"/>
      <c r="H548" s="335"/>
      <c r="I548" s="229"/>
      <c r="J548" s="229"/>
      <c r="K548" s="336"/>
      <c r="L548" s="337"/>
      <c r="M548" s="337"/>
      <c r="N548" s="337"/>
      <c r="O548" s="337"/>
      <c r="P548" s="337"/>
      <c r="Q548" s="338">
        <v>1510</v>
      </c>
      <c r="R548" s="271">
        <f t="shared" si="38"/>
        <v>0</v>
      </c>
      <c r="S548" s="339">
        <f t="shared" si="39"/>
        <v>0</v>
      </c>
      <c r="T548" s="340"/>
      <c r="U548" s="341">
        <f>FA!K$53</f>
        <v>0</v>
      </c>
      <c r="V548" s="274"/>
      <c r="W548" s="342"/>
      <c r="X548" s="343"/>
      <c r="Y548" s="6" t="s">
        <v>532</v>
      </c>
      <c r="Z548" s="344"/>
      <c r="AA548" s="240"/>
      <c r="AB548" s="345">
        <v>1</v>
      </c>
      <c r="AC548" s="271"/>
      <c r="AD548" s="272"/>
      <c r="AE548" s="273"/>
      <c r="AF548" s="273"/>
      <c r="AG548" s="274"/>
      <c r="AH548" s="275"/>
      <c r="AI548" s="272"/>
      <c r="AJ548" s="276"/>
      <c r="AK548" s="277"/>
      <c r="AL548" s="278"/>
      <c r="AM548" s="277"/>
      <c r="AN548" s="279" t="str">
        <f t="shared" ref="AN548:AN560" si="40">IF(AK548&lt;&gt;0,"N","")</f>
        <v/>
      </c>
      <c r="AO548" s="279"/>
      <c r="AP548" s="279" t="str">
        <f t="shared" ref="AP548:AP560" si="41">IF(F548&lt;&gt;0,"Y","")</f>
        <v/>
      </c>
      <c r="AQ548" s="279"/>
      <c r="AR548" s="305">
        <f>'预算书-初步'!$F$10</f>
        <v>0.09</v>
      </c>
      <c r="AT548" s="272"/>
      <c r="BC548" s="272" t="s">
        <v>521</v>
      </c>
      <c r="BD548" s="348">
        <v>1042</v>
      </c>
      <c r="BE548" s="347" t="s">
        <v>702</v>
      </c>
    </row>
    <row r="549" s="52" customFormat="1" ht="15.75" customHeight="1" spans="1:57">
      <c r="A549" s="227"/>
      <c r="B549" s="332"/>
      <c r="C549" s="228"/>
      <c r="D549" s="333"/>
      <c r="E549" s="334"/>
      <c r="F549" s="229"/>
      <c r="G549" s="333"/>
      <c r="H549" s="335"/>
      <c r="I549" s="229"/>
      <c r="J549" s="229"/>
      <c r="K549" s="336"/>
      <c r="L549" s="337"/>
      <c r="M549" s="337"/>
      <c r="N549" s="337"/>
      <c r="O549" s="337"/>
      <c r="P549" s="337"/>
      <c r="Q549" s="338">
        <v>1520</v>
      </c>
      <c r="R549" s="271">
        <f t="shared" si="38"/>
        <v>0</v>
      </c>
      <c r="S549" s="339">
        <f t="shared" si="39"/>
        <v>0</v>
      </c>
      <c r="T549" s="340"/>
      <c r="U549" s="341">
        <f>FA!K$54</f>
        <v>0</v>
      </c>
      <c r="V549" s="274"/>
      <c r="W549" s="342"/>
      <c r="X549" s="343"/>
      <c r="Y549" s="6" t="s">
        <v>533</v>
      </c>
      <c r="Z549" s="344"/>
      <c r="AA549" s="240"/>
      <c r="AB549" s="345">
        <v>1</v>
      </c>
      <c r="AC549" s="271"/>
      <c r="AD549" s="272"/>
      <c r="AE549" s="273"/>
      <c r="AF549" s="273"/>
      <c r="AG549" s="274"/>
      <c r="AH549" s="275"/>
      <c r="AI549" s="272"/>
      <c r="AJ549" s="276"/>
      <c r="AK549" s="277"/>
      <c r="AL549" s="278"/>
      <c r="AM549" s="277"/>
      <c r="AN549" s="279" t="str">
        <f t="shared" si="40"/>
        <v/>
      </c>
      <c r="AO549" s="279"/>
      <c r="AP549" s="279" t="str">
        <f t="shared" si="41"/>
        <v/>
      </c>
      <c r="AQ549" s="279"/>
      <c r="AR549" s="305">
        <f>'预算书-初步'!$F$10</f>
        <v>0.09</v>
      </c>
      <c r="AT549" s="272"/>
      <c r="BC549" s="272" t="s">
        <v>521</v>
      </c>
      <c r="BD549" s="348">
        <v>1043</v>
      </c>
      <c r="BE549" s="347" t="s">
        <v>702</v>
      </c>
    </row>
    <row r="550" s="52" customFormat="1" ht="15.75" customHeight="1" spans="1:57">
      <c r="A550" s="227"/>
      <c r="B550" s="332"/>
      <c r="C550" s="228"/>
      <c r="D550" s="333"/>
      <c r="E550" s="334"/>
      <c r="F550" s="229"/>
      <c r="G550" s="333"/>
      <c r="H550" s="335"/>
      <c r="I550" s="229"/>
      <c r="J550" s="229"/>
      <c r="K550" s="336"/>
      <c r="L550" s="337"/>
      <c r="M550" s="337"/>
      <c r="N550" s="337"/>
      <c r="O550" s="337"/>
      <c r="P550" s="337"/>
      <c r="Q550" s="338">
        <v>1530</v>
      </c>
      <c r="R550" s="271">
        <f t="shared" si="38"/>
        <v>0</v>
      </c>
      <c r="S550" s="339">
        <f t="shared" si="39"/>
        <v>0</v>
      </c>
      <c r="T550" s="340"/>
      <c r="U550" s="341">
        <f>FA!K$55</f>
        <v>0</v>
      </c>
      <c r="V550" s="274"/>
      <c r="W550" s="342"/>
      <c r="X550" s="343"/>
      <c r="Y550" s="6" t="s">
        <v>534</v>
      </c>
      <c r="Z550" s="344"/>
      <c r="AA550" s="240"/>
      <c r="AB550" s="345">
        <v>1</v>
      </c>
      <c r="AC550" s="271"/>
      <c r="AD550" s="272"/>
      <c r="AE550" s="273"/>
      <c r="AF550" s="273"/>
      <c r="AG550" s="274"/>
      <c r="AH550" s="275"/>
      <c r="AI550" s="272"/>
      <c r="AJ550" s="276"/>
      <c r="AK550" s="277"/>
      <c r="AL550" s="278"/>
      <c r="AM550" s="277"/>
      <c r="AN550" s="279" t="str">
        <f t="shared" si="40"/>
        <v/>
      </c>
      <c r="AO550" s="279"/>
      <c r="AP550" s="279" t="str">
        <f t="shared" si="41"/>
        <v/>
      </c>
      <c r="AQ550" s="279"/>
      <c r="AR550" s="305">
        <f>'预算书-初步'!$F$10</f>
        <v>0.09</v>
      </c>
      <c r="AT550" s="272"/>
      <c r="BC550" s="272" t="s">
        <v>521</v>
      </c>
      <c r="BD550" s="348">
        <v>1044</v>
      </c>
      <c r="BE550" s="347" t="s">
        <v>702</v>
      </c>
    </row>
    <row r="551" s="52" customFormat="1" ht="15.75" customHeight="1" spans="1:57">
      <c r="A551" s="227"/>
      <c r="B551" s="332"/>
      <c r="C551" s="228"/>
      <c r="D551" s="333"/>
      <c r="E551" s="334"/>
      <c r="F551" s="229"/>
      <c r="G551" s="333"/>
      <c r="H551" s="335"/>
      <c r="I551" s="229"/>
      <c r="J551" s="229"/>
      <c r="K551" s="336"/>
      <c r="L551" s="337"/>
      <c r="M551" s="337"/>
      <c r="N551" s="337"/>
      <c r="O551" s="337"/>
      <c r="P551" s="337"/>
      <c r="Q551" s="338">
        <v>1531</v>
      </c>
      <c r="R551" s="271">
        <f t="shared" si="38"/>
        <v>0</v>
      </c>
      <c r="S551" s="339">
        <f t="shared" si="39"/>
        <v>0</v>
      </c>
      <c r="T551" s="340"/>
      <c r="U551" s="341">
        <f>FA!K$56</f>
        <v>0</v>
      </c>
      <c r="V551" s="274"/>
      <c r="W551" s="342"/>
      <c r="X551" s="343"/>
      <c r="Y551" s="6" t="s">
        <v>535</v>
      </c>
      <c r="Z551" s="344"/>
      <c r="AA551" s="240"/>
      <c r="AB551" s="345">
        <v>1</v>
      </c>
      <c r="AC551" s="271"/>
      <c r="AD551" s="272"/>
      <c r="AE551" s="273"/>
      <c r="AF551" s="273"/>
      <c r="AG551" s="274"/>
      <c r="AH551" s="275"/>
      <c r="AI551" s="272"/>
      <c r="AJ551" s="276"/>
      <c r="AK551" s="277"/>
      <c r="AL551" s="278"/>
      <c r="AM551" s="277"/>
      <c r="AN551" s="279" t="str">
        <f t="shared" si="40"/>
        <v/>
      </c>
      <c r="AO551" s="279"/>
      <c r="AP551" s="279" t="str">
        <f t="shared" si="41"/>
        <v/>
      </c>
      <c r="AQ551" s="279"/>
      <c r="AR551" s="305">
        <f>'预算书-初步'!$F$10</f>
        <v>0.09</v>
      </c>
      <c r="AT551" s="272"/>
      <c r="BC551" s="272" t="s">
        <v>521</v>
      </c>
      <c r="BD551" s="348">
        <v>1045</v>
      </c>
      <c r="BE551" s="347" t="s">
        <v>702</v>
      </c>
    </row>
    <row r="552" s="52" customFormat="1" ht="15.75" customHeight="1" spans="1:57">
      <c r="A552" s="227"/>
      <c r="B552" s="332"/>
      <c r="C552" s="228"/>
      <c r="D552" s="333"/>
      <c r="E552" s="334"/>
      <c r="F552" s="229"/>
      <c r="G552" s="333"/>
      <c r="H552" s="335"/>
      <c r="I552" s="229"/>
      <c r="J552" s="229"/>
      <c r="K552" s="336"/>
      <c r="L552" s="337"/>
      <c r="M552" s="337"/>
      <c r="N552" s="337"/>
      <c r="O552" s="337"/>
      <c r="P552" s="337"/>
      <c r="Q552" s="338">
        <v>1532</v>
      </c>
      <c r="R552" s="271">
        <f t="shared" si="38"/>
        <v>0</v>
      </c>
      <c r="S552" s="339">
        <f t="shared" si="39"/>
        <v>0</v>
      </c>
      <c r="T552" s="340"/>
      <c r="U552" s="341">
        <f>FA!K$57</f>
        <v>0</v>
      </c>
      <c r="V552" s="274"/>
      <c r="W552" s="342"/>
      <c r="X552" s="343"/>
      <c r="Y552" s="6" t="s">
        <v>536</v>
      </c>
      <c r="Z552" s="344"/>
      <c r="AA552" s="240"/>
      <c r="AB552" s="345">
        <v>1</v>
      </c>
      <c r="AC552" s="271"/>
      <c r="AD552" s="272"/>
      <c r="AE552" s="273"/>
      <c r="AF552" s="273"/>
      <c r="AG552" s="274"/>
      <c r="AH552" s="275"/>
      <c r="AI552" s="272"/>
      <c r="AJ552" s="276"/>
      <c r="AK552" s="277"/>
      <c r="AL552" s="278"/>
      <c r="AM552" s="277"/>
      <c r="AN552" s="279" t="str">
        <f t="shared" si="40"/>
        <v/>
      </c>
      <c r="AO552" s="279"/>
      <c r="AP552" s="279" t="str">
        <f t="shared" si="41"/>
        <v/>
      </c>
      <c r="AQ552" s="279"/>
      <c r="AR552" s="305">
        <f>'预算书-初步'!$F$10</f>
        <v>0.09</v>
      </c>
      <c r="AT552" s="272"/>
      <c r="BC552" s="272" t="s">
        <v>521</v>
      </c>
      <c r="BD552" s="348">
        <v>1046</v>
      </c>
      <c r="BE552" s="347" t="s">
        <v>702</v>
      </c>
    </row>
    <row r="553" s="52" customFormat="1" ht="15.75" customHeight="1" spans="1:57">
      <c r="A553" s="227"/>
      <c r="B553" s="332"/>
      <c r="C553" s="228"/>
      <c r="D553" s="333"/>
      <c r="E553" s="334"/>
      <c r="F553" s="229"/>
      <c r="G553" s="333"/>
      <c r="H553" s="335"/>
      <c r="I553" s="229"/>
      <c r="J553" s="229"/>
      <c r="K553" s="336"/>
      <c r="L553" s="337"/>
      <c r="M553" s="337"/>
      <c r="N553" s="337"/>
      <c r="O553" s="337"/>
      <c r="P553" s="337"/>
      <c r="Q553" s="338">
        <v>1533</v>
      </c>
      <c r="R553" s="271">
        <f t="shared" si="38"/>
        <v>0</v>
      </c>
      <c r="S553" s="339">
        <f t="shared" si="39"/>
        <v>0</v>
      </c>
      <c r="T553" s="340"/>
      <c r="U553" s="341">
        <f>FA!K$58</f>
        <v>0</v>
      </c>
      <c r="V553" s="274"/>
      <c r="W553" s="342"/>
      <c r="X553" s="343"/>
      <c r="Y553" s="6" t="s">
        <v>537</v>
      </c>
      <c r="Z553" s="344"/>
      <c r="AA553" s="240"/>
      <c r="AB553" s="345">
        <v>1</v>
      </c>
      <c r="AC553" s="271"/>
      <c r="AD553" s="272"/>
      <c r="AE553" s="273"/>
      <c r="AF553" s="273"/>
      <c r="AG553" s="274"/>
      <c r="AH553" s="275"/>
      <c r="AI553" s="272"/>
      <c r="AJ553" s="276"/>
      <c r="AK553" s="277"/>
      <c r="AL553" s="278"/>
      <c r="AM553" s="277"/>
      <c r="AN553" s="279" t="str">
        <f t="shared" si="40"/>
        <v/>
      </c>
      <c r="AO553" s="279"/>
      <c r="AP553" s="279" t="str">
        <f t="shared" si="41"/>
        <v/>
      </c>
      <c r="AQ553" s="279"/>
      <c r="AR553" s="305">
        <f>'预算书-初步'!$F$10</f>
        <v>0.09</v>
      </c>
      <c r="AT553" s="272"/>
      <c r="BC553" s="272" t="s">
        <v>521</v>
      </c>
      <c r="BD553" s="348">
        <v>1047</v>
      </c>
      <c r="BE553" s="347" t="s">
        <v>702</v>
      </c>
    </row>
    <row r="554" s="52" customFormat="1" ht="15.75" customHeight="1" spans="1:57">
      <c r="A554" s="227"/>
      <c r="B554" s="332"/>
      <c r="C554" s="228"/>
      <c r="D554" s="333"/>
      <c r="E554" s="334"/>
      <c r="F554" s="229"/>
      <c r="G554" s="333"/>
      <c r="H554" s="335"/>
      <c r="I554" s="229"/>
      <c r="J554" s="229"/>
      <c r="K554" s="336"/>
      <c r="L554" s="337"/>
      <c r="M554" s="337"/>
      <c r="N554" s="337"/>
      <c r="O554" s="337"/>
      <c r="P554" s="337"/>
      <c r="Q554" s="338">
        <v>1534</v>
      </c>
      <c r="R554" s="271">
        <f t="shared" si="38"/>
        <v>0</v>
      </c>
      <c r="S554" s="339">
        <f t="shared" si="39"/>
        <v>0</v>
      </c>
      <c r="T554" s="340"/>
      <c r="U554" s="341">
        <f>FA!K$59</f>
        <v>0</v>
      </c>
      <c r="V554" s="274"/>
      <c r="W554" s="342"/>
      <c r="X554" s="343"/>
      <c r="Y554" s="6" t="s">
        <v>538</v>
      </c>
      <c r="Z554" s="344"/>
      <c r="AA554" s="240"/>
      <c r="AB554" s="345">
        <v>1</v>
      </c>
      <c r="AC554" s="271"/>
      <c r="AD554" s="272"/>
      <c r="AE554" s="273"/>
      <c r="AF554" s="273"/>
      <c r="AG554" s="274"/>
      <c r="AH554" s="275"/>
      <c r="AI554" s="272"/>
      <c r="AJ554" s="276"/>
      <c r="AK554" s="277"/>
      <c r="AL554" s="278"/>
      <c r="AM554" s="277"/>
      <c r="AN554" s="279" t="str">
        <f t="shared" si="40"/>
        <v/>
      </c>
      <c r="AO554" s="279"/>
      <c r="AP554" s="279" t="str">
        <f t="shared" si="41"/>
        <v/>
      </c>
      <c r="AQ554" s="279"/>
      <c r="AR554" s="305">
        <f>'预算书-初步'!$F$10</f>
        <v>0.09</v>
      </c>
      <c r="AT554" s="272"/>
      <c r="BC554" s="272" t="s">
        <v>521</v>
      </c>
      <c r="BD554" s="348">
        <v>1048</v>
      </c>
      <c r="BE554" s="347" t="s">
        <v>702</v>
      </c>
    </row>
    <row r="555" s="52" customFormat="1" ht="15.75" customHeight="1" spans="1:57">
      <c r="A555" s="227"/>
      <c r="B555" s="332"/>
      <c r="C555" s="228"/>
      <c r="D555" s="333"/>
      <c r="E555" s="334"/>
      <c r="F555" s="229"/>
      <c r="G555" s="333"/>
      <c r="H555" s="335"/>
      <c r="I555" s="229"/>
      <c r="J555" s="229"/>
      <c r="K555" s="336"/>
      <c r="L555" s="337"/>
      <c r="M555" s="337"/>
      <c r="N555" s="337"/>
      <c r="O555" s="337"/>
      <c r="P555" s="337"/>
      <c r="Q555" s="338">
        <v>1540</v>
      </c>
      <c r="R555" s="271">
        <f t="shared" si="38"/>
        <v>0</v>
      </c>
      <c r="S555" s="339">
        <f t="shared" si="39"/>
        <v>0</v>
      </c>
      <c r="T555" s="340"/>
      <c r="U555" s="341">
        <f>FA!K$60</f>
        <v>0</v>
      </c>
      <c r="V555" s="274"/>
      <c r="W555" s="342"/>
      <c r="X555" s="343"/>
      <c r="Y555" s="6" t="s">
        <v>539</v>
      </c>
      <c r="Z555" s="344"/>
      <c r="AA555" s="240"/>
      <c r="AB555" s="345">
        <v>1</v>
      </c>
      <c r="AC555" s="271"/>
      <c r="AD555" s="272"/>
      <c r="AE555" s="273"/>
      <c r="AF555" s="273"/>
      <c r="AG555" s="274"/>
      <c r="AH555" s="275"/>
      <c r="AI555" s="272"/>
      <c r="AJ555" s="276"/>
      <c r="AK555" s="277"/>
      <c r="AL555" s="278"/>
      <c r="AM555" s="277"/>
      <c r="AN555" s="279" t="str">
        <f t="shared" si="40"/>
        <v/>
      </c>
      <c r="AO555" s="279"/>
      <c r="AP555" s="279" t="str">
        <f t="shared" si="41"/>
        <v/>
      </c>
      <c r="AQ555" s="279"/>
      <c r="AR555" s="305">
        <f>'预算书-初步'!$F$10</f>
        <v>0.09</v>
      </c>
      <c r="AT555" s="272"/>
      <c r="BC555" s="272" t="s">
        <v>521</v>
      </c>
      <c r="BD555" s="348">
        <v>1049</v>
      </c>
      <c r="BE555" s="347" t="s">
        <v>702</v>
      </c>
    </row>
    <row r="556" s="52" customFormat="1" ht="15.75" customHeight="1" spans="1:57">
      <c r="A556" s="227"/>
      <c r="B556" s="332"/>
      <c r="C556" s="228"/>
      <c r="D556" s="333"/>
      <c r="E556" s="334"/>
      <c r="F556" s="229"/>
      <c r="G556" s="333"/>
      <c r="H556" s="335"/>
      <c r="I556" s="229"/>
      <c r="J556" s="229"/>
      <c r="K556" s="336"/>
      <c r="L556" s="337"/>
      <c r="M556" s="337"/>
      <c r="N556" s="337"/>
      <c r="O556" s="337"/>
      <c r="P556" s="337"/>
      <c r="Q556" s="338">
        <v>1611</v>
      </c>
      <c r="R556" s="271">
        <f t="shared" si="38"/>
        <v>0</v>
      </c>
      <c r="S556" s="339">
        <f t="shared" si="39"/>
        <v>0</v>
      </c>
      <c r="T556" s="340"/>
      <c r="U556" s="341">
        <f>FA!K$64</f>
        <v>0</v>
      </c>
      <c r="V556" s="274"/>
      <c r="W556" s="342"/>
      <c r="X556" s="343"/>
      <c r="Y556" s="6" t="s">
        <v>540</v>
      </c>
      <c r="Z556" s="344"/>
      <c r="AA556" s="240"/>
      <c r="AB556" s="345">
        <v>1</v>
      </c>
      <c r="AC556" s="271"/>
      <c r="AD556" s="272"/>
      <c r="AE556" s="273"/>
      <c r="AF556" s="273"/>
      <c r="AG556" s="274"/>
      <c r="AH556" s="275"/>
      <c r="AI556" s="272"/>
      <c r="AJ556" s="276"/>
      <c r="AK556" s="277"/>
      <c r="AL556" s="278"/>
      <c r="AM556" s="277"/>
      <c r="AN556" s="279" t="str">
        <f t="shared" si="40"/>
        <v/>
      </c>
      <c r="AO556" s="279"/>
      <c r="AP556" s="279" t="str">
        <f t="shared" si="41"/>
        <v/>
      </c>
      <c r="AQ556" s="279"/>
      <c r="AR556" s="305">
        <f>'预算书-初步'!$F$10</f>
        <v>0.09</v>
      </c>
      <c r="AT556" s="272"/>
      <c r="BC556" s="272" t="s">
        <v>521</v>
      </c>
      <c r="BD556" s="348">
        <v>1053</v>
      </c>
      <c r="BE556" s="347" t="s">
        <v>702</v>
      </c>
    </row>
    <row r="557" s="52" customFormat="1" ht="15.75" customHeight="1" spans="1:57">
      <c r="A557" s="227"/>
      <c r="B557" s="332"/>
      <c r="C557" s="228"/>
      <c r="D557" s="333"/>
      <c r="E557" s="334"/>
      <c r="F557" s="229"/>
      <c r="G557" s="333"/>
      <c r="H557" s="335"/>
      <c r="I557" s="229"/>
      <c r="J557" s="229"/>
      <c r="K557" s="336"/>
      <c r="L557" s="337"/>
      <c r="M557" s="337"/>
      <c r="N557" s="337"/>
      <c r="O557" s="337"/>
      <c r="P557" s="337"/>
      <c r="Q557" s="338">
        <v>1611</v>
      </c>
      <c r="R557" s="271">
        <f t="shared" si="38"/>
        <v>630</v>
      </c>
      <c r="S557" s="339">
        <f t="shared" si="39"/>
        <v>0</v>
      </c>
      <c r="T557" s="340"/>
      <c r="U557" s="341">
        <f>FA!K$65</f>
        <v>577.54</v>
      </c>
      <c r="V557" s="274"/>
      <c r="W557" s="342"/>
      <c r="X557" s="343"/>
      <c r="Y557" s="6" t="s">
        <v>541</v>
      </c>
      <c r="Z557" s="344"/>
      <c r="AA557" s="240"/>
      <c r="AB557" s="345">
        <v>1</v>
      </c>
      <c r="AC557" s="271"/>
      <c r="AD557" s="272"/>
      <c r="AE557" s="273"/>
      <c r="AF557" s="273"/>
      <c r="AG557" s="274"/>
      <c r="AH557" s="275"/>
      <c r="AI557" s="272"/>
      <c r="AJ557" s="276"/>
      <c r="AK557" s="277"/>
      <c r="AL557" s="278"/>
      <c r="AM557" s="277"/>
      <c r="AN557" s="279" t="str">
        <f t="shared" si="40"/>
        <v/>
      </c>
      <c r="AO557" s="279"/>
      <c r="AP557" s="279" t="str">
        <f t="shared" si="41"/>
        <v/>
      </c>
      <c r="AQ557" s="279"/>
      <c r="AR557" s="305">
        <f>'预算书-初步'!$F$10</f>
        <v>0.09</v>
      </c>
      <c r="AT557" s="272"/>
      <c r="BC557" s="272" t="s">
        <v>521</v>
      </c>
      <c r="BD557" s="348">
        <v>1054</v>
      </c>
      <c r="BE557" s="347" t="s">
        <v>702</v>
      </c>
    </row>
    <row r="558" s="52" customFormat="1" ht="15.75" customHeight="1" spans="1:57">
      <c r="A558" s="227"/>
      <c r="B558" s="332"/>
      <c r="C558" s="228"/>
      <c r="D558" s="333"/>
      <c r="E558" s="334"/>
      <c r="F558" s="229"/>
      <c r="G558" s="333"/>
      <c r="H558" s="335"/>
      <c r="I558" s="229"/>
      <c r="J558" s="229"/>
      <c r="K558" s="336"/>
      <c r="L558" s="337"/>
      <c r="M558" s="337"/>
      <c r="N558" s="337"/>
      <c r="O558" s="337"/>
      <c r="P558" s="337"/>
      <c r="Q558" s="338">
        <v>1611</v>
      </c>
      <c r="R558" s="271">
        <f t="shared" si="38"/>
        <v>278</v>
      </c>
      <c r="S558" s="339">
        <f t="shared" si="39"/>
        <v>0</v>
      </c>
      <c r="T558" s="340"/>
      <c r="U558" s="341">
        <f>FA!K$66</f>
        <v>254.78</v>
      </c>
      <c r="V558" s="274"/>
      <c r="W558" s="342"/>
      <c r="X558" s="343"/>
      <c r="Y558" s="6" t="s">
        <v>542</v>
      </c>
      <c r="Z558" s="344"/>
      <c r="AA558" s="240"/>
      <c r="AB558" s="345">
        <v>1</v>
      </c>
      <c r="AC558" s="271"/>
      <c r="AD558" s="272"/>
      <c r="AE558" s="273"/>
      <c r="AF558" s="273"/>
      <c r="AG558" s="274"/>
      <c r="AH558" s="275"/>
      <c r="AI558" s="272"/>
      <c r="AJ558" s="276"/>
      <c r="AK558" s="277"/>
      <c r="AL558" s="278"/>
      <c r="AM558" s="277"/>
      <c r="AN558" s="279" t="str">
        <f t="shared" si="40"/>
        <v/>
      </c>
      <c r="AO558" s="279"/>
      <c r="AP558" s="279" t="str">
        <f t="shared" si="41"/>
        <v/>
      </c>
      <c r="AQ558" s="279"/>
      <c r="AR558" s="305">
        <f>'预算书-初步'!$F$10</f>
        <v>0.09</v>
      </c>
      <c r="AT558" s="272"/>
      <c r="BC558" s="272" t="s">
        <v>521</v>
      </c>
      <c r="BD558" s="348">
        <v>1055</v>
      </c>
      <c r="BE558" s="347" t="s">
        <v>702</v>
      </c>
    </row>
    <row r="559" s="52" customFormat="1" ht="15.75" customHeight="1" spans="1:57">
      <c r="A559" s="227"/>
      <c r="B559" s="332"/>
      <c r="C559" s="228"/>
      <c r="D559" s="333"/>
      <c r="E559" s="334"/>
      <c r="F559" s="229"/>
      <c r="G559" s="333"/>
      <c r="H559" s="335"/>
      <c r="I559" s="229"/>
      <c r="J559" s="229"/>
      <c r="K559" s="336"/>
      <c r="L559" s="337"/>
      <c r="M559" s="337"/>
      <c r="N559" s="337"/>
      <c r="O559" s="337"/>
      <c r="P559" s="337"/>
      <c r="Q559" s="338">
        <v>1611</v>
      </c>
      <c r="R559" s="271">
        <f t="shared" si="38"/>
        <v>962</v>
      </c>
      <c r="S559" s="339">
        <f t="shared" si="39"/>
        <v>0</v>
      </c>
      <c r="T559" s="340"/>
      <c r="U559" s="341">
        <f>FA!K$67</f>
        <v>882.37</v>
      </c>
      <c r="V559" s="274"/>
      <c r="W559" s="342"/>
      <c r="X559" s="343"/>
      <c r="Y559" s="6" t="s">
        <v>543</v>
      </c>
      <c r="Z559" s="344"/>
      <c r="AA559" s="240"/>
      <c r="AB559" s="345">
        <v>1</v>
      </c>
      <c r="AC559" s="271"/>
      <c r="AD559" s="272"/>
      <c r="AE559" s="273"/>
      <c r="AF559" s="273"/>
      <c r="AG559" s="274"/>
      <c r="AH559" s="275"/>
      <c r="AI559" s="272"/>
      <c r="AJ559" s="276"/>
      <c r="AK559" s="277"/>
      <c r="AL559" s="278"/>
      <c r="AM559" s="277"/>
      <c r="AN559" s="279" t="str">
        <f t="shared" si="40"/>
        <v/>
      </c>
      <c r="AO559" s="279"/>
      <c r="AP559" s="279" t="str">
        <f t="shared" si="41"/>
        <v/>
      </c>
      <c r="AQ559" s="279"/>
      <c r="AR559" s="305">
        <f>'预算书-初步'!$F$10</f>
        <v>0.09</v>
      </c>
      <c r="AT559" s="272"/>
      <c r="BC559" s="272" t="s">
        <v>521</v>
      </c>
      <c r="BD559" s="348">
        <v>1056</v>
      </c>
      <c r="BE559" s="347" t="s">
        <v>702</v>
      </c>
    </row>
    <row r="560" s="52" customFormat="1" ht="15.75" customHeight="1" spans="1:57">
      <c r="A560" s="227"/>
      <c r="B560" s="332"/>
      <c r="C560" s="228"/>
      <c r="D560" s="333"/>
      <c r="E560" s="334"/>
      <c r="F560" s="229"/>
      <c r="G560" s="333"/>
      <c r="H560" s="335"/>
      <c r="I560" s="229"/>
      <c r="J560" s="229"/>
      <c r="K560" s="336"/>
      <c r="L560" s="337"/>
      <c r="M560" s="337"/>
      <c r="N560" s="337"/>
      <c r="O560" s="337"/>
      <c r="P560" s="337"/>
      <c r="Q560" s="338">
        <v>1611</v>
      </c>
      <c r="R560" s="271">
        <f t="shared" si="38"/>
        <v>0</v>
      </c>
      <c r="S560" s="339">
        <f t="shared" si="39"/>
        <v>0</v>
      </c>
      <c r="T560" s="340"/>
      <c r="U560" s="341">
        <f>FA!K$68</f>
        <v>0</v>
      </c>
      <c r="V560" s="274"/>
      <c r="W560" s="342"/>
      <c r="X560" s="343"/>
      <c r="Y560" s="6" t="s">
        <v>544</v>
      </c>
      <c r="Z560" s="344"/>
      <c r="AA560" s="240"/>
      <c r="AB560" s="345">
        <v>1</v>
      </c>
      <c r="AC560" s="271"/>
      <c r="AD560" s="272"/>
      <c r="AE560" s="273"/>
      <c r="AF560" s="273"/>
      <c r="AG560" s="274"/>
      <c r="AH560" s="275"/>
      <c r="AI560" s="272"/>
      <c r="AJ560" s="276"/>
      <c r="AK560" s="277"/>
      <c r="AL560" s="278"/>
      <c r="AM560" s="277"/>
      <c r="AN560" s="279" t="str">
        <f t="shared" si="40"/>
        <v/>
      </c>
      <c r="AO560" s="279"/>
      <c r="AP560" s="279" t="str">
        <f t="shared" si="41"/>
        <v/>
      </c>
      <c r="AQ560" s="279"/>
      <c r="AR560" s="305">
        <f>'预算书-初步'!$F$10</f>
        <v>0.09</v>
      </c>
      <c r="AT560" s="272"/>
      <c r="BC560" s="272" t="s">
        <v>521</v>
      </c>
      <c r="BD560" s="348">
        <v>1057</v>
      </c>
      <c r="BE560" s="347" t="s">
        <v>702</v>
      </c>
    </row>
    <row r="561" s="52" customFormat="1" ht="15.75" customHeight="1" spans="1:57">
      <c r="A561" s="227"/>
      <c r="B561" s="332"/>
      <c r="C561" s="228"/>
      <c r="D561" s="333"/>
      <c r="E561" s="334"/>
      <c r="F561" s="229"/>
      <c r="G561" s="333"/>
      <c r="H561" s="335"/>
      <c r="I561" s="229"/>
      <c r="J561" s="229"/>
      <c r="K561" s="336"/>
      <c r="L561" s="337"/>
      <c r="M561" s="337"/>
      <c r="N561" s="337"/>
      <c r="O561" s="337"/>
      <c r="P561" s="337"/>
      <c r="Q561" s="338">
        <v>1611</v>
      </c>
      <c r="R561" s="271">
        <f t="shared" si="38"/>
        <v>2986</v>
      </c>
      <c r="S561" s="339">
        <f t="shared" si="39"/>
        <v>0</v>
      </c>
      <c r="T561" s="340"/>
      <c r="U561" s="341">
        <f>FA!K$69</f>
        <v>2739.8</v>
      </c>
      <c r="V561" s="274"/>
      <c r="W561" s="342"/>
      <c r="X561" s="343"/>
      <c r="Y561" s="6" t="s">
        <v>545</v>
      </c>
      <c r="Z561" s="344"/>
      <c r="AA561" s="240"/>
      <c r="AB561" s="345">
        <v>1</v>
      </c>
      <c r="AC561" s="271"/>
      <c r="AD561" s="272"/>
      <c r="AE561" s="273"/>
      <c r="AF561" s="273"/>
      <c r="AG561" s="274"/>
      <c r="AH561" s="275"/>
      <c r="AI561" s="272"/>
      <c r="AJ561" s="276"/>
      <c r="AK561" s="277"/>
      <c r="AL561" s="278"/>
      <c r="AM561" s="277"/>
      <c r="AN561" s="279"/>
      <c r="AO561" s="279"/>
      <c r="AP561" s="279"/>
      <c r="AQ561" s="279"/>
      <c r="AR561" s="305">
        <f>'预算书-初步'!$F$10</f>
        <v>0.09</v>
      </c>
      <c r="AT561" s="272"/>
      <c r="BC561" s="272" t="s">
        <v>521</v>
      </c>
      <c r="BD561" s="348">
        <v>1058</v>
      </c>
      <c r="BE561" s="347" t="s">
        <v>702</v>
      </c>
    </row>
    <row r="562" s="52" customFormat="1" ht="15.75" customHeight="1" spans="1:57">
      <c r="A562" s="227"/>
      <c r="B562" s="332"/>
      <c r="C562" s="228"/>
      <c r="D562" s="333"/>
      <c r="E562" s="334"/>
      <c r="F562" s="229"/>
      <c r="G562" s="333"/>
      <c r="H562" s="335"/>
      <c r="I562" s="229"/>
      <c r="J562" s="229"/>
      <c r="K562" s="336"/>
      <c r="L562" s="337"/>
      <c r="M562" s="337"/>
      <c r="N562" s="337"/>
      <c r="O562" s="337"/>
      <c r="P562" s="337"/>
      <c r="Q562" s="338">
        <v>1611</v>
      </c>
      <c r="R562" s="271">
        <f t="shared" si="38"/>
        <v>0</v>
      </c>
      <c r="S562" s="339">
        <f t="shared" si="39"/>
        <v>0</v>
      </c>
      <c r="T562" s="340"/>
      <c r="U562" s="341">
        <f>FA!K$70</f>
        <v>0</v>
      </c>
      <c r="V562" s="274"/>
      <c r="W562" s="342"/>
      <c r="X562" s="343"/>
      <c r="Y562" s="349" t="s">
        <v>546</v>
      </c>
      <c r="Z562" s="344"/>
      <c r="AA562" s="240"/>
      <c r="AB562" s="345">
        <v>1</v>
      </c>
      <c r="AC562" s="271"/>
      <c r="AD562" s="272"/>
      <c r="AE562" s="273"/>
      <c r="AF562" s="273"/>
      <c r="AG562" s="274"/>
      <c r="AH562" s="275"/>
      <c r="AI562" s="272"/>
      <c r="AJ562" s="276"/>
      <c r="AK562" s="277"/>
      <c r="AL562" s="278"/>
      <c r="AM562" s="277"/>
      <c r="AN562" s="279"/>
      <c r="AO562" s="279"/>
      <c r="AP562" s="279"/>
      <c r="AQ562" s="279"/>
      <c r="AR562" s="305">
        <f>'预算书-初步'!$F$10</f>
        <v>0.09</v>
      </c>
      <c r="AT562" s="272"/>
      <c r="BC562" s="272" t="s">
        <v>521</v>
      </c>
      <c r="BD562" s="348">
        <v>1059</v>
      </c>
      <c r="BE562" s="347" t="s">
        <v>702</v>
      </c>
    </row>
    <row r="563" s="52" customFormat="1" ht="15.75" customHeight="1" spans="1:57">
      <c r="A563" s="227"/>
      <c r="B563" s="332"/>
      <c r="C563" s="228"/>
      <c r="D563" s="333"/>
      <c r="E563" s="334"/>
      <c r="F563" s="229"/>
      <c r="G563" s="333"/>
      <c r="H563" s="335"/>
      <c r="I563" s="229"/>
      <c r="J563" s="229"/>
      <c r="K563" s="336"/>
      <c r="L563" s="337"/>
      <c r="M563" s="337"/>
      <c r="N563" s="337"/>
      <c r="O563" s="337"/>
      <c r="P563" s="337"/>
      <c r="Q563" s="338">
        <v>1611</v>
      </c>
      <c r="R563" s="271">
        <f t="shared" si="38"/>
        <v>0</v>
      </c>
      <c r="S563" s="339">
        <f t="shared" si="39"/>
        <v>0</v>
      </c>
      <c r="T563" s="340"/>
      <c r="U563" s="341">
        <f>FA!K$71</f>
        <v>0</v>
      </c>
      <c r="V563" s="274"/>
      <c r="W563" s="342"/>
      <c r="X563" s="343"/>
      <c r="Y563" s="349" t="s">
        <v>547</v>
      </c>
      <c r="Z563" s="344"/>
      <c r="AA563" s="240"/>
      <c r="AB563" s="345">
        <v>1</v>
      </c>
      <c r="AC563" s="271"/>
      <c r="AD563" s="272"/>
      <c r="AE563" s="273"/>
      <c r="AF563" s="273"/>
      <c r="AG563" s="274"/>
      <c r="AH563" s="275"/>
      <c r="AI563" s="272"/>
      <c r="AJ563" s="276"/>
      <c r="AK563" s="277"/>
      <c r="AL563" s="278"/>
      <c r="AM563" s="277"/>
      <c r="AN563" s="279"/>
      <c r="AO563" s="279"/>
      <c r="AP563" s="279"/>
      <c r="AQ563" s="279"/>
      <c r="AR563" s="305">
        <f>'预算书-初步'!$F$10</f>
        <v>0.09</v>
      </c>
      <c r="AT563" s="272"/>
      <c r="BC563" s="272" t="s">
        <v>521</v>
      </c>
      <c r="BD563" s="348">
        <v>1060</v>
      </c>
      <c r="BE563" s="347" t="s">
        <v>702</v>
      </c>
    </row>
    <row r="564" s="52" customFormat="1" ht="15.75" customHeight="1" spans="1:57">
      <c r="A564" s="227"/>
      <c r="B564" s="332"/>
      <c r="C564" s="228"/>
      <c r="D564" s="333"/>
      <c r="E564" s="334"/>
      <c r="F564" s="229"/>
      <c r="G564" s="333"/>
      <c r="H564" s="335"/>
      <c r="I564" s="229"/>
      <c r="J564" s="229"/>
      <c r="K564" s="336"/>
      <c r="L564" s="337"/>
      <c r="M564" s="337"/>
      <c r="N564" s="337"/>
      <c r="O564" s="337"/>
      <c r="P564" s="337"/>
      <c r="Q564" s="338">
        <v>1611</v>
      </c>
      <c r="R564" s="271">
        <f t="shared" si="38"/>
        <v>0</v>
      </c>
      <c r="S564" s="339">
        <f t="shared" si="39"/>
        <v>0</v>
      </c>
      <c r="T564" s="340"/>
      <c r="U564" s="341">
        <f>FA!K$72</f>
        <v>0</v>
      </c>
      <c r="V564" s="274"/>
      <c r="W564" s="342"/>
      <c r="X564" s="343"/>
      <c r="Y564" s="349" t="s">
        <v>548</v>
      </c>
      <c r="Z564" s="344"/>
      <c r="AA564" s="240"/>
      <c r="AB564" s="345">
        <v>1</v>
      </c>
      <c r="AC564" s="271"/>
      <c r="AD564" s="272"/>
      <c r="AE564" s="273"/>
      <c r="AF564" s="273"/>
      <c r="AG564" s="274"/>
      <c r="AH564" s="275"/>
      <c r="AI564" s="272"/>
      <c r="AJ564" s="276"/>
      <c r="AK564" s="277"/>
      <c r="AL564" s="278"/>
      <c r="AM564" s="277"/>
      <c r="AN564" s="279" t="str">
        <f>IF(AK564&lt;&gt;0,"N","")</f>
        <v/>
      </c>
      <c r="AO564" s="279"/>
      <c r="AP564" s="279" t="str">
        <f>IF(F564&lt;&gt;0,"Y","")</f>
        <v/>
      </c>
      <c r="AQ564" s="279"/>
      <c r="AR564" s="305">
        <f>'预算书-初步'!$F$10</f>
        <v>0.09</v>
      </c>
      <c r="AT564" s="272"/>
      <c r="BC564" s="272" t="s">
        <v>521</v>
      </c>
      <c r="BD564" s="348">
        <v>1061</v>
      </c>
      <c r="BE564" s="347" t="s">
        <v>702</v>
      </c>
    </row>
    <row r="565" s="52" customFormat="1" ht="15.75" customHeight="1" spans="1:57">
      <c r="A565" s="227"/>
      <c r="B565" s="332"/>
      <c r="C565" s="228"/>
      <c r="D565" s="333"/>
      <c r="E565" s="334"/>
      <c r="F565" s="229"/>
      <c r="G565" s="333"/>
      <c r="H565" s="335"/>
      <c r="I565" s="229"/>
      <c r="J565" s="229"/>
      <c r="K565" s="336"/>
      <c r="L565" s="337"/>
      <c r="M565" s="337"/>
      <c r="N565" s="337"/>
      <c r="O565" s="337"/>
      <c r="P565" s="337"/>
      <c r="Q565" s="338">
        <v>1611</v>
      </c>
      <c r="R565" s="271">
        <f t="shared" si="38"/>
        <v>0</v>
      </c>
      <c r="S565" s="339">
        <f t="shared" si="39"/>
        <v>0</v>
      </c>
      <c r="T565" s="340"/>
      <c r="U565" s="341">
        <f>FA!K$73</f>
        <v>0</v>
      </c>
      <c r="V565" s="274"/>
      <c r="W565" s="342"/>
      <c r="X565" s="343"/>
      <c r="Y565" s="349" t="s">
        <v>549</v>
      </c>
      <c r="Z565" s="344"/>
      <c r="AA565" s="240"/>
      <c r="AB565" s="345">
        <v>1</v>
      </c>
      <c r="AC565" s="271"/>
      <c r="AD565" s="272"/>
      <c r="AE565" s="273"/>
      <c r="AF565" s="273"/>
      <c r="AG565" s="274"/>
      <c r="AH565" s="275"/>
      <c r="AI565" s="272"/>
      <c r="AJ565" s="276"/>
      <c r="AK565" s="277"/>
      <c r="AL565" s="278"/>
      <c r="AM565" s="277"/>
      <c r="AN565" s="279"/>
      <c r="AO565" s="279"/>
      <c r="AP565" s="279"/>
      <c r="AQ565" s="279"/>
      <c r="AR565" s="305">
        <f>'预算书-初步'!$F$10</f>
        <v>0.09</v>
      </c>
      <c r="AT565" s="272"/>
      <c r="BC565" s="272" t="s">
        <v>521</v>
      </c>
      <c r="BD565" s="348">
        <v>1062</v>
      </c>
      <c r="BE565" s="347" t="s">
        <v>702</v>
      </c>
    </row>
    <row r="566" s="52" customFormat="1" ht="15.75" customHeight="1" spans="1:57">
      <c r="A566" s="227"/>
      <c r="B566" s="332"/>
      <c r="C566" s="228"/>
      <c r="D566" s="333"/>
      <c r="E566" s="334"/>
      <c r="F566" s="229"/>
      <c r="G566" s="333"/>
      <c r="H566" s="335"/>
      <c r="I566" s="229"/>
      <c r="J566" s="229"/>
      <c r="K566" s="336"/>
      <c r="L566" s="337"/>
      <c r="M566" s="337"/>
      <c r="N566" s="337"/>
      <c r="O566" s="337"/>
      <c r="P566" s="337"/>
      <c r="Q566" s="338">
        <v>1643</v>
      </c>
      <c r="R566" s="271">
        <f t="shared" si="38"/>
        <v>0</v>
      </c>
      <c r="S566" s="339">
        <f t="shared" si="39"/>
        <v>0</v>
      </c>
      <c r="T566" s="340"/>
      <c r="U566" s="341">
        <f>FA!K$74</f>
        <v>0</v>
      </c>
      <c r="V566" s="274"/>
      <c r="W566" s="342"/>
      <c r="X566" s="343"/>
      <c r="Y566" s="349" t="s">
        <v>550</v>
      </c>
      <c r="Z566" s="344"/>
      <c r="AA566" s="240"/>
      <c r="AB566" s="345">
        <v>1</v>
      </c>
      <c r="AC566" s="271"/>
      <c r="AD566" s="272"/>
      <c r="AE566" s="273"/>
      <c r="AF566" s="273"/>
      <c r="AG566" s="274"/>
      <c r="AH566" s="275"/>
      <c r="AI566" s="272"/>
      <c r="AJ566" s="276"/>
      <c r="AK566" s="277"/>
      <c r="AL566" s="278"/>
      <c r="AM566" s="277"/>
      <c r="AN566" s="279" t="str">
        <f t="shared" ref="AN566:AN579" si="42">IF(AK566&lt;&gt;0,"N","")</f>
        <v/>
      </c>
      <c r="AO566" s="279"/>
      <c r="AP566" s="279" t="str">
        <f t="shared" ref="AP566:AP575" si="43">IF(F566&lt;&gt;0,"Y","")</f>
        <v/>
      </c>
      <c r="AQ566" s="279"/>
      <c r="AR566" s="305">
        <f>'预算书-初步'!$F$10</f>
        <v>0.09</v>
      </c>
      <c r="AT566" s="272"/>
      <c r="BC566" s="272" t="s">
        <v>521</v>
      </c>
      <c r="BD566" s="348">
        <v>1063</v>
      </c>
      <c r="BE566" s="347" t="s">
        <v>702</v>
      </c>
    </row>
    <row r="567" s="52" customFormat="1" ht="15.75" customHeight="1" spans="1:57">
      <c r="A567" s="227"/>
      <c r="B567" s="332"/>
      <c r="C567" s="228"/>
      <c r="D567" s="333"/>
      <c r="E567" s="334"/>
      <c r="F567" s="229"/>
      <c r="G567" s="333"/>
      <c r="H567" s="335"/>
      <c r="I567" s="229"/>
      <c r="J567" s="229"/>
      <c r="K567" s="336"/>
      <c r="L567" s="337"/>
      <c r="M567" s="337"/>
      <c r="N567" s="337"/>
      <c r="O567" s="337"/>
      <c r="P567" s="337"/>
      <c r="Q567" s="350">
        <v>1644</v>
      </c>
      <c r="R567" s="271">
        <f t="shared" si="38"/>
        <v>0</v>
      </c>
      <c r="S567" s="339">
        <f t="shared" si="39"/>
        <v>0</v>
      </c>
      <c r="T567" s="340"/>
      <c r="U567" s="341">
        <f>FA!K$75</f>
        <v>0</v>
      </c>
      <c r="V567" s="274"/>
      <c r="W567" s="342"/>
      <c r="X567" s="343"/>
      <c r="Y567" s="349" t="s">
        <v>551</v>
      </c>
      <c r="Z567" s="344"/>
      <c r="AA567" s="240"/>
      <c r="AB567" s="345">
        <v>1</v>
      </c>
      <c r="AC567" s="271"/>
      <c r="AD567" s="272"/>
      <c r="AE567" s="273"/>
      <c r="AF567" s="273"/>
      <c r="AG567" s="274"/>
      <c r="AH567" s="275"/>
      <c r="AI567" s="272"/>
      <c r="AJ567" s="276"/>
      <c r="AK567" s="277"/>
      <c r="AL567" s="278"/>
      <c r="AM567" s="277"/>
      <c r="AN567" s="279" t="str">
        <f t="shared" si="42"/>
        <v/>
      </c>
      <c r="AO567" s="279"/>
      <c r="AP567" s="279" t="str">
        <f t="shared" si="43"/>
        <v/>
      </c>
      <c r="AQ567" s="279"/>
      <c r="AR567" s="305">
        <f>'预算书-初步'!$F$10</f>
        <v>0.09</v>
      </c>
      <c r="AT567" s="272"/>
      <c r="BC567" s="272" t="s">
        <v>521</v>
      </c>
      <c r="BD567" s="348">
        <v>1064</v>
      </c>
      <c r="BE567" s="347" t="s">
        <v>702</v>
      </c>
    </row>
    <row r="568" s="52" customFormat="1" ht="15.75" customHeight="1" spans="1:57">
      <c r="A568" s="227"/>
      <c r="B568" s="332"/>
      <c r="C568" s="228"/>
      <c r="D568" s="333"/>
      <c r="E568" s="334"/>
      <c r="F568" s="229"/>
      <c r="G568" s="333"/>
      <c r="H568" s="335"/>
      <c r="I568" s="229"/>
      <c r="J568" s="229"/>
      <c r="K568" s="336"/>
      <c r="L568" s="337"/>
      <c r="M568" s="337"/>
      <c r="N568" s="337"/>
      <c r="O568" s="337"/>
      <c r="P568" s="337"/>
      <c r="Q568" s="338">
        <v>1645</v>
      </c>
      <c r="R568" s="271">
        <f t="shared" si="38"/>
        <v>0</v>
      </c>
      <c r="S568" s="339">
        <f t="shared" si="39"/>
        <v>0</v>
      </c>
      <c r="T568" s="340"/>
      <c r="U568" s="341">
        <f>FA!K$76</f>
        <v>0</v>
      </c>
      <c r="V568" s="274"/>
      <c r="W568" s="342"/>
      <c r="X568" s="343"/>
      <c r="Y568" s="349" t="s">
        <v>552</v>
      </c>
      <c r="Z568" s="344"/>
      <c r="AA568" s="240"/>
      <c r="AB568" s="345">
        <v>1</v>
      </c>
      <c r="AC568" s="271"/>
      <c r="AD568" s="272"/>
      <c r="AE568" s="273"/>
      <c r="AF568" s="273"/>
      <c r="AG568" s="274"/>
      <c r="AH568" s="275"/>
      <c r="AI568" s="272"/>
      <c r="AJ568" s="276"/>
      <c r="AK568" s="277"/>
      <c r="AL568" s="278"/>
      <c r="AM568" s="277"/>
      <c r="AN568" s="279" t="str">
        <f t="shared" si="42"/>
        <v/>
      </c>
      <c r="AO568" s="279"/>
      <c r="AP568" s="279" t="str">
        <f t="shared" si="43"/>
        <v/>
      </c>
      <c r="AQ568" s="279"/>
      <c r="AR568" s="305">
        <f>'预算书-初步'!$F$10</f>
        <v>0.09</v>
      </c>
      <c r="AT568" s="272"/>
      <c r="BC568" s="272" t="s">
        <v>521</v>
      </c>
      <c r="BD568" s="348">
        <v>1065</v>
      </c>
      <c r="BE568" s="347" t="s">
        <v>702</v>
      </c>
    </row>
    <row r="569" s="52" customFormat="1" ht="15.75" customHeight="1" spans="1:57">
      <c r="A569" s="227"/>
      <c r="B569" s="332"/>
      <c r="C569" s="228"/>
      <c r="D569" s="333"/>
      <c r="E569" s="334"/>
      <c r="F569" s="229"/>
      <c r="G569" s="333"/>
      <c r="H569" s="335"/>
      <c r="I569" s="229"/>
      <c r="J569" s="229"/>
      <c r="K569" s="336"/>
      <c r="L569" s="337"/>
      <c r="M569" s="337"/>
      <c r="N569" s="337"/>
      <c r="O569" s="337"/>
      <c r="P569" s="337"/>
      <c r="Q569" s="338">
        <v>1612</v>
      </c>
      <c r="R569" s="271">
        <f t="shared" si="38"/>
        <v>4984</v>
      </c>
      <c r="S569" s="339">
        <f t="shared" si="39"/>
        <v>0</v>
      </c>
      <c r="T569" s="340"/>
      <c r="U569" s="341">
        <f>FA!K$77</f>
        <v>4572.71</v>
      </c>
      <c r="V569" s="274"/>
      <c r="W569" s="342"/>
      <c r="X569" s="343"/>
      <c r="Y569" s="6" t="s">
        <v>553</v>
      </c>
      <c r="Z569" s="344"/>
      <c r="AA569" s="240"/>
      <c r="AB569" s="345">
        <v>1</v>
      </c>
      <c r="AC569" s="271"/>
      <c r="AD569" s="272"/>
      <c r="AE569" s="273"/>
      <c r="AF569" s="273"/>
      <c r="AG569" s="274"/>
      <c r="AH569" s="275"/>
      <c r="AI569" s="272"/>
      <c r="AJ569" s="276"/>
      <c r="AK569" s="277"/>
      <c r="AL569" s="278"/>
      <c r="AM569" s="277"/>
      <c r="AN569" s="279" t="str">
        <f t="shared" si="42"/>
        <v/>
      </c>
      <c r="AO569" s="279"/>
      <c r="AP569" s="279" t="str">
        <f t="shared" si="43"/>
        <v/>
      </c>
      <c r="AQ569" s="279"/>
      <c r="AR569" s="305">
        <f>'预算书-初步'!$F$10</f>
        <v>0.09</v>
      </c>
      <c r="AT569" s="272"/>
      <c r="BC569" s="272" t="s">
        <v>521</v>
      </c>
      <c r="BD569" s="348">
        <v>1066</v>
      </c>
      <c r="BE569" s="347" t="s">
        <v>702</v>
      </c>
    </row>
    <row r="570" s="52" customFormat="1" ht="15.75" customHeight="1" spans="1:57">
      <c r="A570" s="227"/>
      <c r="B570" s="332"/>
      <c r="C570" s="228"/>
      <c r="D570" s="333"/>
      <c r="E570" s="334"/>
      <c r="F570" s="229"/>
      <c r="G570" s="333"/>
      <c r="H570" s="335"/>
      <c r="I570" s="229"/>
      <c r="J570" s="229"/>
      <c r="K570" s="336"/>
      <c r="L570" s="337"/>
      <c r="M570" s="337"/>
      <c r="N570" s="337"/>
      <c r="O570" s="337"/>
      <c r="P570" s="337"/>
      <c r="Q570" s="338">
        <v>1646</v>
      </c>
      <c r="R570" s="271">
        <f t="shared" si="38"/>
        <v>0</v>
      </c>
      <c r="S570" s="339">
        <f t="shared" si="39"/>
        <v>0</v>
      </c>
      <c r="T570" s="340"/>
      <c r="U570" s="341">
        <f>FA!K$79</f>
        <v>0</v>
      </c>
      <c r="V570" s="274"/>
      <c r="W570" s="342"/>
      <c r="X570" s="343"/>
      <c r="Y570" s="349" t="s">
        <v>554</v>
      </c>
      <c r="Z570" s="344"/>
      <c r="AA570" s="240"/>
      <c r="AB570" s="345">
        <v>1</v>
      </c>
      <c r="AC570" s="271"/>
      <c r="AD570" s="272"/>
      <c r="AE570" s="273"/>
      <c r="AF570" s="273"/>
      <c r="AG570" s="274"/>
      <c r="AH570" s="275"/>
      <c r="AI570" s="272"/>
      <c r="AJ570" s="276"/>
      <c r="AK570" s="277"/>
      <c r="AL570" s="278"/>
      <c r="AM570" s="277"/>
      <c r="AN570" s="279" t="str">
        <f t="shared" si="42"/>
        <v/>
      </c>
      <c r="AO570" s="279"/>
      <c r="AP570" s="279" t="str">
        <f t="shared" si="43"/>
        <v/>
      </c>
      <c r="AQ570" s="279"/>
      <c r="AR570" s="305">
        <f>'预算书-初步'!$F$10</f>
        <v>0.09</v>
      </c>
      <c r="AT570" s="272"/>
      <c r="BC570" s="272" t="s">
        <v>521</v>
      </c>
      <c r="BD570" s="348">
        <v>1068</v>
      </c>
      <c r="BE570" s="347" t="s">
        <v>702</v>
      </c>
    </row>
    <row r="571" s="52" customFormat="1" ht="15.75" customHeight="1" spans="1:57">
      <c r="A571" s="227"/>
      <c r="B571" s="332"/>
      <c r="C571" s="228"/>
      <c r="D571" s="333"/>
      <c r="E571" s="334"/>
      <c r="F571" s="229"/>
      <c r="G571" s="333"/>
      <c r="H571" s="335"/>
      <c r="I571" s="229"/>
      <c r="J571" s="229"/>
      <c r="K571" s="336"/>
      <c r="L571" s="337"/>
      <c r="M571" s="337"/>
      <c r="N571" s="337"/>
      <c r="O571" s="337"/>
      <c r="P571" s="337"/>
      <c r="Q571" s="338">
        <v>1646</v>
      </c>
      <c r="R571" s="271">
        <f t="shared" si="38"/>
        <v>0</v>
      </c>
      <c r="S571" s="339">
        <f t="shared" si="39"/>
        <v>0</v>
      </c>
      <c r="T571" s="340"/>
      <c r="U571" s="341">
        <f>FA!K$80</f>
        <v>0</v>
      </c>
      <c r="V571" s="274"/>
      <c r="W571" s="342"/>
      <c r="X571" s="343"/>
      <c r="Y571" s="6" t="s">
        <v>555</v>
      </c>
      <c r="Z571" s="344"/>
      <c r="AA571" s="240"/>
      <c r="AB571" s="345">
        <v>1</v>
      </c>
      <c r="AC571" s="271"/>
      <c r="AD571" s="272"/>
      <c r="AE571" s="273"/>
      <c r="AF571" s="273"/>
      <c r="AG571" s="274"/>
      <c r="AH571" s="275"/>
      <c r="AI571" s="272"/>
      <c r="AJ571" s="276"/>
      <c r="AK571" s="277"/>
      <c r="AL571" s="278"/>
      <c r="AM571" s="277"/>
      <c r="AN571" s="279" t="str">
        <f t="shared" si="42"/>
        <v/>
      </c>
      <c r="AO571" s="279"/>
      <c r="AP571" s="279" t="str">
        <f t="shared" si="43"/>
        <v/>
      </c>
      <c r="AQ571" s="279"/>
      <c r="AR571" s="305">
        <f>'预算书-初步'!$F$10</f>
        <v>0.09</v>
      </c>
      <c r="AT571" s="272"/>
      <c r="BC571" s="272" t="s">
        <v>521</v>
      </c>
      <c r="BD571" s="348">
        <v>1069</v>
      </c>
      <c r="BE571" s="347" t="s">
        <v>702</v>
      </c>
    </row>
    <row r="572" s="52" customFormat="1" ht="15.75" customHeight="1" spans="1:57">
      <c r="A572" s="227"/>
      <c r="B572" s="332"/>
      <c r="C572" s="228"/>
      <c r="D572" s="333"/>
      <c r="E572" s="334"/>
      <c r="F572" s="229"/>
      <c r="G572" s="333"/>
      <c r="H572" s="335"/>
      <c r="I572" s="229"/>
      <c r="J572" s="229"/>
      <c r="K572" s="336"/>
      <c r="L572" s="337"/>
      <c r="M572" s="337"/>
      <c r="N572" s="337"/>
      <c r="O572" s="337"/>
      <c r="P572" s="337"/>
      <c r="Q572" s="338">
        <v>1613</v>
      </c>
      <c r="R572" s="271">
        <f t="shared" si="38"/>
        <v>0</v>
      </c>
      <c r="S572" s="339">
        <f t="shared" si="39"/>
        <v>0</v>
      </c>
      <c r="T572" s="340"/>
      <c r="U572" s="341">
        <f>FA!K$81</f>
        <v>0</v>
      </c>
      <c r="V572" s="274"/>
      <c r="W572" s="342"/>
      <c r="X572" s="343"/>
      <c r="Y572" s="349" t="s">
        <v>556</v>
      </c>
      <c r="Z572" s="344"/>
      <c r="AA572" s="240"/>
      <c r="AB572" s="345">
        <v>1</v>
      </c>
      <c r="AC572" s="271"/>
      <c r="AD572" s="272"/>
      <c r="AE572" s="273"/>
      <c r="AF572" s="273"/>
      <c r="AG572" s="274"/>
      <c r="AH572" s="275"/>
      <c r="AI572" s="272"/>
      <c r="AJ572" s="276"/>
      <c r="AK572" s="277"/>
      <c r="AL572" s="278"/>
      <c r="AM572" s="277"/>
      <c r="AN572" s="279" t="str">
        <f t="shared" si="42"/>
        <v/>
      </c>
      <c r="AO572" s="279"/>
      <c r="AP572" s="279" t="str">
        <f t="shared" si="43"/>
        <v/>
      </c>
      <c r="AQ572" s="279"/>
      <c r="AR572" s="305">
        <f>'预算书-初步'!$F$10</f>
        <v>0.09</v>
      </c>
      <c r="AT572" s="272"/>
      <c r="BC572" s="272" t="s">
        <v>521</v>
      </c>
      <c r="BD572" s="348">
        <v>1070</v>
      </c>
      <c r="BE572" s="347" t="s">
        <v>702</v>
      </c>
    </row>
    <row r="573" s="52" customFormat="1" ht="15.75" customHeight="1" spans="1:57">
      <c r="A573" s="227"/>
      <c r="B573" s="332"/>
      <c r="C573" s="228"/>
      <c r="D573" s="333"/>
      <c r="E573" s="334"/>
      <c r="F573" s="229"/>
      <c r="G573" s="333"/>
      <c r="H573" s="335"/>
      <c r="I573" s="229"/>
      <c r="J573" s="229"/>
      <c r="K573" s="336"/>
      <c r="L573" s="337"/>
      <c r="M573" s="337"/>
      <c r="N573" s="337"/>
      <c r="O573" s="337"/>
      <c r="P573" s="337"/>
      <c r="Q573" s="338">
        <v>1614</v>
      </c>
      <c r="R573" s="271">
        <f t="shared" si="38"/>
        <v>0</v>
      </c>
      <c r="S573" s="339">
        <f t="shared" ref="S573:S641" si="44">$S$5</f>
        <v>0</v>
      </c>
      <c r="T573" s="340"/>
      <c r="U573" s="341">
        <f>FA!K$82</f>
        <v>0</v>
      </c>
      <c r="V573" s="274"/>
      <c r="W573" s="342"/>
      <c r="X573" s="343"/>
      <c r="Y573" s="349" t="s">
        <v>557</v>
      </c>
      <c r="Z573" s="344"/>
      <c r="AA573" s="240"/>
      <c r="AB573" s="345">
        <v>1</v>
      </c>
      <c r="AC573" s="271"/>
      <c r="AD573" s="272"/>
      <c r="AE573" s="273"/>
      <c r="AF573" s="273"/>
      <c r="AG573" s="274"/>
      <c r="AH573" s="275"/>
      <c r="AI573" s="272"/>
      <c r="AJ573" s="276"/>
      <c r="AK573" s="277"/>
      <c r="AL573" s="278"/>
      <c r="AM573" s="277"/>
      <c r="AN573" s="279" t="str">
        <f t="shared" si="42"/>
        <v/>
      </c>
      <c r="AO573" s="279"/>
      <c r="AP573" s="279" t="str">
        <f t="shared" si="43"/>
        <v/>
      </c>
      <c r="AQ573" s="279"/>
      <c r="AR573" s="305">
        <f>'预算书-初步'!$F$10</f>
        <v>0.09</v>
      </c>
      <c r="AT573" s="272"/>
      <c r="BC573" s="272" t="s">
        <v>521</v>
      </c>
      <c r="BD573" s="348">
        <v>1071</v>
      </c>
      <c r="BE573" s="347" t="s">
        <v>702</v>
      </c>
    </row>
    <row r="574" s="52" customFormat="1" ht="15.75" customHeight="1" spans="1:57">
      <c r="A574" s="227"/>
      <c r="B574" s="332"/>
      <c r="C574" s="228"/>
      <c r="D574" s="333"/>
      <c r="E574" s="334"/>
      <c r="F574" s="229"/>
      <c r="G574" s="333"/>
      <c r="H574" s="335"/>
      <c r="I574" s="229"/>
      <c r="J574" s="229"/>
      <c r="K574" s="336"/>
      <c r="L574" s="337"/>
      <c r="M574" s="337"/>
      <c r="N574" s="337"/>
      <c r="O574" s="337"/>
      <c r="P574" s="337"/>
      <c r="Q574" s="338">
        <v>1621</v>
      </c>
      <c r="R574" s="271">
        <f t="shared" si="38"/>
        <v>0</v>
      </c>
      <c r="S574" s="339">
        <f t="shared" si="44"/>
        <v>0</v>
      </c>
      <c r="T574" s="340"/>
      <c r="U574" s="341">
        <f>FA!K$84</f>
        <v>0</v>
      </c>
      <c r="V574" s="274"/>
      <c r="W574" s="342"/>
      <c r="X574" s="343"/>
      <c r="Y574" s="349" t="s">
        <v>558</v>
      </c>
      <c r="Z574" s="344"/>
      <c r="AA574" s="240"/>
      <c r="AB574" s="345">
        <v>1</v>
      </c>
      <c r="AC574" s="271"/>
      <c r="AD574" s="272"/>
      <c r="AE574" s="273"/>
      <c r="AF574" s="273"/>
      <c r="AG574" s="274"/>
      <c r="AH574" s="275"/>
      <c r="AI574" s="272"/>
      <c r="AJ574" s="276"/>
      <c r="AK574" s="277"/>
      <c r="AL574" s="278"/>
      <c r="AM574" s="277"/>
      <c r="AN574" s="279" t="str">
        <f t="shared" si="42"/>
        <v/>
      </c>
      <c r="AO574" s="279"/>
      <c r="AP574" s="279" t="str">
        <f t="shared" si="43"/>
        <v/>
      </c>
      <c r="AQ574" s="279"/>
      <c r="AR574" s="305">
        <f>'预算书-初步'!$F$10</f>
        <v>0.09</v>
      </c>
      <c r="AT574" s="272"/>
      <c r="BC574" s="272" t="s">
        <v>521</v>
      </c>
      <c r="BD574" s="348">
        <v>1073</v>
      </c>
      <c r="BE574" s="347" t="s">
        <v>702</v>
      </c>
    </row>
    <row r="575" s="52" customFormat="1" ht="15.75" customHeight="1" spans="1:57">
      <c r="A575" s="227"/>
      <c r="B575" s="332"/>
      <c r="C575" s="228"/>
      <c r="D575" s="333"/>
      <c r="E575" s="334"/>
      <c r="F575" s="229"/>
      <c r="G575" s="333"/>
      <c r="H575" s="335"/>
      <c r="I575" s="229"/>
      <c r="J575" s="229"/>
      <c r="K575" s="336"/>
      <c r="L575" s="337"/>
      <c r="M575" s="337"/>
      <c r="N575" s="337"/>
      <c r="O575" s="337"/>
      <c r="P575" s="337"/>
      <c r="Q575" s="338">
        <v>1622</v>
      </c>
      <c r="R575" s="271">
        <f t="shared" si="38"/>
        <v>0</v>
      </c>
      <c r="S575" s="339">
        <f t="shared" si="44"/>
        <v>0</v>
      </c>
      <c r="T575" s="340"/>
      <c r="U575" s="341">
        <f>FA!K$85</f>
        <v>0</v>
      </c>
      <c r="V575" s="274"/>
      <c r="W575" s="342"/>
      <c r="X575" s="343"/>
      <c r="Y575" s="349" t="s">
        <v>559</v>
      </c>
      <c r="Z575" s="344"/>
      <c r="AA575" s="240"/>
      <c r="AB575" s="345">
        <v>1</v>
      </c>
      <c r="AC575" s="271"/>
      <c r="AD575" s="272"/>
      <c r="AE575" s="273"/>
      <c r="AF575" s="273"/>
      <c r="AG575" s="274"/>
      <c r="AH575" s="275"/>
      <c r="AI575" s="272"/>
      <c r="AJ575" s="276"/>
      <c r="AK575" s="277"/>
      <c r="AL575" s="278"/>
      <c r="AM575" s="277"/>
      <c r="AN575" s="279" t="str">
        <f t="shared" si="42"/>
        <v/>
      </c>
      <c r="AO575" s="279"/>
      <c r="AP575" s="279" t="str">
        <f t="shared" si="43"/>
        <v/>
      </c>
      <c r="AQ575" s="279"/>
      <c r="AR575" s="305">
        <f>'预算书-初步'!$F$10</f>
        <v>0.09</v>
      </c>
      <c r="AT575" s="272"/>
      <c r="BC575" s="272" t="s">
        <v>521</v>
      </c>
      <c r="BD575" s="348">
        <v>1074</v>
      </c>
      <c r="BE575" s="347" t="s">
        <v>702</v>
      </c>
    </row>
    <row r="576" s="52" customFormat="1" ht="15.75" customHeight="1" spans="1:57">
      <c r="A576" s="227"/>
      <c r="B576" s="332"/>
      <c r="C576" s="228"/>
      <c r="D576" s="333"/>
      <c r="E576" s="334"/>
      <c r="F576" s="229"/>
      <c r="G576" s="333"/>
      <c r="H576" s="335"/>
      <c r="I576" s="229"/>
      <c r="J576" s="229"/>
      <c r="K576" s="336"/>
      <c r="L576" s="337"/>
      <c r="M576" s="337"/>
      <c r="N576" s="337"/>
      <c r="O576" s="337"/>
      <c r="P576" s="337"/>
      <c r="Q576" s="338">
        <v>1623</v>
      </c>
      <c r="R576" s="271">
        <f t="shared" si="38"/>
        <v>0</v>
      </c>
      <c r="S576" s="339">
        <f t="shared" si="44"/>
        <v>0</v>
      </c>
      <c r="T576" s="340"/>
      <c r="U576" s="341">
        <f>FA!K$86</f>
        <v>0</v>
      </c>
      <c r="V576" s="274"/>
      <c r="W576" s="342"/>
      <c r="X576" s="343"/>
      <c r="Y576" s="349" t="s">
        <v>560</v>
      </c>
      <c r="Z576" s="344"/>
      <c r="AA576" s="240"/>
      <c r="AB576" s="345">
        <v>1</v>
      </c>
      <c r="AC576" s="271"/>
      <c r="AD576" s="272"/>
      <c r="AE576" s="273"/>
      <c r="AF576" s="273"/>
      <c r="AG576" s="274"/>
      <c r="AH576" s="275"/>
      <c r="AI576" s="272"/>
      <c r="AJ576" s="276"/>
      <c r="AK576" s="277"/>
      <c r="AL576" s="278"/>
      <c r="AM576" s="277"/>
      <c r="AN576" s="279"/>
      <c r="AO576" s="279"/>
      <c r="AP576" s="279"/>
      <c r="AQ576" s="279"/>
      <c r="AR576" s="305">
        <f>'预算书-初步'!$F$10</f>
        <v>0.09</v>
      </c>
      <c r="AT576" s="272"/>
      <c r="BC576" s="272" t="s">
        <v>521</v>
      </c>
      <c r="BD576" s="348">
        <v>1075</v>
      </c>
      <c r="BE576" s="347" t="s">
        <v>702</v>
      </c>
    </row>
    <row r="577" s="52" customFormat="1" ht="15.75" customHeight="1" spans="1:57">
      <c r="A577" s="227"/>
      <c r="B577" s="332"/>
      <c r="C577" s="228"/>
      <c r="D577" s="333"/>
      <c r="E577" s="334"/>
      <c r="F577" s="229"/>
      <c r="G577" s="333"/>
      <c r="H577" s="335"/>
      <c r="I577" s="229"/>
      <c r="J577" s="229"/>
      <c r="K577" s="336"/>
      <c r="L577" s="337"/>
      <c r="M577" s="337"/>
      <c r="N577" s="337"/>
      <c r="O577" s="337"/>
      <c r="P577" s="337"/>
      <c r="Q577" s="338">
        <v>1630</v>
      </c>
      <c r="R577" s="271">
        <f t="shared" si="38"/>
        <v>0</v>
      </c>
      <c r="S577" s="339">
        <f t="shared" si="44"/>
        <v>0</v>
      </c>
      <c r="T577" s="340"/>
      <c r="U577" s="341">
        <f>FA!K$88</f>
        <v>0</v>
      </c>
      <c r="V577" s="274"/>
      <c r="W577" s="342"/>
      <c r="X577" s="343"/>
      <c r="Y577" s="6" t="s">
        <v>561</v>
      </c>
      <c r="Z577" s="344"/>
      <c r="AA577" s="240"/>
      <c r="AB577" s="345">
        <v>1</v>
      </c>
      <c r="AC577" s="271"/>
      <c r="AD577" s="272"/>
      <c r="AE577" s="273"/>
      <c r="AF577" s="273"/>
      <c r="AG577" s="274"/>
      <c r="AH577" s="275"/>
      <c r="AI577" s="272"/>
      <c r="AJ577" s="276"/>
      <c r="AK577" s="277"/>
      <c r="AL577" s="278"/>
      <c r="AM577" s="277"/>
      <c r="AN577" s="279" t="str">
        <f t="shared" si="42"/>
        <v/>
      </c>
      <c r="AO577" s="279"/>
      <c r="AP577" s="279" t="str">
        <f>IF(F577&lt;&gt;0,"Y","")</f>
        <v/>
      </c>
      <c r="AQ577" s="279"/>
      <c r="AR577" s="305">
        <f>'预算书-初步'!$F$10</f>
        <v>0.09</v>
      </c>
      <c r="AT577" s="272"/>
      <c r="BC577" s="272" t="s">
        <v>521</v>
      </c>
      <c r="BD577" s="348">
        <v>1077</v>
      </c>
      <c r="BE577" s="347" t="s">
        <v>702</v>
      </c>
    </row>
    <row r="578" s="52" customFormat="1" ht="15.75" customHeight="1" spans="1:57">
      <c r="A578" s="227"/>
      <c r="B578" s="332"/>
      <c r="C578" s="228"/>
      <c r="D578" s="333"/>
      <c r="E578" s="334"/>
      <c r="F578" s="229"/>
      <c r="G578" s="333"/>
      <c r="H578" s="335"/>
      <c r="I578" s="229"/>
      <c r="J578" s="229"/>
      <c r="K578" s="336"/>
      <c r="L578" s="337"/>
      <c r="M578" s="337"/>
      <c r="N578" s="337"/>
      <c r="O578" s="337"/>
      <c r="P578" s="337"/>
      <c r="Q578" s="338">
        <v>3791</v>
      </c>
      <c r="R578" s="271">
        <f t="shared" si="38"/>
        <v>491</v>
      </c>
      <c r="S578" s="339">
        <f t="shared" si="44"/>
        <v>0</v>
      </c>
      <c r="T578" s="340"/>
      <c r="U578" s="341">
        <f>FA!K$95</f>
        <v>450.45</v>
      </c>
      <c r="V578" s="274"/>
      <c r="W578" s="342"/>
      <c r="X578" s="343"/>
      <c r="Y578" s="6" t="s">
        <v>562</v>
      </c>
      <c r="Z578" s="344"/>
      <c r="AA578" s="240"/>
      <c r="AB578" s="345">
        <v>1</v>
      </c>
      <c r="AC578" s="271"/>
      <c r="AD578" s="272"/>
      <c r="AE578" s="273"/>
      <c r="AF578" s="273"/>
      <c r="AG578" s="274"/>
      <c r="AH578" s="275"/>
      <c r="AI578" s="272"/>
      <c r="AJ578" s="276"/>
      <c r="AK578" s="277"/>
      <c r="AL578" s="278"/>
      <c r="AM578" s="277"/>
      <c r="AN578" s="279" t="str">
        <f t="shared" si="42"/>
        <v/>
      </c>
      <c r="AO578" s="279"/>
      <c r="AP578" s="279" t="str">
        <f>IF(F578&lt;&gt;0,"Y","")</f>
        <v/>
      </c>
      <c r="AQ578" s="279"/>
      <c r="AR578" s="305">
        <f>'预算书-初步'!$F$10</f>
        <v>0.09</v>
      </c>
      <c r="AT578" s="272"/>
      <c r="BC578" s="272" t="s">
        <v>521</v>
      </c>
      <c r="BD578" s="348">
        <v>1084</v>
      </c>
      <c r="BE578" s="347" t="s">
        <v>702</v>
      </c>
    </row>
    <row r="579" s="52" customFormat="1" ht="15.75" customHeight="1" spans="1:57">
      <c r="A579" s="227"/>
      <c r="B579" s="332"/>
      <c r="C579" s="228"/>
      <c r="D579" s="333"/>
      <c r="E579" s="334"/>
      <c r="F579" s="229"/>
      <c r="G579" s="333"/>
      <c r="H579" s="335"/>
      <c r="I579" s="229"/>
      <c r="J579" s="229"/>
      <c r="K579" s="336"/>
      <c r="L579" s="337"/>
      <c r="M579" s="337"/>
      <c r="N579" s="337"/>
      <c r="O579" s="337"/>
      <c r="P579" s="337"/>
      <c r="Q579" s="338">
        <v>8410</v>
      </c>
      <c r="R579" s="271">
        <f t="shared" si="38"/>
        <v>0</v>
      </c>
      <c r="S579" s="339">
        <f t="shared" si="44"/>
        <v>0</v>
      </c>
      <c r="T579" s="340"/>
      <c r="U579" s="341">
        <f>FA!K$140</f>
        <v>0</v>
      </c>
      <c r="V579" s="274"/>
      <c r="W579" s="342"/>
      <c r="X579" s="343"/>
      <c r="Y579" s="349" t="s">
        <v>563</v>
      </c>
      <c r="Z579" s="344"/>
      <c r="AA579" s="240"/>
      <c r="AB579" s="345">
        <v>1</v>
      </c>
      <c r="AC579" s="271"/>
      <c r="AD579" s="272"/>
      <c r="AE579" s="273"/>
      <c r="AF579" s="273"/>
      <c r="AG579" s="274"/>
      <c r="AH579" s="275"/>
      <c r="AI579" s="272"/>
      <c r="AJ579" s="276"/>
      <c r="AK579" s="277"/>
      <c r="AL579" s="278"/>
      <c r="AM579" s="277"/>
      <c r="AN579" s="279" t="str">
        <f t="shared" si="42"/>
        <v/>
      </c>
      <c r="AO579" s="279"/>
      <c r="AP579" s="279" t="str">
        <f>IF(F579&lt;&gt;0,"Y","")</f>
        <v/>
      </c>
      <c r="AQ579" s="279"/>
      <c r="AR579" s="305">
        <f>'预算书-初步'!$F$10</f>
        <v>0.09</v>
      </c>
      <c r="AT579" s="272"/>
      <c r="BC579" s="272" t="s">
        <v>521</v>
      </c>
      <c r="BD579" s="348">
        <v>1129</v>
      </c>
      <c r="BE579" s="347" t="s">
        <v>702</v>
      </c>
    </row>
    <row r="580" s="52" customFormat="1" spans="1:57">
      <c r="A580" s="227"/>
      <c r="B580" s="332"/>
      <c r="C580" s="228"/>
      <c r="D580" s="333"/>
      <c r="E580" s="334"/>
      <c r="F580" s="229"/>
      <c r="G580" s="333"/>
      <c r="H580" s="335"/>
      <c r="I580" s="229"/>
      <c r="J580" s="229"/>
      <c r="K580" s="336"/>
      <c r="L580" s="337"/>
      <c r="M580" s="337"/>
      <c r="N580" s="337"/>
      <c r="O580" s="337"/>
      <c r="P580" s="337"/>
      <c r="Q580" s="352">
        <v>8421</v>
      </c>
      <c r="R580" s="271">
        <f t="shared" si="38"/>
        <v>0</v>
      </c>
      <c r="S580" s="339">
        <f t="shared" si="44"/>
        <v>0</v>
      </c>
      <c r="T580" s="354"/>
      <c r="U580" s="355"/>
      <c r="V580" s="274"/>
      <c r="W580" s="356"/>
      <c r="X580" s="357"/>
      <c r="Y580" s="6" t="s">
        <v>564</v>
      </c>
      <c r="Z580" s="344"/>
      <c r="AA580" s="240"/>
      <c r="AB580" s="345">
        <v>1</v>
      </c>
      <c r="AC580" s="271"/>
      <c r="AD580" s="272"/>
      <c r="AE580" s="273"/>
      <c r="AF580" s="273"/>
      <c r="AG580" s="274"/>
      <c r="AH580" s="275"/>
      <c r="AI580" s="272"/>
      <c r="AJ580" s="276"/>
      <c r="AK580" s="277"/>
      <c r="AL580" s="278"/>
      <c r="AM580" s="277"/>
      <c r="AN580" s="279"/>
      <c r="AO580" s="279"/>
      <c r="AP580" s="279"/>
      <c r="AQ580" s="279"/>
      <c r="AR580" s="305">
        <f>'预算书-初步'!$F$10</f>
        <v>0.09</v>
      </c>
      <c r="AT580" s="272"/>
      <c r="BC580" s="272" t="s">
        <v>521</v>
      </c>
      <c r="BD580" s="359">
        <v>1130</v>
      </c>
      <c r="BE580" s="347" t="s">
        <v>702</v>
      </c>
    </row>
    <row r="581" s="52" customFormat="1" spans="1:57">
      <c r="A581" s="227"/>
      <c r="B581" s="332"/>
      <c r="C581" s="228"/>
      <c r="D581" s="333"/>
      <c r="E581" s="334"/>
      <c r="F581" s="229"/>
      <c r="G581" s="333"/>
      <c r="H581" s="335"/>
      <c r="I581" s="229"/>
      <c r="J581" s="229"/>
      <c r="K581" s="336"/>
      <c r="L581" s="337"/>
      <c r="M581" s="337"/>
      <c r="N581" s="337"/>
      <c r="O581" s="337"/>
      <c r="P581" s="337"/>
      <c r="Q581" s="352">
        <v>8422</v>
      </c>
      <c r="R581" s="271">
        <f t="shared" si="38"/>
        <v>0</v>
      </c>
      <c r="S581" s="339">
        <f t="shared" si="44"/>
        <v>0</v>
      </c>
      <c r="T581" s="354"/>
      <c r="U581" s="355">
        <f>FA!K141</f>
        <v>0</v>
      </c>
      <c r="V581" s="274"/>
      <c r="W581" s="356"/>
      <c r="X581" s="357"/>
      <c r="Y581" s="349" t="s">
        <v>565</v>
      </c>
      <c r="Z581" s="344"/>
      <c r="AA581" s="240"/>
      <c r="AB581" s="345">
        <v>1</v>
      </c>
      <c r="AC581" s="271"/>
      <c r="AD581" s="272"/>
      <c r="AE581" s="273"/>
      <c r="AF581" s="273"/>
      <c r="AG581" s="274"/>
      <c r="AH581" s="275"/>
      <c r="AI581" s="272"/>
      <c r="AJ581" s="276"/>
      <c r="AK581" s="277"/>
      <c r="AL581" s="278"/>
      <c r="AM581" s="277"/>
      <c r="AN581" s="279"/>
      <c r="AO581" s="279"/>
      <c r="AP581" s="279"/>
      <c r="AQ581" s="279"/>
      <c r="AR581" s="305">
        <f>'预算书-初步'!$F$10</f>
        <v>0.09</v>
      </c>
      <c r="AT581" s="272"/>
      <c r="BC581" s="272" t="s">
        <v>521</v>
      </c>
      <c r="BD581" s="359">
        <v>1130</v>
      </c>
      <c r="BE581" s="347" t="s">
        <v>702</v>
      </c>
    </row>
    <row r="582" s="52" customFormat="1" spans="1:57">
      <c r="A582" s="227"/>
      <c r="B582" s="332"/>
      <c r="C582" s="228"/>
      <c r="D582" s="333"/>
      <c r="E582" s="334"/>
      <c r="F582" s="229"/>
      <c r="G582" s="333"/>
      <c r="H582" s="335"/>
      <c r="I582" s="229"/>
      <c r="J582" s="229"/>
      <c r="K582" s="336"/>
      <c r="L582" s="337"/>
      <c r="M582" s="337"/>
      <c r="N582" s="337"/>
      <c r="O582" s="337"/>
      <c r="P582" s="337"/>
      <c r="Q582" s="352">
        <v>8423</v>
      </c>
      <c r="R582" s="271">
        <f t="shared" ref="R582:R645" si="45">ROUND(U582*(1+AR582),0)</f>
        <v>0</v>
      </c>
      <c r="S582" s="339">
        <f t="shared" si="44"/>
        <v>0</v>
      </c>
      <c r="T582" s="354"/>
      <c r="U582" s="355"/>
      <c r="V582" s="274"/>
      <c r="W582" s="356"/>
      <c r="X582" s="357"/>
      <c r="Y582" s="6" t="s">
        <v>566</v>
      </c>
      <c r="Z582" s="344"/>
      <c r="AA582" s="240"/>
      <c r="AB582" s="345">
        <v>1</v>
      </c>
      <c r="AC582" s="271"/>
      <c r="AD582" s="272"/>
      <c r="AE582" s="273"/>
      <c r="AF582" s="273"/>
      <c r="AG582" s="274"/>
      <c r="AH582" s="275"/>
      <c r="AI582" s="272"/>
      <c r="AJ582" s="276"/>
      <c r="AK582" s="277"/>
      <c r="AL582" s="278"/>
      <c r="AM582" s="277"/>
      <c r="AN582" s="279"/>
      <c r="AO582" s="279"/>
      <c r="AP582" s="279"/>
      <c r="AQ582" s="279"/>
      <c r="AR582" s="305">
        <f>'预算书-初步'!$F$10</f>
        <v>0.09</v>
      </c>
      <c r="AT582" s="272"/>
      <c r="BC582" s="272" t="s">
        <v>521</v>
      </c>
      <c r="BD582" s="359">
        <v>1130</v>
      </c>
      <c r="BE582" s="347" t="s">
        <v>702</v>
      </c>
    </row>
    <row r="583" s="52" customFormat="1" ht="15.75" customHeight="1" spans="1:57">
      <c r="A583" s="227"/>
      <c r="B583" s="332"/>
      <c r="C583" s="228"/>
      <c r="D583" s="333"/>
      <c r="E583" s="334"/>
      <c r="F583" s="229"/>
      <c r="G583" s="333"/>
      <c r="H583" s="335"/>
      <c r="I583" s="229"/>
      <c r="J583" s="229"/>
      <c r="K583" s="336"/>
      <c r="L583" s="337"/>
      <c r="M583" s="337"/>
      <c r="N583" s="337"/>
      <c r="O583" s="337"/>
      <c r="P583" s="337"/>
      <c r="Q583" s="338">
        <v>8424</v>
      </c>
      <c r="R583" s="271">
        <f t="shared" si="45"/>
        <v>0</v>
      </c>
      <c r="S583" s="339">
        <f t="shared" si="44"/>
        <v>0</v>
      </c>
      <c r="T583" s="340"/>
      <c r="U583" s="341">
        <f>FA!K$142</f>
        <v>0</v>
      </c>
      <c r="V583" s="274"/>
      <c r="W583" s="342"/>
      <c r="X583" s="343"/>
      <c r="Y583" s="6" t="s">
        <v>567</v>
      </c>
      <c r="Z583" s="344"/>
      <c r="AA583" s="240"/>
      <c r="AB583" s="345">
        <v>1</v>
      </c>
      <c r="AC583" s="271"/>
      <c r="AD583" s="272"/>
      <c r="AE583" s="273"/>
      <c r="AF583" s="273"/>
      <c r="AG583" s="274"/>
      <c r="AH583" s="275"/>
      <c r="AI583" s="272"/>
      <c r="AJ583" s="276"/>
      <c r="AK583" s="277"/>
      <c r="AL583" s="278"/>
      <c r="AM583" s="277"/>
      <c r="AN583" s="279" t="str">
        <f t="shared" ref="AN583:AN601" si="46">IF(AK583&lt;&gt;0,"N","")</f>
        <v/>
      </c>
      <c r="AO583" s="279"/>
      <c r="AP583" s="279" t="str">
        <f t="shared" ref="AP583:AP627" si="47">IF(F583&lt;&gt;0,"Y","")</f>
        <v/>
      </c>
      <c r="AQ583" s="279"/>
      <c r="AR583" s="305">
        <f>'预算书-初步'!$F$10</f>
        <v>0.09</v>
      </c>
      <c r="AT583" s="272"/>
      <c r="BC583" s="272" t="s">
        <v>521</v>
      </c>
      <c r="BD583" s="348">
        <v>1131</v>
      </c>
      <c r="BE583" s="347" t="s">
        <v>702</v>
      </c>
    </row>
    <row r="584" s="52" customFormat="1" ht="15.75" customHeight="1" spans="1:57">
      <c r="A584" s="227"/>
      <c r="B584" s="332"/>
      <c r="C584" s="228"/>
      <c r="D584" s="333"/>
      <c r="E584" s="334"/>
      <c r="F584" s="229"/>
      <c r="G584" s="333"/>
      <c r="H584" s="335"/>
      <c r="I584" s="229"/>
      <c r="J584" s="229"/>
      <c r="K584" s="336"/>
      <c r="L584" s="337"/>
      <c r="M584" s="337"/>
      <c r="N584" s="337"/>
      <c r="O584" s="337"/>
      <c r="P584" s="337"/>
      <c r="Q584" s="338">
        <v>8426</v>
      </c>
      <c r="R584" s="271">
        <f t="shared" si="45"/>
        <v>0</v>
      </c>
      <c r="S584" s="339">
        <f t="shared" si="44"/>
        <v>0</v>
      </c>
      <c r="T584" s="340"/>
      <c r="U584" s="341">
        <f>FA!K$143</f>
        <v>0</v>
      </c>
      <c r="V584" s="274"/>
      <c r="W584" s="342"/>
      <c r="X584" s="343"/>
      <c r="Y584" s="6" t="s">
        <v>568</v>
      </c>
      <c r="Z584" s="344"/>
      <c r="AA584" s="240"/>
      <c r="AB584" s="345">
        <v>1</v>
      </c>
      <c r="AC584" s="271"/>
      <c r="AD584" s="272"/>
      <c r="AE584" s="273"/>
      <c r="AF584" s="273"/>
      <c r="AG584" s="274"/>
      <c r="AH584" s="275"/>
      <c r="AI584" s="272"/>
      <c r="AJ584" s="276"/>
      <c r="AK584" s="277"/>
      <c r="AL584" s="278"/>
      <c r="AM584" s="277"/>
      <c r="AN584" s="279" t="str">
        <f t="shared" si="46"/>
        <v/>
      </c>
      <c r="AO584" s="279"/>
      <c r="AP584" s="279" t="str">
        <f t="shared" si="47"/>
        <v/>
      </c>
      <c r="AQ584" s="279"/>
      <c r="AR584" s="305">
        <f>'预算书-初步'!$F$10</f>
        <v>0.09</v>
      </c>
      <c r="AT584" s="272"/>
      <c r="BC584" s="272" t="s">
        <v>521</v>
      </c>
      <c r="BD584" s="348">
        <v>1132</v>
      </c>
      <c r="BE584" s="347" t="s">
        <v>702</v>
      </c>
    </row>
    <row r="585" s="52" customFormat="1" ht="15.75" customHeight="1" spans="1:57">
      <c r="A585" s="227"/>
      <c r="B585" s="332"/>
      <c r="C585" s="228"/>
      <c r="D585" s="333"/>
      <c r="E585" s="334"/>
      <c r="F585" s="229"/>
      <c r="G585" s="333"/>
      <c r="H585" s="335"/>
      <c r="I585" s="229"/>
      <c r="J585" s="229"/>
      <c r="K585" s="336"/>
      <c r="L585" s="337"/>
      <c r="M585" s="337"/>
      <c r="N585" s="337"/>
      <c r="O585" s="337"/>
      <c r="P585" s="337"/>
      <c r="Q585" s="338">
        <v>8451</v>
      </c>
      <c r="R585" s="271">
        <f t="shared" si="45"/>
        <v>0</v>
      </c>
      <c r="S585" s="339">
        <v>0</v>
      </c>
      <c r="T585" s="340"/>
      <c r="U585" s="364">
        <f>SUMIF(其他!$A$9:$A$65,$Q585,其他!$K$9:$K$65)</f>
        <v>0</v>
      </c>
      <c r="V585" s="274"/>
      <c r="W585" s="342"/>
      <c r="X585" s="343"/>
      <c r="Y585" s="20" t="s">
        <v>570</v>
      </c>
      <c r="Z585" s="344"/>
      <c r="AA585" s="240"/>
      <c r="AB585" s="345">
        <v>1</v>
      </c>
      <c r="AC585" s="271"/>
      <c r="AD585" s="272"/>
      <c r="AE585" s="273"/>
      <c r="AF585" s="273"/>
      <c r="AG585" s="274"/>
      <c r="AH585" s="275"/>
      <c r="AI585" s="272"/>
      <c r="AJ585" s="276"/>
      <c r="AK585" s="277"/>
      <c r="AL585" s="278"/>
      <c r="AM585" s="277"/>
      <c r="AN585" s="279"/>
      <c r="AO585" s="279"/>
      <c r="AP585" s="279"/>
      <c r="AQ585" s="279"/>
      <c r="AR585" s="305">
        <f>'预算书-初步'!$F$10</f>
        <v>0.09</v>
      </c>
      <c r="AT585" s="272"/>
      <c r="BC585" s="272" t="s">
        <v>521</v>
      </c>
      <c r="BD585" s="348">
        <v>1136</v>
      </c>
      <c r="BE585" s="347" t="s">
        <v>702</v>
      </c>
    </row>
    <row r="586" s="52" customFormat="1" ht="15.75" customHeight="1" spans="1:57">
      <c r="A586" s="227"/>
      <c r="B586" s="332"/>
      <c r="C586" s="228"/>
      <c r="D586" s="333"/>
      <c r="E586" s="334"/>
      <c r="F586" s="229"/>
      <c r="G586" s="333"/>
      <c r="H586" s="335"/>
      <c r="I586" s="229"/>
      <c r="J586" s="229"/>
      <c r="K586" s="336"/>
      <c r="L586" s="337"/>
      <c r="M586" s="337"/>
      <c r="N586" s="337"/>
      <c r="O586" s="337"/>
      <c r="P586" s="337"/>
      <c r="Q586" s="338">
        <v>8452</v>
      </c>
      <c r="R586" s="271">
        <f t="shared" si="45"/>
        <v>0</v>
      </c>
      <c r="S586" s="339">
        <v>0</v>
      </c>
      <c r="T586" s="340"/>
      <c r="U586" s="364">
        <f>SUMIF(其他!$A$9:$A$65,$Q586,其他!$K$9:$K$65)</f>
        <v>0</v>
      </c>
      <c r="V586" s="274"/>
      <c r="W586" s="342"/>
      <c r="X586" s="343"/>
      <c r="Y586" s="20" t="s">
        <v>570</v>
      </c>
      <c r="Z586" s="344"/>
      <c r="AA586" s="240"/>
      <c r="AB586" s="345">
        <v>1</v>
      </c>
      <c r="AC586" s="271"/>
      <c r="AD586" s="272"/>
      <c r="AE586" s="273"/>
      <c r="AF586" s="273"/>
      <c r="AG586" s="274"/>
      <c r="AH586" s="275"/>
      <c r="AI586" s="272"/>
      <c r="AJ586" s="276"/>
      <c r="AK586" s="277"/>
      <c r="AL586" s="278"/>
      <c r="AM586" s="277"/>
      <c r="AN586" s="279"/>
      <c r="AO586" s="279"/>
      <c r="AP586" s="279"/>
      <c r="AQ586" s="279"/>
      <c r="AR586" s="305">
        <f>'预算书-初步'!$F$10</f>
        <v>0.09</v>
      </c>
      <c r="AT586" s="272"/>
      <c r="BC586" s="272" t="s">
        <v>521</v>
      </c>
      <c r="BD586" s="348">
        <v>1136</v>
      </c>
      <c r="BE586" s="347" t="s">
        <v>702</v>
      </c>
    </row>
    <row r="587" s="52" customFormat="1" ht="15.75" customHeight="1" spans="1:57">
      <c r="A587" s="227"/>
      <c r="B587" s="332"/>
      <c r="C587" s="228"/>
      <c r="D587" s="333"/>
      <c r="E587" s="334"/>
      <c r="F587" s="229"/>
      <c r="G587" s="333"/>
      <c r="H587" s="335"/>
      <c r="I587" s="229"/>
      <c r="J587" s="229"/>
      <c r="K587" s="336"/>
      <c r="L587" s="337"/>
      <c r="M587" s="337"/>
      <c r="N587" s="337"/>
      <c r="O587" s="337"/>
      <c r="P587" s="337"/>
      <c r="Q587" s="338">
        <v>8453</v>
      </c>
      <c r="R587" s="271">
        <f t="shared" si="45"/>
        <v>0</v>
      </c>
      <c r="S587" s="339">
        <v>0</v>
      </c>
      <c r="T587" s="340"/>
      <c r="U587" s="364">
        <f>SUMIF(其他!$A$9:$A$65,$Q587,其他!$K$9:$K$65)</f>
        <v>0</v>
      </c>
      <c r="V587" s="274"/>
      <c r="W587" s="342"/>
      <c r="X587" s="343"/>
      <c r="Y587" s="365" t="s">
        <v>571</v>
      </c>
      <c r="Z587" s="344"/>
      <c r="AA587" s="240"/>
      <c r="AB587" s="345">
        <v>1</v>
      </c>
      <c r="AC587" s="271"/>
      <c r="AD587" s="272"/>
      <c r="AE587" s="273"/>
      <c r="AF587" s="273"/>
      <c r="AG587" s="274"/>
      <c r="AH587" s="275"/>
      <c r="AI587" s="272"/>
      <c r="AJ587" s="276"/>
      <c r="AK587" s="277"/>
      <c r="AL587" s="278"/>
      <c r="AM587" s="277"/>
      <c r="AN587" s="279"/>
      <c r="AO587" s="279"/>
      <c r="AP587" s="279"/>
      <c r="AQ587" s="279"/>
      <c r="AR587" s="305">
        <f>'预算书-初步'!$F$10</f>
        <v>0.09</v>
      </c>
      <c r="AT587" s="272"/>
      <c r="BC587" s="272" t="s">
        <v>521</v>
      </c>
      <c r="BD587" s="348">
        <v>1136</v>
      </c>
      <c r="BE587" s="347" t="s">
        <v>702</v>
      </c>
    </row>
    <row r="588" s="52" customFormat="1" ht="15.75" customHeight="1" spans="1:57">
      <c r="A588" s="227"/>
      <c r="B588" s="332"/>
      <c r="C588" s="228"/>
      <c r="D588" s="333"/>
      <c r="E588" s="334"/>
      <c r="F588" s="229"/>
      <c r="G588" s="333"/>
      <c r="H588" s="335"/>
      <c r="I588" s="229"/>
      <c r="J588" s="229"/>
      <c r="K588" s="336"/>
      <c r="L588" s="337"/>
      <c r="M588" s="337"/>
      <c r="N588" s="337"/>
      <c r="O588" s="337"/>
      <c r="P588" s="337"/>
      <c r="Q588" s="338">
        <v>8455</v>
      </c>
      <c r="R588" s="271">
        <f t="shared" si="45"/>
        <v>0</v>
      </c>
      <c r="S588" s="339">
        <v>0</v>
      </c>
      <c r="T588" s="340"/>
      <c r="U588" s="364">
        <f>SUMIF(其他!$A$9:$A$65,$Q588,其他!$K$9:$K$65)</f>
        <v>0</v>
      </c>
      <c r="V588" s="274"/>
      <c r="W588" s="342"/>
      <c r="X588" s="343"/>
      <c r="Y588" s="20" t="s">
        <v>572</v>
      </c>
      <c r="Z588" s="344"/>
      <c r="AA588" s="240"/>
      <c r="AB588" s="345">
        <v>1</v>
      </c>
      <c r="AC588" s="271"/>
      <c r="AD588" s="272"/>
      <c r="AE588" s="273"/>
      <c r="AF588" s="273"/>
      <c r="AG588" s="274"/>
      <c r="AH588" s="275"/>
      <c r="AI588" s="272"/>
      <c r="AJ588" s="276"/>
      <c r="AK588" s="277"/>
      <c r="AL588" s="278"/>
      <c r="AM588" s="277"/>
      <c r="AN588" s="279"/>
      <c r="AO588" s="279"/>
      <c r="AP588" s="279"/>
      <c r="AQ588" s="279"/>
      <c r="AR588" s="305">
        <f>'预算书-初步'!$F$10</f>
        <v>0.09</v>
      </c>
      <c r="AT588" s="272"/>
      <c r="BC588" s="272" t="s">
        <v>521</v>
      </c>
      <c r="BD588" s="348">
        <v>1136</v>
      </c>
      <c r="BE588" s="347" t="s">
        <v>702</v>
      </c>
    </row>
    <row r="589" s="52" customFormat="1" ht="15.75" customHeight="1" spans="1:57">
      <c r="A589" s="227"/>
      <c r="B589" s="332"/>
      <c r="C589" s="228"/>
      <c r="D589" s="333"/>
      <c r="E589" s="334"/>
      <c r="F589" s="229"/>
      <c r="G589" s="333"/>
      <c r="H589" s="335"/>
      <c r="I589" s="229"/>
      <c r="J589" s="229"/>
      <c r="K589" s="336"/>
      <c r="L589" s="337"/>
      <c r="M589" s="337"/>
      <c r="N589" s="337"/>
      <c r="O589" s="337"/>
      <c r="P589" s="337"/>
      <c r="Q589" s="366" t="s">
        <v>573</v>
      </c>
      <c r="R589" s="271">
        <f t="shared" si="45"/>
        <v>0</v>
      </c>
      <c r="S589" s="339">
        <f t="shared" si="44"/>
        <v>0</v>
      </c>
      <c r="T589" s="368"/>
      <c r="U589" s="369">
        <f>SUMIF(其他!$A$9:$A$65,$Q589,其他!$K$9:$K$65)</f>
        <v>0</v>
      </c>
      <c r="V589" s="274"/>
      <c r="W589" s="356"/>
      <c r="X589" s="357"/>
      <c r="Y589" s="6" t="s">
        <v>574</v>
      </c>
      <c r="Z589" s="344"/>
      <c r="AA589" s="240"/>
      <c r="AB589" s="345">
        <v>1</v>
      </c>
      <c r="AC589" s="271"/>
      <c r="AD589" s="272"/>
      <c r="AE589" s="273"/>
      <c r="AF589" s="273"/>
      <c r="AG589" s="274"/>
      <c r="AH589" s="275"/>
      <c r="AI589" s="272"/>
      <c r="AJ589" s="276"/>
      <c r="AK589" s="277"/>
      <c r="AL589" s="278"/>
      <c r="AM589" s="277"/>
      <c r="AN589" s="279" t="str">
        <f t="shared" si="46"/>
        <v/>
      </c>
      <c r="AO589" s="279"/>
      <c r="AP589" s="279" t="str">
        <f t="shared" si="47"/>
        <v/>
      </c>
      <c r="AQ589" s="279"/>
      <c r="AR589" s="305">
        <f>'预算书-初步'!$F$10</f>
        <v>0.09</v>
      </c>
      <c r="AT589" s="272"/>
      <c r="BC589" s="272" t="s">
        <v>521</v>
      </c>
      <c r="BD589" s="359">
        <v>1136</v>
      </c>
      <c r="BE589" s="347" t="s">
        <v>702</v>
      </c>
    </row>
    <row r="590" s="52" customFormat="1" ht="15.75" customHeight="1" spans="1:57">
      <c r="A590" s="227"/>
      <c r="B590" s="332"/>
      <c r="C590" s="228"/>
      <c r="D590" s="333"/>
      <c r="E590" s="334"/>
      <c r="F590" s="229"/>
      <c r="G590" s="333"/>
      <c r="H590" s="335"/>
      <c r="I590" s="229"/>
      <c r="J590" s="229"/>
      <c r="K590" s="336"/>
      <c r="L590" s="337"/>
      <c r="M590" s="337"/>
      <c r="N590" s="337"/>
      <c r="O590" s="337"/>
      <c r="P590" s="337"/>
      <c r="Q590" s="366">
        <v>8456</v>
      </c>
      <c r="R590" s="271">
        <f t="shared" si="45"/>
        <v>0</v>
      </c>
      <c r="S590" s="339">
        <f t="shared" si="44"/>
        <v>0</v>
      </c>
      <c r="T590" s="368"/>
      <c r="U590" s="369">
        <f>SUMIF(其他!$A$9:$A$65,$Q590,其他!$K$9:$K$65)</f>
        <v>0</v>
      </c>
      <c r="V590" s="274"/>
      <c r="W590" s="356"/>
      <c r="X590" s="357"/>
      <c r="Y590" s="6" t="s">
        <v>575</v>
      </c>
      <c r="Z590" s="344"/>
      <c r="AA590" s="240"/>
      <c r="AB590" s="345">
        <v>1</v>
      </c>
      <c r="AC590" s="271"/>
      <c r="AD590" s="272"/>
      <c r="AE590" s="273"/>
      <c r="AF590" s="273"/>
      <c r="AG590" s="274"/>
      <c r="AH590" s="275"/>
      <c r="AI590" s="272"/>
      <c r="AJ590" s="276"/>
      <c r="AK590" s="277"/>
      <c r="AL590" s="278"/>
      <c r="AM590" s="277"/>
      <c r="AN590" s="279" t="str">
        <f t="shared" si="46"/>
        <v/>
      </c>
      <c r="AO590" s="279"/>
      <c r="AP590" s="279" t="str">
        <f t="shared" si="47"/>
        <v/>
      </c>
      <c r="AQ590" s="279"/>
      <c r="AR590" s="305">
        <f>'预算书-初步'!$F$10</f>
        <v>0.09</v>
      </c>
      <c r="AT590" s="272"/>
      <c r="BC590" s="272" t="s">
        <v>521</v>
      </c>
      <c r="BD590" s="359">
        <v>1136</v>
      </c>
      <c r="BE590" s="347" t="s">
        <v>702</v>
      </c>
    </row>
    <row r="591" s="52" customFormat="1" ht="15.75" customHeight="1" spans="1:57">
      <c r="A591" s="227"/>
      <c r="B591" s="332"/>
      <c r="C591" s="228"/>
      <c r="D591" s="333"/>
      <c r="E591" s="334"/>
      <c r="F591" s="229"/>
      <c r="G591" s="333"/>
      <c r="H591" s="335"/>
      <c r="I591" s="229"/>
      <c r="J591" s="229"/>
      <c r="K591" s="336"/>
      <c r="L591" s="337"/>
      <c r="M591" s="337"/>
      <c r="N591" s="337"/>
      <c r="O591" s="337"/>
      <c r="P591" s="337"/>
      <c r="Q591" s="338">
        <v>8425</v>
      </c>
      <c r="R591" s="271">
        <f t="shared" si="45"/>
        <v>0</v>
      </c>
      <c r="S591" s="339">
        <f t="shared" si="44"/>
        <v>0</v>
      </c>
      <c r="T591" s="340"/>
      <c r="U591" s="341">
        <f>FA!K$151</f>
        <v>0</v>
      </c>
      <c r="V591" s="274"/>
      <c r="W591" s="342"/>
      <c r="X591" s="343"/>
      <c r="Y591" s="365" t="s">
        <v>576</v>
      </c>
      <c r="Z591" s="344"/>
      <c r="AA591" s="240"/>
      <c r="AB591" s="345">
        <v>1</v>
      </c>
      <c r="AC591" s="271"/>
      <c r="AD591" s="272"/>
      <c r="AE591" s="273"/>
      <c r="AF591" s="273"/>
      <c r="AG591" s="274"/>
      <c r="AH591" s="275"/>
      <c r="AI591" s="272"/>
      <c r="AJ591" s="276"/>
      <c r="AK591" s="277"/>
      <c r="AL591" s="278"/>
      <c r="AM591" s="277"/>
      <c r="AN591" s="279" t="str">
        <f t="shared" si="46"/>
        <v/>
      </c>
      <c r="AO591" s="279"/>
      <c r="AP591" s="279" t="str">
        <f t="shared" si="47"/>
        <v/>
      </c>
      <c r="AQ591" s="279"/>
      <c r="AR591" s="305">
        <f>'预算书-初步'!$F$10</f>
        <v>0.09</v>
      </c>
      <c r="AT591" s="272"/>
      <c r="BC591" s="272" t="s">
        <v>521</v>
      </c>
      <c r="BD591" s="348">
        <v>1140</v>
      </c>
      <c r="BE591" s="347" t="s">
        <v>702</v>
      </c>
    </row>
    <row r="592" s="52" customFormat="1" ht="15.75" customHeight="1" spans="1:57">
      <c r="A592" s="227"/>
      <c r="B592" s="332"/>
      <c r="C592" s="228"/>
      <c r="D592" s="333"/>
      <c r="E592" s="334"/>
      <c r="F592" s="229"/>
      <c r="G592" s="333"/>
      <c r="H592" s="335"/>
      <c r="I592" s="229"/>
      <c r="J592" s="229"/>
      <c r="K592" s="336"/>
      <c r="L592" s="337"/>
      <c r="M592" s="337"/>
      <c r="N592" s="337"/>
      <c r="O592" s="337"/>
      <c r="P592" s="337"/>
      <c r="Q592" s="338">
        <v>8491</v>
      </c>
      <c r="R592" s="271">
        <f t="shared" si="45"/>
        <v>0</v>
      </c>
      <c r="S592" s="339">
        <f t="shared" si="44"/>
        <v>0</v>
      </c>
      <c r="T592" s="340"/>
      <c r="U592" s="341">
        <f>FA!K$153</f>
        <v>0</v>
      </c>
      <c r="V592" s="274"/>
      <c r="W592" s="342"/>
      <c r="X592" s="343"/>
      <c r="Y592" s="6" t="s">
        <v>577</v>
      </c>
      <c r="Z592" s="344"/>
      <c r="AA592" s="240"/>
      <c r="AB592" s="345">
        <v>1</v>
      </c>
      <c r="AC592" s="271"/>
      <c r="AD592" s="272"/>
      <c r="AE592" s="273"/>
      <c r="AF592" s="273"/>
      <c r="AG592" s="274"/>
      <c r="AH592" s="275"/>
      <c r="AI592" s="272"/>
      <c r="AJ592" s="276"/>
      <c r="AK592" s="277"/>
      <c r="AL592" s="278"/>
      <c r="AM592" s="277"/>
      <c r="AN592" s="279" t="str">
        <f t="shared" si="46"/>
        <v/>
      </c>
      <c r="AO592" s="279"/>
      <c r="AP592" s="279" t="str">
        <f t="shared" si="47"/>
        <v/>
      </c>
      <c r="AQ592" s="279"/>
      <c r="AR592" s="305">
        <f>'预算书-初步'!$F$10</f>
        <v>0.09</v>
      </c>
      <c r="AT592" s="272"/>
      <c r="BC592" s="272" t="s">
        <v>521</v>
      </c>
      <c r="BD592" s="348">
        <v>1150</v>
      </c>
      <c r="BE592" s="347" t="s">
        <v>702</v>
      </c>
    </row>
    <row r="593" s="52" customFormat="1" ht="15.75" customHeight="1" spans="1:57">
      <c r="A593" s="227"/>
      <c r="B593" s="332"/>
      <c r="C593" s="228"/>
      <c r="D593" s="333"/>
      <c r="E593" s="334"/>
      <c r="F593" s="229"/>
      <c r="G593" s="333"/>
      <c r="H593" s="335"/>
      <c r="I593" s="229"/>
      <c r="J593" s="229"/>
      <c r="K593" s="336"/>
      <c r="L593" s="337"/>
      <c r="M593" s="337"/>
      <c r="N593" s="337"/>
      <c r="O593" s="337"/>
      <c r="P593" s="337"/>
      <c r="Q593" s="338">
        <v>8492</v>
      </c>
      <c r="R593" s="271">
        <f t="shared" si="45"/>
        <v>0</v>
      </c>
      <c r="S593" s="339">
        <f t="shared" si="44"/>
        <v>0</v>
      </c>
      <c r="T593" s="340"/>
      <c r="U593" s="341">
        <f>FA!K$154</f>
        <v>0</v>
      </c>
      <c r="V593" s="274"/>
      <c r="W593" s="342"/>
      <c r="X593" s="343"/>
      <c r="Y593" s="365" t="s">
        <v>578</v>
      </c>
      <c r="Z593" s="344"/>
      <c r="AA593" s="240"/>
      <c r="AB593" s="345">
        <v>1</v>
      </c>
      <c r="AC593" s="271"/>
      <c r="AD593" s="272"/>
      <c r="AE593" s="273"/>
      <c r="AF593" s="273"/>
      <c r="AG593" s="274"/>
      <c r="AH593" s="275"/>
      <c r="AI593" s="272"/>
      <c r="AJ593" s="276"/>
      <c r="AK593" s="277"/>
      <c r="AL593" s="278"/>
      <c r="AM593" s="277"/>
      <c r="AN593" s="279" t="str">
        <f t="shared" si="46"/>
        <v/>
      </c>
      <c r="AO593" s="279"/>
      <c r="AP593" s="279" t="str">
        <f t="shared" si="47"/>
        <v/>
      </c>
      <c r="AQ593" s="279"/>
      <c r="AR593" s="305">
        <f>'预算书-初步'!$F$10</f>
        <v>0.09</v>
      </c>
      <c r="AT593" s="272"/>
      <c r="BC593" s="272" t="s">
        <v>521</v>
      </c>
      <c r="BD593" s="348">
        <v>1151</v>
      </c>
      <c r="BE593" s="347" t="s">
        <v>702</v>
      </c>
    </row>
    <row r="594" s="52" customFormat="1" ht="15.75" customHeight="1" spans="1:57">
      <c r="A594" s="227"/>
      <c r="B594" s="332"/>
      <c r="C594" s="228"/>
      <c r="D594" s="333"/>
      <c r="E594" s="334"/>
      <c r="F594" s="229"/>
      <c r="G594" s="333"/>
      <c r="H594" s="335"/>
      <c r="I594" s="229"/>
      <c r="J594" s="229"/>
      <c r="K594" s="336"/>
      <c r="L594" s="337"/>
      <c r="M594" s="337"/>
      <c r="N594" s="337"/>
      <c r="O594" s="337"/>
      <c r="P594" s="337"/>
      <c r="Q594" s="338">
        <v>8485</v>
      </c>
      <c r="R594" s="271">
        <f t="shared" si="45"/>
        <v>0</v>
      </c>
      <c r="S594" s="339">
        <f t="shared" si="44"/>
        <v>0</v>
      </c>
      <c r="T594" s="340"/>
      <c r="U594" s="341">
        <f>FA!K$157</f>
        <v>0</v>
      </c>
      <c r="V594" s="274"/>
      <c r="W594" s="342"/>
      <c r="X594" s="343"/>
      <c r="Y594" s="349" t="s">
        <v>579</v>
      </c>
      <c r="Z594" s="344"/>
      <c r="AA594" s="240"/>
      <c r="AB594" s="345">
        <v>1</v>
      </c>
      <c r="AC594" s="271"/>
      <c r="AD594" s="272"/>
      <c r="AE594" s="273"/>
      <c r="AF594" s="273"/>
      <c r="AG594" s="274"/>
      <c r="AH594" s="275"/>
      <c r="AI594" s="272"/>
      <c r="AJ594" s="276"/>
      <c r="AK594" s="277"/>
      <c r="AL594" s="278"/>
      <c r="AM594" s="277"/>
      <c r="AN594" s="279" t="str">
        <f t="shared" si="46"/>
        <v/>
      </c>
      <c r="AO594" s="279"/>
      <c r="AP594" s="279" t="str">
        <f t="shared" si="47"/>
        <v/>
      </c>
      <c r="AQ594" s="279"/>
      <c r="AR594" s="305">
        <f>'预算书-初步'!$F$10</f>
        <v>0.09</v>
      </c>
      <c r="AT594" s="272"/>
      <c r="BC594" s="272" t="s">
        <v>521</v>
      </c>
      <c r="BD594" s="348">
        <v>1154</v>
      </c>
      <c r="BE594" s="347" t="s">
        <v>702</v>
      </c>
    </row>
    <row r="595" s="52" customFormat="1" ht="15.75" customHeight="1" spans="1:57">
      <c r="A595" s="227"/>
      <c r="B595" s="332"/>
      <c r="C595" s="228"/>
      <c r="D595" s="333"/>
      <c r="E595" s="334"/>
      <c r="F595" s="229"/>
      <c r="G595" s="333"/>
      <c r="H595" s="335"/>
      <c r="I595" s="229"/>
      <c r="J595" s="229"/>
      <c r="K595" s="336"/>
      <c r="L595" s="337"/>
      <c r="M595" s="337"/>
      <c r="N595" s="337"/>
      <c r="O595" s="337"/>
      <c r="P595" s="337"/>
      <c r="Q595" s="338">
        <v>8496</v>
      </c>
      <c r="R595" s="271">
        <f t="shared" si="45"/>
        <v>0</v>
      </c>
      <c r="S595" s="339">
        <f t="shared" si="44"/>
        <v>0</v>
      </c>
      <c r="T595" s="340"/>
      <c r="U595" s="341">
        <f>FA!K$158</f>
        <v>0</v>
      </c>
      <c r="V595" s="274"/>
      <c r="W595" s="342"/>
      <c r="X595" s="343"/>
      <c r="Y595" s="6" t="s">
        <v>580</v>
      </c>
      <c r="Z595" s="344"/>
      <c r="AA595" s="240"/>
      <c r="AB595" s="345">
        <v>1</v>
      </c>
      <c r="AC595" s="271"/>
      <c r="AD595" s="272"/>
      <c r="AE595" s="273"/>
      <c r="AF595" s="273"/>
      <c r="AG595" s="274"/>
      <c r="AH595" s="275"/>
      <c r="AI595" s="272"/>
      <c r="AJ595" s="276"/>
      <c r="AK595" s="277"/>
      <c r="AL595" s="278"/>
      <c r="AM595" s="277"/>
      <c r="AN595" s="279" t="str">
        <f t="shared" si="46"/>
        <v/>
      </c>
      <c r="AO595" s="279"/>
      <c r="AP595" s="279" t="str">
        <f t="shared" si="47"/>
        <v/>
      </c>
      <c r="AQ595" s="279"/>
      <c r="AR595" s="305">
        <f>'预算书-初步'!$F$10</f>
        <v>0.09</v>
      </c>
      <c r="AT595" s="272"/>
      <c r="BC595" s="272" t="s">
        <v>521</v>
      </c>
      <c r="BD595" s="348">
        <v>1155</v>
      </c>
      <c r="BE595" s="347" t="s">
        <v>702</v>
      </c>
    </row>
    <row r="596" s="52" customFormat="1" ht="15.75" customHeight="1" spans="1:57">
      <c r="A596" s="227"/>
      <c r="B596" s="332"/>
      <c r="C596" s="228"/>
      <c r="D596" s="333"/>
      <c r="E596" s="334"/>
      <c r="F596" s="229"/>
      <c r="G596" s="333"/>
      <c r="H596" s="335"/>
      <c r="I596" s="229"/>
      <c r="J596" s="229"/>
      <c r="K596" s="336"/>
      <c r="L596" s="337"/>
      <c r="M596" s="337"/>
      <c r="N596" s="337"/>
      <c r="O596" s="337"/>
      <c r="P596" s="337"/>
      <c r="Q596" s="338">
        <v>8497</v>
      </c>
      <c r="R596" s="271">
        <f t="shared" si="45"/>
        <v>0</v>
      </c>
      <c r="S596" s="339">
        <f t="shared" si="44"/>
        <v>0</v>
      </c>
      <c r="T596" s="340"/>
      <c r="U596" s="341">
        <f>FA!K$159</f>
        <v>0</v>
      </c>
      <c r="V596" s="274"/>
      <c r="W596" s="342"/>
      <c r="X596" s="343"/>
      <c r="Y596" s="349" t="s">
        <v>581</v>
      </c>
      <c r="Z596" s="344"/>
      <c r="AA596" s="240"/>
      <c r="AB596" s="345">
        <v>1</v>
      </c>
      <c r="AC596" s="271"/>
      <c r="AD596" s="272"/>
      <c r="AE596" s="273"/>
      <c r="AF596" s="273"/>
      <c r="AG596" s="274"/>
      <c r="AH596" s="275"/>
      <c r="AI596" s="272"/>
      <c r="AJ596" s="276"/>
      <c r="AK596" s="277"/>
      <c r="AL596" s="278"/>
      <c r="AM596" s="277"/>
      <c r="AN596" s="279" t="str">
        <f t="shared" si="46"/>
        <v/>
      </c>
      <c r="AO596" s="279"/>
      <c r="AP596" s="279" t="str">
        <f t="shared" si="47"/>
        <v/>
      </c>
      <c r="AQ596" s="279"/>
      <c r="AR596" s="305">
        <f>'预算书-初步'!$F$10</f>
        <v>0.09</v>
      </c>
      <c r="AT596" s="272"/>
      <c r="BC596" s="272" t="s">
        <v>521</v>
      </c>
      <c r="BD596" s="348">
        <v>1156</v>
      </c>
      <c r="BE596" s="347" t="s">
        <v>702</v>
      </c>
    </row>
    <row r="597" s="52" customFormat="1" ht="15.75" customHeight="1" spans="1:57">
      <c r="A597" s="227"/>
      <c r="B597" s="332"/>
      <c r="C597" s="228"/>
      <c r="D597" s="333"/>
      <c r="E597" s="334"/>
      <c r="F597" s="229"/>
      <c r="G597" s="333"/>
      <c r="H597" s="335"/>
      <c r="I597" s="229"/>
      <c r="J597" s="229"/>
      <c r="K597" s="336"/>
      <c r="L597" s="337"/>
      <c r="M597" s="337"/>
      <c r="N597" s="337"/>
      <c r="O597" s="337"/>
      <c r="P597" s="337"/>
      <c r="Q597" s="338">
        <v>8900</v>
      </c>
      <c r="R597" s="271">
        <f t="shared" si="45"/>
        <v>0</v>
      </c>
      <c r="S597" s="339">
        <f t="shared" si="44"/>
        <v>0</v>
      </c>
      <c r="T597" s="340"/>
      <c r="U597" s="341">
        <f>FA!K$161</f>
        <v>0</v>
      </c>
      <c r="V597" s="274"/>
      <c r="W597" s="342"/>
      <c r="X597" s="343"/>
      <c r="Y597" s="6" t="s">
        <v>582</v>
      </c>
      <c r="Z597" s="344"/>
      <c r="AA597" s="240"/>
      <c r="AB597" s="345">
        <v>1</v>
      </c>
      <c r="AC597" s="271"/>
      <c r="AD597" s="272"/>
      <c r="AE597" s="273"/>
      <c r="AF597" s="273"/>
      <c r="AG597" s="274"/>
      <c r="AH597" s="275"/>
      <c r="AI597" s="272"/>
      <c r="AJ597" s="276"/>
      <c r="AK597" s="277"/>
      <c r="AL597" s="278"/>
      <c r="AM597" s="277"/>
      <c r="AN597" s="279" t="str">
        <f t="shared" si="46"/>
        <v/>
      </c>
      <c r="AO597" s="279"/>
      <c r="AP597" s="279" t="str">
        <f t="shared" si="47"/>
        <v/>
      </c>
      <c r="AQ597" s="279"/>
      <c r="AR597" s="305">
        <f>'预算书-初步'!$F$10</f>
        <v>0.09</v>
      </c>
      <c r="AT597" s="272"/>
      <c r="BC597" s="272" t="s">
        <v>521</v>
      </c>
      <c r="BD597" s="348">
        <v>1158</v>
      </c>
      <c r="BE597" s="347" t="s">
        <v>702</v>
      </c>
    </row>
    <row r="598" s="52" customFormat="1" ht="15.75" customHeight="1" spans="1:57">
      <c r="A598" s="227"/>
      <c r="B598" s="332"/>
      <c r="C598" s="228"/>
      <c r="D598" s="333"/>
      <c r="E598" s="334"/>
      <c r="F598" s="229"/>
      <c r="G598" s="333"/>
      <c r="H598" s="335"/>
      <c r="I598" s="229"/>
      <c r="J598" s="229"/>
      <c r="K598" s="336"/>
      <c r="L598" s="337"/>
      <c r="M598" s="337"/>
      <c r="N598" s="337"/>
      <c r="O598" s="337"/>
      <c r="P598" s="337"/>
      <c r="Q598" s="338">
        <v>2991</v>
      </c>
      <c r="R598" s="271">
        <f t="shared" si="45"/>
        <v>0</v>
      </c>
      <c r="S598" s="339">
        <f t="shared" si="44"/>
        <v>0</v>
      </c>
      <c r="T598" s="340"/>
      <c r="U598" s="341">
        <f>FA!K$165</f>
        <v>0</v>
      </c>
      <c r="V598" s="274"/>
      <c r="W598" s="342"/>
      <c r="X598" s="343"/>
      <c r="Y598" s="6" t="s">
        <v>583</v>
      </c>
      <c r="Z598" s="344"/>
      <c r="AA598" s="240"/>
      <c r="AB598" s="345">
        <v>1</v>
      </c>
      <c r="AC598" s="271"/>
      <c r="AD598" s="272"/>
      <c r="AE598" s="273"/>
      <c r="AF598" s="273"/>
      <c r="AG598" s="274"/>
      <c r="AH598" s="275"/>
      <c r="AI598" s="272"/>
      <c r="AJ598" s="276"/>
      <c r="AK598" s="277"/>
      <c r="AL598" s="278"/>
      <c r="AM598" s="277"/>
      <c r="AN598" s="279" t="str">
        <f t="shared" si="46"/>
        <v/>
      </c>
      <c r="AO598" s="279"/>
      <c r="AP598" s="279" t="str">
        <f t="shared" si="47"/>
        <v/>
      </c>
      <c r="AQ598" s="279"/>
      <c r="AR598" s="305">
        <f>'预算书-初步'!$F$10</f>
        <v>0.09</v>
      </c>
      <c r="AT598" s="272"/>
      <c r="BC598" s="272" t="s">
        <v>521</v>
      </c>
      <c r="BD598" s="359">
        <v>1162</v>
      </c>
      <c r="BE598" s="347" t="s">
        <v>702</v>
      </c>
    </row>
    <row r="599" s="52" customFormat="1" ht="15.75" customHeight="1" spans="1:57">
      <c r="A599" s="227"/>
      <c r="B599" s="332"/>
      <c r="C599" s="228"/>
      <c r="D599" s="333"/>
      <c r="E599" s="334"/>
      <c r="F599" s="229"/>
      <c r="G599" s="333"/>
      <c r="H599" s="335"/>
      <c r="I599" s="229"/>
      <c r="J599" s="229"/>
      <c r="K599" s="336"/>
      <c r="L599" s="337"/>
      <c r="M599" s="337"/>
      <c r="N599" s="337"/>
      <c r="O599" s="337"/>
      <c r="P599" s="337"/>
      <c r="Q599" s="338">
        <v>4007</v>
      </c>
      <c r="R599" s="271">
        <f t="shared" si="45"/>
        <v>0</v>
      </c>
      <c r="S599" s="339">
        <f t="shared" si="44"/>
        <v>0</v>
      </c>
      <c r="T599" s="340"/>
      <c r="U599" s="341">
        <f>FA!K$174</f>
        <v>0</v>
      </c>
      <c r="V599" s="274"/>
      <c r="W599" s="342"/>
      <c r="X599" s="343"/>
      <c r="Y599" s="6" t="s">
        <v>584</v>
      </c>
      <c r="Z599" s="344"/>
      <c r="AA599" s="240"/>
      <c r="AB599" s="345">
        <v>1</v>
      </c>
      <c r="AC599" s="271"/>
      <c r="AD599" s="272"/>
      <c r="AE599" s="273"/>
      <c r="AF599" s="273"/>
      <c r="AG599" s="274"/>
      <c r="AH599" s="275"/>
      <c r="AI599" s="272"/>
      <c r="AJ599" s="276"/>
      <c r="AK599" s="277"/>
      <c r="AL599" s="278"/>
      <c r="AM599" s="277"/>
      <c r="AN599" s="279" t="str">
        <f t="shared" si="46"/>
        <v/>
      </c>
      <c r="AO599" s="279"/>
      <c r="AP599" s="279" t="str">
        <f t="shared" si="47"/>
        <v/>
      </c>
      <c r="AQ599" s="279"/>
      <c r="AR599" s="305">
        <f>'预算书-初步'!$F$10</f>
        <v>0.09</v>
      </c>
      <c r="AT599" s="272"/>
      <c r="BC599" s="272" t="s">
        <v>521</v>
      </c>
      <c r="BD599" s="348">
        <v>1171</v>
      </c>
      <c r="BE599" s="347" t="s">
        <v>702</v>
      </c>
    </row>
    <row r="600" s="52" customFormat="1" ht="15.75" customHeight="1" spans="1:57">
      <c r="A600" s="227"/>
      <c r="B600" s="332"/>
      <c r="C600" s="228"/>
      <c r="D600" s="333"/>
      <c r="E600" s="334"/>
      <c r="F600" s="229"/>
      <c r="G600" s="333"/>
      <c r="H600" s="335"/>
      <c r="I600" s="229"/>
      <c r="J600" s="229"/>
      <c r="K600" s="336"/>
      <c r="L600" s="337"/>
      <c r="M600" s="337"/>
      <c r="N600" s="337"/>
      <c r="O600" s="337"/>
      <c r="P600" s="337"/>
      <c r="Q600" s="338">
        <v>4081</v>
      </c>
      <c r="R600" s="271">
        <f t="shared" si="45"/>
        <v>0</v>
      </c>
      <c r="S600" s="339">
        <f t="shared" si="44"/>
        <v>0</v>
      </c>
      <c r="T600" s="340"/>
      <c r="U600" s="341">
        <f>FA!K$175</f>
        <v>0</v>
      </c>
      <c r="V600" s="274"/>
      <c r="W600" s="342"/>
      <c r="X600" s="343"/>
      <c r="Y600" s="349" t="s">
        <v>585</v>
      </c>
      <c r="Z600" s="344"/>
      <c r="AA600" s="240"/>
      <c r="AB600" s="345">
        <v>1</v>
      </c>
      <c r="AC600" s="271"/>
      <c r="AD600" s="272"/>
      <c r="AE600" s="273"/>
      <c r="AF600" s="273"/>
      <c r="AG600" s="274"/>
      <c r="AH600" s="275"/>
      <c r="AI600" s="272"/>
      <c r="AJ600" s="276"/>
      <c r="AK600" s="277"/>
      <c r="AL600" s="278"/>
      <c r="AM600" s="277"/>
      <c r="AN600" s="279" t="str">
        <f t="shared" si="46"/>
        <v/>
      </c>
      <c r="AO600" s="279"/>
      <c r="AP600" s="279" t="str">
        <f t="shared" si="47"/>
        <v/>
      </c>
      <c r="AQ600" s="279"/>
      <c r="AR600" s="305">
        <f>'预算书-初步'!$F$10</f>
        <v>0.09</v>
      </c>
      <c r="AT600" s="272"/>
      <c r="BC600" s="272" t="s">
        <v>521</v>
      </c>
      <c r="BD600" s="348">
        <v>1172</v>
      </c>
      <c r="BE600" s="347" t="s">
        <v>702</v>
      </c>
    </row>
    <row r="601" s="52" customFormat="1" ht="15.75" customHeight="1" spans="1:57">
      <c r="A601" s="227"/>
      <c r="B601" s="332"/>
      <c r="C601" s="228"/>
      <c r="D601" s="333"/>
      <c r="E601" s="334"/>
      <c r="F601" s="229"/>
      <c r="G601" s="333"/>
      <c r="H601" s="335"/>
      <c r="I601" s="229"/>
      <c r="J601" s="229"/>
      <c r="K601" s="336"/>
      <c r="L601" s="337"/>
      <c r="M601" s="337"/>
      <c r="N601" s="337"/>
      <c r="O601" s="337"/>
      <c r="P601" s="337"/>
      <c r="Q601" s="338">
        <v>4991</v>
      </c>
      <c r="R601" s="271">
        <f t="shared" si="45"/>
        <v>0</v>
      </c>
      <c r="S601" s="339">
        <f t="shared" si="44"/>
        <v>0</v>
      </c>
      <c r="T601" s="340"/>
      <c r="U601" s="341">
        <f>FA!K$176</f>
        <v>0</v>
      </c>
      <c r="V601" s="274"/>
      <c r="W601" s="342"/>
      <c r="X601" s="343"/>
      <c r="Y601" s="6" t="s">
        <v>586</v>
      </c>
      <c r="Z601" s="344"/>
      <c r="AA601" s="240"/>
      <c r="AB601" s="345">
        <v>1</v>
      </c>
      <c r="AC601" s="271"/>
      <c r="AD601" s="272"/>
      <c r="AE601" s="273"/>
      <c r="AF601" s="273"/>
      <c r="AG601" s="274"/>
      <c r="AH601" s="275"/>
      <c r="AI601" s="272"/>
      <c r="AJ601" s="276"/>
      <c r="AK601" s="277"/>
      <c r="AL601" s="278"/>
      <c r="AM601" s="277"/>
      <c r="AN601" s="279" t="str">
        <f t="shared" si="46"/>
        <v/>
      </c>
      <c r="AO601" s="279"/>
      <c r="AP601" s="279" t="str">
        <f t="shared" si="47"/>
        <v/>
      </c>
      <c r="AQ601" s="279"/>
      <c r="AR601" s="305">
        <f>'预算书-初步'!$F$10</f>
        <v>0.09</v>
      </c>
      <c r="AT601" s="272"/>
      <c r="BC601" s="272" t="s">
        <v>521</v>
      </c>
      <c r="BD601" s="348">
        <v>1173</v>
      </c>
      <c r="BE601" s="347" t="s">
        <v>702</v>
      </c>
    </row>
    <row r="602" s="52" customFormat="1" ht="15.75" customHeight="1" spans="1:57">
      <c r="A602" s="227"/>
      <c r="B602" s="332"/>
      <c r="C602" s="228"/>
      <c r="D602" s="333"/>
      <c r="E602" s="334"/>
      <c r="F602" s="229"/>
      <c r="G602" s="333"/>
      <c r="H602" s="335"/>
      <c r="I602" s="229"/>
      <c r="J602" s="229"/>
      <c r="K602" s="336"/>
      <c r="L602" s="337"/>
      <c r="M602" s="337"/>
      <c r="N602" s="337"/>
      <c r="O602" s="337"/>
      <c r="P602" s="337"/>
      <c r="Q602" s="372">
        <v>1120</v>
      </c>
      <c r="R602" s="271">
        <f t="shared" si="45"/>
        <v>0</v>
      </c>
      <c r="S602" s="339">
        <f t="shared" si="44"/>
        <v>0</v>
      </c>
      <c r="T602" s="373"/>
      <c r="U602" s="373">
        <f>FA!K$32</f>
        <v>0</v>
      </c>
      <c r="V602" s="274"/>
      <c r="W602" s="374"/>
      <c r="X602" s="375"/>
      <c r="Y602" s="30" t="s">
        <v>588</v>
      </c>
      <c r="Z602" s="376"/>
      <c r="AA602" s="240"/>
      <c r="AB602" s="345">
        <v>1</v>
      </c>
      <c r="AC602" s="271"/>
      <c r="AD602" s="272"/>
      <c r="AE602" s="273"/>
      <c r="AF602" s="273"/>
      <c r="AG602" s="274"/>
      <c r="AH602" s="275"/>
      <c r="AI602" s="272"/>
      <c r="AJ602" s="276"/>
      <c r="AK602" s="277"/>
      <c r="AL602" s="278"/>
      <c r="AM602" s="277"/>
      <c r="AN602" s="279" t="str">
        <f t="shared" ref="AN602:AN627" si="48">IF(AK602&lt;&gt;0,"N","")</f>
        <v/>
      </c>
      <c r="AO602" s="279"/>
      <c r="AP602" s="279" t="str">
        <f t="shared" si="47"/>
        <v/>
      </c>
      <c r="AQ602" s="279"/>
      <c r="AR602" s="305">
        <f>'预算书-初步'!$F$10</f>
        <v>0.09</v>
      </c>
      <c r="AT602" s="272"/>
      <c r="BC602" s="272" t="s">
        <v>521</v>
      </c>
      <c r="BD602" s="346">
        <v>1021</v>
      </c>
      <c r="BE602" s="347" t="s">
        <v>702</v>
      </c>
    </row>
    <row r="603" s="52" customFormat="1" ht="15.75" customHeight="1" spans="1:57">
      <c r="A603" s="227"/>
      <c r="B603" s="332"/>
      <c r="C603" s="228"/>
      <c r="D603" s="333"/>
      <c r="E603" s="334"/>
      <c r="F603" s="229"/>
      <c r="G603" s="333"/>
      <c r="H603" s="335"/>
      <c r="I603" s="229"/>
      <c r="J603" s="229"/>
      <c r="K603" s="336"/>
      <c r="L603" s="337"/>
      <c r="M603" s="337"/>
      <c r="N603" s="337"/>
      <c r="O603" s="337"/>
      <c r="P603" s="337"/>
      <c r="Q603" s="372">
        <v>1130</v>
      </c>
      <c r="R603" s="271">
        <f t="shared" si="45"/>
        <v>0</v>
      </c>
      <c r="S603" s="339">
        <f t="shared" si="44"/>
        <v>0</v>
      </c>
      <c r="T603" s="373"/>
      <c r="U603" s="373">
        <f>FA!K$33</f>
        <v>0</v>
      </c>
      <c r="V603" s="274"/>
      <c r="W603" s="374"/>
      <c r="X603" s="375"/>
      <c r="Y603" s="30" t="s">
        <v>589</v>
      </c>
      <c r="Z603" s="376"/>
      <c r="AA603" s="240"/>
      <c r="AB603" s="345">
        <v>1</v>
      </c>
      <c r="AC603" s="271"/>
      <c r="AD603" s="272"/>
      <c r="AE603" s="273"/>
      <c r="AF603" s="273"/>
      <c r="AG603" s="274"/>
      <c r="AH603" s="275"/>
      <c r="AI603" s="272"/>
      <c r="AJ603" s="276"/>
      <c r="AK603" s="277"/>
      <c r="AL603" s="278"/>
      <c r="AM603" s="277"/>
      <c r="AN603" s="279" t="str">
        <f t="shared" si="48"/>
        <v/>
      </c>
      <c r="AO603" s="279"/>
      <c r="AP603" s="279" t="str">
        <f t="shared" si="47"/>
        <v/>
      </c>
      <c r="AQ603" s="279"/>
      <c r="AR603" s="305">
        <f>'预算书-初步'!$F$10</f>
        <v>0.09</v>
      </c>
      <c r="AT603" s="272"/>
      <c r="BC603" s="272" t="s">
        <v>521</v>
      </c>
      <c r="BD603" s="346">
        <v>1022</v>
      </c>
      <c r="BE603" s="347" t="s">
        <v>702</v>
      </c>
    </row>
    <row r="604" s="52" customFormat="1" ht="15.75" customHeight="1" spans="1:57">
      <c r="A604" s="227"/>
      <c r="B604" s="332"/>
      <c r="C604" s="228"/>
      <c r="D604" s="333"/>
      <c r="E604" s="334"/>
      <c r="F604" s="229"/>
      <c r="G604" s="333"/>
      <c r="H604" s="335"/>
      <c r="I604" s="229"/>
      <c r="J604" s="229"/>
      <c r="K604" s="336"/>
      <c r="L604" s="337"/>
      <c r="M604" s="337"/>
      <c r="N604" s="337"/>
      <c r="O604" s="337"/>
      <c r="P604" s="337"/>
      <c r="Q604" s="372">
        <v>1210</v>
      </c>
      <c r="R604" s="271">
        <f t="shared" si="45"/>
        <v>0</v>
      </c>
      <c r="S604" s="339">
        <f t="shared" si="44"/>
        <v>0</v>
      </c>
      <c r="T604" s="373"/>
      <c r="U604" s="373">
        <f>FA!K$35</f>
        <v>0</v>
      </c>
      <c r="V604" s="274"/>
      <c r="W604" s="374"/>
      <c r="X604" s="375"/>
      <c r="Y604" s="30" t="s">
        <v>590</v>
      </c>
      <c r="Z604" s="376"/>
      <c r="AA604" s="240"/>
      <c r="AB604" s="345">
        <v>1</v>
      </c>
      <c r="AC604" s="271"/>
      <c r="AD604" s="272"/>
      <c r="AE604" s="273"/>
      <c r="AF604" s="273"/>
      <c r="AG604" s="274"/>
      <c r="AH604" s="275"/>
      <c r="AI604" s="272"/>
      <c r="AJ604" s="276"/>
      <c r="AK604" s="277"/>
      <c r="AL604" s="278"/>
      <c r="AM604" s="277"/>
      <c r="AN604" s="279" t="str">
        <f t="shared" si="48"/>
        <v/>
      </c>
      <c r="AO604" s="279"/>
      <c r="AP604" s="279" t="str">
        <f t="shared" si="47"/>
        <v/>
      </c>
      <c r="AQ604" s="279"/>
      <c r="AR604" s="305">
        <f>'预算书-初步'!$F$10</f>
        <v>0.09</v>
      </c>
      <c r="AT604" s="272"/>
      <c r="BC604" s="272" t="s">
        <v>521</v>
      </c>
      <c r="BD604" s="346">
        <v>1024</v>
      </c>
      <c r="BE604" s="347" t="s">
        <v>702</v>
      </c>
    </row>
    <row r="605" s="52" customFormat="1" ht="15.75" customHeight="1" spans="1:57">
      <c r="A605" s="227"/>
      <c r="B605" s="332"/>
      <c r="C605" s="228"/>
      <c r="D605" s="333"/>
      <c r="E605" s="334"/>
      <c r="F605" s="229"/>
      <c r="G605" s="333"/>
      <c r="H605" s="335"/>
      <c r="I605" s="229"/>
      <c r="J605" s="229"/>
      <c r="K605" s="336"/>
      <c r="L605" s="337"/>
      <c r="M605" s="337"/>
      <c r="N605" s="337"/>
      <c r="O605" s="337"/>
      <c r="P605" s="337"/>
      <c r="Q605" s="372">
        <v>1311</v>
      </c>
      <c r="R605" s="271">
        <f t="shared" si="45"/>
        <v>0</v>
      </c>
      <c r="S605" s="339">
        <f t="shared" si="44"/>
        <v>0</v>
      </c>
      <c r="T605" s="373"/>
      <c r="U605" s="373">
        <f>FA!K$39</f>
        <v>0</v>
      </c>
      <c r="V605" s="274"/>
      <c r="W605" s="374"/>
      <c r="X605" s="375"/>
      <c r="Y605" s="30" t="s">
        <v>591</v>
      </c>
      <c r="Z605" s="376"/>
      <c r="AA605" s="240"/>
      <c r="AB605" s="345">
        <v>1</v>
      </c>
      <c r="AC605" s="271"/>
      <c r="AD605" s="272"/>
      <c r="AE605" s="273"/>
      <c r="AF605" s="273"/>
      <c r="AG605" s="274"/>
      <c r="AH605" s="275"/>
      <c r="AI605" s="272"/>
      <c r="AJ605" s="276"/>
      <c r="AK605" s="277"/>
      <c r="AL605" s="278"/>
      <c r="AM605" s="277"/>
      <c r="AN605" s="279" t="str">
        <f t="shared" si="48"/>
        <v/>
      </c>
      <c r="AO605" s="279"/>
      <c r="AP605" s="279" t="str">
        <f t="shared" si="47"/>
        <v/>
      </c>
      <c r="AQ605" s="279"/>
      <c r="AR605" s="305">
        <f>'预算书-初步'!$F$10</f>
        <v>0.09</v>
      </c>
      <c r="AT605" s="272"/>
      <c r="BC605" s="272" t="s">
        <v>521</v>
      </c>
      <c r="BD605" s="346">
        <v>1028</v>
      </c>
      <c r="BE605" s="347" t="s">
        <v>702</v>
      </c>
    </row>
    <row r="606" s="52" customFormat="1" ht="15.75" customHeight="1" spans="1:57">
      <c r="A606" s="227"/>
      <c r="B606" s="332"/>
      <c r="C606" s="228"/>
      <c r="D606" s="333"/>
      <c r="E606" s="334"/>
      <c r="F606" s="229"/>
      <c r="G606" s="333"/>
      <c r="H606" s="335"/>
      <c r="I606" s="229"/>
      <c r="J606" s="229"/>
      <c r="K606" s="336"/>
      <c r="L606" s="337"/>
      <c r="M606" s="337"/>
      <c r="N606" s="337"/>
      <c r="O606" s="337"/>
      <c r="P606" s="337"/>
      <c r="Q606" s="372">
        <v>1312</v>
      </c>
      <c r="R606" s="271">
        <f t="shared" si="45"/>
        <v>0</v>
      </c>
      <c r="S606" s="339">
        <f t="shared" si="44"/>
        <v>0</v>
      </c>
      <c r="T606" s="373"/>
      <c r="U606" s="373">
        <f>FA!K$40</f>
        <v>0</v>
      </c>
      <c r="V606" s="274"/>
      <c r="W606" s="374"/>
      <c r="X606" s="375"/>
      <c r="Y606" s="30" t="s">
        <v>592</v>
      </c>
      <c r="Z606" s="376"/>
      <c r="AA606" s="240"/>
      <c r="AB606" s="345">
        <v>1</v>
      </c>
      <c r="AC606" s="271"/>
      <c r="AD606" s="272"/>
      <c r="AE606" s="273"/>
      <c r="AF606" s="273"/>
      <c r="AG606" s="274"/>
      <c r="AH606" s="275"/>
      <c r="AI606" s="272"/>
      <c r="AJ606" s="276"/>
      <c r="AK606" s="277"/>
      <c r="AL606" s="278"/>
      <c r="AM606" s="277"/>
      <c r="AN606" s="279" t="str">
        <f t="shared" si="48"/>
        <v/>
      </c>
      <c r="AO606" s="279"/>
      <c r="AP606" s="279" t="str">
        <f t="shared" si="47"/>
        <v/>
      </c>
      <c r="AQ606" s="279"/>
      <c r="AR606" s="305">
        <f>'预算书-初步'!$F$10</f>
        <v>0.09</v>
      </c>
      <c r="AT606" s="272"/>
      <c r="BC606" s="272" t="s">
        <v>521</v>
      </c>
      <c r="BD606" s="346">
        <v>1029</v>
      </c>
      <c r="BE606" s="347" t="s">
        <v>702</v>
      </c>
    </row>
    <row r="607" s="52" customFormat="1" ht="15.75" customHeight="1" spans="1:57">
      <c r="A607" s="227"/>
      <c r="B607" s="332"/>
      <c r="C607" s="228"/>
      <c r="D607" s="333"/>
      <c r="E607" s="334"/>
      <c r="F607" s="229"/>
      <c r="G607" s="333"/>
      <c r="H607" s="335"/>
      <c r="I607" s="229"/>
      <c r="J607" s="229"/>
      <c r="K607" s="336"/>
      <c r="L607" s="337"/>
      <c r="M607" s="337"/>
      <c r="N607" s="337"/>
      <c r="O607" s="337"/>
      <c r="P607" s="337"/>
      <c r="Q607" s="372">
        <v>1313</v>
      </c>
      <c r="R607" s="271">
        <f t="shared" si="45"/>
        <v>0</v>
      </c>
      <c r="S607" s="339">
        <f t="shared" si="44"/>
        <v>0</v>
      </c>
      <c r="T607" s="373"/>
      <c r="U607" s="373">
        <f>FA!K$41</f>
        <v>0</v>
      </c>
      <c r="V607" s="274"/>
      <c r="W607" s="374"/>
      <c r="X607" s="375"/>
      <c r="Y607" s="30" t="s">
        <v>593</v>
      </c>
      <c r="Z607" s="376"/>
      <c r="AA607" s="240"/>
      <c r="AB607" s="345">
        <v>1</v>
      </c>
      <c r="AC607" s="271"/>
      <c r="AD607" s="272"/>
      <c r="AE607" s="273"/>
      <c r="AF607" s="273"/>
      <c r="AG607" s="274"/>
      <c r="AH607" s="275"/>
      <c r="AI607" s="272"/>
      <c r="AJ607" s="276"/>
      <c r="AK607" s="277"/>
      <c r="AL607" s="278"/>
      <c r="AM607" s="277"/>
      <c r="AN607" s="279" t="str">
        <f t="shared" si="48"/>
        <v/>
      </c>
      <c r="AO607" s="279"/>
      <c r="AP607" s="279" t="str">
        <f t="shared" si="47"/>
        <v/>
      </c>
      <c r="AQ607" s="279"/>
      <c r="AR607" s="305">
        <f>'预算书-初步'!$F$10</f>
        <v>0.09</v>
      </c>
      <c r="AT607" s="272"/>
      <c r="BC607" s="272" t="s">
        <v>521</v>
      </c>
      <c r="BD607" s="346">
        <v>1030</v>
      </c>
      <c r="BE607" s="347" t="s">
        <v>702</v>
      </c>
    </row>
    <row r="608" s="52" customFormat="1" ht="15.75" customHeight="1" spans="1:57">
      <c r="A608" s="227"/>
      <c r="B608" s="332"/>
      <c r="C608" s="228"/>
      <c r="D608" s="333"/>
      <c r="E608" s="334"/>
      <c r="F608" s="229"/>
      <c r="G608" s="333"/>
      <c r="H608" s="335"/>
      <c r="I608" s="229"/>
      <c r="J608" s="229"/>
      <c r="K608" s="336"/>
      <c r="L608" s="337"/>
      <c r="M608" s="337"/>
      <c r="N608" s="337"/>
      <c r="O608" s="337"/>
      <c r="P608" s="337"/>
      <c r="Q608" s="372">
        <v>1330</v>
      </c>
      <c r="R608" s="271">
        <f t="shared" si="45"/>
        <v>0</v>
      </c>
      <c r="S608" s="339">
        <f t="shared" si="44"/>
        <v>0</v>
      </c>
      <c r="T608" s="373"/>
      <c r="U608" s="373">
        <f>FA!K$44</f>
        <v>0</v>
      </c>
      <c r="V608" s="274"/>
      <c r="W608" s="374"/>
      <c r="X608" s="375"/>
      <c r="Y608" s="30" t="s">
        <v>594</v>
      </c>
      <c r="Z608" s="376"/>
      <c r="AA608" s="240"/>
      <c r="AB608" s="345">
        <v>1</v>
      </c>
      <c r="AC608" s="271"/>
      <c r="AD608" s="272"/>
      <c r="AE608" s="273"/>
      <c r="AF608" s="273"/>
      <c r="AG608" s="274"/>
      <c r="AH608" s="275"/>
      <c r="AI608" s="272"/>
      <c r="AJ608" s="276"/>
      <c r="AK608" s="277"/>
      <c r="AL608" s="278"/>
      <c r="AM608" s="277"/>
      <c r="AN608" s="279" t="str">
        <f t="shared" si="48"/>
        <v/>
      </c>
      <c r="AO608" s="279"/>
      <c r="AP608" s="279" t="str">
        <f t="shared" si="47"/>
        <v/>
      </c>
      <c r="AQ608" s="279"/>
      <c r="AR608" s="305">
        <f>'预算书-初步'!$F$10</f>
        <v>0.09</v>
      </c>
      <c r="AT608" s="272"/>
      <c r="BC608" s="272" t="s">
        <v>521</v>
      </c>
      <c r="BD608" s="346">
        <v>1033</v>
      </c>
      <c r="BE608" s="347" t="s">
        <v>702</v>
      </c>
    </row>
    <row r="609" s="52" customFormat="1" ht="15.75" customHeight="1" spans="1:57">
      <c r="A609" s="227"/>
      <c r="B609" s="332"/>
      <c r="C609" s="228"/>
      <c r="D609" s="333"/>
      <c r="E609" s="334"/>
      <c r="F609" s="229"/>
      <c r="G609" s="333"/>
      <c r="H609" s="335"/>
      <c r="I609" s="229"/>
      <c r="J609" s="229"/>
      <c r="K609" s="336"/>
      <c r="L609" s="337"/>
      <c r="M609" s="337"/>
      <c r="N609" s="337"/>
      <c r="O609" s="337"/>
      <c r="P609" s="337"/>
      <c r="Q609" s="372">
        <v>1340</v>
      </c>
      <c r="R609" s="271">
        <f t="shared" si="45"/>
        <v>0</v>
      </c>
      <c r="S609" s="339">
        <f t="shared" si="44"/>
        <v>0</v>
      </c>
      <c r="T609" s="373"/>
      <c r="U609" s="373">
        <f>FA!K$45</f>
        <v>0</v>
      </c>
      <c r="V609" s="274"/>
      <c r="W609" s="374"/>
      <c r="X609" s="375"/>
      <c r="Y609" s="30" t="s">
        <v>595</v>
      </c>
      <c r="Z609" s="376"/>
      <c r="AA609" s="240"/>
      <c r="AB609" s="345">
        <v>1</v>
      </c>
      <c r="AC609" s="271"/>
      <c r="AD609" s="272"/>
      <c r="AE609" s="273"/>
      <c r="AF609" s="273"/>
      <c r="AG609" s="274"/>
      <c r="AH609" s="275"/>
      <c r="AI609" s="272"/>
      <c r="AJ609" s="276"/>
      <c r="AK609" s="277"/>
      <c r="AL609" s="278"/>
      <c r="AM609" s="277"/>
      <c r="AN609" s="279" t="str">
        <f t="shared" si="48"/>
        <v/>
      </c>
      <c r="AO609" s="279"/>
      <c r="AP609" s="279" t="str">
        <f t="shared" si="47"/>
        <v/>
      </c>
      <c r="AQ609" s="279"/>
      <c r="AR609" s="305">
        <f>'预算书-初步'!$F$10</f>
        <v>0.09</v>
      </c>
      <c r="AT609" s="272"/>
      <c r="BC609" s="272" t="s">
        <v>521</v>
      </c>
      <c r="BD609" s="346">
        <v>1034</v>
      </c>
      <c r="BE609" s="347" t="s">
        <v>702</v>
      </c>
    </row>
    <row r="610" s="52" customFormat="1" ht="15.75" customHeight="1" spans="1:57">
      <c r="A610" s="227"/>
      <c r="B610" s="332"/>
      <c r="C610" s="228"/>
      <c r="D610" s="333"/>
      <c r="E610" s="334"/>
      <c r="F610" s="229"/>
      <c r="G610" s="333"/>
      <c r="H610" s="335"/>
      <c r="I610" s="229"/>
      <c r="J610" s="229"/>
      <c r="K610" s="336"/>
      <c r="L610" s="337"/>
      <c r="M610" s="337"/>
      <c r="N610" s="337"/>
      <c r="O610" s="337"/>
      <c r="P610" s="337"/>
      <c r="Q610" s="372">
        <v>1430</v>
      </c>
      <c r="R610" s="271">
        <f t="shared" si="45"/>
        <v>0</v>
      </c>
      <c r="S610" s="339">
        <f t="shared" si="44"/>
        <v>0</v>
      </c>
      <c r="T610" s="373"/>
      <c r="U610" s="373">
        <f>FA!K$51</f>
        <v>0</v>
      </c>
      <c r="V610" s="274"/>
      <c r="W610" s="374"/>
      <c r="X610" s="375"/>
      <c r="Y610" s="30" t="s">
        <v>596</v>
      </c>
      <c r="Z610" s="376"/>
      <c r="AA610" s="240"/>
      <c r="AB610" s="345">
        <v>1</v>
      </c>
      <c r="AC610" s="271"/>
      <c r="AD610" s="272"/>
      <c r="AE610" s="273"/>
      <c r="AF610" s="273"/>
      <c r="AG610" s="274"/>
      <c r="AH610" s="275"/>
      <c r="AI610" s="272"/>
      <c r="AJ610" s="276"/>
      <c r="AK610" s="277"/>
      <c r="AL610" s="278"/>
      <c r="AM610" s="277"/>
      <c r="AN610" s="279" t="str">
        <f t="shared" si="48"/>
        <v/>
      </c>
      <c r="AO610" s="279"/>
      <c r="AP610" s="279" t="str">
        <f t="shared" si="47"/>
        <v/>
      </c>
      <c r="AQ610" s="279"/>
      <c r="AR610" s="305">
        <f>'预算书-初步'!$F$10</f>
        <v>0.09</v>
      </c>
      <c r="AT610" s="272"/>
      <c r="BC610" s="272" t="s">
        <v>521</v>
      </c>
      <c r="BD610" s="346">
        <v>1040</v>
      </c>
      <c r="BE610" s="347" t="s">
        <v>702</v>
      </c>
    </row>
    <row r="611" s="52" customFormat="1" ht="15.75" customHeight="1" spans="1:57">
      <c r="A611" s="227"/>
      <c r="B611" s="332"/>
      <c r="C611" s="228"/>
      <c r="D611" s="333"/>
      <c r="E611" s="334"/>
      <c r="F611" s="229"/>
      <c r="G611" s="333"/>
      <c r="H611" s="335"/>
      <c r="I611" s="229"/>
      <c r="J611" s="229"/>
      <c r="K611" s="336"/>
      <c r="L611" s="337"/>
      <c r="M611" s="337"/>
      <c r="N611" s="337"/>
      <c r="O611" s="337"/>
      <c r="P611" s="337"/>
      <c r="Q611" s="372">
        <v>1624</v>
      </c>
      <c r="R611" s="271">
        <f t="shared" si="45"/>
        <v>0</v>
      </c>
      <c r="S611" s="339">
        <f t="shared" si="44"/>
        <v>0</v>
      </c>
      <c r="T611" s="373"/>
      <c r="U611" s="373">
        <f>FA!K$87</f>
        <v>0</v>
      </c>
      <c r="V611" s="274"/>
      <c r="W611" s="374"/>
      <c r="X611" s="375"/>
      <c r="Y611" s="30" t="s">
        <v>597</v>
      </c>
      <c r="Z611" s="376"/>
      <c r="AA611" s="240"/>
      <c r="AB611" s="345">
        <v>1</v>
      </c>
      <c r="AC611" s="271"/>
      <c r="AD611" s="272"/>
      <c r="AE611" s="273"/>
      <c r="AF611" s="273"/>
      <c r="AG611" s="274"/>
      <c r="AH611" s="275"/>
      <c r="AI611" s="272"/>
      <c r="AJ611" s="276"/>
      <c r="AK611" s="277"/>
      <c r="AL611" s="278"/>
      <c r="AM611" s="277"/>
      <c r="AN611" s="279" t="str">
        <f t="shared" si="48"/>
        <v/>
      </c>
      <c r="AO611" s="279"/>
      <c r="AP611" s="279" t="str">
        <f t="shared" si="47"/>
        <v/>
      </c>
      <c r="AQ611" s="279"/>
      <c r="AR611" s="305">
        <f>'预算书-初步'!$F$10</f>
        <v>0.09</v>
      </c>
      <c r="AT611" s="272"/>
      <c r="BC611" s="272" t="s">
        <v>521</v>
      </c>
      <c r="BD611" s="346">
        <v>1076</v>
      </c>
      <c r="BE611" s="347" t="s">
        <v>702</v>
      </c>
    </row>
    <row r="612" s="52" customFormat="1" ht="15.75" customHeight="1" spans="1:57">
      <c r="A612" s="227"/>
      <c r="B612" s="332"/>
      <c r="C612" s="228"/>
      <c r="D612" s="333"/>
      <c r="E612" s="334"/>
      <c r="F612" s="229"/>
      <c r="G612" s="333"/>
      <c r="H612" s="335"/>
      <c r="I612" s="229"/>
      <c r="J612" s="229"/>
      <c r="K612" s="336"/>
      <c r="L612" s="337"/>
      <c r="M612" s="337"/>
      <c r="N612" s="337"/>
      <c r="O612" s="337"/>
      <c r="P612" s="337"/>
      <c r="Q612" s="377">
        <v>2960</v>
      </c>
      <c r="R612" s="271">
        <f t="shared" si="45"/>
        <v>0</v>
      </c>
      <c r="S612" s="339">
        <f t="shared" si="44"/>
        <v>0</v>
      </c>
      <c r="T612" s="373"/>
      <c r="U612" s="373">
        <f>FA!K$164</f>
        <v>0</v>
      </c>
      <c r="V612" s="274"/>
      <c r="W612" s="374"/>
      <c r="X612" s="375"/>
      <c r="Y612" s="36" t="s">
        <v>598</v>
      </c>
      <c r="Z612" s="376"/>
      <c r="AA612" s="240"/>
      <c r="AB612" s="345">
        <v>1</v>
      </c>
      <c r="AC612" s="271"/>
      <c r="AD612" s="272"/>
      <c r="AE612" s="273"/>
      <c r="AF612" s="273"/>
      <c r="AG612" s="274"/>
      <c r="AH612" s="275"/>
      <c r="AI612" s="272"/>
      <c r="AJ612" s="276"/>
      <c r="AK612" s="277"/>
      <c r="AL612" s="278"/>
      <c r="AM612" s="277"/>
      <c r="AN612" s="279" t="str">
        <f t="shared" si="48"/>
        <v/>
      </c>
      <c r="AO612" s="279"/>
      <c r="AP612" s="279" t="str">
        <f t="shared" si="47"/>
        <v/>
      </c>
      <c r="AQ612" s="279"/>
      <c r="AR612" s="305">
        <f>'预算书-初步'!$F$10</f>
        <v>0.09</v>
      </c>
      <c r="AT612" s="272"/>
      <c r="BC612" s="272" t="s">
        <v>521</v>
      </c>
      <c r="BD612" s="346">
        <v>1161</v>
      </c>
      <c r="BE612" s="347" t="s">
        <v>702</v>
      </c>
    </row>
    <row r="613" s="52" customFormat="1" ht="15.75" customHeight="1" spans="1:57">
      <c r="A613" s="227"/>
      <c r="B613" s="332"/>
      <c r="C613" s="228"/>
      <c r="D613" s="333"/>
      <c r="E613" s="334"/>
      <c r="F613" s="229"/>
      <c r="G613" s="333"/>
      <c r="H613" s="335"/>
      <c r="I613" s="229"/>
      <c r="J613" s="229"/>
      <c r="K613" s="336"/>
      <c r="L613" s="337"/>
      <c r="M613" s="337"/>
      <c r="N613" s="337"/>
      <c r="O613" s="337"/>
      <c r="P613" s="337"/>
      <c r="Q613" s="372">
        <v>3718</v>
      </c>
      <c r="R613" s="271">
        <f t="shared" si="45"/>
        <v>0</v>
      </c>
      <c r="S613" s="339">
        <f t="shared" si="44"/>
        <v>0</v>
      </c>
      <c r="T613" s="373"/>
      <c r="U613" s="373">
        <f>FA!K$94</f>
        <v>0</v>
      </c>
      <c r="V613" s="274"/>
      <c r="W613" s="374"/>
      <c r="X613" s="375"/>
      <c r="Y613" s="36" t="s">
        <v>599</v>
      </c>
      <c r="Z613" s="376"/>
      <c r="AA613" s="240"/>
      <c r="AB613" s="345">
        <v>1</v>
      </c>
      <c r="AC613" s="271"/>
      <c r="AD613" s="272"/>
      <c r="AE613" s="273"/>
      <c r="AF613" s="273"/>
      <c r="AG613" s="274"/>
      <c r="AH613" s="275"/>
      <c r="AI613" s="272"/>
      <c r="AJ613" s="276"/>
      <c r="AK613" s="277"/>
      <c r="AL613" s="278"/>
      <c r="AM613" s="277"/>
      <c r="AN613" s="279" t="str">
        <f t="shared" si="48"/>
        <v/>
      </c>
      <c r="AO613" s="279"/>
      <c r="AP613" s="279" t="str">
        <f t="shared" si="47"/>
        <v/>
      </c>
      <c r="AQ613" s="279"/>
      <c r="AR613" s="305">
        <f>'预算书-初步'!$F$10</f>
        <v>0.09</v>
      </c>
      <c r="AT613" s="272"/>
      <c r="BC613" s="272" t="s">
        <v>521</v>
      </c>
      <c r="BD613" s="346">
        <v>1083</v>
      </c>
      <c r="BE613" s="347" t="s">
        <v>702</v>
      </c>
    </row>
    <row r="614" s="52" customFormat="1" ht="15.75" customHeight="1" spans="1:57">
      <c r="A614" s="227"/>
      <c r="B614" s="332"/>
      <c r="C614" s="228"/>
      <c r="D614" s="333"/>
      <c r="E614" s="334"/>
      <c r="F614" s="229"/>
      <c r="G614" s="333"/>
      <c r="H614" s="335"/>
      <c r="I614" s="229"/>
      <c r="J614" s="229"/>
      <c r="K614" s="336"/>
      <c r="L614" s="337"/>
      <c r="M614" s="337"/>
      <c r="N614" s="337"/>
      <c r="O614" s="337"/>
      <c r="P614" s="337"/>
      <c r="Q614" s="372">
        <v>4001</v>
      </c>
      <c r="R614" s="271">
        <f t="shared" si="45"/>
        <v>0</v>
      </c>
      <c r="S614" s="339">
        <f t="shared" si="44"/>
        <v>0</v>
      </c>
      <c r="T614" s="373"/>
      <c r="U614" s="373">
        <f>FA!K$168</f>
        <v>0</v>
      </c>
      <c r="V614" s="274"/>
      <c r="W614" s="374"/>
      <c r="X614" s="375"/>
      <c r="Y614" s="36" t="s">
        <v>600</v>
      </c>
      <c r="Z614" s="376"/>
      <c r="AA614" s="240"/>
      <c r="AB614" s="345">
        <v>1</v>
      </c>
      <c r="AC614" s="271"/>
      <c r="AD614" s="272"/>
      <c r="AE614" s="273"/>
      <c r="AF614" s="273"/>
      <c r="AG614" s="274"/>
      <c r="AH614" s="275"/>
      <c r="AI614" s="272"/>
      <c r="AJ614" s="276"/>
      <c r="AK614" s="277"/>
      <c r="AL614" s="278"/>
      <c r="AM614" s="277"/>
      <c r="AN614" s="279" t="str">
        <f t="shared" si="48"/>
        <v/>
      </c>
      <c r="AO614" s="279"/>
      <c r="AP614" s="279" t="str">
        <f t="shared" si="47"/>
        <v/>
      </c>
      <c r="AQ614" s="279"/>
      <c r="AR614" s="305">
        <f>'预算书-初步'!$F$10</f>
        <v>0.09</v>
      </c>
      <c r="AT614" s="272"/>
      <c r="BC614" s="272" t="s">
        <v>521</v>
      </c>
      <c r="BD614" s="346">
        <v>1165</v>
      </c>
      <c r="BE614" s="347" t="s">
        <v>702</v>
      </c>
    </row>
    <row r="615" s="52" customFormat="1" ht="15.75" customHeight="1" spans="1:57">
      <c r="A615" s="227"/>
      <c r="B615" s="332"/>
      <c r="C615" s="228"/>
      <c r="D615" s="333"/>
      <c r="E615" s="334"/>
      <c r="F615" s="229"/>
      <c r="G615" s="333"/>
      <c r="H615" s="335"/>
      <c r="I615" s="229"/>
      <c r="J615" s="229"/>
      <c r="K615" s="336"/>
      <c r="L615" s="337"/>
      <c r="M615" s="337"/>
      <c r="N615" s="337"/>
      <c r="O615" s="337"/>
      <c r="P615" s="337"/>
      <c r="Q615" s="377">
        <v>4002</v>
      </c>
      <c r="R615" s="271">
        <f t="shared" si="45"/>
        <v>0</v>
      </c>
      <c r="S615" s="339">
        <f t="shared" si="44"/>
        <v>0</v>
      </c>
      <c r="T615" s="373"/>
      <c r="U615" s="373">
        <f>FA!K$169</f>
        <v>0</v>
      </c>
      <c r="V615" s="274"/>
      <c r="W615" s="374"/>
      <c r="X615" s="375"/>
      <c r="Y615" s="36" t="s">
        <v>601</v>
      </c>
      <c r="Z615" s="376"/>
      <c r="AA615" s="240"/>
      <c r="AB615" s="345">
        <v>1</v>
      </c>
      <c r="AC615" s="271"/>
      <c r="AD615" s="272"/>
      <c r="AE615" s="273"/>
      <c r="AF615" s="273"/>
      <c r="AG615" s="274"/>
      <c r="AH615" s="275"/>
      <c r="AI615" s="272"/>
      <c r="AJ615" s="276"/>
      <c r="AK615" s="277"/>
      <c r="AL615" s="278"/>
      <c r="AM615" s="277"/>
      <c r="AN615" s="279" t="str">
        <f t="shared" si="48"/>
        <v/>
      </c>
      <c r="AO615" s="279"/>
      <c r="AP615" s="279" t="str">
        <f t="shared" si="47"/>
        <v/>
      </c>
      <c r="AQ615" s="279"/>
      <c r="AR615" s="305">
        <f>'预算书-初步'!$F$10</f>
        <v>0.09</v>
      </c>
      <c r="AT615" s="272"/>
      <c r="BC615" s="272" t="s">
        <v>521</v>
      </c>
      <c r="BD615" s="346">
        <v>1166</v>
      </c>
      <c r="BE615" s="347" t="s">
        <v>702</v>
      </c>
    </row>
    <row r="616" s="52" customFormat="1" ht="15.75" customHeight="1" spans="1:57">
      <c r="A616" s="227"/>
      <c r="B616" s="332"/>
      <c r="C616" s="228"/>
      <c r="D616" s="333"/>
      <c r="E616" s="334"/>
      <c r="F616" s="229"/>
      <c r="G616" s="333"/>
      <c r="H616" s="335"/>
      <c r="I616" s="229"/>
      <c r="J616" s="229"/>
      <c r="K616" s="336"/>
      <c r="L616" s="337"/>
      <c r="M616" s="337"/>
      <c r="N616" s="337"/>
      <c r="O616" s="337"/>
      <c r="P616" s="337"/>
      <c r="Q616" s="377">
        <v>4003</v>
      </c>
      <c r="R616" s="271">
        <f t="shared" si="45"/>
        <v>0</v>
      </c>
      <c r="S616" s="339">
        <f t="shared" si="44"/>
        <v>0</v>
      </c>
      <c r="T616" s="373"/>
      <c r="U616" s="373">
        <f>FA!K$170</f>
        <v>0</v>
      </c>
      <c r="V616" s="274"/>
      <c r="W616" s="374"/>
      <c r="X616" s="375"/>
      <c r="Y616" s="36" t="s">
        <v>602</v>
      </c>
      <c r="Z616" s="376"/>
      <c r="AA616" s="240"/>
      <c r="AB616" s="345">
        <v>1</v>
      </c>
      <c r="AC616" s="271"/>
      <c r="AD616" s="272"/>
      <c r="AE616" s="273"/>
      <c r="AF616" s="273"/>
      <c r="AG616" s="274"/>
      <c r="AH616" s="275"/>
      <c r="AI616" s="272"/>
      <c r="AJ616" s="276"/>
      <c r="AK616" s="277"/>
      <c r="AL616" s="278"/>
      <c r="AM616" s="277"/>
      <c r="AN616" s="279" t="str">
        <f t="shared" si="48"/>
        <v/>
      </c>
      <c r="AO616" s="279"/>
      <c r="AP616" s="279" t="str">
        <f t="shared" si="47"/>
        <v/>
      </c>
      <c r="AQ616" s="279"/>
      <c r="AR616" s="305">
        <f>'预算书-初步'!$F$10</f>
        <v>0.09</v>
      </c>
      <c r="AT616" s="272"/>
      <c r="BC616" s="272" t="s">
        <v>521</v>
      </c>
      <c r="BD616" s="346">
        <v>1167</v>
      </c>
      <c r="BE616" s="347" t="s">
        <v>702</v>
      </c>
    </row>
    <row r="617" s="52" customFormat="1" ht="15.75" customHeight="1" spans="1:57">
      <c r="A617" s="227"/>
      <c r="B617" s="332"/>
      <c r="C617" s="228"/>
      <c r="D617" s="333"/>
      <c r="E617" s="334"/>
      <c r="F617" s="229"/>
      <c r="G617" s="333"/>
      <c r="H617" s="335"/>
      <c r="I617" s="229"/>
      <c r="J617" s="229"/>
      <c r="K617" s="336"/>
      <c r="L617" s="337"/>
      <c r="M617" s="337"/>
      <c r="N617" s="337"/>
      <c r="O617" s="337"/>
      <c r="P617" s="337"/>
      <c r="Q617" s="372">
        <v>4004</v>
      </c>
      <c r="R617" s="271">
        <f t="shared" si="45"/>
        <v>0</v>
      </c>
      <c r="S617" s="339">
        <f t="shared" si="44"/>
        <v>0</v>
      </c>
      <c r="T617" s="373"/>
      <c r="U617" s="373">
        <f>FA!K$171</f>
        <v>0</v>
      </c>
      <c r="V617" s="274"/>
      <c r="W617" s="374"/>
      <c r="X617" s="375"/>
      <c r="Y617" s="30" t="s">
        <v>603</v>
      </c>
      <c r="Z617" s="376"/>
      <c r="AA617" s="240"/>
      <c r="AB617" s="345">
        <v>1</v>
      </c>
      <c r="AC617" s="271"/>
      <c r="AD617" s="272"/>
      <c r="AE617" s="273"/>
      <c r="AF617" s="273"/>
      <c r="AG617" s="274"/>
      <c r="AH617" s="275"/>
      <c r="AI617" s="272"/>
      <c r="AJ617" s="276"/>
      <c r="AK617" s="277"/>
      <c r="AL617" s="278"/>
      <c r="AM617" s="277"/>
      <c r="AN617" s="279" t="str">
        <f t="shared" si="48"/>
        <v/>
      </c>
      <c r="AO617" s="279"/>
      <c r="AP617" s="279" t="str">
        <f t="shared" si="47"/>
        <v/>
      </c>
      <c r="AQ617" s="279"/>
      <c r="AR617" s="305">
        <f>'预算书-初步'!$F$10</f>
        <v>0.09</v>
      </c>
      <c r="AT617" s="272"/>
      <c r="BC617" s="272" t="s">
        <v>521</v>
      </c>
      <c r="BD617" s="346">
        <v>1168</v>
      </c>
      <c r="BE617" s="347" t="s">
        <v>702</v>
      </c>
    </row>
    <row r="618" s="52" customFormat="1" ht="15.75" customHeight="1" spans="1:57">
      <c r="A618" s="227"/>
      <c r="B618" s="332"/>
      <c r="C618" s="228"/>
      <c r="D618" s="333"/>
      <c r="E618" s="334"/>
      <c r="F618" s="229"/>
      <c r="G618" s="333"/>
      <c r="H618" s="335"/>
      <c r="I618" s="229"/>
      <c r="J618" s="229"/>
      <c r="K618" s="336"/>
      <c r="L618" s="337"/>
      <c r="M618" s="337"/>
      <c r="N618" s="337"/>
      <c r="O618" s="337"/>
      <c r="P618" s="337"/>
      <c r="Q618" s="372">
        <v>4005</v>
      </c>
      <c r="R618" s="271">
        <f t="shared" si="45"/>
        <v>0</v>
      </c>
      <c r="S618" s="339">
        <f t="shared" si="44"/>
        <v>0</v>
      </c>
      <c r="T618" s="373"/>
      <c r="U618" s="373">
        <f>FA!K$172</f>
        <v>0</v>
      </c>
      <c r="V618" s="274"/>
      <c r="W618" s="374"/>
      <c r="X618" s="375"/>
      <c r="Y618" s="30" t="s">
        <v>604</v>
      </c>
      <c r="Z618" s="376"/>
      <c r="AA618" s="240"/>
      <c r="AB618" s="345">
        <v>1</v>
      </c>
      <c r="AC618" s="271"/>
      <c r="AD618" s="272"/>
      <c r="AE618" s="273"/>
      <c r="AF618" s="273"/>
      <c r="AG618" s="274"/>
      <c r="AH618" s="275"/>
      <c r="AI618" s="272"/>
      <c r="AJ618" s="276"/>
      <c r="AK618" s="277"/>
      <c r="AL618" s="278"/>
      <c r="AM618" s="277"/>
      <c r="AN618" s="279" t="str">
        <f t="shared" si="48"/>
        <v/>
      </c>
      <c r="AO618" s="279"/>
      <c r="AP618" s="279" t="str">
        <f t="shared" si="47"/>
        <v/>
      </c>
      <c r="AQ618" s="279"/>
      <c r="AR618" s="305">
        <f>'预算书-初步'!$F$10</f>
        <v>0.09</v>
      </c>
      <c r="AT618" s="272"/>
      <c r="BC618" s="272" t="s">
        <v>521</v>
      </c>
      <c r="BD618" s="346">
        <v>1169</v>
      </c>
      <c r="BE618" s="347" t="s">
        <v>702</v>
      </c>
    </row>
    <row r="619" s="52" customFormat="1" spans="1:57">
      <c r="A619" s="227"/>
      <c r="B619" s="332"/>
      <c r="C619" s="228"/>
      <c r="D619" s="333"/>
      <c r="E619" s="334"/>
      <c r="F619" s="229"/>
      <c r="G619" s="333"/>
      <c r="H619" s="335"/>
      <c r="I619" s="229"/>
      <c r="J619" s="229"/>
      <c r="K619" s="336"/>
      <c r="L619" s="337"/>
      <c r="M619" s="337"/>
      <c r="N619" s="337"/>
      <c r="O619" s="337"/>
      <c r="P619" s="337"/>
      <c r="Q619" s="372">
        <v>4006</v>
      </c>
      <c r="R619" s="271">
        <f t="shared" si="45"/>
        <v>0</v>
      </c>
      <c r="S619" s="339">
        <f t="shared" si="44"/>
        <v>0</v>
      </c>
      <c r="T619" s="373"/>
      <c r="U619" s="373">
        <f>FA!K$173</f>
        <v>0</v>
      </c>
      <c r="V619" s="274"/>
      <c r="W619" s="374"/>
      <c r="X619" s="375"/>
      <c r="Y619" s="36" t="s">
        <v>605</v>
      </c>
      <c r="Z619" s="376"/>
      <c r="AA619" s="240"/>
      <c r="AB619" s="345">
        <v>1</v>
      </c>
      <c r="AC619" s="271"/>
      <c r="AD619" s="272"/>
      <c r="AE619" s="273"/>
      <c r="AF619" s="273"/>
      <c r="AG619" s="274"/>
      <c r="AH619" s="275"/>
      <c r="AI619" s="272"/>
      <c r="AJ619" s="276"/>
      <c r="AK619" s="277"/>
      <c r="AL619" s="278"/>
      <c r="AM619" s="277"/>
      <c r="AN619" s="279" t="str">
        <f t="shared" si="48"/>
        <v/>
      </c>
      <c r="AO619" s="279"/>
      <c r="AP619" s="279" t="str">
        <f t="shared" si="47"/>
        <v/>
      </c>
      <c r="AQ619" s="279"/>
      <c r="AR619" s="305">
        <f>'预算书-初步'!$F$10</f>
        <v>0.09</v>
      </c>
      <c r="AT619" s="272"/>
      <c r="BC619" s="272" t="s">
        <v>521</v>
      </c>
      <c r="BD619" s="346">
        <v>1170</v>
      </c>
      <c r="BE619" s="347" t="s">
        <v>702</v>
      </c>
    </row>
    <row r="620" s="52" customFormat="1" spans="1:57">
      <c r="A620" s="227"/>
      <c r="B620" s="332"/>
      <c r="C620" s="228"/>
      <c r="D620" s="333"/>
      <c r="E620" s="334"/>
      <c r="F620" s="229"/>
      <c r="G620" s="333"/>
      <c r="H620" s="335"/>
      <c r="I620" s="229"/>
      <c r="J620" s="229"/>
      <c r="K620" s="336"/>
      <c r="L620" s="337"/>
      <c r="M620" s="337"/>
      <c r="N620" s="337"/>
      <c r="O620" s="337"/>
      <c r="P620" s="337"/>
      <c r="Q620" s="377">
        <v>6003</v>
      </c>
      <c r="R620" s="271">
        <f t="shared" si="45"/>
        <v>0</v>
      </c>
      <c r="S620" s="339">
        <f t="shared" si="44"/>
        <v>0</v>
      </c>
      <c r="T620" s="373"/>
      <c r="U620" s="373">
        <f>FA!K$19</f>
        <v>0</v>
      </c>
      <c r="V620" s="274"/>
      <c r="W620" s="374"/>
      <c r="X620" s="375"/>
      <c r="Y620" s="36" t="s">
        <v>606</v>
      </c>
      <c r="Z620" s="376"/>
      <c r="AA620" s="240"/>
      <c r="AB620" s="345">
        <v>1</v>
      </c>
      <c r="AC620" s="271"/>
      <c r="AD620" s="272"/>
      <c r="AE620" s="273"/>
      <c r="AF620" s="273"/>
      <c r="AG620" s="274"/>
      <c r="AH620" s="275"/>
      <c r="AI620" s="272"/>
      <c r="AJ620" s="276"/>
      <c r="AK620" s="277"/>
      <c r="AL620" s="278"/>
      <c r="AM620" s="277"/>
      <c r="AN620" s="279" t="str">
        <f t="shared" si="48"/>
        <v/>
      </c>
      <c r="AO620" s="279"/>
      <c r="AP620" s="279" t="str">
        <f t="shared" si="47"/>
        <v/>
      </c>
      <c r="AQ620" s="279"/>
      <c r="AR620" s="305">
        <f>'预算书-初步'!$F$10</f>
        <v>0.09</v>
      </c>
      <c r="AT620" s="272"/>
      <c r="BC620" s="272" t="s">
        <v>521</v>
      </c>
      <c r="BD620" s="346">
        <v>1008</v>
      </c>
      <c r="BE620" s="347" t="s">
        <v>702</v>
      </c>
    </row>
    <row r="621" s="52" customFormat="1" spans="1:57">
      <c r="A621" s="227"/>
      <c r="B621" s="332"/>
      <c r="C621" s="228"/>
      <c r="D621" s="333"/>
      <c r="E621" s="334"/>
      <c r="F621" s="229"/>
      <c r="G621" s="333"/>
      <c r="H621" s="335"/>
      <c r="I621" s="229"/>
      <c r="J621" s="229"/>
      <c r="K621" s="336"/>
      <c r="L621" s="337"/>
      <c r="M621" s="337"/>
      <c r="N621" s="337"/>
      <c r="O621" s="337"/>
      <c r="P621" s="337"/>
      <c r="Q621" s="377">
        <v>6004</v>
      </c>
      <c r="R621" s="271">
        <f t="shared" si="45"/>
        <v>0</v>
      </c>
      <c r="S621" s="339">
        <f t="shared" si="44"/>
        <v>0</v>
      </c>
      <c r="T621" s="373"/>
      <c r="U621" s="373">
        <f>FA!K$20</f>
        <v>0</v>
      </c>
      <c r="V621" s="274"/>
      <c r="W621" s="374"/>
      <c r="X621" s="375"/>
      <c r="Y621" s="36" t="s">
        <v>607</v>
      </c>
      <c r="Z621" s="376"/>
      <c r="AA621" s="240"/>
      <c r="AB621" s="345">
        <v>1</v>
      </c>
      <c r="AC621" s="271"/>
      <c r="AD621" s="272"/>
      <c r="AE621" s="273"/>
      <c r="AF621" s="273"/>
      <c r="AG621" s="274"/>
      <c r="AH621" s="275"/>
      <c r="AI621" s="272"/>
      <c r="AJ621" s="276"/>
      <c r="AK621" s="277"/>
      <c r="AL621" s="278"/>
      <c r="AM621" s="277"/>
      <c r="AN621" s="279" t="str">
        <f t="shared" si="48"/>
        <v/>
      </c>
      <c r="AO621" s="279"/>
      <c r="AP621" s="279" t="str">
        <f t="shared" si="47"/>
        <v/>
      </c>
      <c r="AQ621" s="279"/>
      <c r="AR621" s="305">
        <f>'预算书-初步'!$F$10</f>
        <v>0.09</v>
      </c>
      <c r="AT621" s="272"/>
      <c r="BC621" s="272" t="s">
        <v>521</v>
      </c>
      <c r="BD621" s="346">
        <v>1009</v>
      </c>
      <c r="BE621" s="347" t="s">
        <v>702</v>
      </c>
    </row>
    <row r="622" s="52" customFormat="1" spans="1:57">
      <c r="A622" s="227"/>
      <c r="B622" s="332"/>
      <c r="C622" s="228"/>
      <c r="D622" s="333"/>
      <c r="E622" s="334"/>
      <c r="F622" s="229"/>
      <c r="G622" s="333"/>
      <c r="H622" s="335"/>
      <c r="I622" s="229"/>
      <c r="J622" s="229"/>
      <c r="K622" s="336"/>
      <c r="L622" s="337"/>
      <c r="M622" s="337"/>
      <c r="N622" s="337"/>
      <c r="O622" s="337"/>
      <c r="P622" s="337"/>
      <c r="Q622" s="377">
        <v>6005</v>
      </c>
      <c r="R622" s="271">
        <f t="shared" si="45"/>
        <v>0</v>
      </c>
      <c r="S622" s="339">
        <f t="shared" si="44"/>
        <v>0</v>
      </c>
      <c r="T622" s="373"/>
      <c r="U622" s="373">
        <f>FA!K$21</f>
        <v>0</v>
      </c>
      <c r="V622" s="274"/>
      <c r="W622" s="374"/>
      <c r="X622" s="375"/>
      <c r="Y622" s="36" t="s">
        <v>608</v>
      </c>
      <c r="Z622" s="376"/>
      <c r="AA622" s="240"/>
      <c r="AB622" s="345">
        <v>1</v>
      </c>
      <c r="AC622" s="271"/>
      <c r="AD622" s="272"/>
      <c r="AE622" s="273"/>
      <c r="AF622" s="273"/>
      <c r="AG622" s="274"/>
      <c r="AH622" s="275"/>
      <c r="AI622" s="272"/>
      <c r="AJ622" s="276"/>
      <c r="AK622" s="277"/>
      <c r="AL622" s="278"/>
      <c r="AM622" s="277"/>
      <c r="AN622" s="279" t="str">
        <f t="shared" si="48"/>
        <v/>
      </c>
      <c r="AO622" s="279"/>
      <c r="AP622" s="279" t="str">
        <f t="shared" si="47"/>
        <v/>
      </c>
      <c r="AQ622" s="279"/>
      <c r="AR622" s="305">
        <f>'预算书-初步'!$F$10</f>
        <v>0.09</v>
      </c>
      <c r="AT622" s="272"/>
      <c r="BC622" s="272" t="s">
        <v>521</v>
      </c>
      <c r="BD622" s="346">
        <v>1010</v>
      </c>
      <c r="BE622" s="347" t="s">
        <v>702</v>
      </c>
    </row>
    <row r="623" s="52" customFormat="1" spans="1:57">
      <c r="A623" s="227"/>
      <c r="B623" s="332"/>
      <c r="C623" s="228"/>
      <c r="D623" s="333"/>
      <c r="E623" s="334"/>
      <c r="F623" s="229"/>
      <c r="G623" s="333"/>
      <c r="H623" s="335"/>
      <c r="I623" s="229"/>
      <c r="J623" s="229"/>
      <c r="K623" s="336"/>
      <c r="L623" s="337"/>
      <c r="M623" s="337"/>
      <c r="N623" s="337"/>
      <c r="O623" s="337"/>
      <c r="P623" s="337"/>
      <c r="Q623" s="372">
        <v>6006</v>
      </c>
      <c r="R623" s="271">
        <f t="shared" si="45"/>
        <v>0</v>
      </c>
      <c r="S623" s="339">
        <f t="shared" si="44"/>
        <v>0</v>
      </c>
      <c r="T623" s="373"/>
      <c r="U623" s="373">
        <f>FA!K$22</f>
        <v>0</v>
      </c>
      <c r="V623" s="274"/>
      <c r="W623" s="374"/>
      <c r="X623" s="375"/>
      <c r="Y623" s="30" t="s">
        <v>609</v>
      </c>
      <c r="Z623" s="376"/>
      <c r="AA623" s="240"/>
      <c r="AB623" s="345">
        <v>1</v>
      </c>
      <c r="AC623" s="271"/>
      <c r="AD623" s="272"/>
      <c r="AE623" s="273"/>
      <c r="AF623" s="273"/>
      <c r="AG623" s="274"/>
      <c r="AH623" s="275"/>
      <c r="AI623" s="272"/>
      <c r="AJ623" s="276"/>
      <c r="AK623" s="277"/>
      <c r="AL623" s="278"/>
      <c r="AM623" s="277"/>
      <c r="AN623" s="279" t="str">
        <f t="shared" si="48"/>
        <v/>
      </c>
      <c r="AO623" s="279"/>
      <c r="AP623" s="279" t="str">
        <f t="shared" si="47"/>
        <v/>
      </c>
      <c r="AQ623" s="279"/>
      <c r="AR623" s="305">
        <f>'预算书-初步'!$F$10</f>
        <v>0.09</v>
      </c>
      <c r="AT623" s="272"/>
      <c r="BC623" s="272" t="s">
        <v>521</v>
      </c>
      <c r="BD623" s="346">
        <v>1011</v>
      </c>
      <c r="BE623" s="347" t="s">
        <v>702</v>
      </c>
    </row>
    <row r="624" s="52" customFormat="1" spans="1:57">
      <c r="A624" s="227"/>
      <c r="B624" s="332"/>
      <c r="C624" s="228"/>
      <c r="D624" s="333"/>
      <c r="E624" s="334"/>
      <c r="F624" s="229"/>
      <c r="G624" s="333"/>
      <c r="H624" s="335"/>
      <c r="I624" s="229"/>
      <c r="J624" s="229"/>
      <c r="K624" s="336"/>
      <c r="L624" s="337"/>
      <c r="M624" s="337"/>
      <c r="N624" s="337"/>
      <c r="O624" s="337"/>
      <c r="P624" s="337"/>
      <c r="Q624" s="372">
        <v>6007</v>
      </c>
      <c r="R624" s="271">
        <f t="shared" si="45"/>
        <v>0</v>
      </c>
      <c r="S624" s="339">
        <f t="shared" si="44"/>
        <v>0</v>
      </c>
      <c r="T624" s="373"/>
      <c r="U624" s="373">
        <f>FA!K$23</f>
        <v>0</v>
      </c>
      <c r="V624" s="274"/>
      <c r="W624" s="374"/>
      <c r="X624" s="375"/>
      <c r="Y624" s="30" t="s">
        <v>610</v>
      </c>
      <c r="Z624" s="376"/>
      <c r="AA624" s="240"/>
      <c r="AB624" s="345">
        <v>1</v>
      </c>
      <c r="AC624" s="271"/>
      <c r="AD624" s="272"/>
      <c r="AE624" s="273"/>
      <c r="AF624" s="273"/>
      <c r="AG624" s="274"/>
      <c r="AH624" s="275"/>
      <c r="AI624" s="272"/>
      <c r="AJ624" s="276"/>
      <c r="AK624" s="277"/>
      <c r="AL624" s="278"/>
      <c r="AM624" s="277"/>
      <c r="AN624" s="279" t="str">
        <f t="shared" si="48"/>
        <v/>
      </c>
      <c r="AO624" s="279"/>
      <c r="AP624" s="279" t="str">
        <f t="shared" si="47"/>
        <v/>
      </c>
      <c r="AQ624" s="279"/>
      <c r="AR624" s="305">
        <f>'预算书-初步'!$F$10</f>
        <v>0.09</v>
      </c>
      <c r="AT624" s="272"/>
      <c r="BC624" s="272" t="s">
        <v>521</v>
      </c>
      <c r="BD624" s="346">
        <v>1012</v>
      </c>
      <c r="BE624" s="347" t="s">
        <v>702</v>
      </c>
    </row>
    <row r="625" s="52" customFormat="1" spans="1:57">
      <c r="A625" s="227"/>
      <c r="B625" s="332"/>
      <c r="C625" s="228"/>
      <c r="D625" s="333"/>
      <c r="E625" s="334"/>
      <c r="F625" s="229"/>
      <c r="G625" s="333"/>
      <c r="H625" s="335"/>
      <c r="I625" s="229"/>
      <c r="J625" s="229"/>
      <c r="K625" s="336"/>
      <c r="L625" s="337"/>
      <c r="M625" s="337"/>
      <c r="N625" s="337"/>
      <c r="O625" s="337"/>
      <c r="P625" s="337"/>
      <c r="Q625" s="372">
        <v>8310</v>
      </c>
      <c r="R625" s="271">
        <f t="shared" si="45"/>
        <v>0</v>
      </c>
      <c r="S625" s="339">
        <f t="shared" si="44"/>
        <v>0</v>
      </c>
      <c r="T625" s="373"/>
      <c r="U625" s="373">
        <f>FA!K$116</f>
        <v>0</v>
      </c>
      <c r="V625" s="274"/>
      <c r="W625" s="374"/>
      <c r="X625" s="375"/>
      <c r="Y625" s="30" t="s">
        <v>611</v>
      </c>
      <c r="Z625" s="376"/>
      <c r="AA625" s="240"/>
      <c r="AB625" s="345">
        <v>1</v>
      </c>
      <c r="AC625" s="271"/>
      <c r="AD625" s="272"/>
      <c r="AE625" s="273"/>
      <c r="AF625" s="273"/>
      <c r="AG625" s="274"/>
      <c r="AH625" s="275"/>
      <c r="AI625" s="272"/>
      <c r="AJ625" s="276"/>
      <c r="AK625" s="277"/>
      <c r="AL625" s="278"/>
      <c r="AM625" s="277"/>
      <c r="AN625" s="279" t="str">
        <f t="shared" si="48"/>
        <v/>
      </c>
      <c r="AO625" s="279"/>
      <c r="AP625" s="279" t="str">
        <f t="shared" si="47"/>
        <v/>
      </c>
      <c r="AQ625" s="279"/>
      <c r="AR625" s="305">
        <f>'预算书-初步'!$F$10</f>
        <v>0.09</v>
      </c>
      <c r="AT625" s="272"/>
      <c r="BC625" s="272" t="s">
        <v>521</v>
      </c>
      <c r="BD625" s="346">
        <v>1105</v>
      </c>
      <c r="BE625" s="347" t="s">
        <v>702</v>
      </c>
    </row>
    <row r="626" s="52" customFormat="1" ht="15.75" customHeight="1" spans="1:57">
      <c r="A626" s="227"/>
      <c r="B626" s="332"/>
      <c r="C626" s="228"/>
      <c r="D626" s="333"/>
      <c r="E626" s="334"/>
      <c r="F626" s="229"/>
      <c r="G626" s="333"/>
      <c r="H626" s="335"/>
      <c r="I626" s="229"/>
      <c r="J626" s="229"/>
      <c r="K626" s="336"/>
      <c r="L626" s="337"/>
      <c r="M626" s="337"/>
      <c r="N626" s="337"/>
      <c r="O626" s="337"/>
      <c r="P626" s="337"/>
      <c r="Q626" s="372">
        <v>8457</v>
      </c>
      <c r="R626" s="271">
        <f t="shared" si="45"/>
        <v>0</v>
      </c>
      <c r="S626" s="339">
        <f t="shared" si="44"/>
        <v>0</v>
      </c>
      <c r="T626" s="373"/>
      <c r="U626" s="373">
        <f>FA!K$150</f>
        <v>0</v>
      </c>
      <c r="V626" s="274"/>
      <c r="W626" s="374"/>
      <c r="X626" s="375"/>
      <c r="Y626" s="30" t="s">
        <v>612</v>
      </c>
      <c r="Z626" s="376"/>
      <c r="AA626" s="240"/>
      <c r="AB626" s="345">
        <v>1</v>
      </c>
      <c r="AC626" s="271"/>
      <c r="AD626" s="272"/>
      <c r="AE626" s="273"/>
      <c r="AF626" s="273"/>
      <c r="AG626" s="274"/>
      <c r="AH626" s="275"/>
      <c r="AI626" s="272"/>
      <c r="AJ626" s="276"/>
      <c r="AK626" s="277"/>
      <c r="AL626" s="278"/>
      <c r="AM626" s="277"/>
      <c r="AN626" s="279" t="str">
        <f t="shared" si="48"/>
        <v/>
      </c>
      <c r="AO626" s="279"/>
      <c r="AP626" s="279" t="str">
        <f t="shared" si="47"/>
        <v/>
      </c>
      <c r="AQ626" s="279"/>
      <c r="AR626" s="305">
        <f>'预算书-初步'!$F$10</f>
        <v>0.09</v>
      </c>
      <c r="AT626" s="272"/>
      <c r="BC626" s="272" t="s">
        <v>521</v>
      </c>
      <c r="BD626" s="346">
        <v>1139</v>
      </c>
      <c r="BE626" s="347" t="s">
        <v>702</v>
      </c>
    </row>
    <row r="627" s="52" customFormat="1" spans="1:57">
      <c r="A627" s="227"/>
      <c r="B627" s="332"/>
      <c r="C627" s="228"/>
      <c r="D627" s="333"/>
      <c r="E627" s="334"/>
      <c r="Q627" s="372">
        <v>8500</v>
      </c>
      <c r="R627" s="271">
        <f t="shared" si="45"/>
        <v>0</v>
      </c>
      <c r="S627" s="339">
        <f t="shared" si="44"/>
        <v>0</v>
      </c>
      <c r="T627" s="373"/>
      <c r="U627" s="373">
        <f>FA!K$160</f>
        <v>0</v>
      </c>
      <c r="V627" s="274"/>
      <c r="W627" s="374"/>
      <c r="X627" s="375"/>
      <c r="Y627" s="30" t="s">
        <v>613</v>
      </c>
      <c r="Z627" s="376"/>
      <c r="AA627" s="240"/>
      <c r="AB627" s="345">
        <v>1</v>
      </c>
      <c r="AC627" s="271"/>
      <c r="AD627" s="272"/>
      <c r="AE627" s="273"/>
      <c r="AF627" s="273"/>
      <c r="AG627" s="274"/>
      <c r="AH627" s="275"/>
      <c r="AI627" s="272"/>
      <c r="AJ627" s="276"/>
      <c r="AK627" s="277"/>
      <c r="AL627" s="278"/>
      <c r="AM627" s="277"/>
      <c r="AN627" s="279" t="str">
        <f t="shared" si="48"/>
        <v/>
      </c>
      <c r="AO627" s="279"/>
      <c r="AP627" s="279" t="str">
        <f t="shared" si="47"/>
        <v/>
      </c>
      <c r="AQ627" s="378"/>
      <c r="AR627" s="305">
        <f>'预算书-初步'!$F$10</f>
        <v>0.09</v>
      </c>
      <c r="AT627" s="272"/>
      <c r="BC627" s="272" t="s">
        <v>521</v>
      </c>
      <c r="BD627" s="346">
        <v>1157</v>
      </c>
      <c r="BE627" s="347" t="s">
        <v>702</v>
      </c>
    </row>
    <row r="628" s="52" customFormat="1" spans="1:57">
      <c r="A628" s="227"/>
      <c r="B628" s="332"/>
      <c r="C628" s="228"/>
      <c r="D628" s="333"/>
      <c r="E628" s="334"/>
      <c r="F628" s="229"/>
      <c r="G628" s="333"/>
      <c r="H628" s="335"/>
      <c r="I628" s="229"/>
      <c r="J628" s="229"/>
      <c r="K628" s="336"/>
      <c r="L628" s="337"/>
      <c r="M628" s="337"/>
      <c r="N628" s="337"/>
      <c r="O628" s="337"/>
      <c r="P628" s="337"/>
      <c r="Q628" s="379">
        <v>9999</v>
      </c>
      <c r="R628" s="271">
        <f t="shared" si="45"/>
        <v>0</v>
      </c>
      <c r="S628" s="339">
        <f t="shared" si="44"/>
        <v>0</v>
      </c>
      <c r="T628" s="373"/>
      <c r="U628" s="373">
        <f>FA!K$24</f>
        <v>0</v>
      </c>
      <c r="V628" s="274"/>
      <c r="W628" s="374"/>
      <c r="X628" s="375"/>
      <c r="Y628" s="44" t="s">
        <v>40</v>
      </c>
      <c r="Z628" s="376"/>
      <c r="AA628" s="240"/>
      <c r="AB628" s="345">
        <v>1</v>
      </c>
      <c r="AC628" s="271"/>
      <c r="AD628" s="272"/>
      <c r="AE628" s="273"/>
      <c r="AF628" s="273"/>
      <c r="AG628" s="274"/>
      <c r="AH628" s="275"/>
      <c r="AI628" s="272"/>
      <c r="AJ628" s="276"/>
      <c r="AK628" s="277"/>
      <c r="AL628" s="278"/>
      <c r="AM628" s="277"/>
      <c r="AN628" s="279"/>
      <c r="AO628" s="279"/>
      <c r="AP628" s="279"/>
      <c r="AQ628" s="378"/>
      <c r="AR628" s="305">
        <f>'预算书-初步'!$F$10</f>
        <v>0.09</v>
      </c>
      <c r="AT628" s="272"/>
      <c r="BC628" s="272" t="s">
        <v>521</v>
      </c>
      <c r="BD628" s="380">
        <v>1013</v>
      </c>
      <c r="BE628" s="347" t="s">
        <v>702</v>
      </c>
    </row>
    <row r="629" s="52" customFormat="1" spans="1:57">
      <c r="A629" s="227"/>
      <c r="B629" s="332"/>
      <c r="C629" s="228"/>
      <c r="D629" s="333"/>
      <c r="E629" s="334"/>
      <c r="F629" s="229"/>
      <c r="G629" s="333"/>
      <c r="H629" s="335"/>
      <c r="I629" s="229"/>
      <c r="J629" s="229"/>
      <c r="K629" s="336"/>
      <c r="L629" s="337"/>
      <c r="M629" s="337"/>
      <c r="N629" s="337"/>
      <c r="O629" s="337"/>
      <c r="P629" s="337"/>
      <c r="Q629" s="379">
        <v>7001</v>
      </c>
      <c r="R629" s="271">
        <f t="shared" si="45"/>
        <v>0</v>
      </c>
      <c r="S629" s="339">
        <f t="shared" si="44"/>
        <v>0</v>
      </c>
      <c r="T629" s="373"/>
      <c r="U629" s="373">
        <f>FA!K$25</f>
        <v>0</v>
      </c>
      <c r="V629" s="274"/>
      <c r="W629" s="374"/>
      <c r="X629" s="375"/>
      <c r="Y629" s="44" t="s">
        <v>614</v>
      </c>
      <c r="Z629" s="376"/>
      <c r="AA629" s="240"/>
      <c r="AB629" s="345">
        <v>1</v>
      </c>
      <c r="AC629" s="271"/>
      <c r="AD629" s="272"/>
      <c r="AE629" s="273"/>
      <c r="AF629" s="273"/>
      <c r="AG629" s="274"/>
      <c r="AH629" s="275"/>
      <c r="AI629" s="272"/>
      <c r="AJ629" s="276"/>
      <c r="AK629" s="277"/>
      <c r="AL629" s="278"/>
      <c r="AM629" s="277"/>
      <c r="AN629" s="279"/>
      <c r="AO629" s="279"/>
      <c r="AP629" s="279"/>
      <c r="AQ629" s="378"/>
      <c r="AR629" s="305">
        <f>'预算书-初步'!$F$10</f>
        <v>0.09</v>
      </c>
      <c r="AT629" s="272"/>
      <c r="BC629" s="272" t="s">
        <v>521</v>
      </c>
      <c r="BD629" s="380">
        <v>1014</v>
      </c>
      <c r="BE629" s="347" t="s">
        <v>702</v>
      </c>
    </row>
    <row r="630" s="52" customFormat="1" spans="1:57">
      <c r="A630" s="227"/>
      <c r="B630" s="332"/>
      <c r="C630" s="228"/>
      <c r="D630" s="333"/>
      <c r="E630" s="334"/>
      <c r="F630" s="229"/>
      <c r="G630" s="333"/>
      <c r="H630" s="335"/>
      <c r="I630" s="229"/>
      <c r="J630" s="229"/>
      <c r="K630" s="336"/>
      <c r="L630" s="337"/>
      <c r="M630" s="337"/>
      <c r="N630" s="337"/>
      <c r="O630" s="337"/>
      <c r="P630" s="337"/>
      <c r="Q630" s="379">
        <v>7012</v>
      </c>
      <c r="R630" s="271">
        <f t="shared" si="45"/>
        <v>0</v>
      </c>
      <c r="S630" s="339">
        <f t="shared" si="44"/>
        <v>0</v>
      </c>
      <c r="T630" s="373"/>
      <c r="U630" s="373">
        <f>FA!K$26</f>
        <v>0</v>
      </c>
      <c r="V630" s="274"/>
      <c r="W630" s="374"/>
      <c r="X630" s="375"/>
      <c r="Y630" s="45" t="s">
        <v>615</v>
      </c>
      <c r="Z630" s="376"/>
      <c r="AA630" s="240"/>
      <c r="AB630" s="345">
        <v>1</v>
      </c>
      <c r="AC630" s="271"/>
      <c r="AD630" s="272"/>
      <c r="AE630" s="273"/>
      <c r="AF630" s="273"/>
      <c r="AG630" s="274"/>
      <c r="AH630" s="275"/>
      <c r="AI630" s="272"/>
      <c r="AJ630" s="276"/>
      <c r="AK630" s="277"/>
      <c r="AL630" s="278"/>
      <c r="AM630" s="277"/>
      <c r="AN630" s="279"/>
      <c r="AO630" s="279"/>
      <c r="AP630" s="279"/>
      <c r="AQ630" s="378"/>
      <c r="AR630" s="305">
        <f>'预算书-初步'!$F$10</f>
        <v>0.09</v>
      </c>
      <c r="AT630" s="272"/>
      <c r="BC630" s="272" t="s">
        <v>521</v>
      </c>
      <c r="BD630" s="380">
        <v>1015</v>
      </c>
      <c r="BE630" s="347" t="s">
        <v>702</v>
      </c>
    </row>
    <row r="631" s="52" customFormat="1" ht="15.75" customHeight="1" spans="1:57">
      <c r="A631" s="227"/>
      <c r="B631" s="332"/>
      <c r="C631" s="228"/>
      <c r="D631" s="333"/>
      <c r="E631" s="334"/>
      <c r="F631" s="229"/>
      <c r="G631" s="333"/>
      <c r="H631" s="335"/>
      <c r="I631" s="229"/>
      <c r="J631" s="229"/>
      <c r="K631" s="336"/>
      <c r="L631" s="337"/>
      <c r="M631" s="337"/>
      <c r="N631" s="337"/>
      <c r="O631" s="337"/>
      <c r="P631" s="337"/>
      <c r="Q631" s="381">
        <v>1650</v>
      </c>
      <c r="R631" s="271">
        <f t="shared" si="45"/>
        <v>0</v>
      </c>
      <c r="S631" s="339">
        <f t="shared" si="44"/>
        <v>0</v>
      </c>
      <c r="T631" s="373"/>
      <c r="U631" s="373">
        <f>FA!K$89</f>
        <v>0</v>
      </c>
      <c r="V631" s="274"/>
      <c r="W631" s="374"/>
      <c r="X631" s="375"/>
      <c r="Y631" s="45" t="s">
        <v>616</v>
      </c>
      <c r="Z631" s="376"/>
      <c r="AA631" s="240"/>
      <c r="AB631" s="345">
        <v>1</v>
      </c>
      <c r="AC631" s="271"/>
      <c r="AD631" s="272"/>
      <c r="AE631" s="273"/>
      <c r="AF631" s="273"/>
      <c r="AG631" s="274"/>
      <c r="AH631" s="275"/>
      <c r="AI631" s="272"/>
      <c r="AJ631" s="276"/>
      <c r="AK631" s="277"/>
      <c r="AL631" s="278"/>
      <c r="AM631" s="277"/>
      <c r="AN631" s="279"/>
      <c r="AO631" s="279"/>
      <c r="AP631" s="279"/>
      <c r="AQ631" s="378"/>
      <c r="AR631" s="305">
        <f>'预算书-初步'!$F$10</f>
        <v>0.09</v>
      </c>
      <c r="AT631" s="272"/>
      <c r="BC631" s="272" t="s">
        <v>521</v>
      </c>
      <c r="BD631" s="380">
        <v>1078</v>
      </c>
      <c r="BE631" s="347" t="s">
        <v>702</v>
      </c>
    </row>
    <row r="632" s="52" customFormat="1" ht="15.75" customHeight="1" spans="1:57">
      <c r="A632" s="227"/>
      <c r="B632" s="332"/>
      <c r="C632" s="228"/>
      <c r="D632" s="333"/>
      <c r="E632" s="334"/>
      <c r="F632" s="229"/>
      <c r="G632" s="333"/>
      <c r="H632" s="335"/>
      <c r="I632" s="229"/>
      <c r="J632" s="229"/>
      <c r="K632" s="336"/>
      <c r="L632" s="337"/>
      <c r="M632" s="337"/>
      <c r="N632" s="337"/>
      <c r="O632" s="337"/>
      <c r="P632" s="337"/>
      <c r="Q632" s="384">
        <v>3711</v>
      </c>
      <c r="R632" s="271">
        <f t="shared" si="45"/>
        <v>0</v>
      </c>
      <c r="S632" s="339">
        <f t="shared" si="44"/>
        <v>0</v>
      </c>
      <c r="T632" s="373"/>
      <c r="U632" s="373">
        <f>SUMIF(其他!$A$9:$A$65,"3711",其他!$K$9:K$65)</f>
        <v>0</v>
      </c>
      <c r="V632" s="274"/>
      <c r="W632" s="374"/>
      <c r="X632" s="375"/>
      <c r="Y632" s="45" t="s">
        <v>617</v>
      </c>
      <c r="Z632" s="376"/>
      <c r="AA632" s="240"/>
      <c r="AB632" s="345">
        <v>1</v>
      </c>
      <c r="AC632" s="271"/>
      <c r="AD632" s="272"/>
      <c r="AE632" s="273"/>
      <c r="AF632" s="273"/>
      <c r="AG632" s="274"/>
      <c r="AH632" s="275"/>
      <c r="AI632" s="272"/>
      <c r="AJ632" s="276"/>
      <c r="AK632" s="277"/>
      <c r="AL632" s="278"/>
      <c r="AM632" s="277"/>
      <c r="AN632" s="279"/>
      <c r="AO632" s="279"/>
      <c r="AP632" s="279"/>
      <c r="AQ632" s="378"/>
      <c r="AR632" s="305">
        <f>'预算书-初步'!$F$10</f>
        <v>0.09</v>
      </c>
      <c r="AT632" s="272"/>
      <c r="BC632" s="272" t="s">
        <v>521</v>
      </c>
      <c r="BD632" s="380">
        <v>1082</v>
      </c>
      <c r="BE632" s="347" t="s">
        <v>702</v>
      </c>
    </row>
    <row r="633" s="52" customFormat="1" ht="15.75" customHeight="1" spans="1:57">
      <c r="A633" s="227"/>
      <c r="B633" s="332"/>
      <c r="C633" s="228"/>
      <c r="D633" s="333"/>
      <c r="E633" s="334"/>
      <c r="F633" s="229"/>
      <c r="G633" s="333"/>
      <c r="H633" s="335"/>
      <c r="I633" s="229"/>
      <c r="J633" s="229"/>
      <c r="K633" s="336"/>
      <c r="L633" s="337"/>
      <c r="M633" s="337"/>
      <c r="N633" s="337"/>
      <c r="O633" s="337"/>
      <c r="P633" s="337"/>
      <c r="Q633" s="384">
        <v>3712</v>
      </c>
      <c r="R633" s="271">
        <f t="shared" si="45"/>
        <v>0</v>
      </c>
      <c r="S633" s="339">
        <f t="shared" si="44"/>
        <v>0</v>
      </c>
      <c r="T633" s="373"/>
      <c r="U633" s="373">
        <f>SUMIF(其他!$A$9:$A$65,"3712",其他!$K$9:K$65)</f>
        <v>0</v>
      </c>
      <c r="V633" s="274"/>
      <c r="W633" s="374"/>
      <c r="X633" s="375"/>
      <c r="Y633" s="45" t="s">
        <v>618</v>
      </c>
      <c r="Z633" s="376"/>
      <c r="AA633" s="240"/>
      <c r="AB633" s="345">
        <v>1</v>
      </c>
      <c r="AC633" s="271"/>
      <c r="AD633" s="272"/>
      <c r="AE633" s="273"/>
      <c r="AF633" s="273"/>
      <c r="AG633" s="274"/>
      <c r="AH633" s="275"/>
      <c r="AI633" s="272"/>
      <c r="AJ633" s="276"/>
      <c r="AK633" s="277"/>
      <c r="AL633" s="278"/>
      <c r="AM633" s="277"/>
      <c r="AN633" s="279"/>
      <c r="AO633" s="279"/>
      <c r="AP633" s="279"/>
      <c r="AQ633" s="378"/>
      <c r="AR633" s="305">
        <f>'预算书-初步'!$F$10</f>
        <v>0.09</v>
      </c>
      <c r="AT633" s="272"/>
      <c r="BC633" s="272" t="s">
        <v>521</v>
      </c>
      <c r="BD633" s="380">
        <v>1082</v>
      </c>
      <c r="BE633" s="347" t="s">
        <v>702</v>
      </c>
    </row>
    <row r="634" s="52" customFormat="1" ht="15.75" customHeight="1" spans="1:57">
      <c r="A634" s="227"/>
      <c r="B634" s="332"/>
      <c r="C634" s="228"/>
      <c r="D634" s="333"/>
      <c r="E634" s="334"/>
      <c r="F634" s="229"/>
      <c r="G634" s="333"/>
      <c r="H634" s="335"/>
      <c r="I634" s="229"/>
      <c r="J634" s="229"/>
      <c r="K634" s="336"/>
      <c r="L634" s="337"/>
      <c r="M634" s="337"/>
      <c r="N634" s="337"/>
      <c r="O634" s="337"/>
      <c r="P634" s="337"/>
      <c r="Q634" s="384">
        <v>3713</v>
      </c>
      <c r="R634" s="271">
        <f t="shared" si="45"/>
        <v>0</v>
      </c>
      <c r="S634" s="339">
        <f t="shared" si="44"/>
        <v>0</v>
      </c>
      <c r="T634" s="373"/>
      <c r="U634" s="373">
        <f>SUMIF(其他!$A$9:$A$65,"3713",其他!$K$9:K$65)</f>
        <v>0</v>
      </c>
      <c r="V634" s="274"/>
      <c r="W634" s="374"/>
      <c r="X634" s="375"/>
      <c r="Y634" s="45" t="s">
        <v>619</v>
      </c>
      <c r="Z634" s="376"/>
      <c r="AA634" s="240"/>
      <c r="AB634" s="345">
        <v>1</v>
      </c>
      <c r="AC634" s="271"/>
      <c r="AD634" s="272"/>
      <c r="AE634" s="273"/>
      <c r="AF634" s="273"/>
      <c r="AG634" s="274"/>
      <c r="AH634" s="275"/>
      <c r="AI634" s="272"/>
      <c r="AJ634" s="276"/>
      <c r="AK634" s="277"/>
      <c r="AL634" s="278"/>
      <c r="AM634" s="277"/>
      <c r="AN634" s="279"/>
      <c r="AO634" s="279"/>
      <c r="AP634" s="279"/>
      <c r="AQ634" s="378"/>
      <c r="AR634" s="305">
        <f>'预算书-初步'!$F$10</f>
        <v>0.09</v>
      </c>
      <c r="AT634" s="272"/>
      <c r="BC634" s="272" t="s">
        <v>521</v>
      </c>
      <c r="BD634" s="380">
        <v>1082</v>
      </c>
      <c r="BE634" s="347" t="s">
        <v>702</v>
      </c>
    </row>
    <row r="635" s="52" customFormat="1" ht="15.75" customHeight="1" spans="1:57">
      <c r="A635" s="227"/>
      <c r="B635" s="332"/>
      <c r="C635" s="228"/>
      <c r="D635" s="333"/>
      <c r="E635" s="334"/>
      <c r="F635" s="229"/>
      <c r="G635" s="333"/>
      <c r="H635" s="335"/>
      <c r="I635" s="229"/>
      <c r="J635" s="229"/>
      <c r="K635" s="336"/>
      <c r="L635" s="337"/>
      <c r="M635" s="337"/>
      <c r="N635" s="337"/>
      <c r="O635" s="337"/>
      <c r="P635" s="337"/>
      <c r="Q635" s="384">
        <v>3714</v>
      </c>
      <c r="R635" s="271">
        <f t="shared" si="45"/>
        <v>0</v>
      </c>
      <c r="S635" s="339">
        <f t="shared" si="44"/>
        <v>0</v>
      </c>
      <c r="T635" s="373"/>
      <c r="U635" s="373">
        <f>SUMIF(其他!$A$9:$A$65,"3714",其他!$K$9:K$65)</f>
        <v>0</v>
      </c>
      <c r="V635" s="274"/>
      <c r="W635" s="374"/>
      <c r="X635" s="375"/>
      <c r="Y635" s="45" t="s">
        <v>620</v>
      </c>
      <c r="Z635" s="376"/>
      <c r="AA635" s="240"/>
      <c r="AB635" s="345">
        <v>1</v>
      </c>
      <c r="AC635" s="271"/>
      <c r="AD635" s="272"/>
      <c r="AE635" s="273"/>
      <c r="AF635" s="273"/>
      <c r="AG635" s="274"/>
      <c r="AH635" s="275"/>
      <c r="AI635" s="272"/>
      <c r="AJ635" s="276"/>
      <c r="AK635" s="277"/>
      <c r="AL635" s="278"/>
      <c r="AM635" s="277"/>
      <c r="AN635" s="279"/>
      <c r="AO635" s="279"/>
      <c r="AP635" s="279"/>
      <c r="AQ635" s="378"/>
      <c r="AR635" s="305">
        <f>'预算书-初步'!$F$10</f>
        <v>0.09</v>
      </c>
      <c r="AT635" s="272"/>
      <c r="BC635" s="272" t="s">
        <v>521</v>
      </c>
      <c r="BD635" s="380">
        <v>1082</v>
      </c>
      <c r="BE635" s="347" t="s">
        <v>702</v>
      </c>
    </row>
    <row r="636" s="52" customFormat="1" ht="15.75" customHeight="1" spans="1:57">
      <c r="A636" s="227"/>
      <c r="B636" s="332"/>
      <c r="C636" s="228"/>
      <c r="D636" s="333"/>
      <c r="E636" s="334"/>
      <c r="F636" s="229"/>
      <c r="G636" s="333"/>
      <c r="H636" s="335"/>
      <c r="I636" s="229"/>
      <c r="J636" s="229"/>
      <c r="K636" s="336"/>
      <c r="L636" s="337"/>
      <c r="M636" s="337"/>
      <c r="N636" s="337"/>
      <c r="O636" s="337"/>
      <c r="P636" s="337"/>
      <c r="Q636" s="384">
        <v>3792</v>
      </c>
      <c r="R636" s="271">
        <f t="shared" si="45"/>
        <v>0</v>
      </c>
      <c r="S636" s="339">
        <f t="shared" si="44"/>
        <v>0</v>
      </c>
      <c r="T636" s="373"/>
      <c r="U636" s="373">
        <f>SUMIF(其他!$A$9:$A$65,"3792",其他!$K$9:K$65)</f>
        <v>0</v>
      </c>
      <c r="V636" s="274"/>
      <c r="W636" s="374"/>
      <c r="X636" s="375"/>
      <c r="Y636" s="45" t="s">
        <v>621</v>
      </c>
      <c r="Z636" s="376"/>
      <c r="AA636" s="240"/>
      <c r="AB636" s="345">
        <v>1</v>
      </c>
      <c r="AC636" s="271"/>
      <c r="AD636" s="272"/>
      <c r="AE636" s="273"/>
      <c r="AF636" s="273"/>
      <c r="AG636" s="274"/>
      <c r="AH636" s="275"/>
      <c r="AI636" s="272"/>
      <c r="AJ636" s="276"/>
      <c r="AK636" s="277"/>
      <c r="AL636" s="278"/>
      <c r="AM636" s="277"/>
      <c r="AN636" s="279"/>
      <c r="AO636" s="279"/>
      <c r="AP636" s="279"/>
      <c r="AQ636" s="378"/>
      <c r="AR636" s="305">
        <f>'预算书-初步'!$F$10</f>
        <v>0.09</v>
      </c>
      <c r="AT636" s="272"/>
      <c r="BC636" s="272" t="s">
        <v>521</v>
      </c>
      <c r="BD636" s="380">
        <v>1085</v>
      </c>
      <c r="BE636" s="347" t="s">
        <v>702</v>
      </c>
    </row>
    <row r="637" s="52" customFormat="1" ht="15.75" customHeight="1" spans="1:57">
      <c r="A637" s="227"/>
      <c r="B637" s="332"/>
      <c r="C637" s="228"/>
      <c r="D637" s="333"/>
      <c r="E637" s="334"/>
      <c r="F637" s="229"/>
      <c r="G637" s="333"/>
      <c r="H637" s="335"/>
      <c r="I637" s="229"/>
      <c r="J637" s="229"/>
      <c r="K637" s="336"/>
      <c r="L637" s="337"/>
      <c r="M637" s="337"/>
      <c r="N637" s="337"/>
      <c r="O637" s="337"/>
      <c r="P637" s="337"/>
      <c r="Q637" s="384">
        <v>3793</v>
      </c>
      <c r="R637" s="271">
        <f t="shared" si="45"/>
        <v>0</v>
      </c>
      <c r="S637" s="339">
        <f t="shared" si="44"/>
        <v>0</v>
      </c>
      <c r="T637" s="373"/>
      <c r="U637" s="373">
        <f>SUMIF(其他!$A$9:$A$65,"3793",其他!$K$9:K$65)</f>
        <v>0</v>
      </c>
      <c r="V637" s="274"/>
      <c r="W637" s="374"/>
      <c r="X637" s="375"/>
      <c r="Y637" s="45" t="s">
        <v>622</v>
      </c>
      <c r="Z637" s="376"/>
      <c r="AA637" s="240"/>
      <c r="AB637" s="345">
        <v>1</v>
      </c>
      <c r="AC637" s="271"/>
      <c r="AD637" s="272"/>
      <c r="AE637" s="273"/>
      <c r="AF637" s="273"/>
      <c r="AG637" s="274"/>
      <c r="AH637" s="275"/>
      <c r="AI637" s="272"/>
      <c r="AJ637" s="276"/>
      <c r="AK637" s="277"/>
      <c r="AL637" s="278"/>
      <c r="AM637" s="277"/>
      <c r="AN637" s="279"/>
      <c r="AO637" s="279"/>
      <c r="AP637" s="279"/>
      <c r="AQ637" s="378"/>
      <c r="AR637" s="305">
        <f>'预算书-初步'!$F$10</f>
        <v>0.09</v>
      </c>
      <c r="AT637" s="272"/>
      <c r="BC637" s="272" t="s">
        <v>521</v>
      </c>
      <c r="BD637" s="380">
        <v>1085</v>
      </c>
      <c r="BE637" s="347" t="s">
        <v>702</v>
      </c>
    </row>
    <row r="638" s="52" customFormat="1" ht="15.75" customHeight="1" spans="1:57">
      <c r="A638" s="227"/>
      <c r="B638" s="332"/>
      <c r="C638" s="228"/>
      <c r="D638" s="333"/>
      <c r="E638" s="334"/>
      <c r="F638" s="229"/>
      <c r="G638" s="333"/>
      <c r="H638" s="335"/>
      <c r="I638" s="229"/>
      <c r="J638" s="229"/>
      <c r="K638" s="336"/>
      <c r="L638" s="337"/>
      <c r="M638" s="337"/>
      <c r="N638" s="337"/>
      <c r="O638" s="337"/>
      <c r="P638" s="337"/>
      <c r="Q638" s="384">
        <v>3794</v>
      </c>
      <c r="R638" s="271">
        <f t="shared" si="45"/>
        <v>0</v>
      </c>
      <c r="S638" s="339">
        <f t="shared" si="44"/>
        <v>0</v>
      </c>
      <c r="T638" s="373"/>
      <c r="U638" s="373">
        <f>SUMIF(其他!$A$9:$A$65,"3794",其他!$K$9:K$65)</f>
        <v>0</v>
      </c>
      <c r="V638" s="274"/>
      <c r="W638" s="374"/>
      <c r="X638" s="375"/>
      <c r="Y638" s="45" t="s">
        <v>623</v>
      </c>
      <c r="Z638" s="376"/>
      <c r="AA638" s="240"/>
      <c r="AB638" s="345">
        <v>1</v>
      </c>
      <c r="AC638" s="271"/>
      <c r="AD638" s="272"/>
      <c r="AE638" s="273"/>
      <c r="AF638" s="273"/>
      <c r="AG638" s="274"/>
      <c r="AH638" s="275"/>
      <c r="AI638" s="272"/>
      <c r="AJ638" s="276"/>
      <c r="AK638" s="277"/>
      <c r="AL638" s="278"/>
      <c r="AM638" s="277"/>
      <c r="AN638" s="279"/>
      <c r="AO638" s="279"/>
      <c r="AP638" s="279"/>
      <c r="AQ638" s="378"/>
      <c r="AR638" s="305">
        <f>'预算书-初步'!$F$10</f>
        <v>0.09</v>
      </c>
      <c r="AT638" s="272"/>
      <c r="BC638" s="272" t="s">
        <v>521</v>
      </c>
      <c r="BD638" s="380">
        <v>1085</v>
      </c>
      <c r="BE638" s="347" t="s">
        <v>702</v>
      </c>
    </row>
    <row r="639" s="52" customFormat="1" ht="15.75" customHeight="1" spans="1:57">
      <c r="A639" s="227"/>
      <c r="B639" s="332"/>
      <c r="C639" s="228"/>
      <c r="D639" s="333"/>
      <c r="E639" s="334"/>
      <c r="F639" s="229"/>
      <c r="G639" s="333"/>
      <c r="H639" s="335"/>
      <c r="I639" s="229"/>
      <c r="J639" s="229"/>
      <c r="K639" s="336"/>
      <c r="L639" s="337"/>
      <c r="M639" s="337"/>
      <c r="N639" s="337"/>
      <c r="O639" s="337"/>
      <c r="P639" s="337"/>
      <c r="Q639" s="384">
        <v>8110</v>
      </c>
      <c r="R639" s="271">
        <f t="shared" si="45"/>
        <v>0</v>
      </c>
      <c r="S639" s="339">
        <f t="shared" si="44"/>
        <v>0</v>
      </c>
      <c r="T639" s="373"/>
      <c r="U639" s="373">
        <f>FA!K$99</f>
        <v>0</v>
      </c>
      <c r="V639" s="274"/>
      <c r="W639" s="374"/>
      <c r="X639" s="375"/>
      <c r="Y639" s="45" t="s">
        <v>624</v>
      </c>
      <c r="Z639" s="376"/>
      <c r="AA639" s="240"/>
      <c r="AB639" s="345">
        <v>1</v>
      </c>
      <c r="AC639" s="271"/>
      <c r="AD639" s="272"/>
      <c r="AE639" s="273"/>
      <c r="AF639" s="273"/>
      <c r="AG639" s="274"/>
      <c r="AH639" s="275"/>
      <c r="AI639" s="272"/>
      <c r="AJ639" s="276"/>
      <c r="AK639" s="277"/>
      <c r="AL639" s="278"/>
      <c r="AM639" s="277"/>
      <c r="AN639" s="279"/>
      <c r="AO639" s="279"/>
      <c r="AP639" s="279"/>
      <c r="AQ639" s="378"/>
      <c r="AR639" s="305">
        <f>'预算书-初步'!$F$10</f>
        <v>0.09</v>
      </c>
      <c r="AT639" s="272"/>
      <c r="BC639" s="272" t="s">
        <v>521</v>
      </c>
      <c r="BD639" s="380">
        <v>1088</v>
      </c>
      <c r="BE639" s="347" t="s">
        <v>702</v>
      </c>
    </row>
    <row r="640" s="52" customFormat="1" ht="15.75" customHeight="1" spans="1:57">
      <c r="A640" s="227"/>
      <c r="B640" s="332"/>
      <c r="C640" s="228"/>
      <c r="D640" s="333"/>
      <c r="E640" s="334"/>
      <c r="F640" s="229"/>
      <c r="G640" s="333"/>
      <c r="H640" s="335"/>
      <c r="I640" s="229"/>
      <c r="J640" s="229"/>
      <c r="K640" s="336"/>
      <c r="L640" s="337"/>
      <c r="M640" s="337"/>
      <c r="N640" s="337"/>
      <c r="O640" s="337"/>
      <c r="P640" s="337"/>
      <c r="Q640" s="384">
        <v>8120</v>
      </c>
      <c r="R640" s="271">
        <f t="shared" si="45"/>
        <v>0</v>
      </c>
      <c r="S640" s="339">
        <f t="shared" si="44"/>
        <v>0</v>
      </c>
      <c r="T640" s="373"/>
      <c r="U640" s="373">
        <f>FA!K$100</f>
        <v>0</v>
      </c>
      <c r="V640" s="274"/>
      <c r="W640" s="374"/>
      <c r="X640" s="375"/>
      <c r="Y640" s="385" t="s">
        <v>625</v>
      </c>
      <c r="Z640" s="376"/>
      <c r="AA640" s="240"/>
      <c r="AB640" s="345">
        <v>1</v>
      </c>
      <c r="AC640" s="271"/>
      <c r="AD640" s="272"/>
      <c r="AE640" s="273"/>
      <c r="AF640" s="273"/>
      <c r="AG640" s="274"/>
      <c r="AH640" s="275"/>
      <c r="AI640" s="272"/>
      <c r="AJ640" s="276"/>
      <c r="AK640" s="277"/>
      <c r="AL640" s="278"/>
      <c r="AM640" s="277"/>
      <c r="AN640" s="279"/>
      <c r="AO640" s="279"/>
      <c r="AP640" s="279"/>
      <c r="AQ640" s="378"/>
      <c r="AR640" s="305">
        <f>'预算书-初步'!$F$10</f>
        <v>0.09</v>
      </c>
      <c r="AT640" s="272"/>
      <c r="BC640" s="272" t="s">
        <v>521</v>
      </c>
      <c r="BD640" s="380">
        <v>1089</v>
      </c>
      <c r="BE640" s="347" t="s">
        <v>702</v>
      </c>
    </row>
    <row r="641" s="52" customFormat="1" ht="15.75" customHeight="1" spans="1:57">
      <c r="A641" s="227"/>
      <c r="B641" s="332"/>
      <c r="C641" s="228"/>
      <c r="D641" s="333"/>
      <c r="E641" s="334"/>
      <c r="F641" s="229"/>
      <c r="G641" s="333"/>
      <c r="H641" s="335"/>
      <c r="I641" s="229"/>
      <c r="J641" s="229"/>
      <c r="K641" s="336"/>
      <c r="L641" s="337"/>
      <c r="M641" s="337"/>
      <c r="N641" s="337"/>
      <c r="O641" s="337"/>
      <c r="P641" s="337"/>
      <c r="Q641" s="384">
        <v>8130</v>
      </c>
      <c r="R641" s="271">
        <f t="shared" si="45"/>
        <v>0</v>
      </c>
      <c r="S641" s="339">
        <f t="shared" si="44"/>
        <v>0</v>
      </c>
      <c r="T641" s="373"/>
      <c r="U641" s="373">
        <f>FA!K$101</f>
        <v>0</v>
      </c>
      <c r="V641" s="274"/>
      <c r="W641" s="374"/>
      <c r="X641" s="375"/>
      <c r="Y641" s="365" t="s">
        <v>626</v>
      </c>
      <c r="Z641" s="376"/>
      <c r="AA641" s="240"/>
      <c r="AB641" s="345">
        <v>1</v>
      </c>
      <c r="AC641" s="271"/>
      <c r="AD641" s="272"/>
      <c r="AE641" s="273"/>
      <c r="AF641" s="273"/>
      <c r="AG641" s="274"/>
      <c r="AH641" s="275"/>
      <c r="AI641" s="272"/>
      <c r="AJ641" s="276"/>
      <c r="AK641" s="277"/>
      <c r="AL641" s="278"/>
      <c r="AM641" s="277"/>
      <c r="AN641" s="279"/>
      <c r="AO641" s="279"/>
      <c r="AP641" s="279"/>
      <c r="AQ641" s="378"/>
      <c r="AR641" s="305">
        <f>'预算书-初步'!$F$10</f>
        <v>0.09</v>
      </c>
      <c r="AT641" s="272"/>
      <c r="BC641" s="272" t="s">
        <v>521</v>
      </c>
      <c r="BD641" s="380">
        <v>1090</v>
      </c>
      <c r="BE641" s="347" t="s">
        <v>702</v>
      </c>
    </row>
    <row r="642" s="52" customFormat="1" ht="15.75" customHeight="1" spans="1:57">
      <c r="A642" s="227"/>
      <c r="B642" s="332"/>
      <c r="C642" s="228"/>
      <c r="D642" s="333"/>
      <c r="E642" s="334"/>
      <c r="F642" s="229"/>
      <c r="G642" s="333"/>
      <c r="H642" s="335"/>
      <c r="I642" s="229"/>
      <c r="J642" s="229"/>
      <c r="K642" s="336"/>
      <c r="L642" s="337"/>
      <c r="M642" s="337"/>
      <c r="N642" s="337"/>
      <c r="O642" s="337"/>
      <c r="P642" s="337"/>
      <c r="Q642" s="384">
        <v>8140</v>
      </c>
      <c r="R642" s="271">
        <f t="shared" si="45"/>
        <v>0</v>
      </c>
      <c r="S642" s="339">
        <f t="shared" ref="S642:S687" si="49">$S$5</f>
        <v>0</v>
      </c>
      <c r="T642" s="373"/>
      <c r="U642" s="373">
        <f>FA!K$102</f>
        <v>0</v>
      </c>
      <c r="V642" s="274"/>
      <c r="W642" s="374"/>
      <c r="X642" s="375"/>
      <c r="Y642" s="385" t="s">
        <v>627</v>
      </c>
      <c r="Z642" s="376"/>
      <c r="AA642" s="240"/>
      <c r="AB642" s="345">
        <v>1</v>
      </c>
      <c r="AC642" s="271"/>
      <c r="AD642" s="272"/>
      <c r="AE642" s="273"/>
      <c r="AF642" s="273"/>
      <c r="AG642" s="274"/>
      <c r="AH642" s="275"/>
      <c r="AI642" s="272"/>
      <c r="AJ642" s="276"/>
      <c r="AK642" s="277"/>
      <c r="AL642" s="278"/>
      <c r="AM642" s="277"/>
      <c r="AN642" s="279"/>
      <c r="AO642" s="279"/>
      <c r="AP642" s="279"/>
      <c r="AQ642" s="378"/>
      <c r="AR642" s="305">
        <f>'预算书-初步'!$F$10</f>
        <v>0.09</v>
      </c>
      <c r="AT642" s="272"/>
      <c r="BC642" s="272" t="s">
        <v>521</v>
      </c>
      <c r="BD642" s="380">
        <v>1091</v>
      </c>
      <c r="BE642" s="347" t="s">
        <v>702</v>
      </c>
    </row>
    <row r="643" s="52" customFormat="1" ht="15.75" customHeight="1" spans="1:57">
      <c r="A643" s="227"/>
      <c r="B643" s="332"/>
      <c r="C643" s="228"/>
      <c r="D643" s="333"/>
      <c r="E643" s="334"/>
      <c r="F643" s="229"/>
      <c r="G643" s="333"/>
      <c r="H643" s="335"/>
      <c r="I643" s="229"/>
      <c r="J643" s="229"/>
      <c r="K643" s="336"/>
      <c r="L643" s="337"/>
      <c r="M643" s="337"/>
      <c r="N643" s="337"/>
      <c r="O643" s="337"/>
      <c r="P643" s="337"/>
      <c r="Q643" s="384">
        <v>8150</v>
      </c>
      <c r="R643" s="271">
        <f t="shared" si="45"/>
        <v>0</v>
      </c>
      <c r="S643" s="339">
        <f t="shared" si="49"/>
        <v>0</v>
      </c>
      <c r="T643" s="373"/>
      <c r="U643" s="373">
        <f>FA!K$103</f>
        <v>0</v>
      </c>
      <c r="V643" s="274"/>
      <c r="W643" s="374"/>
      <c r="X643" s="375"/>
      <c r="Y643" s="365" t="s">
        <v>628</v>
      </c>
      <c r="Z643" s="376"/>
      <c r="AA643" s="240"/>
      <c r="AB643" s="345">
        <v>1</v>
      </c>
      <c r="AC643" s="271"/>
      <c r="AD643" s="272"/>
      <c r="AE643" s="273"/>
      <c r="AF643" s="273"/>
      <c r="AG643" s="274"/>
      <c r="AH643" s="275"/>
      <c r="AI643" s="272"/>
      <c r="AJ643" s="276"/>
      <c r="AK643" s="277"/>
      <c r="AL643" s="278"/>
      <c r="AM643" s="277"/>
      <c r="AN643" s="279"/>
      <c r="AO643" s="279"/>
      <c r="AP643" s="279"/>
      <c r="AQ643" s="378"/>
      <c r="AR643" s="305">
        <f>'预算书-初步'!$F$10</f>
        <v>0.09</v>
      </c>
      <c r="AT643" s="272"/>
      <c r="BC643" s="272" t="s">
        <v>521</v>
      </c>
      <c r="BD643" s="380">
        <v>1092</v>
      </c>
      <c r="BE643" s="347" t="s">
        <v>702</v>
      </c>
    </row>
    <row r="644" s="52" customFormat="1" ht="15.75" customHeight="1" spans="1:57">
      <c r="A644" s="227"/>
      <c r="B644" s="332"/>
      <c r="C644" s="228"/>
      <c r="D644" s="333"/>
      <c r="E644" s="334"/>
      <c r="F644" s="229"/>
      <c r="G644" s="333"/>
      <c r="H644" s="335"/>
      <c r="I644" s="229"/>
      <c r="J644" s="229"/>
      <c r="K644" s="336"/>
      <c r="L644" s="337"/>
      <c r="M644" s="337"/>
      <c r="N644" s="337"/>
      <c r="O644" s="337"/>
      <c r="P644" s="337"/>
      <c r="Q644" s="384">
        <v>8160</v>
      </c>
      <c r="R644" s="271">
        <f t="shared" si="45"/>
        <v>0</v>
      </c>
      <c r="S644" s="339">
        <f t="shared" si="49"/>
        <v>0</v>
      </c>
      <c r="T644" s="373"/>
      <c r="U644" s="373">
        <f>FA!K$104</f>
        <v>0</v>
      </c>
      <c r="V644" s="274"/>
      <c r="W644" s="374"/>
      <c r="X644" s="375"/>
      <c r="Y644" s="365" t="s">
        <v>629</v>
      </c>
      <c r="Z644" s="376"/>
      <c r="AA644" s="240"/>
      <c r="AB644" s="345">
        <v>1</v>
      </c>
      <c r="AC644" s="271"/>
      <c r="AD644" s="272"/>
      <c r="AE644" s="273"/>
      <c r="AF644" s="273"/>
      <c r="AG644" s="274"/>
      <c r="AH644" s="275"/>
      <c r="AI644" s="272"/>
      <c r="AJ644" s="276"/>
      <c r="AK644" s="277"/>
      <c r="AL644" s="278"/>
      <c r="AM644" s="277"/>
      <c r="AN644" s="279"/>
      <c r="AO644" s="279"/>
      <c r="AP644" s="279"/>
      <c r="AQ644" s="378"/>
      <c r="AR644" s="305">
        <f>'预算书-初步'!$F$10</f>
        <v>0.09</v>
      </c>
      <c r="AT644" s="272"/>
      <c r="BC644" s="272" t="s">
        <v>521</v>
      </c>
      <c r="BD644" s="380">
        <v>1093</v>
      </c>
      <c r="BE644" s="347" t="s">
        <v>702</v>
      </c>
    </row>
    <row r="645" s="52" customFormat="1" ht="15.75" customHeight="1" spans="1:57">
      <c r="A645" s="227"/>
      <c r="B645" s="332"/>
      <c r="C645" s="228"/>
      <c r="D645" s="333"/>
      <c r="E645" s="334"/>
      <c r="F645" s="229"/>
      <c r="G645" s="333"/>
      <c r="H645" s="335"/>
      <c r="I645" s="229"/>
      <c r="J645" s="229"/>
      <c r="K645" s="336"/>
      <c r="L645" s="337"/>
      <c r="M645" s="337"/>
      <c r="N645" s="337"/>
      <c r="O645" s="337"/>
      <c r="P645" s="337"/>
      <c r="Q645" s="384">
        <v>8170</v>
      </c>
      <c r="R645" s="271">
        <f t="shared" si="45"/>
        <v>0</v>
      </c>
      <c r="S645" s="339">
        <f t="shared" si="49"/>
        <v>0</v>
      </c>
      <c r="T645" s="373"/>
      <c r="U645" s="373">
        <f>FA!K$105</f>
        <v>0</v>
      </c>
      <c r="V645" s="274"/>
      <c r="W645" s="374"/>
      <c r="X645" s="375"/>
      <c r="Y645" s="365" t="s">
        <v>630</v>
      </c>
      <c r="Z645" s="376"/>
      <c r="AA645" s="240"/>
      <c r="AB645" s="345">
        <v>1</v>
      </c>
      <c r="AC645" s="271"/>
      <c r="AD645" s="272"/>
      <c r="AE645" s="273"/>
      <c r="AF645" s="273"/>
      <c r="AG645" s="274"/>
      <c r="AH645" s="275"/>
      <c r="AI645" s="272"/>
      <c r="AJ645" s="276"/>
      <c r="AK645" s="277"/>
      <c r="AL645" s="278"/>
      <c r="AM645" s="277"/>
      <c r="AN645" s="279"/>
      <c r="AO645" s="279"/>
      <c r="AP645" s="279"/>
      <c r="AQ645" s="378"/>
      <c r="AR645" s="305">
        <f>'预算书-初步'!$F$10</f>
        <v>0.09</v>
      </c>
      <c r="AT645" s="272"/>
      <c r="BC645" s="272" t="s">
        <v>521</v>
      </c>
      <c r="BD645" s="380">
        <v>1094</v>
      </c>
      <c r="BE645" s="347" t="s">
        <v>702</v>
      </c>
    </row>
    <row r="646" s="52" customFormat="1" ht="15.75" customHeight="1" spans="1:57">
      <c r="A646" s="227"/>
      <c r="B646" s="332"/>
      <c r="C646" s="228"/>
      <c r="D646" s="333"/>
      <c r="E646" s="334"/>
      <c r="F646" s="229"/>
      <c r="G646" s="333"/>
      <c r="H646" s="335"/>
      <c r="I646" s="229"/>
      <c r="J646" s="229"/>
      <c r="K646" s="336"/>
      <c r="L646" s="337"/>
      <c r="M646" s="337"/>
      <c r="N646" s="337"/>
      <c r="O646" s="337"/>
      <c r="P646" s="337"/>
      <c r="Q646" s="384">
        <v>8180</v>
      </c>
      <c r="R646" s="271">
        <f t="shared" ref="R646:R709" si="50">ROUND(U646*(1+AR646),0)</f>
        <v>0</v>
      </c>
      <c r="S646" s="339">
        <f t="shared" si="49"/>
        <v>0</v>
      </c>
      <c r="T646" s="373"/>
      <c r="U646" s="373">
        <f>FA!K$106</f>
        <v>0</v>
      </c>
      <c r="V646" s="274"/>
      <c r="W646" s="374"/>
      <c r="X646" s="375"/>
      <c r="Y646" s="386" t="s">
        <v>631</v>
      </c>
      <c r="Z646" s="376"/>
      <c r="AA646" s="240"/>
      <c r="AB646" s="345">
        <v>1</v>
      </c>
      <c r="AC646" s="271"/>
      <c r="AD646" s="272"/>
      <c r="AE646" s="273"/>
      <c r="AF646" s="273"/>
      <c r="AG646" s="274"/>
      <c r="AH646" s="275"/>
      <c r="AI646" s="272"/>
      <c r="AJ646" s="276"/>
      <c r="AK646" s="277"/>
      <c r="AL646" s="278"/>
      <c r="AM646" s="277"/>
      <c r="AN646" s="279"/>
      <c r="AO646" s="279"/>
      <c r="AP646" s="279"/>
      <c r="AQ646" s="378"/>
      <c r="AR646" s="305">
        <f>'预算书-初步'!$F$10</f>
        <v>0.09</v>
      </c>
      <c r="AT646" s="272"/>
      <c r="BC646" s="272" t="s">
        <v>521</v>
      </c>
      <c r="BD646" s="380">
        <v>1095</v>
      </c>
      <c r="BE646" s="347" t="s">
        <v>702</v>
      </c>
    </row>
    <row r="647" s="52" customFormat="1" ht="15.75" customHeight="1" spans="1:57">
      <c r="A647" s="227"/>
      <c r="B647" s="332"/>
      <c r="C647" s="228"/>
      <c r="D647" s="333"/>
      <c r="E647" s="334"/>
      <c r="F647" s="229"/>
      <c r="G647" s="333"/>
      <c r="H647" s="335"/>
      <c r="I647" s="229"/>
      <c r="J647" s="229"/>
      <c r="K647" s="336"/>
      <c r="L647" s="337"/>
      <c r="M647" s="337"/>
      <c r="N647" s="337"/>
      <c r="O647" s="337"/>
      <c r="P647" s="337"/>
      <c r="Q647" s="384">
        <v>8190</v>
      </c>
      <c r="R647" s="271">
        <f t="shared" si="50"/>
        <v>0</v>
      </c>
      <c r="S647" s="339">
        <f t="shared" si="49"/>
        <v>0</v>
      </c>
      <c r="T647" s="373"/>
      <c r="U647" s="373">
        <f>FA!K$107</f>
        <v>0</v>
      </c>
      <c r="V647" s="274"/>
      <c r="W647" s="374"/>
      <c r="X647" s="375"/>
      <c r="Y647" s="45" t="s">
        <v>632</v>
      </c>
      <c r="Z647" s="376"/>
      <c r="AA647" s="240"/>
      <c r="AB647" s="345">
        <v>1</v>
      </c>
      <c r="AC647" s="271"/>
      <c r="AD647" s="272"/>
      <c r="AE647" s="273"/>
      <c r="AF647" s="273"/>
      <c r="AG647" s="274"/>
      <c r="AH647" s="275"/>
      <c r="AI647" s="272"/>
      <c r="AJ647" s="276"/>
      <c r="AK647" s="277"/>
      <c r="AL647" s="278"/>
      <c r="AM647" s="277"/>
      <c r="AN647" s="279"/>
      <c r="AO647" s="279"/>
      <c r="AP647" s="279"/>
      <c r="AQ647" s="378"/>
      <c r="AR647" s="305">
        <f>'预算书-初步'!$F$10</f>
        <v>0.09</v>
      </c>
      <c r="AT647" s="272"/>
      <c r="BC647" s="272" t="s">
        <v>521</v>
      </c>
      <c r="BD647" s="380">
        <v>1096</v>
      </c>
      <c r="BE647" s="347" t="s">
        <v>702</v>
      </c>
    </row>
    <row r="648" s="52" customFormat="1" ht="15.75" customHeight="1" spans="1:57">
      <c r="A648" s="227"/>
      <c r="B648" s="332"/>
      <c r="C648" s="228"/>
      <c r="D648" s="333"/>
      <c r="E648" s="334"/>
      <c r="F648" s="229"/>
      <c r="G648" s="333"/>
      <c r="H648" s="335"/>
      <c r="I648" s="229"/>
      <c r="J648" s="229"/>
      <c r="K648" s="336"/>
      <c r="L648" s="337"/>
      <c r="M648" s="337"/>
      <c r="N648" s="337"/>
      <c r="O648" s="337"/>
      <c r="P648" s="337"/>
      <c r="Q648" s="381">
        <v>8210</v>
      </c>
      <c r="R648" s="271">
        <f t="shared" si="50"/>
        <v>0</v>
      </c>
      <c r="S648" s="339">
        <f t="shared" si="49"/>
        <v>0</v>
      </c>
      <c r="T648" s="373"/>
      <c r="U648" s="373">
        <f>SUMIF(其他!$A$9:$A$65,"8210",其他!$K$9:K$65)</f>
        <v>0</v>
      </c>
      <c r="V648" s="274"/>
      <c r="W648" s="374"/>
      <c r="X648" s="375"/>
      <c r="Y648" s="45" t="s">
        <v>633</v>
      </c>
      <c r="Z648" s="376"/>
      <c r="AA648" s="240"/>
      <c r="AB648" s="345">
        <v>1</v>
      </c>
      <c r="AC648" s="271"/>
      <c r="AD648" s="272"/>
      <c r="AE648" s="273"/>
      <c r="AF648" s="273"/>
      <c r="AG648" s="274"/>
      <c r="AH648" s="275"/>
      <c r="AI648" s="272"/>
      <c r="AJ648" s="276"/>
      <c r="AK648" s="277"/>
      <c r="AL648" s="278"/>
      <c r="AM648" s="277"/>
      <c r="AN648" s="279"/>
      <c r="AO648" s="279"/>
      <c r="AP648" s="279"/>
      <c r="AQ648" s="378"/>
      <c r="AR648" s="305">
        <f>'预算书-初步'!$F$10</f>
        <v>0.09</v>
      </c>
      <c r="AT648" s="272"/>
      <c r="BC648" s="272" t="s">
        <v>521</v>
      </c>
      <c r="BD648" s="380">
        <v>1098</v>
      </c>
      <c r="BE648" s="347" t="s">
        <v>702</v>
      </c>
    </row>
    <row r="649" s="52" customFormat="1" ht="15.75" customHeight="1" spans="1:57">
      <c r="A649" s="227"/>
      <c r="B649" s="332"/>
      <c r="C649" s="228"/>
      <c r="D649" s="333"/>
      <c r="E649" s="334"/>
      <c r="F649" s="229"/>
      <c r="G649" s="333"/>
      <c r="H649" s="335"/>
      <c r="I649" s="229"/>
      <c r="J649" s="229"/>
      <c r="K649" s="336"/>
      <c r="L649" s="337"/>
      <c r="M649" s="337"/>
      <c r="N649" s="337"/>
      <c r="O649" s="337"/>
      <c r="P649" s="337"/>
      <c r="Q649" s="381">
        <v>8220</v>
      </c>
      <c r="R649" s="271">
        <f t="shared" si="50"/>
        <v>0</v>
      </c>
      <c r="S649" s="339">
        <f t="shared" si="49"/>
        <v>0</v>
      </c>
      <c r="T649" s="373"/>
      <c r="U649" s="373">
        <f>SUMIF(其他!$A$9:$A$65,"8220",其他!$K$9:K$65)</f>
        <v>0</v>
      </c>
      <c r="V649" s="274"/>
      <c r="W649" s="374"/>
      <c r="X649" s="375"/>
      <c r="Y649" s="45" t="s">
        <v>634</v>
      </c>
      <c r="Z649" s="376"/>
      <c r="AA649" s="240"/>
      <c r="AB649" s="345">
        <v>1</v>
      </c>
      <c r="AC649" s="271"/>
      <c r="AD649" s="272"/>
      <c r="AE649" s="273"/>
      <c r="AF649" s="273"/>
      <c r="AG649" s="274"/>
      <c r="AH649" s="275"/>
      <c r="AI649" s="272"/>
      <c r="AJ649" s="276"/>
      <c r="AK649" s="277"/>
      <c r="AL649" s="278"/>
      <c r="AM649" s="277"/>
      <c r="AN649" s="279"/>
      <c r="AO649" s="279"/>
      <c r="AP649" s="279"/>
      <c r="AQ649" s="378"/>
      <c r="AR649" s="305">
        <f>'预算书-初步'!$F$10</f>
        <v>0.09</v>
      </c>
      <c r="AT649" s="272"/>
      <c r="BC649" s="272" t="s">
        <v>521</v>
      </c>
      <c r="BD649" s="380">
        <v>1098</v>
      </c>
      <c r="BE649" s="347" t="s">
        <v>702</v>
      </c>
    </row>
    <row r="650" s="52" customFormat="1" ht="15.75" customHeight="1" spans="1:57">
      <c r="A650" s="227"/>
      <c r="B650" s="332"/>
      <c r="C650" s="228"/>
      <c r="D650" s="333"/>
      <c r="E650" s="334"/>
      <c r="F650" s="229"/>
      <c r="G650" s="333"/>
      <c r="H650" s="335"/>
      <c r="I650" s="229"/>
      <c r="J650" s="229"/>
      <c r="K650" s="336"/>
      <c r="L650" s="337"/>
      <c r="M650" s="337"/>
      <c r="N650" s="337"/>
      <c r="O650" s="337"/>
      <c r="P650" s="337"/>
      <c r="Q650" s="381">
        <v>8230</v>
      </c>
      <c r="R650" s="271">
        <f t="shared" si="50"/>
        <v>0</v>
      </c>
      <c r="S650" s="339">
        <f t="shared" si="49"/>
        <v>0</v>
      </c>
      <c r="T650" s="373"/>
      <c r="U650" s="373">
        <f>SUMIF(其他!$A$9:$A$65,"8230",其他!$K$9:K$65)</f>
        <v>0</v>
      </c>
      <c r="V650" s="274"/>
      <c r="W650" s="374"/>
      <c r="X650" s="375"/>
      <c r="Y650" s="45" t="s">
        <v>635</v>
      </c>
      <c r="Z650" s="376"/>
      <c r="AA650" s="240"/>
      <c r="AB650" s="345">
        <v>1</v>
      </c>
      <c r="AC650" s="271"/>
      <c r="AD650" s="272"/>
      <c r="AE650" s="273"/>
      <c r="AF650" s="273"/>
      <c r="AG650" s="274"/>
      <c r="AH650" s="275"/>
      <c r="AI650" s="272"/>
      <c r="AJ650" s="276"/>
      <c r="AK650" s="277"/>
      <c r="AL650" s="278"/>
      <c r="AM650" s="277"/>
      <c r="AN650" s="279"/>
      <c r="AO650" s="279"/>
      <c r="AP650" s="279"/>
      <c r="AQ650" s="378"/>
      <c r="AR650" s="305">
        <f>'预算书-初步'!$F$10</f>
        <v>0.09</v>
      </c>
      <c r="AT650" s="272"/>
      <c r="BC650" s="272" t="s">
        <v>521</v>
      </c>
      <c r="BD650" s="380">
        <v>1098</v>
      </c>
      <c r="BE650" s="347" t="s">
        <v>702</v>
      </c>
    </row>
    <row r="651" s="52" customFormat="1" ht="15.75" customHeight="1" spans="1:57">
      <c r="A651" s="227"/>
      <c r="B651" s="332"/>
      <c r="C651" s="228"/>
      <c r="D651" s="333"/>
      <c r="E651" s="334"/>
      <c r="F651" s="229"/>
      <c r="G651" s="333"/>
      <c r="H651" s="335"/>
      <c r="I651" s="229"/>
      <c r="J651" s="229"/>
      <c r="K651" s="336"/>
      <c r="L651" s="337"/>
      <c r="M651" s="337"/>
      <c r="N651" s="337"/>
      <c r="O651" s="337"/>
      <c r="P651" s="337"/>
      <c r="Q651" s="381">
        <v>8240</v>
      </c>
      <c r="R651" s="271">
        <f t="shared" si="50"/>
        <v>0</v>
      </c>
      <c r="S651" s="339">
        <f t="shared" si="49"/>
        <v>0</v>
      </c>
      <c r="T651" s="373"/>
      <c r="U651" s="373">
        <f>FA!K$110</f>
        <v>0</v>
      </c>
      <c r="V651" s="274"/>
      <c r="W651" s="374"/>
      <c r="X651" s="375"/>
      <c r="Y651" s="45" t="s">
        <v>636</v>
      </c>
      <c r="Z651" s="376"/>
      <c r="AA651" s="240"/>
      <c r="AB651" s="345">
        <v>1</v>
      </c>
      <c r="AC651" s="271"/>
      <c r="AD651" s="272"/>
      <c r="AE651" s="273"/>
      <c r="AF651" s="273"/>
      <c r="AG651" s="274"/>
      <c r="AH651" s="275"/>
      <c r="AI651" s="272"/>
      <c r="AJ651" s="276"/>
      <c r="AK651" s="277"/>
      <c r="AL651" s="278"/>
      <c r="AM651" s="277"/>
      <c r="AN651" s="279"/>
      <c r="AO651" s="279"/>
      <c r="AP651" s="279"/>
      <c r="AQ651" s="378"/>
      <c r="AR651" s="305">
        <f>'预算书-初步'!$F$10</f>
        <v>0.09</v>
      </c>
      <c r="AT651" s="272"/>
      <c r="BC651" s="272" t="s">
        <v>521</v>
      </c>
      <c r="BD651" s="380">
        <v>1099</v>
      </c>
      <c r="BE651" s="347" t="s">
        <v>702</v>
      </c>
    </row>
    <row r="652" s="52" customFormat="1" ht="15.75" customHeight="1" spans="1:57">
      <c r="A652" s="227"/>
      <c r="B652" s="332"/>
      <c r="C652" s="228"/>
      <c r="D652" s="333"/>
      <c r="E652" s="334"/>
      <c r="F652" s="229"/>
      <c r="G652" s="333"/>
      <c r="H652" s="335"/>
      <c r="I652" s="229"/>
      <c r="J652" s="229"/>
      <c r="K652" s="336"/>
      <c r="L652" s="337"/>
      <c r="M652" s="337"/>
      <c r="N652" s="337"/>
      <c r="O652" s="337"/>
      <c r="P652" s="337"/>
      <c r="Q652" s="381">
        <v>8250</v>
      </c>
      <c r="R652" s="271">
        <f t="shared" si="50"/>
        <v>0</v>
      </c>
      <c r="S652" s="339">
        <f t="shared" si="49"/>
        <v>0</v>
      </c>
      <c r="T652" s="373"/>
      <c r="U652" s="373">
        <f>FA!K$111</f>
        <v>0</v>
      </c>
      <c r="V652" s="274"/>
      <c r="W652" s="374"/>
      <c r="X652" s="375"/>
      <c r="Y652" s="45" t="s">
        <v>637</v>
      </c>
      <c r="Z652" s="376"/>
      <c r="AA652" s="240"/>
      <c r="AB652" s="345">
        <v>1</v>
      </c>
      <c r="AC652" s="271"/>
      <c r="AD652" s="272"/>
      <c r="AE652" s="273"/>
      <c r="AF652" s="273"/>
      <c r="AG652" s="274"/>
      <c r="AH652" s="275"/>
      <c r="AI652" s="272"/>
      <c r="AJ652" s="276"/>
      <c r="AK652" s="277"/>
      <c r="AL652" s="278"/>
      <c r="AM652" s="277"/>
      <c r="AN652" s="279"/>
      <c r="AO652" s="279"/>
      <c r="AP652" s="279"/>
      <c r="AQ652" s="378"/>
      <c r="AR652" s="305">
        <f>'预算书-初步'!$F$10</f>
        <v>0.09</v>
      </c>
      <c r="AT652" s="272"/>
      <c r="BC652" s="272" t="s">
        <v>521</v>
      </c>
      <c r="BD652" s="380">
        <v>1100</v>
      </c>
      <c r="BE652" s="347" t="s">
        <v>702</v>
      </c>
    </row>
    <row r="653" s="52" customFormat="1" ht="15.75" customHeight="1" spans="1:57">
      <c r="A653" s="227"/>
      <c r="B653" s="332"/>
      <c r="C653" s="228"/>
      <c r="D653" s="333"/>
      <c r="E653" s="334"/>
      <c r="F653" s="229"/>
      <c r="G653" s="333"/>
      <c r="H653" s="335"/>
      <c r="I653" s="229"/>
      <c r="J653" s="229"/>
      <c r="K653" s="336"/>
      <c r="L653" s="337"/>
      <c r="M653" s="337"/>
      <c r="N653" s="337"/>
      <c r="O653" s="337"/>
      <c r="P653" s="337"/>
      <c r="Q653" s="384">
        <v>8260</v>
      </c>
      <c r="R653" s="271">
        <f t="shared" si="50"/>
        <v>0</v>
      </c>
      <c r="S653" s="339">
        <f t="shared" si="49"/>
        <v>0</v>
      </c>
      <c r="T653" s="373"/>
      <c r="U653" s="373">
        <f>FA!K$112</f>
        <v>0</v>
      </c>
      <c r="V653" s="274"/>
      <c r="W653" s="374"/>
      <c r="X653" s="375"/>
      <c r="Y653" s="45" t="s">
        <v>638</v>
      </c>
      <c r="Z653" s="376"/>
      <c r="AA653" s="240"/>
      <c r="AB653" s="345">
        <v>1</v>
      </c>
      <c r="AC653" s="271"/>
      <c r="AD653" s="272"/>
      <c r="AE653" s="273"/>
      <c r="AF653" s="273"/>
      <c r="AG653" s="274"/>
      <c r="AH653" s="275"/>
      <c r="AI653" s="272"/>
      <c r="AJ653" s="276"/>
      <c r="AK653" s="277"/>
      <c r="AL653" s="278"/>
      <c r="AM653" s="277"/>
      <c r="AN653" s="279"/>
      <c r="AO653" s="279"/>
      <c r="AP653" s="279"/>
      <c r="AQ653" s="378"/>
      <c r="AR653" s="305">
        <f>'预算书-初步'!$F$10</f>
        <v>0.09</v>
      </c>
      <c r="AT653" s="272"/>
      <c r="BC653" s="272" t="s">
        <v>521</v>
      </c>
      <c r="BD653" s="380">
        <v>1101</v>
      </c>
      <c r="BE653" s="347" t="s">
        <v>702</v>
      </c>
    </row>
    <row r="654" s="52" customFormat="1" ht="15.75" customHeight="1" spans="1:57">
      <c r="A654" s="227"/>
      <c r="B654" s="332"/>
      <c r="C654" s="228"/>
      <c r="D654" s="333"/>
      <c r="E654" s="334"/>
      <c r="F654" s="229"/>
      <c r="G654" s="333"/>
      <c r="H654" s="335"/>
      <c r="I654" s="229"/>
      <c r="J654" s="229"/>
      <c r="K654" s="336"/>
      <c r="L654" s="337"/>
      <c r="M654" s="337"/>
      <c r="N654" s="337"/>
      <c r="O654" s="337"/>
      <c r="P654" s="337"/>
      <c r="Q654" s="384">
        <v>8431</v>
      </c>
      <c r="R654" s="271">
        <f t="shared" si="50"/>
        <v>0</v>
      </c>
      <c r="S654" s="339">
        <f t="shared" si="49"/>
        <v>0</v>
      </c>
      <c r="T654" s="373"/>
      <c r="U654" s="373">
        <f>SUMIF(其他!$A$9:$A$65,"8431",其他!$K$9:K$65)</f>
        <v>0</v>
      </c>
      <c r="V654" s="274"/>
      <c r="W654" s="374"/>
      <c r="X654" s="375"/>
      <c r="Y654" s="45" t="s">
        <v>639</v>
      </c>
      <c r="Z654" s="376"/>
      <c r="AA654" s="240"/>
      <c r="AB654" s="345">
        <v>1</v>
      </c>
      <c r="AC654" s="271"/>
      <c r="AD654" s="272"/>
      <c r="AE654" s="273"/>
      <c r="AF654" s="273"/>
      <c r="AG654" s="274"/>
      <c r="AH654" s="275"/>
      <c r="AI654" s="272"/>
      <c r="AJ654" s="276"/>
      <c r="AK654" s="277"/>
      <c r="AL654" s="278"/>
      <c r="AM654" s="277"/>
      <c r="AN654" s="279"/>
      <c r="AO654" s="279"/>
      <c r="AP654" s="279"/>
      <c r="AQ654" s="378"/>
      <c r="AR654" s="305">
        <f>'预算书-初步'!$F$10</f>
        <v>0.09</v>
      </c>
      <c r="AT654" s="272"/>
      <c r="BC654" s="272" t="s">
        <v>521</v>
      </c>
      <c r="BD654" s="380">
        <v>1102</v>
      </c>
      <c r="BE654" s="347" t="s">
        <v>702</v>
      </c>
    </row>
    <row r="655" s="52" customFormat="1" ht="15.75" customHeight="1" spans="1:57">
      <c r="A655" s="227"/>
      <c r="B655" s="332"/>
      <c r="C655" s="228"/>
      <c r="D655" s="333"/>
      <c r="E655" s="334"/>
      <c r="F655" s="229"/>
      <c r="G655" s="333"/>
      <c r="H655" s="335"/>
      <c r="I655" s="229"/>
      <c r="J655" s="229"/>
      <c r="K655" s="336"/>
      <c r="L655" s="337"/>
      <c r="M655" s="337"/>
      <c r="N655" s="337"/>
      <c r="O655" s="337"/>
      <c r="P655" s="337"/>
      <c r="Q655" s="384">
        <v>8432</v>
      </c>
      <c r="R655" s="271">
        <f t="shared" si="50"/>
        <v>0</v>
      </c>
      <c r="S655" s="339">
        <f t="shared" si="49"/>
        <v>0</v>
      </c>
      <c r="T655" s="373"/>
      <c r="U655" s="373">
        <f>SUMIF(其他!$A$9:$A$65,"8432",其他!$K$9:K$65)</f>
        <v>0</v>
      </c>
      <c r="V655" s="274"/>
      <c r="W655" s="374"/>
      <c r="X655" s="375"/>
      <c r="Y655" s="45" t="s">
        <v>640</v>
      </c>
      <c r="Z655" s="376"/>
      <c r="AA655" s="240"/>
      <c r="AB655" s="345">
        <v>1</v>
      </c>
      <c r="AC655" s="271"/>
      <c r="AD655" s="272"/>
      <c r="AE655" s="273"/>
      <c r="AF655" s="273"/>
      <c r="AG655" s="274"/>
      <c r="AH655" s="275"/>
      <c r="AI655" s="272"/>
      <c r="AJ655" s="276"/>
      <c r="AK655" s="277"/>
      <c r="AL655" s="278"/>
      <c r="AM655" s="277"/>
      <c r="AN655" s="279"/>
      <c r="AO655" s="279"/>
      <c r="AP655" s="279"/>
      <c r="AQ655" s="378"/>
      <c r="AR655" s="305">
        <f>'预算书-初步'!$F$10</f>
        <v>0.09</v>
      </c>
      <c r="AT655" s="272"/>
      <c r="BC655" s="272" t="s">
        <v>521</v>
      </c>
      <c r="BD655" s="380">
        <v>1102</v>
      </c>
      <c r="BE655" s="347" t="s">
        <v>702</v>
      </c>
    </row>
    <row r="656" s="52" customFormat="1" ht="15.75" customHeight="1" spans="1:57">
      <c r="A656" s="227"/>
      <c r="B656" s="332"/>
      <c r="C656" s="228"/>
      <c r="D656" s="333"/>
      <c r="E656" s="334"/>
      <c r="F656" s="229"/>
      <c r="G656" s="333"/>
      <c r="H656" s="335"/>
      <c r="I656" s="229"/>
      <c r="J656" s="229"/>
      <c r="K656" s="336"/>
      <c r="L656" s="337"/>
      <c r="M656" s="337"/>
      <c r="N656" s="337"/>
      <c r="O656" s="337"/>
      <c r="P656" s="337"/>
      <c r="Q656" s="384">
        <v>8433</v>
      </c>
      <c r="R656" s="271">
        <f t="shared" si="50"/>
        <v>0</v>
      </c>
      <c r="S656" s="339">
        <f t="shared" si="49"/>
        <v>0</v>
      </c>
      <c r="T656" s="373"/>
      <c r="U656" s="373">
        <f>SUMIF(其他!$A$9:$A$65,"8433",其他!$K$9:K$65)</f>
        <v>0</v>
      </c>
      <c r="V656" s="274"/>
      <c r="W656" s="374"/>
      <c r="X656" s="375"/>
      <c r="Y656" s="45" t="s">
        <v>641</v>
      </c>
      <c r="Z656" s="376"/>
      <c r="AA656" s="240"/>
      <c r="AB656" s="345">
        <v>1</v>
      </c>
      <c r="AC656" s="271"/>
      <c r="AD656" s="272"/>
      <c r="AE656" s="273"/>
      <c r="AF656" s="273"/>
      <c r="AG656" s="274"/>
      <c r="AH656" s="275"/>
      <c r="AI656" s="272"/>
      <c r="AJ656" s="276"/>
      <c r="AK656" s="277"/>
      <c r="AL656" s="278"/>
      <c r="AM656" s="277"/>
      <c r="AN656" s="279"/>
      <c r="AO656" s="279"/>
      <c r="AP656" s="279"/>
      <c r="AQ656" s="378"/>
      <c r="AR656" s="305">
        <f>'预算书-初步'!$F$10</f>
        <v>0.09</v>
      </c>
      <c r="AT656" s="272"/>
      <c r="BC656" s="272" t="s">
        <v>521</v>
      </c>
      <c r="BD656" s="380">
        <v>1102</v>
      </c>
      <c r="BE656" s="347" t="s">
        <v>702</v>
      </c>
    </row>
    <row r="657" s="52" customFormat="1" ht="15.75" customHeight="1" spans="1:57">
      <c r="A657" s="227"/>
      <c r="B657" s="332"/>
      <c r="C657" s="228"/>
      <c r="D657" s="333"/>
      <c r="E657" s="334"/>
      <c r="F657" s="229"/>
      <c r="G657" s="333"/>
      <c r="H657" s="335"/>
      <c r="I657" s="229"/>
      <c r="J657" s="229"/>
      <c r="K657" s="336"/>
      <c r="L657" s="337"/>
      <c r="M657" s="337"/>
      <c r="N657" s="337"/>
      <c r="O657" s="337"/>
      <c r="P657" s="337"/>
      <c r="Q657" s="384">
        <v>8434</v>
      </c>
      <c r="R657" s="271">
        <f t="shared" si="50"/>
        <v>0</v>
      </c>
      <c r="S657" s="339">
        <f t="shared" si="49"/>
        <v>0</v>
      </c>
      <c r="T657" s="373"/>
      <c r="U657" s="373">
        <f>SUMIF(其他!$A$9:$A$65,"8434",其他!$K$9:K$65)</f>
        <v>0</v>
      </c>
      <c r="V657" s="274"/>
      <c r="W657" s="374"/>
      <c r="X657" s="375"/>
      <c r="Y657" s="386" t="s">
        <v>642</v>
      </c>
      <c r="Z657" s="376"/>
      <c r="AA657" s="240"/>
      <c r="AB657" s="345">
        <v>1</v>
      </c>
      <c r="AC657" s="271"/>
      <c r="AD657" s="272"/>
      <c r="AE657" s="273"/>
      <c r="AF657" s="273"/>
      <c r="AG657" s="274"/>
      <c r="AH657" s="275"/>
      <c r="AI657" s="272"/>
      <c r="AJ657" s="276"/>
      <c r="AK657" s="277"/>
      <c r="AL657" s="278"/>
      <c r="AM657" s="277"/>
      <c r="AN657" s="279"/>
      <c r="AO657" s="279"/>
      <c r="AP657" s="279"/>
      <c r="AQ657" s="378"/>
      <c r="AR657" s="305">
        <f>'预算书-初步'!$F$10</f>
        <v>0.09</v>
      </c>
      <c r="AT657" s="272"/>
      <c r="BC657" s="272" t="s">
        <v>521</v>
      </c>
      <c r="BD657" s="380">
        <v>1102</v>
      </c>
      <c r="BE657" s="347" t="s">
        <v>702</v>
      </c>
    </row>
    <row r="658" s="52" customFormat="1" ht="15.75" customHeight="1" spans="1:57">
      <c r="A658" s="227"/>
      <c r="B658" s="332"/>
      <c r="C658" s="228"/>
      <c r="D658" s="333"/>
      <c r="E658" s="334"/>
      <c r="F658" s="229"/>
      <c r="G658" s="333"/>
      <c r="H658" s="335"/>
      <c r="I658" s="229"/>
      <c r="J658" s="229"/>
      <c r="K658" s="336"/>
      <c r="L658" s="337"/>
      <c r="M658" s="337"/>
      <c r="N658" s="337"/>
      <c r="O658" s="337"/>
      <c r="P658" s="337"/>
      <c r="Q658" s="384">
        <v>8435</v>
      </c>
      <c r="R658" s="271">
        <f t="shared" si="50"/>
        <v>0</v>
      </c>
      <c r="S658" s="339">
        <f t="shared" si="49"/>
        <v>0</v>
      </c>
      <c r="T658" s="373"/>
      <c r="U658" s="373">
        <f>SUMIF(其他!$A$9:$A$65,"8435",其他!$K$9:K$65)</f>
        <v>0</v>
      </c>
      <c r="V658" s="274"/>
      <c r="W658" s="374"/>
      <c r="X658" s="375"/>
      <c r="Y658" s="385" t="s">
        <v>643</v>
      </c>
      <c r="Z658" s="376"/>
      <c r="AA658" s="240"/>
      <c r="AB658" s="345">
        <v>1</v>
      </c>
      <c r="AC658" s="271"/>
      <c r="AD658" s="272"/>
      <c r="AE658" s="273"/>
      <c r="AF658" s="273"/>
      <c r="AG658" s="274"/>
      <c r="AH658" s="275"/>
      <c r="AI658" s="272"/>
      <c r="AJ658" s="276"/>
      <c r="AK658" s="277"/>
      <c r="AL658" s="278"/>
      <c r="AM658" s="277"/>
      <c r="AN658" s="279"/>
      <c r="AO658" s="279"/>
      <c r="AP658" s="279"/>
      <c r="AQ658" s="378"/>
      <c r="AR658" s="305">
        <f>'预算书-初步'!$F$10</f>
        <v>0.09</v>
      </c>
      <c r="AT658" s="272"/>
      <c r="BC658" s="272" t="s">
        <v>521</v>
      </c>
      <c r="BD658" s="380">
        <v>1102</v>
      </c>
      <c r="BE658" s="347" t="s">
        <v>702</v>
      </c>
    </row>
    <row r="659" s="52" customFormat="1" ht="15.75" customHeight="1" spans="1:57">
      <c r="A659" s="227"/>
      <c r="B659" s="332"/>
      <c r="C659" s="228"/>
      <c r="D659" s="333"/>
      <c r="E659" s="334"/>
      <c r="F659" s="229"/>
      <c r="G659" s="333"/>
      <c r="H659" s="335"/>
      <c r="I659" s="229"/>
      <c r="J659" s="229"/>
      <c r="K659" s="336"/>
      <c r="L659" s="337"/>
      <c r="M659" s="337"/>
      <c r="N659" s="337"/>
      <c r="O659" s="337"/>
      <c r="P659" s="337"/>
      <c r="Q659" s="384">
        <v>8436</v>
      </c>
      <c r="R659" s="271">
        <f t="shared" si="50"/>
        <v>0</v>
      </c>
      <c r="S659" s="339">
        <f t="shared" si="49"/>
        <v>0</v>
      </c>
      <c r="T659" s="373"/>
      <c r="U659" s="373">
        <f>SUMIF(其他!$A$9:$A$65,"8436",其他!$K$9:K$65)</f>
        <v>0</v>
      </c>
      <c r="V659" s="274"/>
      <c r="W659" s="374"/>
      <c r="X659" s="375"/>
      <c r="Y659" s="385" t="s">
        <v>644</v>
      </c>
      <c r="Z659" s="376"/>
      <c r="AA659" s="240"/>
      <c r="AB659" s="345">
        <v>1</v>
      </c>
      <c r="AC659" s="271"/>
      <c r="AD659" s="272"/>
      <c r="AE659" s="273"/>
      <c r="AF659" s="273"/>
      <c r="AG659" s="274"/>
      <c r="AH659" s="275"/>
      <c r="AI659" s="272"/>
      <c r="AJ659" s="276"/>
      <c r="AK659" s="277"/>
      <c r="AL659" s="278"/>
      <c r="AM659" s="277"/>
      <c r="AN659" s="279"/>
      <c r="AO659" s="279"/>
      <c r="AP659" s="279"/>
      <c r="AQ659" s="378"/>
      <c r="AR659" s="305">
        <f>'预算书-初步'!$F$10</f>
        <v>0.09</v>
      </c>
      <c r="AT659" s="272"/>
      <c r="BC659" s="272" t="s">
        <v>521</v>
      </c>
      <c r="BD659" s="380">
        <v>1102</v>
      </c>
      <c r="BE659" s="347" t="s">
        <v>702</v>
      </c>
    </row>
    <row r="660" s="52" customFormat="1" ht="15.75" customHeight="1" spans="1:57">
      <c r="A660" s="227"/>
      <c r="B660" s="332"/>
      <c r="C660" s="228"/>
      <c r="D660" s="333"/>
      <c r="E660" s="334"/>
      <c r="F660" s="229"/>
      <c r="G660" s="333"/>
      <c r="H660" s="335"/>
      <c r="I660" s="229"/>
      <c r="J660" s="229"/>
      <c r="K660" s="336"/>
      <c r="L660" s="337"/>
      <c r="M660" s="337"/>
      <c r="N660" s="337"/>
      <c r="O660" s="337"/>
      <c r="P660" s="337"/>
      <c r="Q660" s="384">
        <v>8280</v>
      </c>
      <c r="R660" s="271">
        <f t="shared" si="50"/>
        <v>0</v>
      </c>
      <c r="S660" s="339">
        <f t="shared" si="49"/>
        <v>0</v>
      </c>
      <c r="T660" s="373"/>
      <c r="U660" s="373">
        <f>FA!K$114</f>
        <v>0</v>
      </c>
      <c r="V660" s="274"/>
      <c r="W660" s="374"/>
      <c r="X660" s="375"/>
      <c r="Y660" s="385" t="s">
        <v>645</v>
      </c>
      <c r="Z660" s="376"/>
      <c r="AA660" s="240"/>
      <c r="AB660" s="345">
        <v>1</v>
      </c>
      <c r="AC660" s="271"/>
      <c r="AD660" s="272"/>
      <c r="AE660" s="273"/>
      <c r="AF660" s="273"/>
      <c r="AG660" s="274"/>
      <c r="AH660" s="275"/>
      <c r="AI660" s="272"/>
      <c r="AJ660" s="276"/>
      <c r="AK660" s="277"/>
      <c r="AL660" s="278"/>
      <c r="AM660" s="277"/>
      <c r="AN660" s="279"/>
      <c r="AO660" s="279"/>
      <c r="AP660" s="279"/>
      <c r="AQ660" s="378"/>
      <c r="AR660" s="305">
        <f>'预算书-初步'!$F$10</f>
        <v>0.09</v>
      </c>
      <c r="AT660" s="272"/>
      <c r="BC660" s="272" t="s">
        <v>521</v>
      </c>
      <c r="BD660" s="380">
        <v>1103</v>
      </c>
      <c r="BE660" s="347" t="s">
        <v>702</v>
      </c>
    </row>
    <row r="661" s="52" customFormat="1" ht="15.75" customHeight="1" spans="1:57">
      <c r="A661" s="227"/>
      <c r="B661" s="332"/>
      <c r="C661" s="228"/>
      <c r="D661" s="333"/>
      <c r="E661" s="334"/>
      <c r="F661" s="229"/>
      <c r="G661" s="333"/>
      <c r="H661" s="335"/>
      <c r="I661" s="229"/>
      <c r="J661" s="229"/>
      <c r="K661" s="336"/>
      <c r="L661" s="337"/>
      <c r="M661" s="337"/>
      <c r="N661" s="337"/>
      <c r="O661" s="337"/>
      <c r="P661" s="337"/>
      <c r="Q661" s="384">
        <v>8321</v>
      </c>
      <c r="R661" s="271">
        <f t="shared" si="50"/>
        <v>0</v>
      </c>
      <c r="S661" s="339">
        <f t="shared" si="49"/>
        <v>0</v>
      </c>
      <c r="T661" s="373"/>
      <c r="U661" s="373">
        <f>FA!K$117</f>
        <v>0</v>
      </c>
      <c r="V661" s="274"/>
      <c r="W661" s="374"/>
      <c r="X661" s="375"/>
      <c r="Y661" s="385" t="s">
        <v>646</v>
      </c>
      <c r="Z661" s="376"/>
      <c r="AA661" s="240"/>
      <c r="AB661" s="345">
        <v>1</v>
      </c>
      <c r="AC661" s="271"/>
      <c r="AD661" s="272"/>
      <c r="AE661" s="273"/>
      <c r="AF661" s="273"/>
      <c r="AG661" s="274"/>
      <c r="AH661" s="275"/>
      <c r="AI661" s="272"/>
      <c r="AJ661" s="276"/>
      <c r="AK661" s="277"/>
      <c r="AL661" s="278"/>
      <c r="AM661" s="277"/>
      <c r="AN661" s="279"/>
      <c r="AO661" s="279"/>
      <c r="AP661" s="279"/>
      <c r="AQ661" s="378"/>
      <c r="AR661" s="305">
        <f>'预算书-初步'!$F$10</f>
        <v>0.09</v>
      </c>
      <c r="AT661" s="272"/>
      <c r="BC661" s="272" t="s">
        <v>521</v>
      </c>
      <c r="BD661" s="380">
        <v>1106</v>
      </c>
      <c r="BE661" s="347" t="s">
        <v>702</v>
      </c>
    </row>
    <row r="662" s="52" customFormat="1" ht="13.5" customHeight="1" spans="1:57">
      <c r="A662" s="227"/>
      <c r="B662" s="332"/>
      <c r="C662" s="228"/>
      <c r="D662" s="333"/>
      <c r="E662" s="334"/>
      <c r="F662" s="229"/>
      <c r="G662" s="333"/>
      <c r="H662" s="335"/>
      <c r="I662" s="229"/>
      <c r="J662" s="229"/>
      <c r="K662" s="336"/>
      <c r="L662" s="337"/>
      <c r="M662" s="337"/>
      <c r="N662" s="337"/>
      <c r="O662" s="337"/>
      <c r="P662" s="337"/>
      <c r="Q662" s="384">
        <v>8322</v>
      </c>
      <c r="R662" s="271">
        <f t="shared" si="50"/>
        <v>0</v>
      </c>
      <c r="S662" s="339">
        <f t="shared" si="49"/>
        <v>0</v>
      </c>
      <c r="T662" s="373"/>
      <c r="U662" s="373">
        <f>FA!K$118</f>
        <v>0</v>
      </c>
      <c r="V662" s="274"/>
      <c r="W662" s="374"/>
      <c r="X662" s="375"/>
      <c r="Y662" s="385" t="s">
        <v>647</v>
      </c>
      <c r="Z662" s="376"/>
      <c r="AA662" s="240"/>
      <c r="AB662" s="345">
        <v>1</v>
      </c>
      <c r="AC662" s="271"/>
      <c r="AD662" s="272"/>
      <c r="AE662" s="273"/>
      <c r="AF662" s="273"/>
      <c r="AG662" s="274"/>
      <c r="AH662" s="275"/>
      <c r="AI662" s="272"/>
      <c r="AJ662" s="276"/>
      <c r="AK662" s="277"/>
      <c r="AL662" s="278"/>
      <c r="AM662" s="277"/>
      <c r="AN662" s="279"/>
      <c r="AO662" s="279"/>
      <c r="AP662" s="279"/>
      <c r="AQ662" s="378"/>
      <c r="AR662" s="305">
        <f>'预算书-初步'!$F$10</f>
        <v>0.09</v>
      </c>
      <c r="AT662" s="272"/>
      <c r="BC662" s="272" t="s">
        <v>521</v>
      </c>
      <c r="BD662" s="380">
        <v>1107</v>
      </c>
      <c r="BE662" s="347" t="s">
        <v>702</v>
      </c>
    </row>
    <row r="663" s="52" customFormat="1" ht="15.75" customHeight="1" spans="1:57">
      <c r="A663" s="227"/>
      <c r="B663" s="332"/>
      <c r="C663" s="228"/>
      <c r="D663" s="333"/>
      <c r="E663" s="334"/>
      <c r="F663" s="229"/>
      <c r="G663" s="333"/>
      <c r="H663" s="335"/>
      <c r="I663" s="229"/>
      <c r="J663" s="229"/>
      <c r="K663" s="336"/>
      <c r="L663" s="337"/>
      <c r="M663" s="337"/>
      <c r="N663" s="337"/>
      <c r="O663" s="337"/>
      <c r="P663" s="337"/>
      <c r="Q663" s="384">
        <v>8323</v>
      </c>
      <c r="R663" s="271">
        <f t="shared" si="50"/>
        <v>0</v>
      </c>
      <c r="S663" s="339">
        <f t="shared" si="49"/>
        <v>0</v>
      </c>
      <c r="T663" s="373"/>
      <c r="U663" s="373">
        <f>SUMIF(其他!$A$9:$A$65,"8323",其他!$K$9:K$65)</f>
        <v>0</v>
      </c>
      <c r="V663" s="274"/>
      <c r="W663" s="374"/>
      <c r="X663" s="375"/>
      <c r="Y663" s="45" t="s">
        <v>648</v>
      </c>
      <c r="Z663" s="376"/>
      <c r="AA663" s="240"/>
      <c r="AB663" s="345">
        <v>1</v>
      </c>
      <c r="AC663" s="271"/>
      <c r="AD663" s="272"/>
      <c r="AE663" s="273"/>
      <c r="AF663" s="273"/>
      <c r="AG663" s="274"/>
      <c r="AH663" s="275"/>
      <c r="AI663" s="272"/>
      <c r="AJ663" s="276"/>
      <c r="AK663" s="277"/>
      <c r="AL663" s="278"/>
      <c r="AM663" s="277"/>
      <c r="AN663" s="279"/>
      <c r="AO663" s="279"/>
      <c r="AP663" s="279"/>
      <c r="AQ663" s="378"/>
      <c r="AR663" s="305">
        <f>'预算书-初步'!$F$10</f>
        <v>0.09</v>
      </c>
      <c r="AT663" s="272"/>
      <c r="BC663" s="272" t="s">
        <v>521</v>
      </c>
      <c r="BD663" s="380">
        <v>1108</v>
      </c>
      <c r="BE663" s="347" t="s">
        <v>702</v>
      </c>
    </row>
    <row r="664" s="52" customFormat="1" ht="15.75" customHeight="1" spans="1:57">
      <c r="A664" s="227"/>
      <c r="B664" s="332"/>
      <c r="C664" s="228"/>
      <c r="D664" s="333"/>
      <c r="E664" s="334"/>
      <c r="F664" s="229"/>
      <c r="G664" s="333"/>
      <c r="H664" s="335"/>
      <c r="I664" s="229"/>
      <c r="J664" s="229"/>
      <c r="K664" s="336"/>
      <c r="L664" s="337"/>
      <c r="M664" s="337"/>
      <c r="N664" s="337"/>
      <c r="O664" s="337"/>
      <c r="P664" s="337"/>
      <c r="Q664" s="384">
        <v>8324</v>
      </c>
      <c r="R664" s="271">
        <f t="shared" si="50"/>
        <v>0</v>
      </c>
      <c r="S664" s="339">
        <f t="shared" si="49"/>
        <v>0</v>
      </c>
      <c r="T664" s="373"/>
      <c r="U664" s="373">
        <f>SUMIF(其他!$A$9:$A$65,"8324",其他!$K$9:K$65)</f>
        <v>0</v>
      </c>
      <c r="V664" s="274"/>
      <c r="W664" s="374"/>
      <c r="X664" s="375"/>
      <c r="Y664" s="385" t="s">
        <v>649</v>
      </c>
      <c r="Z664" s="376"/>
      <c r="AA664" s="240"/>
      <c r="AB664" s="345">
        <v>1</v>
      </c>
      <c r="AC664" s="271"/>
      <c r="AD664" s="272"/>
      <c r="AE664" s="273"/>
      <c r="AF664" s="273"/>
      <c r="AG664" s="274"/>
      <c r="AH664" s="275"/>
      <c r="AI664" s="272"/>
      <c r="AJ664" s="276"/>
      <c r="AK664" s="277"/>
      <c r="AL664" s="278"/>
      <c r="AM664" s="277"/>
      <c r="AN664" s="279"/>
      <c r="AO664" s="279"/>
      <c r="AP664" s="279"/>
      <c r="AQ664" s="378"/>
      <c r="AR664" s="305">
        <f>'预算书-初步'!$F$10</f>
        <v>0.09</v>
      </c>
      <c r="AT664" s="272"/>
      <c r="BC664" s="272" t="s">
        <v>521</v>
      </c>
      <c r="BD664" s="380">
        <v>1108</v>
      </c>
      <c r="BE664" s="347" t="s">
        <v>702</v>
      </c>
    </row>
    <row r="665" s="52" customFormat="1" ht="15.75" customHeight="1" spans="1:57">
      <c r="A665" s="227"/>
      <c r="B665" s="332"/>
      <c r="C665" s="228"/>
      <c r="D665" s="333"/>
      <c r="E665" s="334"/>
      <c r="F665" s="229"/>
      <c r="G665" s="333"/>
      <c r="H665" s="335"/>
      <c r="I665" s="229"/>
      <c r="J665" s="229"/>
      <c r="K665" s="336"/>
      <c r="L665" s="337"/>
      <c r="M665" s="337"/>
      <c r="N665" s="337"/>
      <c r="O665" s="337"/>
      <c r="P665" s="337"/>
      <c r="Q665" s="384">
        <v>8325</v>
      </c>
      <c r="R665" s="271">
        <f t="shared" si="50"/>
        <v>0</v>
      </c>
      <c r="S665" s="339">
        <f t="shared" si="49"/>
        <v>0</v>
      </c>
      <c r="T665" s="373"/>
      <c r="U665" s="373">
        <f>FA!K$120</f>
        <v>0</v>
      </c>
      <c r="V665" s="274"/>
      <c r="W665" s="374"/>
      <c r="X665" s="375"/>
      <c r="Y665" s="388" t="s">
        <v>650</v>
      </c>
      <c r="Z665" s="376"/>
      <c r="AA665" s="240"/>
      <c r="AB665" s="345">
        <v>1</v>
      </c>
      <c r="AC665" s="271"/>
      <c r="AD665" s="272"/>
      <c r="AE665" s="273"/>
      <c r="AF665" s="273"/>
      <c r="AG665" s="274"/>
      <c r="AH665" s="275"/>
      <c r="AI665" s="272"/>
      <c r="AJ665" s="276"/>
      <c r="AK665" s="277"/>
      <c r="AL665" s="278"/>
      <c r="AM665" s="277"/>
      <c r="AN665" s="279"/>
      <c r="AO665" s="279"/>
      <c r="AP665" s="279"/>
      <c r="AQ665" s="378"/>
      <c r="AR665" s="305">
        <f>'预算书-初步'!$F$10</f>
        <v>0.09</v>
      </c>
      <c r="AT665" s="272"/>
      <c r="BC665" s="272" t="s">
        <v>521</v>
      </c>
      <c r="BD665" s="380">
        <v>1109</v>
      </c>
      <c r="BE665" s="347" t="s">
        <v>702</v>
      </c>
    </row>
    <row r="666" s="52" customFormat="1" ht="15.75" customHeight="1" spans="1:57">
      <c r="A666" s="227"/>
      <c r="B666" s="332"/>
      <c r="C666" s="228"/>
      <c r="D666" s="333"/>
      <c r="E666" s="334"/>
      <c r="F666" s="229"/>
      <c r="G666" s="333"/>
      <c r="H666" s="335"/>
      <c r="I666" s="229"/>
      <c r="J666" s="229"/>
      <c r="K666" s="336"/>
      <c r="L666" s="337"/>
      <c r="M666" s="337"/>
      <c r="N666" s="337"/>
      <c r="O666" s="337"/>
      <c r="P666" s="337"/>
      <c r="Q666" s="384">
        <v>8326</v>
      </c>
      <c r="R666" s="271">
        <f t="shared" si="50"/>
        <v>0</v>
      </c>
      <c r="S666" s="339">
        <f t="shared" si="49"/>
        <v>0</v>
      </c>
      <c r="T666" s="373"/>
      <c r="U666" s="373">
        <f>FA!K$121</f>
        <v>0</v>
      </c>
      <c r="V666" s="274"/>
      <c r="W666" s="374"/>
      <c r="X666" s="375"/>
      <c r="Y666" s="45" t="s">
        <v>651</v>
      </c>
      <c r="Z666" s="376"/>
      <c r="AA666" s="240"/>
      <c r="AB666" s="345">
        <v>1</v>
      </c>
      <c r="AC666" s="271"/>
      <c r="AD666" s="272"/>
      <c r="AE666" s="273"/>
      <c r="AF666" s="273"/>
      <c r="AG666" s="274"/>
      <c r="AH666" s="275"/>
      <c r="AI666" s="272"/>
      <c r="AJ666" s="276"/>
      <c r="AK666" s="277"/>
      <c r="AL666" s="278"/>
      <c r="AM666" s="277"/>
      <c r="AN666" s="279"/>
      <c r="AO666" s="279"/>
      <c r="AP666" s="279"/>
      <c r="AQ666" s="378"/>
      <c r="AR666" s="305">
        <f>'预算书-初步'!$F$10</f>
        <v>0.09</v>
      </c>
      <c r="AT666" s="272"/>
      <c r="BC666" s="272" t="s">
        <v>521</v>
      </c>
      <c r="BD666" s="380">
        <v>1110</v>
      </c>
      <c r="BE666" s="347" t="s">
        <v>702</v>
      </c>
    </row>
    <row r="667" s="52" customFormat="1" ht="15.75" customHeight="1" spans="1:57">
      <c r="A667" s="227"/>
      <c r="B667" s="332"/>
      <c r="C667" s="228"/>
      <c r="D667" s="333"/>
      <c r="E667" s="334"/>
      <c r="F667" s="229"/>
      <c r="G667" s="333"/>
      <c r="H667" s="335"/>
      <c r="I667" s="229"/>
      <c r="J667" s="229"/>
      <c r="K667" s="336"/>
      <c r="L667" s="337"/>
      <c r="M667" s="337"/>
      <c r="N667" s="337"/>
      <c r="O667" s="337"/>
      <c r="P667" s="337"/>
      <c r="Q667" s="384">
        <v>8327</v>
      </c>
      <c r="R667" s="271">
        <f t="shared" si="50"/>
        <v>0</v>
      </c>
      <c r="S667" s="339">
        <f t="shared" si="49"/>
        <v>0</v>
      </c>
      <c r="T667" s="373"/>
      <c r="U667" s="373">
        <f>FA!K$122</f>
        <v>0</v>
      </c>
      <c r="V667" s="274"/>
      <c r="W667" s="374"/>
      <c r="X667" s="375"/>
      <c r="Y667" s="385" t="s">
        <v>652</v>
      </c>
      <c r="Z667" s="376"/>
      <c r="AA667" s="240"/>
      <c r="AB667" s="345">
        <v>1</v>
      </c>
      <c r="AC667" s="271"/>
      <c r="AD667" s="272"/>
      <c r="AE667" s="273"/>
      <c r="AF667" s="273"/>
      <c r="AG667" s="274"/>
      <c r="AH667" s="275"/>
      <c r="AI667" s="272"/>
      <c r="AJ667" s="276"/>
      <c r="AK667" s="277"/>
      <c r="AL667" s="278"/>
      <c r="AM667" s="277"/>
      <c r="AN667" s="279"/>
      <c r="AO667" s="279"/>
      <c r="AP667" s="279"/>
      <c r="AQ667" s="378"/>
      <c r="AR667" s="305">
        <f>'预算书-初步'!$F$10</f>
        <v>0.09</v>
      </c>
      <c r="AT667" s="272"/>
      <c r="BC667" s="272" t="s">
        <v>521</v>
      </c>
      <c r="BD667" s="380">
        <v>1111</v>
      </c>
      <c r="BE667" s="347" t="s">
        <v>702</v>
      </c>
    </row>
    <row r="668" s="52" customFormat="1" ht="15.75" customHeight="1" spans="1:57">
      <c r="A668" s="227"/>
      <c r="B668" s="332"/>
      <c r="C668" s="228"/>
      <c r="D668" s="333"/>
      <c r="E668" s="334"/>
      <c r="F668" s="229"/>
      <c r="G668" s="333"/>
      <c r="H668" s="335"/>
      <c r="I668" s="229"/>
      <c r="J668" s="229"/>
      <c r="K668" s="336"/>
      <c r="L668" s="337"/>
      <c r="M668" s="337"/>
      <c r="N668" s="337"/>
      <c r="O668" s="337"/>
      <c r="P668" s="337"/>
      <c r="Q668" s="384">
        <v>8328</v>
      </c>
      <c r="R668" s="271">
        <f t="shared" si="50"/>
        <v>0</v>
      </c>
      <c r="S668" s="339">
        <f t="shared" si="49"/>
        <v>0</v>
      </c>
      <c r="T668" s="373"/>
      <c r="U668" s="373">
        <f>FA!K$123</f>
        <v>0</v>
      </c>
      <c r="V668" s="274"/>
      <c r="W668" s="374"/>
      <c r="X668" s="375"/>
      <c r="Y668" s="45" t="s">
        <v>653</v>
      </c>
      <c r="Z668" s="376"/>
      <c r="AA668" s="240"/>
      <c r="AB668" s="345">
        <v>1</v>
      </c>
      <c r="AC668" s="271"/>
      <c r="AD668" s="272"/>
      <c r="AE668" s="273"/>
      <c r="AF668" s="273"/>
      <c r="AG668" s="274"/>
      <c r="AH668" s="275"/>
      <c r="AI668" s="272"/>
      <c r="AJ668" s="276"/>
      <c r="AK668" s="277"/>
      <c r="AL668" s="278"/>
      <c r="AM668" s="277"/>
      <c r="AN668" s="279"/>
      <c r="AO668" s="279"/>
      <c r="AP668" s="279"/>
      <c r="AQ668" s="378"/>
      <c r="AR668" s="305">
        <f>'预算书-初步'!$F$10</f>
        <v>0.09</v>
      </c>
      <c r="AT668" s="272"/>
      <c r="BC668" s="272" t="s">
        <v>521</v>
      </c>
      <c r="BD668" s="380">
        <v>1112</v>
      </c>
      <c r="BE668" s="347" t="s">
        <v>702</v>
      </c>
    </row>
    <row r="669" s="52" customFormat="1" ht="15.75" customHeight="1" spans="1:57">
      <c r="A669" s="227"/>
      <c r="B669" s="332"/>
      <c r="C669" s="228"/>
      <c r="D669" s="333"/>
      <c r="E669" s="334"/>
      <c r="F669" s="229"/>
      <c r="G669" s="333"/>
      <c r="H669" s="335"/>
      <c r="I669" s="229"/>
      <c r="J669" s="229"/>
      <c r="K669" s="336"/>
      <c r="L669" s="337"/>
      <c r="M669" s="337"/>
      <c r="N669" s="337"/>
      <c r="O669" s="337"/>
      <c r="P669" s="337"/>
      <c r="Q669" s="384">
        <v>8331</v>
      </c>
      <c r="R669" s="271">
        <f t="shared" si="50"/>
        <v>0</v>
      </c>
      <c r="S669" s="339">
        <f t="shared" si="49"/>
        <v>0</v>
      </c>
      <c r="T669" s="373"/>
      <c r="U669" s="373">
        <f>FA!K$124</f>
        <v>0</v>
      </c>
      <c r="V669" s="274"/>
      <c r="W669" s="374"/>
      <c r="X669" s="375"/>
      <c r="Y669" s="45" t="s">
        <v>654</v>
      </c>
      <c r="Z669" s="376"/>
      <c r="AA669" s="240"/>
      <c r="AB669" s="345">
        <v>1</v>
      </c>
      <c r="AC669" s="271"/>
      <c r="AD669" s="272"/>
      <c r="AE669" s="273"/>
      <c r="AF669" s="273"/>
      <c r="AG669" s="274"/>
      <c r="AH669" s="275"/>
      <c r="AI669" s="272"/>
      <c r="AJ669" s="276"/>
      <c r="AK669" s="277"/>
      <c r="AL669" s="278"/>
      <c r="AM669" s="277"/>
      <c r="AN669" s="279"/>
      <c r="AO669" s="279"/>
      <c r="AP669" s="279"/>
      <c r="AQ669" s="378"/>
      <c r="AR669" s="305">
        <f>'预算书-初步'!$F$10</f>
        <v>0.09</v>
      </c>
      <c r="AT669" s="272"/>
      <c r="BC669" s="272" t="s">
        <v>521</v>
      </c>
      <c r="BD669" s="380">
        <v>1113</v>
      </c>
      <c r="BE669" s="347" t="s">
        <v>702</v>
      </c>
    </row>
    <row r="670" s="52" customFormat="1" ht="15.75" customHeight="1" spans="1:57">
      <c r="A670" s="227"/>
      <c r="B670" s="332"/>
      <c r="C670" s="228"/>
      <c r="D670" s="333"/>
      <c r="E670" s="334"/>
      <c r="F670" s="229"/>
      <c r="G670" s="333"/>
      <c r="H670" s="335"/>
      <c r="I670" s="229"/>
      <c r="J670" s="229"/>
      <c r="K670" s="336"/>
      <c r="L670" s="337"/>
      <c r="M670" s="337"/>
      <c r="N670" s="337"/>
      <c r="O670" s="337"/>
      <c r="P670" s="337"/>
      <c r="Q670" s="384">
        <v>8332</v>
      </c>
      <c r="R670" s="271">
        <f t="shared" si="50"/>
        <v>0</v>
      </c>
      <c r="S670" s="339">
        <f t="shared" si="49"/>
        <v>0</v>
      </c>
      <c r="T670" s="373"/>
      <c r="U670" s="373">
        <f>FA!K$125</f>
        <v>0</v>
      </c>
      <c r="V670" s="274"/>
      <c r="W670" s="374"/>
      <c r="X670" s="375"/>
      <c r="Y670" s="45" t="s">
        <v>655</v>
      </c>
      <c r="Z670" s="376"/>
      <c r="AA670" s="240"/>
      <c r="AB670" s="345">
        <v>1</v>
      </c>
      <c r="AC670" s="271"/>
      <c r="AD670" s="272"/>
      <c r="AE670" s="273"/>
      <c r="AF670" s="273"/>
      <c r="AG670" s="274"/>
      <c r="AH670" s="275"/>
      <c r="AI670" s="272"/>
      <c r="AJ670" s="276"/>
      <c r="AK670" s="277"/>
      <c r="AL670" s="278"/>
      <c r="AM670" s="277"/>
      <c r="AN670" s="279"/>
      <c r="AO670" s="279"/>
      <c r="AP670" s="279"/>
      <c r="AQ670" s="378"/>
      <c r="AR670" s="305">
        <f>'预算书-初步'!$F$10</f>
        <v>0.09</v>
      </c>
      <c r="AT670" s="272"/>
      <c r="BC670" s="272" t="s">
        <v>521</v>
      </c>
      <c r="BD670" s="380">
        <v>1114</v>
      </c>
      <c r="BE670" s="347" t="s">
        <v>702</v>
      </c>
    </row>
    <row r="671" s="52" customFormat="1" ht="15.75" customHeight="1" spans="1:57">
      <c r="A671" s="227"/>
      <c r="B671" s="332"/>
      <c r="C671" s="228"/>
      <c r="D671" s="333"/>
      <c r="E671" s="334"/>
      <c r="F671" s="229"/>
      <c r="G671" s="333"/>
      <c r="H671" s="335"/>
      <c r="I671" s="229"/>
      <c r="J671" s="229"/>
      <c r="K671" s="336"/>
      <c r="L671" s="337"/>
      <c r="M671" s="337"/>
      <c r="N671" s="337"/>
      <c r="O671" s="337"/>
      <c r="P671" s="337"/>
      <c r="Q671" s="384">
        <v>8333</v>
      </c>
      <c r="R671" s="271">
        <f t="shared" si="50"/>
        <v>0</v>
      </c>
      <c r="S671" s="339">
        <f t="shared" si="49"/>
        <v>0</v>
      </c>
      <c r="T671" s="373"/>
      <c r="U671" s="373">
        <f>FA!K$126</f>
        <v>0</v>
      </c>
      <c r="V671" s="274"/>
      <c r="W671" s="374"/>
      <c r="X671" s="375"/>
      <c r="Y671" s="388" t="s">
        <v>656</v>
      </c>
      <c r="Z671" s="376"/>
      <c r="AA671" s="240"/>
      <c r="AB671" s="345">
        <v>1</v>
      </c>
      <c r="AC671" s="271"/>
      <c r="AD671" s="272"/>
      <c r="AE671" s="273"/>
      <c r="AF671" s="273"/>
      <c r="AG671" s="274"/>
      <c r="AH671" s="275"/>
      <c r="AI671" s="272"/>
      <c r="AJ671" s="276"/>
      <c r="AK671" s="277"/>
      <c r="AL671" s="278"/>
      <c r="AM671" s="277"/>
      <c r="AN671" s="279"/>
      <c r="AO671" s="279"/>
      <c r="AP671" s="279"/>
      <c r="AQ671" s="378"/>
      <c r="AR671" s="305">
        <f>'预算书-初步'!$F$10</f>
        <v>0.09</v>
      </c>
      <c r="AT671" s="272"/>
      <c r="BC671" s="272" t="s">
        <v>521</v>
      </c>
      <c r="BD671" s="380">
        <v>1115</v>
      </c>
      <c r="BE671" s="347" t="s">
        <v>702</v>
      </c>
    </row>
    <row r="672" s="52" customFormat="1" ht="15.75" customHeight="1" spans="1:57">
      <c r="A672" s="227"/>
      <c r="B672" s="332"/>
      <c r="C672" s="228"/>
      <c r="D672" s="333"/>
      <c r="E672" s="334"/>
      <c r="F672" s="229"/>
      <c r="G672" s="333"/>
      <c r="H672" s="335"/>
      <c r="I672" s="229"/>
      <c r="J672" s="229"/>
      <c r="K672" s="336"/>
      <c r="L672" s="337"/>
      <c r="M672" s="337"/>
      <c r="N672" s="337"/>
      <c r="O672" s="337"/>
      <c r="P672" s="337"/>
      <c r="Q672" s="384">
        <v>8334</v>
      </c>
      <c r="R672" s="271">
        <f t="shared" si="50"/>
        <v>0</v>
      </c>
      <c r="S672" s="339">
        <f t="shared" si="49"/>
        <v>0</v>
      </c>
      <c r="T672" s="373"/>
      <c r="U672" s="373">
        <f>FA!K$127</f>
        <v>0</v>
      </c>
      <c r="V672" s="274"/>
      <c r="W672" s="374"/>
      <c r="X672" s="375"/>
      <c r="Y672" s="388" t="s">
        <v>657</v>
      </c>
      <c r="Z672" s="376"/>
      <c r="AA672" s="240"/>
      <c r="AB672" s="345">
        <v>1</v>
      </c>
      <c r="AC672" s="271"/>
      <c r="AD672" s="272"/>
      <c r="AE672" s="273"/>
      <c r="AF672" s="273"/>
      <c r="AG672" s="274"/>
      <c r="AH672" s="275"/>
      <c r="AI672" s="272"/>
      <c r="AJ672" s="276"/>
      <c r="AK672" s="277"/>
      <c r="AL672" s="278"/>
      <c r="AM672" s="277"/>
      <c r="AN672" s="279"/>
      <c r="AO672" s="279"/>
      <c r="AP672" s="279"/>
      <c r="AQ672" s="378"/>
      <c r="AR672" s="305">
        <f>'预算书-初步'!$F$10</f>
        <v>0.09</v>
      </c>
      <c r="AT672" s="272"/>
      <c r="BC672" s="272" t="s">
        <v>521</v>
      </c>
      <c r="BD672" s="380">
        <v>1116</v>
      </c>
      <c r="BE672" s="347" t="s">
        <v>702</v>
      </c>
    </row>
    <row r="673" s="52" customFormat="1" ht="15.75" customHeight="1" spans="1:57">
      <c r="A673" s="227"/>
      <c r="B673" s="332"/>
      <c r="C673" s="228"/>
      <c r="D673" s="333"/>
      <c r="E673" s="334"/>
      <c r="F673" s="229"/>
      <c r="G673" s="333"/>
      <c r="H673" s="335"/>
      <c r="I673" s="229"/>
      <c r="J673" s="229"/>
      <c r="K673" s="336"/>
      <c r="L673" s="337"/>
      <c r="M673" s="337"/>
      <c r="N673" s="337"/>
      <c r="O673" s="337"/>
      <c r="P673" s="337"/>
      <c r="Q673" s="384">
        <v>8335</v>
      </c>
      <c r="R673" s="271">
        <f t="shared" si="50"/>
        <v>0</v>
      </c>
      <c r="S673" s="339">
        <f t="shared" si="49"/>
        <v>0</v>
      </c>
      <c r="T673" s="373"/>
      <c r="U673" s="373">
        <f>FA!K$128</f>
        <v>0</v>
      </c>
      <c r="V673" s="274"/>
      <c r="W673" s="374"/>
      <c r="X673" s="375"/>
      <c r="Y673" s="45" t="s">
        <v>658</v>
      </c>
      <c r="Z673" s="376"/>
      <c r="AA673" s="240"/>
      <c r="AB673" s="345">
        <v>1</v>
      </c>
      <c r="AC673" s="271"/>
      <c r="AD673" s="272"/>
      <c r="AE673" s="273"/>
      <c r="AF673" s="273"/>
      <c r="AG673" s="274"/>
      <c r="AH673" s="275"/>
      <c r="AI673" s="272"/>
      <c r="AJ673" s="276"/>
      <c r="AK673" s="277"/>
      <c r="AL673" s="278"/>
      <c r="AM673" s="277"/>
      <c r="AN673" s="279"/>
      <c r="AO673" s="279"/>
      <c r="AP673" s="279"/>
      <c r="AQ673" s="378"/>
      <c r="AR673" s="305">
        <f>'预算书-初步'!$F$10</f>
        <v>0.09</v>
      </c>
      <c r="AT673" s="272"/>
      <c r="BC673" s="272" t="s">
        <v>521</v>
      </c>
      <c r="BD673" s="380">
        <v>1117</v>
      </c>
      <c r="BE673" s="347" t="s">
        <v>702</v>
      </c>
    </row>
    <row r="674" s="52" customFormat="1" ht="15.75" customHeight="1" spans="1:57">
      <c r="A674" s="227"/>
      <c r="B674" s="332"/>
      <c r="C674" s="228"/>
      <c r="D674" s="333"/>
      <c r="E674" s="334"/>
      <c r="F674" s="229"/>
      <c r="G674" s="333"/>
      <c r="H674" s="335"/>
      <c r="I674" s="229"/>
      <c r="J674" s="229"/>
      <c r="K674" s="336"/>
      <c r="L674" s="337"/>
      <c r="M674" s="337"/>
      <c r="N674" s="337"/>
      <c r="O674" s="337"/>
      <c r="P674" s="337"/>
      <c r="Q674" s="384">
        <v>8351</v>
      </c>
      <c r="R674" s="271">
        <f t="shared" si="50"/>
        <v>0</v>
      </c>
      <c r="S674" s="339">
        <f t="shared" si="49"/>
        <v>0</v>
      </c>
      <c r="T674" s="373"/>
      <c r="U674" s="373">
        <f>FA!K$129</f>
        <v>0</v>
      </c>
      <c r="V674" s="274"/>
      <c r="W674" s="374"/>
      <c r="X674" s="375"/>
      <c r="Y674" s="388" t="s">
        <v>659</v>
      </c>
      <c r="Z674" s="376"/>
      <c r="AA674" s="240"/>
      <c r="AB674" s="345">
        <v>1</v>
      </c>
      <c r="AC674" s="271"/>
      <c r="AD674" s="272"/>
      <c r="AE674" s="273"/>
      <c r="AF674" s="273"/>
      <c r="AG674" s="274"/>
      <c r="AH674" s="275"/>
      <c r="AI674" s="272"/>
      <c r="AJ674" s="276"/>
      <c r="AK674" s="277"/>
      <c r="AL674" s="278"/>
      <c r="AM674" s="277"/>
      <c r="AN674" s="279"/>
      <c r="AO674" s="279"/>
      <c r="AP674" s="279"/>
      <c r="AQ674" s="378"/>
      <c r="AR674" s="305">
        <f>'预算书-初步'!$F$10</f>
        <v>0.09</v>
      </c>
      <c r="AT674" s="272"/>
      <c r="BC674" s="272" t="s">
        <v>521</v>
      </c>
      <c r="BD674" s="380">
        <v>1118</v>
      </c>
      <c r="BE674" s="347" t="s">
        <v>702</v>
      </c>
    </row>
    <row r="675" s="52" customFormat="1" ht="15.75" customHeight="1" spans="1:57">
      <c r="A675" s="227"/>
      <c r="B675" s="332"/>
      <c r="C675" s="228"/>
      <c r="D675" s="333"/>
      <c r="E675" s="334"/>
      <c r="F675" s="229"/>
      <c r="G675" s="333"/>
      <c r="H675" s="335"/>
      <c r="I675" s="229"/>
      <c r="J675" s="229"/>
      <c r="K675" s="336"/>
      <c r="L675" s="337"/>
      <c r="M675" s="337"/>
      <c r="N675" s="337"/>
      <c r="O675" s="337"/>
      <c r="P675" s="337"/>
      <c r="Q675" s="384">
        <v>8341</v>
      </c>
      <c r="R675" s="271">
        <f t="shared" si="50"/>
        <v>0</v>
      </c>
      <c r="S675" s="339">
        <f t="shared" si="49"/>
        <v>0</v>
      </c>
      <c r="T675" s="373"/>
      <c r="U675" s="373">
        <f>SUMIF(其他!$A$9:$A$65,"8341",其他!$K$9:K$65)</f>
        <v>0</v>
      </c>
      <c r="V675" s="274"/>
      <c r="W675" s="374"/>
      <c r="X675" s="375"/>
      <c r="Y675" s="388" t="s">
        <v>660</v>
      </c>
      <c r="Z675" s="376"/>
      <c r="AA675" s="240"/>
      <c r="AB675" s="345">
        <v>1</v>
      </c>
      <c r="AC675" s="271"/>
      <c r="AD675" s="272"/>
      <c r="AE675" s="273"/>
      <c r="AF675" s="273"/>
      <c r="AG675" s="274"/>
      <c r="AH675" s="275"/>
      <c r="AI675" s="272"/>
      <c r="AJ675" s="276"/>
      <c r="AK675" s="277"/>
      <c r="AL675" s="278"/>
      <c r="AM675" s="277"/>
      <c r="AN675" s="279"/>
      <c r="AO675" s="279"/>
      <c r="AP675" s="279"/>
      <c r="AQ675" s="378"/>
      <c r="AR675" s="305">
        <f>'预算书-初步'!$F$10</f>
        <v>0.09</v>
      </c>
      <c r="AT675" s="272"/>
      <c r="BC675" s="272" t="s">
        <v>521</v>
      </c>
      <c r="BD675" s="380">
        <v>1119</v>
      </c>
      <c r="BE675" s="347" t="s">
        <v>702</v>
      </c>
    </row>
    <row r="676" s="52" customFormat="1" ht="15.75" customHeight="1" spans="1:57">
      <c r="A676" s="227"/>
      <c r="B676" s="332"/>
      <c r="C676" s="228"/>
      <c r="D676" s="333"/>
      <c r="E676" s="334"/>
      <c r="F676" s="229"/>
      <c r="G676" s="333"/>
      <c r="H676" s="335"/>
      <c r="I676" s="229"/>
      <c r="J676" s="229"/>
      <c r="K676" s="336"/>
      <c r="L676" s="337"/>
      <c r="M676" s="337"/>
      <c r="N676" s="337"/>
      <c r="O676" s="337"/>
      <c r="P676" s="337"/>
      <c r="Q676" s="384">
        <v>8342</v>
      </c>
      <c r="R676" s="271">
        <f t="shared" si="50"/>
        <v>0</v>
      </c>
      <c r="S676" s="339">
        <f t="shared" si="49"/>
        <v>0</v>
      </c>
      <c r="T676" s="373"/>
      <c r="U676" s="373">
        <f>SUMIF(其他!$A$9:$A$65,"8342",其他!$K$9:K$65)</f>
        <v>0</v>
      </c>
      <c r="V676" s="274"/>
      <c r="W676" s="374"/>
      <c r="X676" s="375"/>
      <c r="Y676" s="45" t="s">
        <v>661</v>
      </c>
      <c r="Z676" s="376"/>
      <c r="AA676" s="240"/>
      <c r="AB676" s="345">
        <v>1</v>
      </c>
      <c r="AC676" s="271"/>
      <c r="AD676" s="272"/>
      <c r="AE676" s="273"/>
      <c r="AF676" s="273"/>
      <c r="AG676" s="274"/>
      <c r="AH676" s="275"/>
      <c r="AI676" s="272"/>
      <c r="AJ676" s="276"/>
      <c r="AK676" s="277"/>
      <c r="AL676" s="278"/>
      <c r="AM676" s="277"/>
      <c r="AN676" s="279"/>
      <c r="AO676" s="279"/>
      <c r="AP676" s="279"/>
      <c r="AQ676" s="378"/>
      <c r="AR676" s="305">
        <f>'预算书-初步'!$F$10</f>
        <v>0.09</v>
      </c>
      <c r="AT676" s="272"/>
      <c r="BC676" s="272" t="s">
        <v>521</v>
      </c>
      <c r="BD676" s="380">
        <v>1119</v>
      </c>
      <c r="BE676" s="347" t="s">
        <v>702</v>
      </c>
    </row>
    <row r="677" s="52" customFormat="1" ht="15.75" customHeight="1" spans="1:57">
      <c r="A677" s="227"/>
      <c r="B677" s="332"/>
      <c r="C677" s="228"/>
      <c r="D677" s="333"/>
      <c r="E677" s="334"/>
      <c r="F677" s="229"/>
      <c r="G677" s="333"/>
      <c r="H677" s="335"/>
      <c r="I677" s="229"/>
      <c r="J677" s="229"/>
      <c r="K677" s="336"/>
      <c r="L677" s="337"/>
      <c r="M677" s="337"/>
      <c r="N677" s="337"/>
      <c r="O677" s="337"/>
      <c r="P677" s="337"/>
      <c r="Q677" s="384">
        <v>8343</v>
      </c>
      <c r="R677" s="271">
        <f t="shared" si="50"/>
        <v>0</v>
      </c>
      <c r="S677" s="339">
        <f t="shared" si="49"/>
        <v>0</v>
      </c>
      <c r="T677" s="373"/>
      <c r="U677" s="373">
        <f>SUMIF(其他!$A$9:$A$65,"8343",其他!$K$9:K$65)</f>
        <v>0</v>
      </c>
      <c r="V677" s="274"/>
      <c r="W677" s="374"/>
      <c r="X677" s="375"/>
      <c r="Y677" s="45" t="s">
        <v>662</v>
      </c>
      <c r="Z677" s="376"/>
      <c r="AA677" s="240"/>
      <c r="AB677" s="345">
        <v>1</v>
      </c>
      <c r="AC677" s="271"/>
      <c r="AD677" s="272"/>
      <c r="AE677" s="273"/>
      <c r="AF677" s="273"/>
      <c r="AG677" s="274"/>
      <c r="AH677" s="275"/>
      <c r="AI677" s="272"/>
      <c r="AJ677" s="276"/>
      <c r="AK677" s="277"/>
      <c r="AL677" s="278"/>
      <c r="AM677" s="277"/>
      <c r="AN677" s="279"/>
      <c r="AO677" s="279"/>
      <c r="AP677" s="279"/>
      <c r="AQ677" s="378"/>
      <c r="AR677" s="305">
        <f>'预算书-初步'!$F$10</f>
        <v>0.09</v>
      </c>
      <c r="AT677" s="272"/>
      <c r="BC677" s="272" t="s">
        <v>521</v>
      </c>
      <c r="BD677" s="380">
        <v>1119</v>
      </c>
      <c r="BE677" s="347" t="s">
        <v>702</v>
      </c>
    </row>
    <row r="678" s="52" customFormat="1" ht="15.75" customHeight="1" spans="1:57">
      <c r="A678" s="227"/>
      <c r="B678" s="332"/>
      <c r="C678" s="228"/>
      <c r="D678" s="333"/>
      <c r="E678" s="334"/>
      <c r="F678" s="229"/>
      <c r="G678" s="333"/>
      <c r="H678" s="335"/>
      <c r="I678" s="229"/>
      <c r="J678" s="229"/>
      <c r="K678" s="336"/>
      <c r="L678" s="337"/>
      <c r="M678" s="337"/>
      <c r="N678" s="337"/>
      <c r="O678" s="337"/>
      <c r="P678" s="337"/>
      <c r="Q678" s="384">
        <v>8344</v>
      </c>
      <c r="R678" s="271">
        <f t="shared" si="50"/>
        <v>0</v>
      </c>
      <c r="S678" s="339">
        <f t="shared" si="49"/>
        <v>0</v>
      </c>
      <c r="T678" s="373"/>
      <c r="U678" s="373">
        <f>SUMIF(其他!$A$9:$A$65,"8344",其他!$K$9:K$65)</f>
        <v>0</v>
      </c>
      <c r="V678" s="274"/>
      <c r="W678" s="374"/>
      <c r="X678" s="375"/>
      <c r="Y678" s="385" t="s">
        <v>663</v>
      </c>
      <c r="Z678" s="376"/>
      <c r="AA678" s="240"/>
      <c r="AB678" s="345">
        <v>1</v>
      </c>
      <c r="AC678" s="271"/>
      <c r="AD678" s="272"/>
      <c r="AE678" s="273"/>
      <c r="AF678" s="273"/>
      <c r="AG678" s="274"/>
      <c r="AH678" s="275"/>
      <c r="AI678" s="272"/>
      <c r="AJ678" s="276"/>
      <c r="AK678" s="277"/>
      <c r="AL678" s="278"/>
      <c r="AM678" s="277"/>
      <c r="AN678" s="279"/>
      <c r="AO678" s="279"/>
      <c r="AP678" s="279"/>
      <c r="AQ678" s="378"/>
      <c r="AR678" s="305">
        <f>'预算书-初步'!$F$10</f>
        <v>0.09</v>
      </c>
      <c r="AT678" s="272"/>
      <c r="BC678" s="272" t="s">
        <v>521</v>
      </c>
      <c r="BD678" s="380">
        <v>1120</v>
      </c>
      <c r="BE678" s="347" t="s">
        <v>702</v>
      </c>
    </row>
    <row r="679" s="52" customFormat="1" ht="15.75" customHeight="1" spans="1:57">
      <c r="A679" s="227"/>
      <c r="B679" s="332"/>
      <c r="C679" s="228"/>
      <c r="D679" s="333"/>
      <c r="E679" s="334"/>
      <c r="F679" s="229"/>
      <c r="G679" s="333"/>
      <c r="H679" s="335"/>
      <c r="I679" s="229"/>
      <c r="J679" s="229"/>
      <c r="K679" s="336"/>
      <c r="L679" s="337"/>
      <c r="M679" s="337"/>
      <c r="N679" s="337"/>
      <c r="O679" s="337"/>
      <c r="P679" s="337"/>
      <c r="Q679" s="384">
        <v>8345</v>
      </c>
      <c r="R679" s="271">
        <f t="shared" si="50"/>
        <v>0</v>
      </c>
      <c r="S679" s="339">
        <f t="shared" si="49"/>
        <v>0</v>
      </c>
      <c r="T679" s="373"/>
      <c r="U679" s="373">
        <f>SUMIF(其他!$A$9:$A$65,"8345",其他!$K$9:K$65)</f>
        <v>0</v>
      </c>
      <c r="V679" s="274"/>
      <c r="W679" s="374"/>
      <c r="X679" s="375"/>
      <c r="Y679" s="385" t="s">
        <v>664</v>
      </c>
      <c r="Z679" s="376"/>
      <c r="AA679" s="240"/>
      <c r="AB679" s="345">
        <v>1</v>
      </c>
      <c r="AC679" s="271"/>
      <c r="AD679" s="272"/>
      <c r="AE679" s="273"/>
      <c r="AF679" s="273"/>
      <c r="AG679" s="274"/>
      <c r="AH679" s="275"/>
      <c r="AI679" s="272"/>
      <c r="AJ679" s="276"/>
      <c r="AK679" s="277"/>
      <c r="AL679" s="278"/>
      <c r="AM679" s="277"/>
      <c r="AN679" s="279"/>
      <c r="AO679" s="279"/>
      <c r="AP679" s="279"/>
      <c r="AQ679" s="378"/>
      <c r="AR679" s="305">
        <f>'预算书-初步'!$F$10</f>
        <v>0.09</v>
      </c>
      <c r="AT679" s="272"/>
      <c r="BC679" s="272" t="s">
        <v>521</v>
      </c>
      <c r="BD679" s="380">
        <v>1120</v>
      </c>
      <c r="BE679" s="347" t="s">
        <v>702</v>
      </c>
    </row>
    <row r="680" s="52" customFormat="1" ht="15.75" customHeight="1" spans="1:57">
      <c r="A680" s="227"/>
      <c r="B680" s="332"/>
      <c r="C680" s="228"/>
      <c r="D680" s="333"/>
      <c r="E680" s="334"/>
      <c r="F680" s="229"/>
      <c r="G680" s="333"/>
      <c r="H680" s="335"/>
      <c r="I680" s="229"/>
      <c r="J680" s="229"/>
      <c r="K680" s="336"/>
      <c r="L680" s="337"/>
      <c r="M680" s="337"/>
      <c r="N680" s="337"/>
      <c r="O680" s="337"/>
      <c r="P680" s="337"/>
      <c r="Q680" s="384">
        <v>8346</v>
      </c>
      <c r="R680" s="271">
        <f t="shared" si="50"/>
        <v>0</v>
      </c>
      <c r="S680" s="339">
        <f t="shared" si="49"/>
        <v>0</v>
      </c>
      <c r="T680" s="373"/>
      <c r="U680" s="373">
        <f>SUMIF(其他!$A$9:$A$65,"8346",其他!$K$9:K$65)</f>
        <v>0</v>
      </c>
      <c r="V680" s="274"/>
      <c r="W680" s="374"/>
      <c r="X680" s="375"/>
      <c r="Y680" s="45" t="s">
        <v>665</v>
      </c>
      <c r="Z680" s="376"/>
      <c r="AA680" s="240"/>
      <c r="AB680" s="345">
        <v>1</v>
      </c>
      <c r="AC680" s="271"/>
      <c r="AD680" s="272"/>
      <c r="AE680" s="273"/>
      <c r="AF680" s="273"/>
      <c r="AG680" s="274"/>
      <c r="AH680" s="275"/>
      <c r="AI680" s="272"/>
      <c r="AJ680" s="276"/>
      <c r="AK680" s="277"/>
      <c r="AL680" s="278"/>
      <c r="AM680" s="277"/>
      <c r="AN680" s="279"/>
      <c r="AO680" s="279"/>
      <c r="AP680" s="279"/>
      <c r="AQ680" s="378"/>
      <c r="AR680" s="305">
        <f>'预算书-初步'!$F$10</f>
        <v>0.09</v>
      </c>
      <c r="AT680" s="272"/>
      <c r="BC680" s="272" t="s">
        <v>521</v>
      </c>
      <c r="BD680" s="380">
        <v>1120</v>
      </c>
      <c r="BE680" s="347" t="s">
        <v>702</v>
      </c>
    </row>
    <row r="681" s="52" customFormat="1" ht="15.75" customHeight="1" spans="1:57">
      <c r="A681" s="227"/>
      <c r="B681" s="332"/>
      <c r="C681" s="228"/>
      <c r="D681" s="333"/>
      <c r="E681" s="334"/>
      <c r="F681" s="229"/>
      <c r="G681" s="333"/>
      <c r="H681" s="335"/>
      <c r="I681" s="229"/>
      <c r="J681" s="229"/>
      <c r="K681" s="336"/>
      <c r="L681" s="337"/>
      <c r="M681" s="337"/>
      <c r="N681" s="337"/>
      <c r="O681" s="337"/>
      <c r="P681" s="337"/>
      <c r="Q681" s="384">
        <v>8347</v>
      </c>
      <c r="R681" s="271">
        <f t="shared" si="50"/>
        <v>0</v>
      </c>
      <c r="S681" s="339">
        <f t="shared" si="49"/>
        <v>0</v>
      </c>
      <c r="T681" s="373"/>
      <c r="U681" s="373">
        <f>SUMIF(其他!$A$9:$A$65,"8347",其他!$K$9:K$65)</f>
        <v>0</v>
      </c>
      <c r="V681" s="274"/>
      <c r="W681" s="374"/>
      <c r="X681" s="375"/>
      <c r="Y681" s="45" t="s">
        <v>666</v>
      </c>
      <c r="Z681" s="376"/>
      <c r="AA681" s="240"/>
      <c r="AB681" s="345">
        <v>1</v>
      </c>
      <c r="AC681" s="271"/>
      <c r="AD681" s="272"/>
      <c r="AE681" s="273"/>
      <c r="AF681" s="273"/>
      <c r="AG681" s="274"/>
      <c r="AH681" s="275"/>
      <c r="AI681" s="272"/>
      <c r="AJ681" s="276"/>
      <c r="AK681" s="277"/>
      <c r="AL681" s="278"/>
      <c r="AM681" s="277"/>
      <c r="AN681" s="279"/>
      <c r="AO681" s="279"/>
      <c r="AP681" s="279"/>
      <c r="AQ681" s="378"/>
      <c r="AR681" s="305">
        <f>'预算书-初步'!$F$10</f>
        <v>0.09</v>
      </c>
      <c r="AT681" s="272"/>
      <c r="BC681" s="272" t="s">
        <v>521</v>
      </c>
      <c r="BD681" s="380">
        <v>1120</v>
      </c>
      <c r="BE681" s="347" t="s">
        <v>702</v>
      </c>
    </row>
    <row r="682" s="52" customFormat="1" ht="15.75" customHeight="1" spans="1:57">
      <c r="A682" s="227"/>
      <c r="B682" s="332"/>
      <c r="C682" s="228"/>
      <c r="D682" s="333"/>
      <c r="E682" s="334"/>
      <c r="F682" s="229"/>
      <c r="G682" s="333"/>
      <c r="H682" s="335"/>
      <c r="I682" s="229"/>
      <c r="J682" s="229"/>
      <c r="K682" s="336"/>
      <c r="L682" s="337"/>
      <c r="M682" s="337"/>
      <c r="N682" s="337"/>
      <c r="O682" s="337"/>
      <c r="P682" s="337"/>
      <c r="Q682" s="384">
        <v>8348</v>
      </c>
      <c r="R682" s="271">
        <f t="shared" si="50"/>
        <v>0</v>
      </c>
      <c r="S682" s="339">
        <f t="shared" si="49"/>
        <v>0</v>
      </c>
      <c r="T682" s="373"/>
      <c r="U682" s="373">
        <f>SUMIF(其他!$A$9:$A$65,"8348",其他!$K$9:K$65)</f>
        <v>0</v>
      </c>
      <c r="V682" s="274"/>
      <c r="W682" s="374"/>
      <c r="X682" s="375"/>
      <c r="Y682" s="45" t="s">
        <v>667</v>
      </c>
      <c r="Z682" s="376"/>
      <c r="AA682" s="240"/>
      <c r="AB682" s="345">
        <v>1</v>
      </c>
      <c r="AC682" s="271"/>
      <c r="AD682" s="272"/>
      <c r="AE682" s="273"/>
      <c r="AF682" s="273"/>
      <c r="AG682" s="274"/>
      <c r="AH682" s="275"/>
      <c r="AI682" s="272"/>
      <c r="AJ682" s="276"/>
      <c r="AK682" s="277"/>
      <c r="AL682" s="278"/>
      <c r="AM682" s="277"/>
      <c r="AN682" s="279"/>
      <c r="AO682" s="279"/>
      <c r="AP682" s="279"/>
      <c r="AQ682" s="378"/>
      <c r="AR682" s="305">
        <f>'预算书-初步'!$F$10</f>
        <v>0.09</v>
      </c>
      <c r="AT682" s="272"/>
      <c r="BC682" s="272" t="s">
        <v>521</v>
      </c>
      <c r="BD682" s="380">
        <v>1120</v>
      </c>
      <c r="BE682" s="347" t="s">
        <v>702</v>
      </c>
    </row>
    <row r="683" s="52" customFormat="1" ht="15.75" customHeight="1" spans="1:57">
      <c r="A683" s="227"/>
      <c r="B683" s="332"/>
      <c r="C683" s="228"/>
      <c r="D683" s="333"/>
      <c r="E683" s="334"/>
      <c r="F683" s="229"/>
      <c r="G683" s="333"/>
      <c r="H683" s="335"/>
      <c r="I683" s="229"/>
      <c r="J683" s="229"/>
      <c r="K683" s="336"/>
      <c r="L683" s="337"/>
      <c r="M683" s="337"/>
      <c r="N683" s="337"/>
      <c r="O683" s="337"/>
      <c r="P683" s="337"/>
      <c r="Q683" s="384">
        <v>8349</v>
      </c>
      <c r="R683" s="271">
        <f t="shared" si="50"/>
        <v>0</v>
      </c>
      <c r="S683" s="339">
        <f t="shared" si="49"/>
        <v>0</v>
      </c>
      <c r="T683" s="373"/>
      <c r="U683" s="373">
        <f>SUMIF(其他!$A$9:$A$65,"8349",其他!$K$9:K$65)</f>
        <v>0</v>
      </c>
      <c r="V683" s="274"/>
      <c r="W683" s="374"/>
      <c r="X683" s="375"/>
      <c r="Y683" s="45" t="s">
        <v>668</v>
      </c>
      <c r="Z683" s="376"/>
      <c r="AA683" s="240"/>
      <c r="AB683" s="345">
        <v>1</v>
      </c>
      <c r="AC683" s="271"/>
      <c r="AD683" s="272"/>
      <c r="AE683" s="273"/>
      <c r="AF683" s="273"/>
      <c r="AG683" s="274"/>
      <c r="AH683" s="275"/>
      <c r="AI683" s="272"/>
      <c r="AJ683" s="276"/>
      <c r="AK683" s="277"/>
      <c r="AL683" s="278"/>
      <c r="AM683" s="277"/>
      <c r="AN683" s="279"/>
      <c r="AO683" s="279"/>
      <c r="AP683" s="279"/>
      <c r="AQ683" s="378"/>
      <c r="AR683" s="305">
        <f>'预算书-初步'!$F$10</f>
        <v>0.09</v>
      </c>
      <c r="AT683" s="272"/>
      <c r="BC683" s="272" t="s">
        <v>521</v>
      </c>
      <c r="BD683" s="380">
        <v>1120</v>
      </c>
      <c r="BE683" s="347" t="s">
        <v>702</v>
      </c>
    </row>
    <row r="684" s="52" customFormat="1" ht="15.75" customHeight="1" spans="1:57">
      <c r="A684" s="227"/>
      <c r="B684" s="332"/>
      <c r="C684" s="228"/>
      <c r="D684" s="333"/>
      <c r="E684" s="334"/>
      <c r="F684" s="229"/>
      <c r="G684" s="333"/>
      <c r="H684" s="335"/>
      <c r="I684" s="229"/>
      <c r="J684" s="229"/>
      <c r="K684" s="336"/>
      <c r="L684" s="337"/>
      <c r="M684" s="337"/>
      <c r="N684" s="337"/>
      <c r="O684" s="337"/>
      <c r="P684" s="337"/>
      <c r="Q684" s="384">
        <v>8352</v>
      </c>
      <c r="R684" s="271">
        <f t="shared" si="50"/>
        <v>0</v>
      </c>
      <c r="S684" s="339">
        <f t="shared" si="49"/>
        <v>0</v>
      </c>
      <c r="T684" s="373"/>
      <c r="U684" s="373">
        <f>SUMIF(其他!$A$9:$A$65,"8352",其他!$K$9:K$65)</f>
        <v>0</v>
      </c>
      <c r="V684" s="274"/>
      <c r="W684" s="374"/>
      <c r="X684" s="375"/>
      <c r="Y684" s="45" t="s">
        <v>669</v>
      </c>
      <c r="Z684" s="376"/>
      <c r="AA684" s="240"/>
      <c r="AB684" s="345">
        <v>1</v>
      </c>
      <c r="AC684" s="271"/>
      <c r="AD684" s="272"/>
      <c r="AE684" s="273"/>
      <c r="AF684" s="273"/>
      <c r="AG684" s="274"/>
      <c r="AH684" s="275"/>
      <c r="AI684" s="272"/>
      <c r="AJ684" s="276"/>
      <c r="AK684" s="277"/>
      <c r="AL684" s="278"/>
      <c r="AM684" s="277"/>
      <c r="AN684" s="279"/>
      <c r="AO684" s="279"/>
      <c r="AP684" s="279"/>
      <c r="AQ684" s="378"/>
      <c r="AR684" s="305">
        <f>'预算书-初步'!$F$10</f>
        <v>0.09</v>
      </c>
      <c r="AT684" s="272"/>
      <c r="BC684" s="272" t="s">
        <v>521</v>
      </c>
      <c r="BD684" s="380">
        <v>1121</v>
      </c>
      <c r="BE684" s="347" t="s">
        <v>702</v>
      </c>
    </row>
    <row r="685" s="52" customFormat="1" ht="15.75" customHeight="1" spans="1:57">
      <c r="A685" s="227"/>
      <c r="B685" s="332"/>
      <c r="C685" s="228"/>
      <c r="D685" s="333"/>
      <c r="E685" s="334"/>
      <c r="F685" s="229"/>
      <c r="G685" s="333"/>
      <c r="H685" s="335"/>
      <c r="I685" s="229"/>
      <c r="J685" s="229"/>
      <c r="K685" s="336"/>
      <c r="L685" s="337"/>
      <c r="M685" s="337"/>
      <c r="N685" s="337"/>
      <c r="O685" s="337"/>
      <c r="P685" s="337"/>
      <c r="Q685" s="384">
        <v>8353</v>
      </c>
      <c r="R685" s="271">
        <f t="shared" si="50"/>
        <v>0</v>
      </c>
      <c r="S685" s="339">
        <f t="shared" si="49"/>
        <v>0</v>
      </c>
      <c r="T685" s="373"/>
      <c r="U685" s="373">
        <f>SUMIF(其他!$A$9:$A$65,"8353",其他!$K$9:K$65)</f>
        <v>0</v>
      </c>
      <c r="V685" s="274"/>
      <c r="W685" s="374"/>
      <c r="X685" s="375"/>
      <c r="Y685" s="45" t="s">
        <v>670</v>
      </c>
      <c r="Z685" s="376"/>
      <c r="AA685" s="240"/>
      <c r="AB685" s="345">
        <v>1</v>
      </c>
      <c r="AC685" s="271"/>
      <c r="AD685" s="272"/>
      <c r="AE685" s="273"/>
      <c r="AF685" s="273"/>
      <c r="AG685" s="274"/>
      <c r="AH685" s="275"/>
      <c r="AI685" s="272"/>
      <c r="AJ685" s="276"/>
      <c r="AK685" s="277"/>
      <c r="AL685" s="278"/>
      <c r="AM685" s="277"/>
      <c r="AN685" s="279"/>
      <c r="AO685" s="279"/>
      <c r="AP685" s="279"/>
      <c r="AQ685" s="378"/>
      <c r="AR685" s="305">
        <f>'预算书-初步'!$F$10</f>
        <v>0.09</v>
      </c>
      <c r="AT685" s="272"/>
      <c r="BC685" s="272" t="s">
        <v>521</v>
      </c>
      <c r="BD685" s="380">
        <v>1121</v>
      </c>
      <c r="BE685" s="347" t="s">
        <v>702</v>
      </c>
    </row>
    <row r="686" s="52" customFormat="1" ht="15.75" customHeight="1" spans="1:57">
      <c r="A686" s="227"/>
      <c r="B686" s="332"/>
      <c r="C686" s="228"/>
      <c r="D686" s="333"/>
      <c r="E686" s="334"/>
      <c r="F686" s="229"/>
      <c r="G686" s="333"/>
      <c r="H686" s="335"/>
      <c r="I686" s="229"/>
      <c r="J686" s="229"/>
      <c r="K686" s="336"/>
      <c r="L686" s="337"/>
      <c r="M686" s="337"/>
      <c r="N686" s="337"/>
      <c r="O686" s="337"/>
      <c r="P686" s="337"/>
      <c r="Q686" s="384">
        <v>8354</v>
      </c>
      <c r="R686" s="271">
        <f t="shared" si="50"/>
        <v>0</v>
      </c>
      <c r="S686" s="339">
        <f t="shared" si="49"/>
        <v>0</v>
      </c>
      <c r="T686" s="373"/>
      <c r="U686" s="373">
        <f>SUMIF(其他!$A$9:$A$65,"8354",其他!$K$9:K$65)</f>
        <v>0</v>
      </c>
      <c r="V686" s="274"/>
      <c r="W686" s="374"/>
      <c r="X686" s="375"/>
      <c r="Y686" s="45" t="s">
        <v>671</v>
      </c>
      <c r="Z686" s="376"/>
      <c r="AA686" s="240"/>
      <c r="AB686" s="345">
        <v>1</v>
      </c>
      <c r="AC686" s="271"/>
      <c r="AD686" s="272"/>
      <c r="AE686" s="273"/>
      <c r="AF686" s="273"/>
      <c r="AG686" s="274"/>
      <c r="AH686" s="275"/>
      <c r="AI686" s="272"/>
      <c r="AJ686" s="276"/>
      <c r="AK686" s="277"/>
      <c r="AL686" s="278"/>
      <c r="AM686" s="277"/>
      <c r="AN686" s="279"/>
      <c r="AO686" s="279"/>
      <c r="AP686" s="279"/>
      <c r="AQ686" s="378"/>
      <c r="AR686" s="305">
        <f>'预算书-初步'!$F$10</f>
        <v>0.09</v>
      </c>
      <c r="AT686" s="272"/>
      <c r="BC686" s="272" t="s">
        <v>521</v>
      </c>
      <c r="BD686" s="380">
        <v>1121</v>
      </c>
      <c r="BE686" s="347" t="s">
        <v>702</v>
      </c>
    </row>
    <row r="687" s="52" customFormat="1" ht="15.75" customHeight="1" spans="1:57">
      <c r="A687" s="227"/>
      <c r="B687" s="332"/>
      <c r="C687" s="228"/>
      <c r="D687" s="333"/>
      <c r="E687" s="334"/>
      <c r="F687" s="229"/>
      <c r="G687" s="333"/>
      <c r="H687" s="335"/>
      <c r="I687" s="229"/>
      <c r="J687" s="229"/>
      <c r="K687" s="336"/>
      <c r="L687" s="337"/>
      <c r="M687" s="337"/>
      <c r="N687" s="337"/>
      <c r="O687" s="337"/>
      <c r="P687" s="337"/>
      <c r="Q687" s="384">
        <v>8355</v>
      </c>
      <c r="R687" s="271">
        <f t="shared" si="50"/>
        <v>0</v>
      </c>
      <c r="S687" s="339">
        <f t="shared" si="49"/>
        <v>0</v>
      </c>
      <c r="T687" s="373"/>
      <c r="U687" s="373">
        <f>SUMIF(其他!$A$9:$A$65,"8355",其他!$K$9:K$65)</f>
        <v>0</v>
      </c>
      <c r="V687" s="274"/>
      <c r="W687" s="374"/>
      <c r="X687" s="375"/>
      <c r="Y687" s="365" t="s">
        <v>672</v>
      </c>
      <c r="Z687" s="376"/>
      <c r="AA687" s="240"/>
      <c r="AB687" s="345">
        <v>1</v>
      </c>
      <c r="AC687" s="271"/>
      <c r="AD687" s="272"/>
      <c r="AE687" s="273"/>
      <c r="AF687" s="273"/>
      <c r="AG687" s="274"/>
      <c r="AH687" s="275"/>
      <c r="AI687" s="272"/>
      <c r="AJ687" s="276"/>
      <c r="AK687" s="277"/>
      <c r="AL687" s="278"/>
      <c r="AM687" s="277"/>
      <c r="AN687" s="279"/>
      <c r="AO687" s="279"/>
      <c r="AP687" s="279"/>
      <c r="AQ687" s="378"/>
      <c r="AR687" s="305">
        <f>'预算书-初步'!$F$10</f>
        <v>0.09</v>
      </c>
      <c r="AT687" s="272"/>
      <c r="BC687" s="272" t="s">
        <v>521</v>
      </c>
      <c r="BD687" s="380">
        <v>1121</v>
      </c>
      <c r="BE687" s="347" t="s">
        <v>702</v>
      </c>
    </row>
    <row r="688" s="52" customFormat="1" ht="15.75" customHeight="1" spans="1:57">
      <c r="A688" s="227"/>
      <c r="B688" s="332"/>
      <c r="C688" s="228"/>
      <c r="D688" s="333"/>
      <c r="E688" s="334"/>
      <c r="F688" s="229"/>
      <c r="G688" s="333"/>
      <c r="H688" s="335"/>
      <c r="I688" s="229"/>
      <c r="J688" s="229"/>
      <c r="K688" s="336"/>
      <c r="L688" s="337"/>
      <c r="M688" s="337"/>
      <c r="N688" s="337"/>
      <c r="O688" s="337"/>
      <c r="P688" s="337"/>
      <c r="Q688" s="384">
        <v>8357</v>
      </c>
      <c r="R688" s="271">
        <f t="shared" si="50"/>
        <v>0</v>
      </c>
      <c r="S688" s="339">
        <f t="shared" ref="S688:S714" si="51">$S$5</f>
        <v>0</v>
      </c>
      <c r="T688" s="373"/>
      <c r="U688" s="373">
        <f>FA!K$133</f>
        <v>0</v>
      </c>
      <c r="V688" s="274"/>
      <c r="W688" s="374"/>
      <c r="X688" s="375"/>
      <c r="Y688" s="390" t="s">
        <v>673</v>
      </c>
      <c r="Z688" s="376"/>
      <c r="AA688" s="240"/>
      <c r="AB688" s="345">
        <v>1</v>
      </c>
      <c r="AC688" s="271"/>
      <c r="AD688" s="272"/>
      <c r="AE688" s="273"/>
      <c r="AF688" s="273"/>
      <c r="AG688" s="274"/>
      <c r="AH688" s="275"/>
      <c r="AI688" s="272"/>
      <c r="AJ688" s="276"/>
      <c r="AK688" s="277"/>
      <c r="AL688" s="278"/>
      <c r="AM688" s="277"/>
      <c r="AN688" s="279"/>
      <c r="AO688" s="279"/>
      <c r="AP688" s="279"/>
      <c r="AQ688" s="378"/>
      <c r="AR688" s="305">
        <f>'预算书-初步'!$F$10</f>
        <v>0.09</v>
      </c>
      <c r="AT688" s="272"/>
      <c r="BC688" s="272" t="s">
        <v>521</v>
      </c>
      <c r="BD688" s="380">
        <v>1122</v>
      </c>
      <c r="BE688" s="347" t="s">
        <v>702</v>
      </c>
    </row>
    <row r="689" s="52" customFormat="1" ht="15.75" customHeight="1" spans="1:57">
      <c r="A689" s="227"/>
      <c r="B689" s="332"/>
      <c r="C689" s="228"/>
      <c r="D689" s="333"/>
      <c r="E689" s="334"/>
      <c r="F689" s="229"/>
      <c r="G689" s="333"/>
      <c r="H689" s="335"/>
      <c r="I689" s="229"/>
      <c r="J689" s="229"/>
      <c r="K689" s="336"/>
      <c r="L689" s="337"/>
      <c r="M689" s="337"/>
      <c r="N689" s="337"/>
      <c r="O689" s="337"/>
      <c r="P689" s="337"/>
      <c r="Q689" s="381">
        <v>8361</v>
      </c>
      <c r="R689" s="271">
        <f t="shared" si="50"/>
        <v>0</v>
      </c>
      <c r="S689" s="339">
        <f t="shared" si="51"/>
        <v>0</v>
      </c>
      <c r="T689" s="373"/>
      <c r="U689" s="373">
        <f>SUMIF(其他!$A$9:$A$65,"8361",其他!$K$9:K$65)</f>
        <v>0</v>
      </c>
      <c r="V689" s="274"/>
      <c r="W689" s="374"/>
      <c r="X689" s="375"/>
      <c r="Y689" s="45" t="s">
        <v>674</v>
      </c>
      <c r="Z689" s="376"/>
      <c r="AA689" s="240"/>
      <c r="AB689" s="345">
        <v>1</v>
      </c>
      <c r="AC689" s="271"/>
      <c r="AD689" s="272"/>
      <c r="AE689" s="273"/>
      <c r="AF689" s="273"/>
      <c r="AG689" s="274"/>
      <c r="AH689" s="275"/>
      <c r="AI689" s="272"/>
      <c r="AJ689" s="276"/>
      <c r="AK689" s="277"/>
      <c r="AL689" s="278"/>
      <c r="AM689" s="277"/>
      <c r="AN689" s="279"/>
      <c r="AO689" s="279"/>
      <c r="AP689" s="279"/>
      <c r="AQ689" s="378"/>
      <c r="AR689" s="305">
        <f>'预算书-初步'!$F$10</f>
        <v>0.09</v>
      </c>
      <c r="AT689" s="272"/>
      <c r="BC689" s="272" t="s">
        <v>521</v>
      </c>
      <c r="BD689" s="380">
        <v>1123</v>
      </c>
      <c r="BE689" s="347" t="s">
        <v>702</v>
      </c>
    </row>
    <row r="690" s="52" customFormat="1" ht="15.75" customHeight="1" spans="1:57">
      <c r="A690" s="227"/>
      <c r="B690" s="332"/>
      <c r="C690" s="228"/>
      <c r="D690" s="333"/>
      <c r="E690" s="334"/>
      <c r="F690" s="229"/>
      <c r="G690" s="333"/>
      <c r="H690" s="335"/>
      <c r="I690" s="229"/>
      <c r="J690" s="229"/>
      <c r="K690" s="336"/>
      <c r="L690" s="337"/>
      <c r="M690" s="337"/>
      <c r="N690" s="337"/>
      <c r="O690" s="337"/>
      <c r="P690" s="337"/>
      <c r="Q690" s="381">
        <v>8362</v>
      </c>
      <c r="R690" s="271">
        <f t="shared" si="50"/>
        <v>0</v>
      </c>
      <c r="S690" s="339">
        <f t="shared" si="51"/>
        <v>0</v>
      </c>
      <c r="T690" s="373"/>
      <c r="U690" s="373">
        <f>SUMIF(其他!$A$9:$A$65,"8362",其他!$K$9:K$65)</f>
        <v>0</v>
      </c>
      <c r="V690" s="274"/>
      <c r="W690" s="374"/>
      <c r="X690" s="375"/>
      <c r="Y690" s="45" t="s">
        <v>675</v>
      </c>
      <c r="Z690" s="376"/>
      <c r="AA690" s="240"/>
      <c r="AB690" s="345">
        <v>1</v>
      </c>
      <c r="AC690" s="271"/>
      <c r="AD690" s="272"/>
      <c r="AE690" s="273"/>
      <c r="AF690" s="273"/>
      <c r="AG690" s="274"/>
      <c r="AH690" s="275"/>
      <c r="AI690" s="272"/>
      <c r="AJ690" s="276"/>
      <c r="AK690" s="277"/>
      <c r="AL690" s="278"/>
      <c r="AM690" s="277"/>
      <c r="AN690" s="279"/>
      <c r="AO690" s="279"/>
      <c r="AP690" s="279"/>
      <c r="AQ690" s="378"/>
      <c r="AR690" s="305">
        <f>'预算书-初步'!$F$10</f>
        <v>0.09</v>
      </c>
      <c r="AT690" s="272"/>
      <c r="BC690" s="272" t="s">
        <v>521</v>
      </c>
      <c r="BD690" s="380">
        <v>1123</v>
      </c>
      <c r="BE690" s="347" t="s">
        <v>702</v>
      </c>
    </row>
    <row r="691" s="52" customFormat="1" ht="15.75" customHeight="1" spans="1:57">
      <c r="A691" s="227"/>
      <c r="B691" s="332"/>
      <c r="C691" s="228"/>
      <c r="D691" s="333"/>
      <c r="E691" s="334"/>
      <c r="F691" s="229"/>
      <c r="G691" s="333"/>
      <c r="H691" s="335"/>
      <c r="I691" s="229"/>
      <c r="J691" s="229"/>
      <c r="K691" s="336"/>
      <c r="L691" s="337"/>
      <c r="M691" s="337"/>
      <c r="N691" s="337"/>
      <c r="O691" s="337"/>
      <c r="P691" s="337"/>
      <c r="Q691" s="381">
        <v>8391</v>
      </c>
      <c r="R691" s="271">
        <f t="shared" si="50"/>
        <v>0</v>
      </c>
      <c r="S691" s="339">
        <f t="shared" si="51"/>
        <v>0</v>
      </c>
      <c r="T691" s="373"/>
      <c r="U691" s="373">
        <f>FA!K$135</f>
        <v>0</v>
      </c>
      <c r="V691" s="274"/>
      <c r="W691" s="374"/>
      <c r="X691" s="375"/>
      <c r="Y691" s="45" t="s">
        <v>676</v>
      </c>
      <c r="Z691" s="376"/>
      <c r="AA691" s="240"/>
      <c r="AB691" s="345">
        <v>1</v>
      </c>
      <c r="AC691" s="271"/>
      <c r="AD691" s="272"/>
      <c r="AE691" s="273"/>
      <c r="AF691" s="273"/>
      <c r="AG691" s="274"/>
      <c r="AH691" s="275"/>
      <c r="AI691" s="272"/>
      <c r="AJ691" s="276"/>
      <c r="AK691" s="277"/>
      <c r="AL691" s="278"/>
      <c r="AM691" s="277"/>
      <c r="AN691" s="279"/>
      <c r="AO691" s="279"/>
      <c r="AP691" s="279"/>
      <c r="AQ691" s="378"/>
      <c r="AR691" s="305">
        <f>'预算书-初步'!$F$10</f>
        <v>0.09</v>
      </c>
      <c r="AT691" s="272"/>
      <c r="BC691" s="272" t="s">
        <v>521</v>
      </c>
      <c r="BD691" s="380">
        <v>1124</v>
      </c>
      <c r="BE691" s="347" t="s">
        <v>702</v>
      </c>
    </row>
    <row r="692" s="52" customFormat="1" ht="15.75" customHeight="1" spans="1:57">
      <c r="A692" s="227"/>
      <c r="B692" s="332"/>
      <c r="C692" s="228"/>
      <c r="D692" s="333"/>
      <c r="E692" s="334"/>
      <c r="F692" s="229"/>
      <c r="G692" s="333"/>
      <c r="H692" s="335"/>
      <c r="I692" s="229"/>
      <c r="J692" s="229"/>
      <c r="K692" s="336"/>
      <c r="L692" s="337"/>
      <c r="M692" s="337"/>
      <c r="N692" s="337"/>
      <c r="O692" s="337"/>
      <c r="P692" s="337"/>
      <c r="Q692" s="381">
        <v>8392</v>
      </c>
      <c r="R692" s="271">
        <f t="shared" si="50"/>
        <v>0</v>
      </c>
      <c r="S692" s="339">
        <f t="shared" si="51"/>
        <v>0</v>
      </c>
      <c r="T692" s="373"/>
      <c r="U692" s="373">
        <f>SUMIF(其他!$A$9:$A$65,"8392",其他!$K$9:K$65)</f>
        <v>0</v>
      </c>
      <c r="V692" s="274"/>
      <c r="W692" s="374"/>
      <c r="X692" s="375"/>
      <c r="Y692" s="45" t="s">
        <v>677</v>
      </c>
      <c r="Z692" s="376"/>
      <c r="AA692" s="240"/>
      <c r="AB692" s="345">
        <v>1</v>
      </c>
      <c r="AC692" s="271"/>
      <c r="AD692" s="272"/>
      <c r="AE692" s="273"/>
      <c r="AF692" s="273"/>
      <c r="AG692" s="274"/>
      <c r="AH692" s="275"/>
      <c r="AI692" s="272"/>
      <c r="AJ692" s="276"/>
      <c r="AK692" s="277"/>
      <c r="AL692" s="278"/>
      <c r="AM692" s="277"/>
      <c r="AN692" s="279"/>
      <c r="AO692" s="279"/>
      <c r="AP692" s="279"/>
      <c r="AQ692" s="378"/>
      <c r="AR692" s="305">
        <f>'预算书-初步'!$F$10</f>
        <v>0.09</v>
      </c>
      <c r="AT692" s="272"/>
      <c r="BC692" s="272" t="s">
        <v>521</v>
      </c>
      <c r="BD692" s="380">
        <v>1125</v>
      </c>
      <c r="BE692" s="347" t="s">
        <v>702</v>
      </c>
    </row>
    <row r="693" s="52" customFormat="1" ht="15.75" customHeight="1" spans="1:57">
      <c r="A693" s="227"/>
      <c r="B693" s="332"/>
      <c r="C693" s="228"/>
      <c r="D693" s="333"/>
      <c r="E693" s="334"/>
      <c r="F693" s="229"/>
      <c r="G693" s="333"/>
      <c r="H693" s="335"/>
      <c r="I693" s="229"/>
      <c r="J693" s="229"/>
      <c r="K693" s="336"/>
      <c r="L693" s="337"/>
      <c r="M693" s="337"/>
      <c r="N693" s="337"/>
      <c r="O693" s="337"/>
      <c r="P693" s="337"/>
      <c r="Q693" s="381">
        <v>8393</v>
      </c>
      <c r="R693" s="271">
        <f t="shared" si="50"/>
        <v>0</v>
      </c>
      <c r="S693" s="339">
        <f t="shared" si="51"/>
        <v>0</v>
      </c>
      <c r="T693" s="373"/>
      <c r="U693" s="373">
        <f>SUMIF(其他!$A$9:$A$65,"8393",其他!$K$9:K$65)</f>
        <v>0</v>
      </c>
      <c r="V693" s="274"/>
      <c r="W693" s="374"/>
      <c r="X693" s="375"/>
      <c r="Y693" s="45" t="s">
        <v>678</v>
      </c>
      <c r="Z693" s="376"/>
      <c r="AA693" s="240"/>
      <c r="AB693" s="345">
        <v>1</v>
      </c>
      <c r="AC693" s="271"/>
      <c r="AD693" s="272"/>
      <c r="AE693" s="273"/>
      <c r="AF693" s="273"/>
      <c r="AG693" s="274"/>
      <c r="AH693" s="275"/>
      <c r="AI693" s="272"/>
      <c r="AJ693" s="276"/>
      <c r="AK693" s="277"/>
      <c r="AL693" s="278"/>
      <c r="AM693" s="277"/>
      <c r="AN693" s="279"/>
      <c r="AO693" s="279"/>
      <c r="AP693" s="279"/>
      <c r="AQ693" s="378"/>
      <c r="AR693" s="305">
        <f>'预算书-初步'!$F$10</f>
        <v>0.09</v>
      </c>
      <c r="AT693" s="272"/>
      <c r="BC693" s="272" t="s">
        <v>521</v>
      </c>
      <c r="BD693" s="380">
        <v>1125</v>
      </c>
      <c r="BE693" s="347" t="s">
        <v>702</v>
      </c>
    </row>
    <row r="694" s="52" customFormat="1" ht="15.75" customHeight="1" spans="1:57">
      <c r="A694" s="227"/>
      <c r="B694" s="332"/>
      <c r="C694" s="228"/>
      <c r="D694" s="333"/>
      <c r="E694" s="334"/>
      <c r="F694" s="229"/>
      <c r="G694" s="333"/>
      <c r="H694" s="335"/>
      <c r="I694" s="229"/>
      <c r="J694" s="229"/>
      <c r="K694" s="336"/>
      <c r="L694" s="337"/>
      <c r="M694" s="337"/>
      <c r="N694" s="337"/>
      <c r="O694" s="337"/>
      <c r="P694" s="337"/>
      <c r="Q694" s="381">
        <v>8394</v>
      </c>
      <c r="R694" s="271">
        <f t="shared" si="50"/>
        <v>0</v>
      </c>
      <c r="S694" s="339">
        <f t="shared" si="51"/>
        <v>0</v>
      </c>
      <c r="T694" s="373"/>
      <c r="U694" s="373">
        <f>SUMIF(其他!$A$9:$A$65,"8394",其他!$K$9:K$65)</f>
        <v>0</v>
      </c>
      <c r="V694" s="274"/>
      <c r="W694" s="374"/>
      <c r="X694" s="375"/>
      <c r="Y694" s="45" t="s">
        <v>679</v>
      </c>
      <c r="Z694" s="376"/>
      <c r="AA694" s="240"/>
      <c r="AB694" s="345">
        <v>1</v>
      </c>
      <c r="AC694" s="271"/>
      <c r="AD694" s="272"/>
      <c r="AE694" s="273"/>
      <c r="AF694" s="273"/>
      <c r="AG694" s="274"/>
      <c r="AH694" s="275"/>
      <c r="AI694" s="272"/>
      <c r="AJ694" s="276"/>
      <c r="AK694" s="277"/>
      <c r="AL694" s="278"/>
      <c r="AM694" s="277"/>
      <c r="AN694" s="279"/>
      <c r="AO694" s="279"/>
      <c r="AP694" s="279"/>
      <c r="AQ694" s="378"/>
      <c r="AR694" s="305">
        <f>'预算书-初步'!$F$10</f>
        <v>0.09</v>
      </c>
      <c r="AT694" s="272"/>
      <c r="BC694" s="272" t="s">
        <v>521</v>
      </c>
      <c r="BD694" s="380">
        <v>1125</v>
      </c>
      <c r="BE694" s="347" t="s">
        <v>702</v>
      </c>
    </row>
    <row r="695" s="52" customFormat="1" ht="15.75" customHeight="1" spans="1:57">
      <c r="A695" s="227"/>
      <c r="B695" s="332"/>
      <c r="C695" s="228"/>
      <c r="D695" s="333"/>
      <c r="E695" s="334"/>
      <c r="F695" s="229"/>
      <c r="G695" s="333"/>
      <c r="H695" s="335"/>
      <c r="I695" s="229"/>
      <c r="J695" s="229"/>
      <c r="K695" s="336"/>
      <c r="L695" s="337"/>
      <c r="M695" s="337"/>
      <c r="N695" s="337"/>
      <c r="O695" s="337"/>
      <c r="P695" s="337"/>
      <c r="Q695" s="381">
        <v>8329</v>
      </c>
      <c r="R695" s="271">
        <f t="shared" si="50"/>
        <v>0</v>
      </c>
      <c r="S695" s="339">
        <f t="shared" si="51"/>
        <v>0</v>
      </c>
      <c r="T695" s="373"/>
      <c r="U695" s="373">
        <f>FA!K$137</f>
        <v>0</v>
      </c>
      <c r="V695" s="274"/>
      <c r="W695" s="374"/>
      <c r="X695" s="375"/>
      <c r="Y695" s="388" t="s">
        <v>680</v>
      </c>
      <c r="Z695" s="376"/>
      <c r="AA695" s="240"/>
      <c r="AB695" s="345">
        <v>1</v>
      </c>
      <c r="AC695" s="271"/>
      <c r="AD695" s="272"/>
      <c r="AE695" s="273"/>
      <c r="AF695" s="273"/>
      <c r="AG695" s="274"/>
      <c r="AH695" s="275"/>
      <c r="AI695" s="272"/>
      <c r="AJ695" s="276"/>
      <c r="AK695" s="277"/>
      <c r="AL695" s="278"/>
      <c r="AM695" s="277"/>
      <c r="AN695" s="279"/>
      <c r="AO695" s="279"/>
      <c r="AP695" s="279"/>
      <c r="AQ695" s="378"/>
      <c r="AR695" s="305">
        <f>'预算书-初步'!$F$10</f>
        <v>0.09</v>
      </c>
      <c r="AT695" s="272"/>
      <c r="BC695" s="272" t="s">
        <v>521</v>
      </c>
      <c r="BD695" s="380">
        <v>1126</v>
      </c>
      <c r="BE695" s="347" t="s">
        <v>702</v>
      </c>
    </row>
    <row r="696" s="52" customFormat="1" ht="15.75" customHeight="1" spans="1:57">
      <c r="A696" s="227"/>
      <c r="B696" s="332"/>
      <c r="C696" s="228"/>
      <c r="D696" s="333"/>
      <c r="E696" s="334"/>
      <c r="F696" s="229"/>
      <c r="G696" s="333"/>
      <c r="H696" s="335"/>
      <c r="I696" s="229"/>
      <c r="J696" s="229"/>
      <c r="K696" s="336"/>
      <c r="L696" s="337"/>
      <c r="M696" s="337"/>
      <c r="N696" s="337"/>
      <c r="O696" s="337"/>
      <c r="P696" s="337"/>
      <c r="Q696" s="381">
        <v>8330</v>
      </c>
      <c r="R696" s="271">
        <f t="shared" si="50"/>
        <v>0</v>
      </c>
      <c r="S696" s="339">
        <f t="shared" si="51"/>
        <v>0</v>
      </c>
      <c r="T696" s="373"/>
      <c r="U696" s="373">
        <f>FA!K$138</f>
        <v>0</v>
      </c>
      <c r="V696" s="274"/>
      <c r="W696" s="374"/>
      <c r="X696" s="375"/>
      <c r="Y696" s="45" t="s">
        <v>681</v>
      </c>
      <c r="Z696" s="376"/>
      <c r="AA696" s="240"/>
      <c r="AB696" s="345">
        <v>1</v>
      </c>
      <c r="AC696" s="271"/>
      <c r="AD696" s="272"/>
      <c r="AE696" s="273"/>
      <c r="AF696" s="273"/>
      <c r="AG696" s="274"/>
      <c r="AH696" s="275"/>
      <c r="AI696" s="272"/>
      <c r="AJ696" s="276"/>
      <c r="AK696" s="277"/>
      <c r="AL696" s="278"/>
      <c r="AM696" s="277"/>
      <c r="AN696" s="279"/>
      <c r="AO696" s="279"/>
      <c r="AP696" s="279"/>
      <c r="AQ696" s="378"/>
      <c r="AR696" s="305">
        <f>'预算书-初步'!$F$10</f>
        <v>0.09</v>
      </c>
      <c r="AT696" s="272"/>
      <c r="BC696" s="272" t="s">
        <v>521</v>
      </c>
      <c r="BD696" s="380">
        <v>1127</v>
      </c>
      <c r="BE696" s="347" t="s">
        <v>702</v>
      </c>
    </row>
    <row r="697" s="52" customFormat="1" ht="15.75" customHeight="1" spans="1:57">
      <c r="A697" s="227"/>
      <c r="B697" s="332"/>
      <c r="C697" s="228"/>
      <c r="D697" s="333"/>
      <c r="E697" s="334"/>
      <c r="F697" s="229"/>
      <c r="G697" s="333"/>
      <c r="H697" s="335"/>
      <c r="I697" s="229"/>
      <c r="J697" s="229"/>
      <c r="K697" s="336"/>
      <c r="L697" s="337"/>
      <c r="M697" s="337"/>
      <c r="N697" s="337"/>
      <c r="O697" s="337"/>
      <c r="P697" s="337"/>
      <c r="Q697" s="381">
        <v>8440</v>
      </c>
      <c r="R697" s="271">
        <f t="shared" si="50"/>
        <v>0</v>
      </c>
      <c r="S697" s="339">
        <f t="shared" si="51"/>
        <v>0</v>
      </c>
      <c r="T697" s="373"/>
      <c r="U697" s="373">
        <f>FA!K$144</f>
        <v>0</v>
      </c>
      <c r="V697" s="274"/>
      <c r="W697" s="374"/>
      <c r="X697" s="375"/>
      <c r="Y697" s="385" t="s">
        <v>682</v>
      </c>
      <c r="Z697" s="376"/>
      <c r="AA697" s="240"/>
      <c r="AB697" s="345">
        <v>1</v>
      </c>
      <c r="AC697" s="271"/>
      <c r="AD697" s="272"/>
      <c r="AE697" s="273"/>
      <c r="AF697" s="273"/>
      <c r="AG697" s="274"/>
      <c r="AH697" s="275"/>
      <c r="AI697" s="272"/>
      <c r="AJ697" s="276"/>
      <c r="AK697" s="277"/>
      <c r="AL697" s="278"/>
      <c r="AM697" s="277"/>
      <c r="AN697" s="279"/>
      <c r="AO697" s="279"/>
      <c r="AP697" s="279"/>
      <c r="AQ697" s="378"/>
      <c r="AR697" s="305">
        <f>'预算书-初步'!$F$10</f>
        <v>0.09</v>
      </c>
      <c r="AT697" s="272"/>
      <c r="BC697" s="272" t="s">
        <v>521</v>
      </c>
      <c r="BD697" s="380">
        <v>1133</v>
      </c>
      <c r="BE697" s="347" t="s">
        <v>702</v>
      </c>
    </row>
    <row r="698" s="52" customFormat="1" ht="15.75" customHeight="1" spans="1:57">
      <c r="A698" s="227"/>
      <c r="B698" s="332"/>
      <c r="C698" s="228"/>
      <c r="D698" s="333"/>
      <c r="E698" s="334"/>
      <c r="F698" s="229"/>
      <c r="G698" s="333"/>
      <c r="H698" s="335"/>
      <c r="I698" s="229"/>
      <c r="J698" s="229"/>
      <c r="K698" s="336"/>
      <c r="L698" s="337"/>
      <c r="M698" s="337"/>
      <c r="N698" s="337"/>
      <c r="O698" s="337"/>
      <c r="P698" s="337"/>
      <c r="Q698" s="381">
        <v>8437</v>
      </c>
      <c r="R698" s="271">
        <f t="shared" si="50"/>
        <v>0</v>
      </c>
      <c r="S698" s="339">
        <f t="shared" si="51"/>
        <v>0</v>
      </c>
      <c r="T698" s="373"/>
      <c r="U698" s="373">
        <f>FA!K$145</f>
        <v>0</v>
      </c>
      <c r="V698" s="274"/>
      <c r="W698" s="374"/>
      <c r="X698" s="375"/>
      <c r="Y698" s="45" t="s">
        <v>683</v>
      </c>
      <c r="Z698" s="376"/>
      <c r="AA698" s="240"/>
      <c r="AB698" s="345">
        <v>1</v>
      </c>
      <c r="AC698" s="271"/>
      <c r="AD698" s="272"/>
      <c r="AE698" s="273"/>
      <c r="AF698" s="273"/>
      <c r="AG698" s="274"/>
      <c r="AH698" s="275"/>
      <c r="AI698" s="272"/>
      <c r="AJ698" s="276"/>
      <c r="AK698" s="277"/>
      <c r="AL698" s="278"/>
      <c r="AM698" s="277"/>
      <c r="AN698" s="279"/>
      <c r="AO698" s="279"/>
      <c r="AP698" s="279"/>
      <c r="AQ698" s="378"/>
      <c r="AR698" s="305">
        <f>'预算书-初步'!$F$10</f>
        <v>0.09</v>
      </c>
      <c r="AT698" s="272"/>
      <c r="BC698" s="272" t="s">
        <v>521</v>
      </c>
      <c r="BD698" s="380">
        <v>1134</v>
      </c>
      <c r="BE698" s="347" t="s">
        <v>702</v>
      </c>
    </row>
    <row r="699" s="52" customFormat="1" ht="15.75" customHeight="1" spans="1:57">
      <c r="A699" s="227"/>
      <c r="B699" s="332"/>
      <c r="C699" s="228"/>
      <c r="D699" s="333"/>
      <c r="E699" s="334"/>
      <c r="F699" s="229"/>
      <c r="G699" s="333"/>
      <c r="H699" s="335"/>
      <c r="I699" s="229"/>
      <c r="J699" s="229"/>
      <c r="K699" s="336"/>
      <c r="L699" s="337"/>
      <c r="M699" s="337"/>
      <c r="N699" s="337"/>
      <c r="O699" s="337"/>
      <c r="P699" s="337"/>
      <c r="Q699" s="381">
        <v>8441</v>
      </c>
      <c r="R699" s="271">
        <f t="shared" si="50"/>
        <v>0</v>
      </c>
      <c r="S699" s="339">
        <f t="shared" si="51"/>
        <v>0</v>
      </c>
      <c r="T699" s="373"/>
      <c r="U699" s="373">
        <f>FA!K$146</f>
        <v>0</v>
      </c>
      <c r="V699" s="274"/>
      <c r="W699" s="374"/>
      <c r="X699" s="375"/>
      <c r="Y699" s="388" t="s">
        <v>684</v>
      </c>
      <c r="Z699" s="376"/>
      <c r="AA699" s="240"/>
      <c r="AB699" s="345">
        <v>1</v>
      </c>
      <c r="AC699" s="271"/>
      <c r="AD699" s="272"/>
      <c r="AE699" s="273"/>
      <c r="AF699" s="273"/>
      <c r="AG699" s="274"/>
      <c r="AH699" s="275"/>
      <c r="AI699" s="272"/>
      <c r="AJ699" s="276"/>
      <c r="AK699" s="277"/>
      <c r="AL699" s="278"/>
      <c r="AM699" s="277"/>
      <c r="AN699" s="279"/>
      <c r="AO699" s="279"/>
      <c r="AP699" s="279"/>
      <c r="AQ699" s="378"/>
      <c r="AR699" s="305">
        <f>'预算书-初步'!$F$10</f>
        <v>0.09</v>
      </c>
      <c r="AT699" s="272"/>
      <c r="BC699" s="272" t="s">
        <v>521</v>
      </c>
      <c r="BD699" s="380">
        <v>1135</v>
      </c>
      <c r="BE699" s="347" t="s">
        <v>702</v>
      </c>
    </row>
    <row r="700" s="52" customFormat="1" ht="15.75" customHeight="1" spans="1:57">
      <c r="A700" s="227"/>
      <c r="B700" s="332"/>
      <c r="C700" s="228"/>
      <c r="D700" s="333"/>
      <c r="E700" s="334"/>
      <c r="F700" s="229"/>
      <c r="G700" s="333"/>
      <c r="H700" s="335"/>
      <c r="I700" s="229"/>
      <c r="J700" s="229"/>
      <c r="K700" s="336"/>
      <c r="L700" s="337"/>
      <c r="M700" s="337"/>
      <c r="N700" s="337"/>
      <c r="O700" s="337"/>
      <c r="P700" s="337"/>
      <c r="Q700" s="381">
        <v>8420</v>
      </c>
      <c r="R700" s="271">
        <f t="shared" si="50"/>
        <v>0</v>
      </c>
      <c r="S700" s="339">
        <f t="shared" si="51"/>
        <v>0</v>
      </c>
      <c r="T700" s="373"/>
      <c r="U700" s="373">
        <f>FA!K$148</f>
        <v>0</v>
      </c>
      <c r="V700" s="274"/>
      <c r="W700" s="374"/>
      <c r="X700" s="375"/>
      <c r="Y700" s="45" t="s">
        <v>685</v>
      </c>
      <c r="Z700" s="376"/>
      <c r="AA700" s="240"/>
      <c r="AB700" s="345">
        <v>1</v>
      </c>
      <c r="AC700" s="271"/>
      <c r="AD700" s="272"/>
      <c r="AE700" s="273"/>
      <c r="AF700" s="273"/>
      <c r="AG700" s="274"/>
      <c r="AH700" s="275"/>
      <c r="AI700" s="272"/>
      <c r="AJ700" s="276"/>
      <c r="AK700" s="277"/>
      <c r="AL700" s="278"/>
      <c r="AM700" s="277"/>
      <c r="AN700" s="279"/>
      <c r="AO700" s="279"/>
      <c r="AP700" s="279"/>
      <c r="AQ700" s="378"/>
      <c r="AR700" s="305">
        <f>'预算书-初步'!$F$10</f>
        <v>0.09</v>
      </c>
      <c r="AT700" s="272"/>
      <c r="BC700" s="272" t="s">
        <v>521</v>
      </c>
      <c r="BD700" s="380">
        <v>1137</v>
      </c>
      <c r="BE700" s="347" t="s">
        <v>702</v>
      </c>
    </row>
    <row r="701" s="52" customFormat="1" ht="15.75" customHeight="1" spans="1:57">
      <c r="A701" s="227"/>
      <c r="B701" s="332"/>
      <c r="C701" s="228"/>
      <c r="D701" s="333"/>
      <c r="E701" s="334"/>
      <c r="F701" s="229"/>
      <c r="G701" s="333"/>
      <c r="H701" s="335"/>
      <c r="I701" s="229"/>
      <c r="J701" s="229"/>
      <c r="K701" s="336"/>
      <c r="L701" s="337"/>
      <c r="M701" s="337"/>
      <c r="N701" s="337"/>
      <c r="O701" s="337"/>
      <c r="P701" s="337"/>
      <c r="Q701" s="381">
        <v>8450</v>
      </c>
      <c r="R701" s="271">
        <f t="shared" si="50"/>
        <v>0</v>
      </c>
      <c r="S701" s="339">
        <f t="shared" si="51"/>
        <v>0</v>
      </c>
      <c r="T701" s="373"/>
      <c r="U701" s="373">
        <f>FA!K$149</f>
        <v>0</v>
      </c>
      <c r="V701" s="274"/>
      <c r="W701" s="374"/>
      <c r="X701" s="375"/>
      <c r="Y701" s="388" t="s">
        <v>686</v>
      </c>
      <c r="Z701" s="376"/>
      <c r="AA701" s="240"/>
      <c r="AB701" s="345">
        <v>1</v>
      </c>
      <c r="AC701" s="271"/>
      <c r="AD701" s="272"/>
      <c r="AE701" s="273"/>
      <c r="AF701" s="273"/>
      <c r="AG701" s="274"/>
      <c r="AH701" s="275"/>
      <c r="AI701" s="272"/>
      <c r="AJ701" s="276"/>
      <c r="AK701" s="277"/>
      <c r="AL701" s="278"/>
      <c r="AM701" s="277"/>
      <c r="AN701" s="279"/>
      <c r="AO701" s="279"/>
      <c r="AP701" s="279"/>
      <c r="AQ701" s="378"/>
      <c r="AR701" s="305">
        <f>'预算书-初步'!$F$10</f>
        <v>0.09</v>
      </c>
      <c r="AT701" s="272"/>
      <c r="BC701" s="272" t="s">
        <v>521</v>
      </c>
      <c r="BD701" s="380">
        <v>1138</v>
      </c>
      <c r="BE701" s="347" t="s">
        <v>702</v>
      </c>
    </row>
    <row r="702" s="52" customFormat="1" ht="15.75" customHeight="1" spans="1:57">
      <c r="A702" s="227"/>
      <c r="B702" s="332"/>
      <c r="C702" s="228"/>
      <c r="D702" s="333"/>
      <c r="E702" s="334"/>
      <c r="F702" s="229"/>
      <c r="G702" s="333"/>
      <c r="H702" s="335"/>
      <c r="I702" s="229"/>
      <c r="J702" s="229"/>
      <c r="K702" s="336"/>
      <c r="L702" s="337"/>
      <c r="M702" s="337"/>
      <c r="N702" s="337"/>
      <c r="O702" s="337"/>
      <c r="P702" s="337"/>
      <c r="Q702" s="381">
        <v>8493</v>
      </c>
      <c r="R702" s="271">
        <f t="shared" si="50"/>
        <v>0</v>
      </c>
      <c r="S702" s="339">
        <f t="shared" si="51"/>
        <v>0</v>
      </c>
      <c r="T702" s="373"/>
      <c r="U702" s="373">
        <f>FA!K$155</f>
        <v>0</v>
      </c>
      <c r="V702" s="274"/>
      <c r="W702" s="374"/>
      <c r="X702" s="375"/>
      <c r="Y702" s="365" t="s">
        <v>687</v>
      </c>
      <c r="Z702" s="376"/>
      <c r="AA702" s="240"/>
      <c r="AB702" s="345">
        <v>1</v>
      </c>
      <c r="AC702" s="271"/>
      <c r="AD702" s="272"/>
      <c r="AE702" s="273"/>
      <c r="AF702" s="273"/>
      <c r="AG702" s="274"/>
      <c r="AH702" s="275"/>
      <c r="AI702" s="272"/>
      <c r="AJ702" s="276"/>
      <c r="AK702" s="277"/>
      <c r="AL702" s="278"/>
      <c r="AM702" s="277"/>
      <c r="AN702" s="279"/>
      <c r="AO702" s="279"/>
      <c r="AP702" s="279"/>
      <c r="AQ702" s="378"/>
      <c r="AR702" s="305">
        <f>'预算书-初步'!$F$10</f>
        <v>0.09</v>
      </c>
      <c r="AT702" s="272"/>
      <c r="BC702" s="272" t="s">
        <v>521</v>
      </c>
      <c r="BD702" s="380">
        <v>1152</v>
      </c>
      <c r="BE702" s="347" t="s">
        <v>702</v>
      </c>
    </row>
    <row r="703" s="52" customFormat="1" ht="15.75" customHeight="1" spans="1:57">
      <c r="A703" s="227"/>
      <c r="B703" s="332"/>
      <c r="C703" s="228"/>
      <c r="D703" s="333"/>
      <c r="E703" s="334"/>
      <c r="F703" s="229"/>
      <c r="G703" s="333"/>
      <c r="H703" s="335"/>
      <c r="I703" s="229"/>
      <c r="J703" s="229"/>
      <c r="K703" s="336"/>
      <c r="L703" s="337"/>
      <c r="M703" s="337"/>
      <c r="N703" s="337"/>
      <c r="O703" s="337"/>
      <c r="P703" s="337"/>
      <c r="Q703" s="381">
        <v>8494</v>
      </c>
      <c r="R703" s="271">
        <f t="shared" si="50"/>
        <v>0</v>
      </c>
      <c r="S703" s="339">
        <f t="shared" si="51"/>
        <v>0</v>
      </c>
      <c r="T703" s="373"/>
      <c r="U703" s="373">
        <f>FA!K$156</f>
        <v>0</v>
      </c>
      <c r="V703" s="274"/>
      <c r="W703" s="374"/>
      <c r="X703" s="375"/>
      <c r="Y703" s="365" t="s">
        <v>688</v>
      </c>
      <c r="Z703" s="376"/>
      <c r="AA703" s="240"/>
      <c r="AB703" s="345">
        <v>1</v>
      </c>
      <c r="AC703" s="271"/>
      <c r="AD703" s="272"/>
      <c r="AE703" s="273"/>
      <c r="AF703" s="273"/>
      <c r="AG703" s="274"/>
      <c r="AH703" s="275"/>
      <c r="AI703" s="272"/>
      <c r="AJ703" s="276"/>
      <c r="AK703" s="277"/>
      <c r="AL703" s="278"/>
      <c r="AM703" s="277"/>
      <c r="AN703" s="279"/>
      <c r="AO703" s="279"/>
      <c r="AP703" s="279"/>
      <c r="AQ703" s="378"/>
      <c r="AR703" s="305">
        <f>'预算书-初步'!$F$10</f>
        <v>0.09</v>
      </c>
      <c r="AT703" s="272"/>
      <c r="BC703" s="272" t="s">
        <v>521</v>
      </c>
      <c r="BD703" s="380">
        <v>1153</v>
      </c>
      <c r="BE703" s="347" t="s">
        <v>702</v>
      </c>
    </row>
    <row r="704" s="52" customFormat="1" ht="15.75" customHeight="1" spans="1:57">
      <c r="A704" s="227"/>
      <c r="B704" s="332"/>
      <c r="C704" s="228"/>
      <c r="D704" s="333"/>
      <c r="E704" s="334"/>
      <c r="F704" s="229"/>
      <c r="G704" s="333"/>
      <c r="H704" s="335"/>
      <c r="I704" s="229"/>
      <c r="J704" s="229"/>
      <c r="K704" s="336"/>
      <c r="L704" s="337"/>
      <c r="M704" s="337"/>
      <c r="N704" s="337"/>
      <c r="O704" s="337"/>
      <c r="P704" s="337"/>
      <c r="Q704" s="384">
        <v>2910</v>
      </c>
      <c r="R704" s="271">
        <f t="shared" si="50"/>
        <v>0</v>
      </c>
      <c r="S704" s="339">
        <f t="shared" si="51"/>
        <v>0</v>
      </c>
      <c r="T704" s="373"/>
      <c r="U704" s="373">
        <f>SUMIF(其他!$A$9:$A$65,"2910",其他!$K$9:K$65)</f>
        <v>0</v>
      </c>
      <c r="V704" s="274"/>
      <c r="W704" s="374"/>
      <c r="X704" s="375"/>
      <c r="Y704" s="45" t="s">
        <v>689</v>
      </c>
      <c r="Z704" s="376"/>
      <c r="AA704" s="240"/>
      <c r="AB704" s="345">
        <v>1</v>
      </c>
      <c r="AC704" s="271"/>
      <c r="AD704" s="272"/>
      <c r="AE704" s="273"/>
      <c r="AF704" s="273"/>
      <c r="AG704" s="274"/>
      <c r="AH704" s="275"/>
      <c r="AI704" s="272"/>
      <c r="AJ704" s="276"/>
      <c r="AK704" s="277"/>
      <c r="AL704" s="278"/>
      <c r="AM704" s="277"/>
      <c r="AN704" s="279"/>
      <c r="AO704" s="279"/>
      <c r="AP704" s="279"/>
      <c r="AQ704" s="378"/>
      <c r="AR704" s="305">
        <f>'预算书-初步'!$F$10</f>
        <v>0.09</v>
      </c>
      <c r="AT704" s="272"/>
      <c r="BC704" s="272" t="s">
        <v>521</v>
      </c>
      <c r="BD704" s="380">
        <v>1160</v>
      </c>
      <c r="BE704" s="347" t="s">
        <v>702</v>
      </c>
    </row>
    <row r="705" s="52" customFormat="1" ht="15.75" customHeight="1" spans="1:57">
      <c r="A705" s="227"/>
      <c r="B705" s="332"/>
      <c r="C705" s="228"/>
      <c r="D705" s="333"/>
      <c r="E705" s="334"/>
      <c r="F705" s="229"/>
      <c r="G705" s="333"/>
      <c r="H705" s="335"/>
      <c r="I705" s="229"/>
      <c r="J705" s="229"/>
      <c r="K705" s="336"/>
      <c r="L705" s="337"/>
      <c r="M705" s="337"/>
      <c r="N705" s="337"/>
      <c r="O705" s="337"/>
      <c r="P705" s="337"/>
      <c r="Q705" s="384">
        <v>2920</v>
      </c>
      <c r="R705" s="271">
        <f t="shared" si="50"/>
        <v>0</v>
      </c>
      <c r="S705" s="339">
        <f t="shared" si="51"/>
        <v>0</v>
      </c>
      <c r="T705" s="373"/>
      <c r="U705" s="373">
        <f>SUMIF(其他!$A$9:$A$65,"2920",其他!$K$9:K$65)</f>
        <v>0</v>
      </c>
      <c r="V705" s="274"/>
      <c r="W705" s="374"/>
      <c r="X705" s="375"/>
      <c r="Y705" s="45" t="s">
        <v>690</v>
      </c>
      <c r="Z705" s="376"/>
      <c r="AA705" s="240"/>
      <c r="AB705" s="345">
        <v>1</v>
      </c>
      <c r="AC705" s="271"/>
      <c r="AD705" s="272"/>
      <c r="AE705" s="273"/>
      <c r="AF705" s="273"/>
      <c r="AG705" s="274"/>
      <c r="AH705" s="275"/>
      <c r="AI705" s="272"/>
      <c r="AJ705" s="276"/>
      <c r="AK705" s="277"/>
      <c r="AL705" s="278"/>
      <c r="AM705" s="277"/>
      <c r="AN705" s="279"/>
      <c r="AO705" s="279"/>
      <c r="AP705" s="279"/>
      <c r="AQ705" s="378"/>
      <c r="AR705" s="305">
        <f>'预算书-初步'!$F$10</f>
        <v>0.09</v>
      </c>
      <c r="AT705" s="272"/>
      <c r="BC705" s="272" t="s">
        <v>521</v>
      </c>
      <c r="BD705" s="380">
        <v>1160</v>
      </c>
      <c r="BE705" s="347" t="s">
        <v>702</v>
      </c>
    </row>
    <row r="706" s="52" customFormat="1" ht="15.75" customHeight="1" spans="1:57">
      <c r="A706" s="227"/>
      <c r="B706" s="332"/>
      <c r="C706" s="228"/>
      <c r="D706" s="333"/>
      <c r="E706" s="334"/>
      <c r="F706" s="229"/>
      <c r="G706" s="333"/>
      <c r="H706" s="335"/>
      <c r="I706" s="229"/>
      <c r="J706" s="229"/>
      <c r="K706" s="336"/>
      <c r="L706" s="337"/>
      <c r="M706" s="337"/>
      <c r="N706" s="337"/>
      <c r="O706" s="337"/>
      <c r="P706" s="337"/>
      <c r="Q706" s="384">
        <v>2930</v>
      </c>
      <c r="R706" s="271">
        <f t="shared" si="50"/>
        <v>0</v>
      </c>
      <c r="S706" s="339">
        <f t="shared" si="51"/>
        <v>0</v>
      </c>
      <c r="T706" s="373"/>
      <c r="U706" s="373">
        <f>SUMIF(其他!$A$9:$A$65,"2930",其他!$K$9:K$65)</f>
        <v>0</v>
      </c>
      <c r="V706" s="274"/>
      <c r="W706" s="374"/>
      <c r="X706" s="375"/>
      <c r="Y706" s="45" t="s">
        <v>691</v>
      </c>
      <c r="Z706" s="376"/>
      <c r="AA706" s="240"/>
      <c r="AB706" s="345">
        <v>1</v>
      </c>
      <c r="AC706" s="271"/>
      <c r="AD706" s="272"/>
      <c r="AE706" s="273"/>
      <c r="AF706" s="273"/>
      <c r="AG706" s="274"/>
      <c r="AH706" s="275"/>
      <c r="AI706" s="272"/>
      <c r="AJ706" s="276"/>
      <c r="AK706" s="277"/>
      <c r="AL706" s="278"/>
      <c r="AM706" s="277"/>
      <c r="AN706" s="279"/>
      <c r="AO706" s="279"/>
      <c r="AP706" s="279"/>
      <c r="AQ706" s="378"/>
      <c r="AR706" s="305">
        <f>'预算书-初步'!$F$10</f>
        <v>0.09</v>
      </c>
      <c r="AT706" s="272"/>
      <c r="BC706" s="272" t="s">
        <v>521</v>
      </c>
      <c r="BD706" s="380">
        <v>1160</v>
      </c>
      <c r="BE706" s="347" t="s">
        <v>702</v>
      </c>
    </row>
    <row r="707" s="52" customFormat="1" ht="15.75" customHeight="1" spans="1:57">
      <c r="A707" s="227"/>
      <c r="B707" s="332"/>
      <c r="C707" s="228"/>
      <c r="D707" s="333"/>
      <c r="E707" s="334"/>
      <c r="F707" s="229"/>
      <c r="G707" s="333"/>
      <c r="H707" s="335"/>
      <c r="I707" s="229"/>
      <c r="J707" s="229"/>
      <c r="K707" s="336"/>
      <c r="L707" s="337"/>
      <c r="M707" s="337"/>
      <c r="N707" s="337"/>
      <c r="O707" s="337"/>
      <c r="P707" s="337"/>
      <c r="Q707" s="384">
        <v>2940</v>
      </c>
      <c r="R707" s="271">
        <f t="shared" si="50"/>
        <v>0</v>
      </c>
      <c r="S707" s="339">
        <f t="shared" si="51"/>
        <v>0</v>
      </c>
      <c r="T707" s="373"/>
      <c r="U707" s="373">
        <f>SUMIF(其他!$A$9:$A$65,"2940",其他!$K$9:K$65)</f>
        <v>0</v>
      </c>
      <c r="V707" s="274"/>
      <c r="W707" s="374"/>
      <c r="X707" s="375"/>
      <c r="Y707" s="45" t="s">
        <v>692</v>
      </c>
      <c r="Z707" s="376"/>
      <c r="AA707" s="240"/>
      <c r="AB707" s="345">
        <v>1</v>
      </c>
      <c r="AC707" s="271"/>
      <c r="AD707" s="272"/>
      <c r="AE707" s="273"/>
      <c r="AF707" s="273"/>
      <c r="AG707" s="274"/>
      <c r="AH707" s="275"/>
      <c r="AI707" s="272"/>
      <c r="AJ707" s="276"/>
      <c r="AK707" s="277"/>
      <c r="AL707" s="278"/>
      <c r="AM707" s="277"/>
      <c r="AN707" s="279"/>
      <c r="AO707" s="279"/>
      <c r="AP707" s="279"/>
      <c r="AQ707" s="378"/>
      <c r="AR707" s="305">
        <f>'预算书-初步'!$F$10</f>
        <v>0.09</v>
      </c>
      <c r="AT707" s="272"/>
      <c r="BC707" s="272" t="s">
        <v>521</v>
      </c>
      <c r="BD707" s="380">
        <v>1160</v>
      </c>
      <c r="BE707" s="347" t="s">
        <v>702</v>
      </c>
    </row>
    <row r="708" s="52" customFormat="1" ht="15.75" customHeight="1" spans="1:57">
      <c r="A708" s="227"/>
      <c r="B708" s="332"/>
      <c r="C708" s="228"/>
      <c r="D708" s="333"/>
      <c r="E708" s="334"/>
      <c r="F708" s="229"/>
      <c r="G708" s="333"/>
      <c r="H708" s="335"/>
      <c r="I708" s="229"/>
      <c r="J708" s="229"/>
      <c r="K708" s="336"/>
      <c r="L708" s="337"/>
      <c r="M708" s="337"/>
      <c r="N708" s="337"/>
      <c r="O708" s="337"/>
      <c r="P708" s="337"/>
      <c r="Q708" s="384">
        <v>2950</v>
      </c>
      <c r="R708" s="271">
        <f t="shared" si="50"/>
        <v>0</v>
      </c>
      <c r="S708" s="339">
        <f t="shared" si="51"/>
        <v>0</v>
      </c>
      <c r="T708" s="373"/>
      <c r="U708" s="373">
        <f>SUMIF(其他!$A$9:$A$65,"2950",其他!$K$9:K$65)</f>
        <v>0</v>
      </c>
      <c r="V708" s="274"/>
      <c r="W708" s="374"/>
      <c r="X708" s="375"/>
      <c r="Y708" s="45" t="s">
        <v>693</v>
      </c>
      <c r="Z708" s="376"/>
      <c r="AA708" s="240"/>
      <c r="AB708" s="345">
        <v>1</v>
      </c>
      <c r="AC708" s="271"/>
      <c r="AD708" s="272"/>
      <c r="AE708" s="273"/>
      <c r="AF708" s="273"/>
      <c r="AG708" s="274"/>
      <c r="AH708" s="275"/>
      <c r="AI708" s="272"/>
      <c r="AJ708" s="276"/>
      <c r="AK708" s="277"/>
      <c r="AL708" s="278"/>
      <c r="AM708" s="277"/>
      <c r="AN708" s="279"/>
      <c r="AO708" s="279"/>
      <c r="AP708" s="279"/>
      <c r="AQ708" s="378"/>
      <c r="AR708" s="305">
        <f>'预算书-初步'!$F$10</f>
        <v>0.09</v>
      </c>
      <c r="AT708" s="272"/>
      <c r="BC708" s="272" t="s">
        <v>521</v>
      </c>
      <c r="BD708" s="380">
        <v>1160</v>
      </c>
      <c r="BE708" s="347" t="s">
        <v>702</v>
      </c>
    </row>
    <row r="709" s="52" customFormat="1" ht="15.75" customHeight="1" spans="1:57">
      <c r="A709" s="227"/>
      <c r="B709" s="332"/>
      <c r="C709" s="228"/>
      <c r="D709" s="333"/>
      <c r="E709" s="334"/>
      <c r="F709" s="229"/>
      <c r="G709" s="333"/>
      <c r="H709" s="335"/>
      <c r="I709" s="229"/>
      <c r="J709" s="229"/>
      <c r="K709" s="336"/>
      <c r="L709" s="337"/>
      <c r="M709" s="337"/>
      <c r="N709" s="337"/>
      <c r="O709" s="337"/>
      <c r="P709" s="337"/>
      <c r="Q709" s="384">
        <v>2992</v>
      </c>
      <c r="R709" s="271">
        <f t="shared" si="50"/>
        <v>0</v>
      </c>
      <c r="S709" s="339">
        <f t="shared" si="51"/>
        <v>0</v>
      </c>
      <c r="T709" s="373"/>
      <c r="U709" s="373">
        <f>SUMIF(其他!$A$9:$A$65,"2992",其他!$K$9:K$65)</f>
        <v>0</v>
      </c>
      <c r="V709" s="274"/>
      <c r="W709" s="374"/>
      <c r="X709" s="375"/>
      <c r="Y709" s="45" t="s">
        <v>694</v>
      </c>
      <c r="Z709" s="376"/>
      <c r="AA709" s="240"/>
      <c r="AB709" s="345">
        <v>1</v>
      </c>
      <c r="AC709" s="271"/>
      <c r="AD709" s="272"/>
      <c r="AE709" s="273"/>
      <c r="AF709" s="273"/>
      <c r="AG709" s="274"/>
      <c r="AH709" s="275"/>
      <c r="AI709" s="272"/>
      <c r="AJ709" s="276"/>
      <c r="AK709" s="277"/>
      <c r="AL709" s="278"/>
      <c r="AM709" s="277"/>
      <c r="AN709" s="279"/>
      <c r="AO709" s="279"/>
      <c r="AP709" s="279"/>
      <c r="AQ709" s="378"/>
      <c r="AR709" s="305">
        <f>'预算书-初步'!$F$10</f>
        <v>0.09</v>
      </c>
      <c r="AT709" s="272"/>
      <c r="BC709" s="272" t="s">
        <v>521</v>
      </c>
      <c r="BD709" s="380">
        <v>1163</v>
      </c>
      <c r="BE709" s="347" t="s">
        <v>702</v>
      </c>
    </row>
    <row r="710" s="52" customFormat="1" ht="15.75" customHeight="1" spans="1:57">
      <c r="A710" s="227"/>
      <c r="B710" s="332"/>
      <c r="C710" s="228"/>
      <c r="D710" s="333"/>
      <c r="E710" s="334"/>
      <c r="F710" s="229"/>
      <c r="G710" s="333"/>
      <c r="H710" s="335"/>
      <c r="I710" s="229"/>
      <c r="J710" s="229"/>
      <c r="K710" s="336"/>
      <c r="L710" s="337"/>
      <c r="M710" s="337"/>
      <c r="N710" s="337"/>
      <c r="O710" s="337"/>
      <c r="P710" s="337"/>
      <c r="Q710" s="384">
        <v>2993</v>
      </c>
      <c r="R710" s="271">
        <f t="shared" ref="R710:R773" si="52">ROUND(U710*(1+AR710),0)</f>
        <v>0</v>
      </c>
      <c r="S710" s="339">
        <f t="shared" si="51"/>
        <v>0</v>
      </c>
      <c r="T710" s="373"/>
      <c r="U710" s="373">
        <f>SUMIF(其他!$A$9:$A$65,"2993",其他!$K$9:K$65)</f>
        <v>0</v>
      </c>
      <c r="V710" s="274"/>
      <c r="W710" s="374"/>
      <c r="X710" s="375"/>
      <c r="Y710" s="45" t="s">
        <v>695</v>
      </c>
      <c r="Z710" s="376"/>
      <c r="AA710" s="240"/>
      <c r="AB710" s="345">
        <v>1</v>
      </c>
      <c r="AC710" s="271"/>
      <c r="AD710" s="272"/>
      <c r="AE710" s="273"/>
      <c r="AF710" s="273"/>
      <c r="AG710" s="274"/>
      <c r="AH710" s="275"/>
      <c r="AI710" s="272"/>
      <c r="AJ710" s="276"/>
      <c r="AK710" s="277"/>
      <c r="AL710" s="278"/>
      <c r="AM710" s="277"/>
      <c r="AN710" s="279"/>
      <c r="AO710" s="279"/>
      <c r="AP710" s="279"/>
      <c r="AQ710" s="378"/>
      <c r="AR710" s="305">
        <f>'预算书-初步'!$F$10</f>
        <v>0.09</v>
      </c>
      <c r="AT710" s="272"/>
      <c r="BC710" s="272" t="s">
        <v>521</v>
      </c>
      <c r="BD710" s="380">
        <v>1163</v>
      </c>
      <c r="BE710" s="347" t="s">
        <v>702</v>
      </c>
    </row>
    <row r="711" s="52" customFormat="1" ht="15.75" customHeight="1" spans="1:57">
      <c r="A711" s="227"/>
      <c r="B711" s="332"/>
      <c r="C711" s="228"/>
      <c r="D711" s="333"/>
      <c r="E711" s="334"/>
      <c r="F711" s="229"/>
      <c r="G711" s="333"/>
      <c r="H711" s="335"/>
      <c r="I711" s="229"/>
      <c r="J711" s="229"/>
      <c r="K711" s="336"/>
      <c r="L711" s="337"/>
      <c r="M711" s="337"/>
      <c r="N711" s="337"/>
      <c r="O711" s="337"/>
      <c r="P711" s="337"/>
      <c r="Q711" s="384">
        <v>2994</v>
      </c>
      <c r="R711" s="271">
        <f t="shared" si="52"/>
        <v>0</v>
      </c>
      <c r="S711" s="339">
        <f t="shared" si="51"/>
        <v>0</v>
      </c>
      <c r="T711" s="373"/>
      <c r="U711" s="373">
        <f>SUMIF(其他!$A$9:$A$65,"2994",其他!$K$9:K$65)</f>
        <v>0</v>
      </c>
      <c r="V711" s="274"/>
      <c r="W711" s="374"/>
      <c r="X711" s="375"/>
      <c r="Y711" s="45" t="s">
        <v>696</v>
      </c>
      <c r="Z711" s="376"/>
      <c r="AA711" s="240"/>
      <c r="AB711" s="345">
        <v>1</v>
      </c>
      <c r="AC711" s="271"/>
      <c r="AD711" s="272"/>
      <c r="AE711" s="273"/>
      <c r="AF711" s="273"/>
      <c r="AG711" s="274"/>
      <c r="AH711" s="275"/>
      <c r="AI711" s="272"/>
      <c r="AJ711" s="276"/>
      <c r="AK711" s="277"/>
      <c r="AL711" s="278"/>
      <c r="AM711" s="277"/>
      <c r="AN711" s="279"/>
      <c r="AO711" s="279"/>
      <c r="AP711" s="279"/>
      <c r="AQ711" s="378"/>
      <c r="AR711" s="305">
        <f>'预算书-初步'!$F$10</f>
        <v>0.09</v>
      </c>
      <c r="AT711" s="272"/>
      <c r="BC711" s="272" t="s">
        <v>521</v>
      </c>
      <c r="BD711" s="380">
        <v>1163</v>
      </c>
      <c r="BE711" s="347" t="s">
        <v>702</v>
      </c>
    </row>
    <row r="712" s="52" customFormat="1" spans="1:57">
      <c r="A712" s="227"/>
      <c r="B712" s="332"/>
      <c r="C712" s="228"/>
      <c r="D712" s="333"/>
      <c r="E712" s="334"/>
      <c r="F712" s="229"/>
      <c r="G712" s="333"/>
      <c r="H712" s="335"/>
      <c r="I712" s="229"/>
      <c r="J712" s="229"/>
      <c r="K712" s="336"/>
      <c r="L712" s="337"/>
      <c r="M712" s="337"/>
      <c r="N712" s="337"/>
      <c r="O712" s="337"/>
      <c r="P712" s="337"/>
      <c r="Q712" s="384">
        <v>4992</v>
      </c>
      <c r="R712" s="271">
        <f t="shared" si="52"/>
        <v>0</v>
      </c>
      <c r="S712" s="339">
        <f t="shared" si="51"/>
        <v>0</v>
      </c>
      <c r="T712" s="373"/>
      <c r="U712" s="373">
        <f>SUMIF(其他!$A$9:$A$65,"4992",其他!$K$9:K$65)</f>
        <v>0</v>
      </c>
      <c r="V712" s="274"/>
      <c r="W712" s="374"/>
      <c r="X712" s="375"/>
      <c r="Y712" s="45" t="s">
        <v>697</v>
      </c>
      <c r="Z712" s="376"/>
      <c r="AA712" s="240"/>
      <c r="AB712" s="345">
        <v>1</v>
      </c>
      <c r="AC712" s="271"/>
      <c r="AD712" s="272"/>
      <c r="AE712" s="273"/>
      <c r="AF712" s="273"/>
      <c r="AG712" s="274"/>
      <c r="AH712" s="275"/>
      <c r="AI712" s="272"/>
      <c r="AJ712" s="276"/>
      <c r="AK712" s="277"/>
      <c r="AL712" s="278"/>
      <c r="AM712" s="277"/>
      <c r="AN712" s="279"/>
      <c r="AO712" s="279"/>
      <c r="AP712" s="279"/>
      <c r="AQ712" s="378"/>
      <c r="AR712" s="305">
        <f>'预算书-初步'!$F$10</f>
        <v>0.09</v>
      </c>
      <c r="AT712" s="272"/>
      <c r="BC712" s="272" t="s">
        <v>521</v>
      </c>
      <c r="BD712" s="380">
        <v>1174</v>
      </c>
      <c r="BE712" s="347" t="s">
        <v>702</v>
      </c>
    </row>
    <row r="713" s="52" customFormat="1" spans="1:57">
      <c r="A713" s="227"/>
      <c r="B713" s="332"/>
      <c r="C713" s="228"/>
      <c r="D713" s="333"/>
      <c r="E713" s="334"/>
      <c r="F713" s="229"/>
      <c r="G713" s="333"/>
      <c r="H713" s="335"/>
      <c r="I713" s="229"/>
      <c r="J713" s="229"/>
      <c r="K713" s="336"/>
      <c r="L713" s="337"/>
      <c r="M713" s="337"/>
      <c r="N713" s="337"/>
      <c r="O713" s="337"/>
      <c r="P713" s="337"/>
      <c r="Q713" s="384">
        <v>4993</v>
      </c>
      <c r="R713" s="271">
        <f t="shared" si="52"/>
        <v>0</v>
      </c>
      <c r="S713" s="339">
        <f t="shared" si="51"/>
        <v>0</v>
      </c>
      <c r="T713" s="373"/>
      <c r="U713" s="373">
        <f>SUMIF(其他!$A$9:$A$65,"4993",其他!$K$9:K$65)</f>
        <v>0</v>
      </c>
      <c r="V713" s="274"/>
      <c r="W713" s="374"/>
      <c r="X713" s="375"/>
      <c r="Y713" s="45" t="s">
        <v>698</v>
      </c>
      <c r="Z713" s="376"/>
      <c r="AA713" s="240"/>
      <c r="AB713" s="345">
        <v>1</v>
      </c>
      <c r="AC713" s="271"/>
      <c r="AD713" s="272"/>
      <c r="AE713" s="273"/>
      <c r="AF713" s="273"/>
      <c r="AG713" s="274"/>
      <c r="AH713" s="275"/>
      <c r="AI713" s="272"/>
      <c r="AJ713" s="276"/>
      <c r="AK713" s="277"/>
      <c r="AL713" s="278"/>
      <c r="AM713" s="277"/>
      <c r="AN713" s="279"/>
      <c r="AO713" s="279"/>
      <c r="AP713" s="279"/>
      <c r="AQ713" s="378"/>
      <c r="AR713" s="305">
        <f>'预算书-初步'!$F$10</f>
        <v>0.09</v>
      </c>
      <c r="AT713" s="272"/>
      <c r="BC713" s="272" t="s">
        <v>521</v>
      </c>
      <c r="BD713" s="380">
        <v>1174</v>
      </c>
      <c r="BE713" s="347" t="s">
        <v>702</v>
      </c>
    </row>
    <row r="714" s="52" customFormat="1" spans="1:57">
      <c r="A714" s="227"/>
      <c r="B714" s="332"/>
      <c r="C714" s="228"/>
      <c r="D714" s="333"/>
      <c r="E714" s="334"/>
      <c r="F714" s="229"/>
      <c r="G714" s="333"/>
      <c r="H714" s="335"/>
      <c r="I714" s="229"/>
      <c r="J714" s="229"/>
      <c r="K714" s="336"/>
      <c r="L714" s="337"/>
      <c r="M714" s="337"/>
      <c r="N714" s="337"/>
      <c r="O714" s="337"/>
      <c r="P714" s="337"/>
      <c r="Q714" s="384">
        <v>4994</v>
      </c>
      <c r="R714" s="271">
        <f t="shared" si="52"/>
        <v>0</v>
      </c>
      <c r="S714" s="339">
        <f t="shared" si="51"/>
        <v>0</v>
      </c>
      <c r="T714" s="373"/>
      <c r="U714" s="373">
        <f>SUMIF(其他!$A$9:$A$65,"4994",其他!$K$9:K$65)</f>
        <v>0</v>
      </c>
      <c r="V714" s="274"/>
      <c r="W714" s="374"/>
      <c r="X714" s="375"/>
      <c r="Y714" s="45" t="s">
        <v>699</v>
      </c>
      <c r="Z714" s="376"/>
      <c r="AA714" s="240"/>
      <c r="AB714" s="345">
        <v>1</v>
      </c>
      <c r="AC714" s="271"/>
      <c r="AD714" s="272"/>
      <c r="AE714" s="273"/>
      <c r="AF714" s="273"/>
      <c r="AG714" s="274"/>
      <c r="AH714" s="275"/>
      <c r="AI714" s="272"/>
      <c r="AJ714" s="276"/>
      <c r="AK714" s="277"/>
      <c r="AL714" s="278"/>
      <c r="AM714" s="277"/>
      <c r="AN714" s="279"/>
      <c r="AO714" s="279"/>
      <c r="AP714" s="279"/>
      <c r="AQ714" s="378"/>
      <c r="AR714" s="305">
        <f>'预算书-初步'!$F$10</f>
        <v>0.09</v>
      </c>
      <c r="AT714" s="272"/>
      <c r="BC714" s="272" t="s">
        <v>521</v>
      </c>
      <c r="BD714" s="380">
        <v>1174</v>
      </c>
      <c r="BE714" s="347" t="s">
        <v>702</v>
      </c>
    </row>
    <row r="715" s="52" customFormat="1" ht="15.75" customHeight="1" spans="1:57">
      <c r="A715" s="227"/>
      <c r="B715" s="332"/>
      <c r="C715" s="228"/>
      <c r="D715" s="333"/>
      <c r="E715" s="334"/>
      <c r="F715" s="229"/>
      <c r="G715" s="333"/>
      <c r="H715" s="335"/>
      <c r="I715" s="229"/>
      <c r="J715" s="229"/>
      <c r="K715" s="336"/>
      <c r="L715" s="337"/>
      <c r="M715" s="337"/>
      <c r="N715" s="337"/>
      <c r="O715" s="337"/>
      <c r="P715" s="337"/>
      <c r="Q715" s="338">
        <v>6002</v>
      </c>
      <c r="R715" s="271">
        <f t="shared" si="52"/>
        <v>0</v>
      </c>
      <c r="S715" s="339">
        <f t="shared" ref="S715:S733" si="53">$S$5</f>
        <v>0</v>
      </c>
      <c r="T715" s="340"/>
      <c r="U715" s="341">
        <f>FA!L$16</f>
        <v>0</v>
      </c>
      <c r="V715" s="274"/>
      <c r="W715" s="342"/>
      <c r="X715" s="343"/>
      <c r="Y715" s="6" t="s">
        <v>520</v>
      </c>
      <c r="Z715" s="344"/>
      <c r="AA715" s="240"/>
      <c r="AB715" s="345">
        <v>1</v>
      </c>
      <c r="AC715" s="271"/>
      <c r="AD715" s="272"/>
      <c r="AE715" s="273"/>
      <c r="AF715" s="273"/>
      <c r="AG715" s="274"/>
      <c r="AH715" s="275"/>
      <c r="AI715" s="272"/>
      <c r="AJ715" s="276"/>
      <c r="AK715" s="277"/>
      <c r="AL715" s="278"/>
      <c r="AM715" s="277"/>
      <c r="AN715" s="279"/>
      <c r="AO715" s="279"/>
      <c r="AP715" s="279"/>
      <c r="AQ715" s="279"/>
      <c r="AR715" s="305">
        <f>'预算书-初步'!$F$10</f>
        <v>0.09</v>
      </c>
      <c r="AT715" s="272">
        <v>12</v>
      </c>
      <c r="BC715" s="272" t="s">
        <v>521</v>
      </c>
      <c r="BD715" s="346">
        <v>1005</v>
      </c>
      <c r="BE715" s="347" t="s">
        <v>703</v>
      </c>
    </row>
    <row r="716" s="52" customFormat="1" ht="15.75" customHeight="1" spans="1:57">
      <c r="A716" s="227"/>
      <c r="B716" s="332"/>
      <c r="C716" s="228"/>
      <c r="D716" s="333"/>
      <c r="E716" s="334"/>
      <c r="F716" s="229"/>
      <c r="G716" s="333"/>
      <c r="H716" s="335"/>
      <c r="I716" s="229"/>
      <c r="J716" s="229"/>
      <c r="K716" s="336"/>
      <c r="L716" s="337"/>
      <c r="M716" s="337"/>
      <c r="N716" s="337"/>
      <c r="O716" s="337"/>
      <c r="P716" s="337"/>
      <c r="Q716" s="338">
        <v>6002</v>
      </c>
      <c r="R716" s="271">
        <f t="shared" si="52"/>
        <v>0</v>
      </c>
      <c r="S716" s="339">
        <f t="shared" si="53"/>
        <v>0</v>
      </c>
      <c r="T716" s="340"/>
      <c r="U716" s="341">
        <f>FA!L$17</f>
        <v>0</v>
      </c>
      <c r="V716" s="274"/>
      <c r="W716" s="342"/>
      <c r="X716" s="343"/>
      <c r="Y716" s="6" t="s">
        <v>523</v>
      </c>
      <c r="Z716" s="344"/>
      <c r="AA716" s="240"/>
      <c r="AB716" s="345">
        <v>1</v>
      </c>
      <c r="AC716" s="271"/>
      <c r="AD716" s="272"/>
      <c r="AE716" s="273"/>
      <c r="AF716" s="273"/>
      <c r="AG716" s="274"/>
      <c r="AH716" s="275"/>
      <c r="AI716" s="272"/>
      <c r="AJ716" s="276"/>
      <c r="AK716" s="277"/>
      <c r="AL716" s="278"/>
      <c r="AM716" s="277"/>
      <c r="AN716" s="279" t="str">
        <f>IF(AK716&lt;&gt;0,"N","")</f>
        <v/>
      </c>
      <c r="AO716" s="279"/>
      <c r="AP716" s="279" t="str">
        <f>IF(F716&lt;&gt;0,"Y","")</f>
        <v/>
      </c>
      <c r="AQ716" s="279"/>
      <c r="AR716" s="305">
        <f>'预算书-初步'!$F$10</f>
        <v>0.09</v>
      </c>
      <c r="AT716" s="272">
        <v>20</v>
      </c>
      <c r="BC716" s="272" t="s">
        <v>521</v>
      </c>
      <c r="BD716" s="346">
        <v>1006</v>
      </c>
      <c r="BE716" s="347" t="s">
        <v>703</v>
      </c>
    </row>
    <row r="717" s="52" customFormat="1" ht="15.75" customHeight="1" spans="1:57">
      <c r="A717" s="227"/>
      <c r="B717" s="332"/>
      <c r="C717" s="228"/>
      <c r="D717" s="333"/>
      <c r="E717" s="334"/>
      <c r="F717" s="229"/>
      <c r="G717" s="333"/>
      <c r="H717" s="335"/>
      <c r="I717" s="229"/>
      <c r="J717" s="229"/>
      <c r="K717" s="336"/>
      <c r="L717" s="337"/>
      <c r="M717" s="337"/>
      <c r="N717" s="337"/>
      <c r="O717" s="337"/>
      <c r="P717" s="337"/>
      <c r="Q717" s="338">
        <v>6002</v>
      </c>
      <c r="R717" s="271">
        <f t="shared" si="52"/>
        <v>0</v>
      </c>
      <c r="S717" s="339">
        <f t="shared" si="53"/>
        <v>0</v>
      </c>
      <c r="T717" s="340"/>
      <c r="U717" s="341">
        <f>FA!L$18</f>
        <v>0</v>
      </c>
      <c r="V717" s="274"/>
      <c r="W717" s="342"/>
      <c r="X717" s="343"/>
      <c r="Y717" s="6" t="s">
        <v>524</v>
      </c>
      <c r="Z717" s="344"/>
      <c r="AA717" s="240"/>
      <c r="AB717" s="345">
        <v>1</v>
      </c>
      <c r="AC717" s="271"/>
      <c r="AD717" s="272"/>
      <c r="AE717" s="273"/>
      <c r="AF717" s="273"/>
      <c r="AG717" s="274"/>
      <c r="AH717" s="275"/>
      <c r="AI717" s="272"/>
      <c r="AJ717" s="276"/>
      <c r="AK717" s="277"/>
      <c r="AL717" s="278"/>
      <c r="AM717" s="277"/>
      <c r="AN717" s="279" t="str">
        <f>IF(AK717&lt;&gt;0,"N","")</f>
        <v/>
      </c>
      <c r="AO717" s="279"/>
      <c r="AP717" s="279" t="str">
        <f>IF(F717&lt;&gt;0,"Y","")</f>
        <v/>
      </c>
      <c r="AQ717" s="279"/>
      <c r="AR717" s="305">
        <f>'预算书-初步'!$F$10</f>
        <v>0.09</v>
      </c>
      <c r="AT717" s="272">
        <v>23</v>
      </c>
      <c r="BC717" s="272" t="s">
        <v>521</v>
      </c>
      <c r="BD717" s="346">
        <v>1007</v>
      </c>
      <c r="BE717" s="347" t="s">
        <v>703</v>
      </c>
    </row>
    <row r="718" s="52" customFormat="1" ht="15.75" customHeight="1" spans="1:57">
      <c r="A718" s="227"/>
      <c r="B718" s="332"/>
      <c r="C718" s="228"/>
      <c r="D718" s="333"/>
      <c r="E718" s="334"/>
      <c r="F718" s="229"/>
      <c r="G718" s="333"/>
      <c r="H718" s="335"/>
      <c r="I718" s="229"/>
      <c r="J718" s="229"/>
      <c r="K718" s="336"/>
      <c r="L718" s="337"/>
      <c r="M718" s="337"/>
      <c r="N718" s="337"/>
      <c r="O718" s="337"/>
      <c r="P718" s="337"/>
      <c r="Q718" s="338">
        <v>1220</v>
      </c>
      <c r="R718" s="271">
        <f ca="1" t="shared" si="52"/>
        <v>0</v>
      </c>
      <c r="S718" s="339">
        <f t="shared" si="53"/>
        <v>0</v>
      </c>
      <c r="T718" s="340"/>
      <c r="U718" s="341">
        <f ca="1">FA!L$36</f>
        <v>0</v>
      </c>
      <c r="V718" s="274"/>
      <c r="W718" s="342"/>
      <c r="X718" s="343"/>
      <c r="Y718" s="6" t="s">
        <v>525</v>
      </c>
      <c r="Z718" s="344"/>
      <c r="AA718" s="240"/>
      <c r="AB718" s="345">
        <v>1</v>
      </c>
      <c r="AC718" s="271"/>
      <c r="AD718" s="272"/>
      <c r="AE718" s="273"/>
      <c r="AF718" s="273"/>
      <c r="AG718" s="274"/>
      <c r="AH718" s="275"/>
      <c r="AI718" s="272"/>
      <c r="AJ718" s="276"/>
      <c r="AK718" s="277"/>
      <c r="AL718" s="278"/>
      <c r="AM718" s="277"/>
      <c r="AN718" s="279"/>
      <c r="AO718" s="279"/>
      <c r="AP718" s="279"/>
      <c r="AQ718" s="279"/>
      <c r="AR718" s="305">
        <f>'预算书-初步'!$F$10</f>
        <v>0.09</v>
      </c>
      <c r="AT718" s="272"/>
      <c r="BC718" s="272" t="s">
        <v>521</v>
      </c>
      <c r="BD718" s="346">
        <v>1025</v>
      </c>
      <c r="BE718" s="347" t="s">
        <v>703</v>
      </c>
    </row>
    <row r="719" s="52" customFormat="1" ht="15.75" customHeight="1" spans="1:57">
      <c r="A719" s="227"/>
      <c r="B719" s="332"/>
      <c r="C719" s="228"/>
      <c r="D719" s="333"/>
      <c r="E719" s="334"/>
      <c r="F719" s="229"/>
      <c r="G719" s="333"/>
      <c r="H719" s="335"/>
      <c r="I719" s="229"/>
      <c r="J719" s="229"/>
      <c r="K719" s="336"/>
      <c r="L719" s="337"/>
      <c r="M719" s="337"/>
      <c r="N719" s="337"/>
      <c r="O719" s="337"/>
      <c r="P719" s="337"/>
      <c r="Q719" s="338">
        <v>1314</v>
      </c>
      <c r="R719" s="271">
        <f t="shared" si="52"/>
        <v>0</v>
      </c>
      <c r="S719" s="339">
        <f t="shared" si="53"/>
        <v>0</v>
      </c>
      <c r="T719" s="340"/>
      <c r="U719" s="341">
        <f>FA!L$42</f>
        <v>0</v>
      </c>
      <c r="V719" s="274"/>
      <c r="W719" s="342"/>
      <c r="X719" s="343"/>
      <c r="Y719" s="6" t="s">
        <v>526</v>
      </c>
      <c r="Z719" s="344"/>
      <c r="AA719" s="240"/>
      <c r="AB719" s="345">
        <v>1</v>
      </c>
      <c r="AC719" s="271"/>
      <c r="AD719" s="272"/>
      <c r="AE719" s="273"/>
      <c r="AF719" s="273"/>
      <c r="AG719" s="274"/>
      <c r="AH719" s="275"/>
      <c r="AI719" s="272"/>
      <c r="AJ719" s="276"/>
      <c r="AK719" s="277"/>
      <c r="AL719" s="278"/>
      <c r="AM719" s="277"/>
      <c r="AN719" s="279"/>
      <c r="AO719" s="279"/>
      <c r="AP719" s="279"/>
      <c r="AQ719" s="279"/>
      <c r="AR719" s="305">
        <f>'预算书-初步'!$F$10</f>
        <v>0.09</v>
      </c>
      <c r="AT719" s="272"/>
      <c r="BC719" s="272" t="s">
        <v>521</v>
      </c>
      <c r="BD719" s="348">
        <v>1031</v>
      </c>
      <c r="BE719" s="347" t="s">
        <v>703</v>
      </c>
    </row>
    <row r="720" s="52" customFormat="1" ht="15.75" customHeight="1" spans="1:57">
      <c r="A720" s="227"/>
      <c r="B720" s="332"/>
      <c r="C720" s="228"/>
      <c r="D720" s="333"/>
      <c r="E720" s="334"/>
      <c r="F720" s="229"/>
      <c r="G720" s="333"/>
      <c r="H720" s="335"/>
      <c r="I720" s="229"/>
      <c r="J720" s="229"/>
      <c r="K720" s="336"/>
      <c r="L720" s="337"/>
      <c r="M720" s="337"/>
      <c r="N720" s="337"/>
      <c r="O720" s="337"/>
      <c r="P720" s="337"/>
      <c r="Q720" s="338">
        <v>1320</v>
      </c>
      <c r="R720" s="271">
        <f t="shared" si="52"/>
        <v>0</v>
      </c>
      <c r="S720" s="339">
        <f t="shared" si="53"/>
        <v>0</v>
      </c>
      <c r="T720" s="340"/>
      <c r="U720" s="341">
        <f>FA!L$43</f>
        <v>0</v>
      </c>
      <c r="V720" s="274"/>
      <c r="W720" s="342"/>
      <c r="X720" s="343"/>
      <c r="Y720" s="6" t="s">
        <v>527</v>
      </c>
      <c r="Z720" s="344"/>
      <c r="AA720" s="240"/>
      <c r="AB720" s="345">
        <v>1</v>
      </c>
      <c r="AC720" s="271"/>
      <c r="AD720" s="272"/>
      <c r="AE720" s="273"/>
      <c r="AF720" s="273"/>
      <c r="AG720" s="274"/>
      <c r="AH720" s="275"/>
      <c r="AI720" s="272"/>
      <c r="AJ720" s="276"/>
      <c r="AK720" s="277"/>
      <c r="AL720" s="278"/>
      <c r="AM720" s="277"/>
      <c r="AN720" s="279"/>
      <c r="AO720" s="279"/>
      <c r="AP720" s="279"/>
      <c r="AQ720" s="279"/>
      <c r="AR720" s="305">
        <f>'预算书-初步'!$F$10</f>
        <v>0.09</v>
      </c>
      <c r="AT720" s="272"/>
      <c r="BC720" s="272" t="s">
        <v>521</v>
      </c>
      <c r="BD720" s="348">
        <v>1032</v>
      </c>
      <c r="BE720" s="347" t="s">
        <v>703</v>
      </c>
    </row>
    <row r="721" s="52" customFormat="1" ht="15.75" customHeight="1" spans="1:57">
      <c r="A721" s="227"/>
      <c r="B721" s="332"/>
      <c r="C721" s="228"/>
      <c r="D721" s="333"/>
      <c r="E721" s="334"/>
      <c r="F721" s="229"/>
      <c r="G721" s="333"/>
      <c r="H721" s="335"/>
      <c r="I721" s="229"/>
      <c r="J721" s="229"/>
      <c r="K721" s="336"/>
      <c r="L721" s="337"/>
      <c r="M721" s="337"/>
      <c r="N721" s="337"/>
      <c r="O721" s="337"/>
      <c r="P721" s="337"/>
      <c r="Q721" s="338">
        <v>1350</v>
      </c>
      <c r="R721" s="271">
        <f t="shared" si="52"/>
        <v>0</v>
      </c>
      <c r="S721" s="339">
        <f t="shared" si="53"/>
        <v>0</v>
      </c>
      <c r="T721" s="340"/>
      <c r="U721" s="341">
        <f>FA!L$46</f>
        <v>0</v>
      </c>
      <c r="V721" s="274"/>
      <c r="W721" s="342"/>
      <c r="X721" s="343"/>
      <c r="Y721" s="6" t="s">
        <v>528</v>
      </c>
      <c r="Z721" s="344"/>
      <c r="AA721" s="240"/>
      <c r="AB721" s="345">
        <v>1</v>
      </c>
      <c r="AC721" s="271"/>
      <c r="AD721" s="272"/>
      <c r="AE721" s="273"/>
      <c r="AF721" s="273"/>
      <c r="AG721" s="274"/>
      <c r="AH721" s="275"/>
      <c r="AI721" s="272"/>
      <c r="AJ721" s="276"/>
      <c r="AK721" s="277"/>
      <c r="AL721" s="278"/>
      <c r="AM721" s="277"/>
      <c r="AN721" s="279"/>
      <c r="AO721" s="279"/>
      <c r="AP721" s="279"/>
      <c r="AQ721" s="279"/>
      <c r="AR721" s="305">
        <f>'预算书-初步'!$F$10</f>
        <v>0.09</v>
      </c>
      <c r="AT721" s="272"/>
      <c r="BC721" s="272" t="s">
        <v>521</v>
      </c>
      <c r="BD721" s="348">
        <v>1035</v>
      </c>
      <c r="BE721" s="347" t="s">
        <v>703</v>
      </c>
    </row>
    <row r="722" s="52" customFormat="1" ht="15.75" customHeight="1" spans="1:57">
      <c r="A722" s="227"/>
      <c r="B722" s="332"/>
      <c r="C722" s="228"/>
      <c r="D722" s="333"/>
      <c r="E722" s="334"/>
      <c r="F722" s="229"/>
      <c r="G722" s="333"/>
      <c r="H722" s="335"/>
      <c r="I722" s="229"/>
      <c r="J722" s="229"/>
      <c r="K722" s="336"/>
      <c r="L722" s="337"/>
      <c r="M722" s="337"/>
      <c r="N722" s="337"/>
      <c r="O722" s="337"/>
      <c r="P722" s="337"/>
      <c r="Q722" s="338">
        <v>1360</v>
      </c>
      <c r="R722" s="271">
        <f t="shared" si="52"/>
        <v>0</v>
      </c>
      <c r="S722" s="339">
        <f t="shared" si="53"/>
        <v>0</v>
      </c>
      <c r="T722" s="340"/>
      <c r="U722" s="341">
        <f>FA!L$47</f>
        <v>0</v>
      </c>
      <c r="V722" s="274"/>
      <c r="W722" s="342"/>
      <c r="X722" s="343"/>
      <c r="Y722" s="6" t="s">
        <v>529</v>
      </c>
      <c r="Z722" s="344"/>
      <c r="AA722" s="240"/>
      <c r="AB722" s="345">
        <v>1</v>
      </c>
      <c r="AC722" s="271"/>
      <c r="AD722" s="272"/>
      <c r="AE722" s="273"/>
      <c r="AF722" s="273"/>
      <c r="AG722" s="274"/>
      <c r="AH722" s="275"/>
      <c r="AI722" s="272"/>
      <c r="AJ722" s="276"/>
      <c r="AK722" s="277"/>
      <c r="AL722" s="278"/>
      <c r="AM722" s="277"/>
      <c r="AN722" s="279"/>
      <c r="AO722" s="279"/>
      <c r="AP722" s="279"/>
      <c r="AQ722" s="279"/>
      <c r="AR722" s="305">
        <f>'预算书-初步'!$F$10</f>
        <v>0.09</v>
      </c>
      <c r="AT722" s="272"/>
      <c r="BC722" s="272" t="s">
        <v>521</v>
      </c>
      <c r="BD722" s="348">
        <v>1036</v>
      </c>
      <c r="BE722" s="347" t="s">
        <v>703</v>
      </c>
    </row>
    <row r="723" s="52" customFormat="1" ht="15.75" customHeight="1" spans="1:57">
      <c r="A723" s="227"/>
      <c r="B723" s="332"/>
      <c r="C723" s="228"/>
      <c r="D723" s="333"/>
      <c r="E723" s="334"/>
      <c r="F723" s="229"/>
      <c r="G723" s="333"/>
      <c r="H723" s="335"/>
      <c r="I723" s="229"/>
      <c r="J723" s="229"/>
      <c r="K723" s="336"/>
      <c r="L723" s="337"/>
      <c r="M723" s="337"/>
      <c r="N723" s="337"/>
      <c r="O723" s="337"/>
      <c r="P723" s="337"/>
      <c r="Q723" s="338">
        <v>1410</v>
      </c>
      <c r="R723" s="271">
        <f t="shared" si="52"/>
        <v>0</v>
      </c>
      <c r="S723" s="339">
        <f t="shared" si="53"/>
        <v>0</v>
      </c>
      <c r="T723" s="340"/>
      <c r="U723" s="341">
        <f>FA!L$49</f>
        <v>0</v>
      </c>
      <c r="V723" s="274"/>
      <c r="W723" s="342"/>
      <c r="X723" s="343"/>
      <c r="Y723" s="6" t="s">
        <v>530</v>
      </c>
      <c r="Z723" s="344"/>
      <c r="AA723" s="240"/>
      <c r="AB723" s="345">
        <v>1</v>
      </c>
      <c r="AC723" s="271"/>
      <c r="AD723" s="272"/>
      <c r="AE723" s="273"/>
      <c r="AF723" s="273"/>
      <c r="AG723" s="274"/>
      <c r="AH723" s="275"/>
      <c r="AI723" s="272"/>
      <c r="AJ723" s="276"/>
      <c r="AK723" s="277"/>
      <c r="AL723" s="278"/>
      <c r="AM723" s="277"/>
      <c r="AN723" s="279"/>
      <c r="AO723" s="279"/>
      <c r="AP723" s="279"/>
      <c r="AQ723" s="279"/>
      <c r="AR723" s="305">
        <f>'预算书-初步'!$F$10</f>
        <v>0.09</v>
      </c>
      <c r="AT723" s="272"/>
      <c r="BC723" s="272" t="s">
        <v>521</v>
      </c>
      <c r="BD723" s="348">
        <v>1038</v>
      </c>
      <c r="BE723" s="347" t="s">
        <v>703</v>
      </c>
    </row>
    <row r="724" s="52" customFormat="1" ht="15.75" customHeight="1" spans="1:57">
      <c r="A724" s="227"/>
      <c r="B724" s="332"/>
      <c r="C724" s="228"/>
      <c r="D724" s="333"/>
      <c r="E724" s="334"/>
      <c r="F724" s="229"/>
      <c r="G724" s="333"/>
      <c r="H724" s="335"/>
      <c r="I724" s="229"/>
      <c r="J724" s="229"/>
      <c r="K724" s="336"/>
      <c r="L724" s="337"/>
      <c r="M724" s="337"/>
      <c r="N724" s="337"/>
      <c r="O724" s="337"/>
      <c r="P724" s="337"/>
      <c r="Q724" s="338">
        <v>1420</v>
      </c>
      <c r="R724" s="271">
        <f t="shared" si="52"/>
        <v>0</v>
      </c>
      <c r="S724" s="339">
        <f t="shared" si="53"/>
        <v>0</v>
      </c>
      <c r="T724" s="340"/>
      <c r="U724" s="341">
        <f>FA!L$50</f>
        <v>0</v>
      </c>
      <c r="V724" s="274"/>
      <c r="W724" s="342"/>
      <c r="X724" s="343"/>
      <c r="Y724" s="6" t="s">
        <v>531</v>
      </c>
      <c r="Z724" s="344"/>
      <c r="AA724" s="240"/>
      <c r="AB724" s="345">
        <v>1</v>
      </c>
      <c r="AC724" s="271"/>
      <c r="AD724" s="272"/>
      <c r="AE724" s="273"/>
      <c r="AF724" s="273"/>
      <c r="AG724" s="274"/>
      <c r="AH724" s="275"/>
      <c r="AI724" s="272"/>
      <c r="AJ724" s="276"/>
      <c r="AK724" s="277"/>
      <c r="AL724" s="278"/>
      <c r="AM724" s="277"/>
      <c r="AN724" s="279"/>
      <c r="AO724" s="279"/>
      <c r="AP724" s="279"/>
      <c r="AQ724" s="279"/>
      <c r="AR724" s="305">
        <f>'预算书-初步'!$F$10</f>
        <v>0.09</v>
      </c>
      <c r="AT724" s="272"/>
      <c r="BC724" s="272" t="s">
        <v>521</v>
      </c>
      <c r="BD724" s="348">
        <v>1039</v>
      </c>
      <c r="BE724" s="347" t="s">
        <v>703</v>
      </c>
    </row>
    <row r="725" s="52" customFormat="1" ht="15.75" customHeight="1" spans="1:57">
      <c r="A725" s="227"/>
      <c r="B725" s="332"/>
      <c r="C725" s="228"/>
      <c r="D725" s="333"/>
      <c r="E725" s="334"/>
      <c r="F725" s="229"/>
      <c r="G725" s="333"/>
      <c r="H725" s="335"/>
      <c r="I725" s="229"/>
      <c r="J725" s="229"/>
      <c r="K725" s="336"/>
      <c r="L725" s="337"/>
      <c r="M725" s="337"/>
      <c r="N725" s="337"/>
      <c r="O725" s="337"/>
      <c r="P725" s="337"/>
      <c r="Q725" s="338">
        <v>1510</v>
      </c>
      <c r="R725" s="271">
        <f t="shared" si="52"/>
        <v>0</v>
      </c>
      <c r="S725" s="339">
        <f t="shared" si="53"/>
        <v>0</v>
      </c>
      <c r="T725" s="340"/>
      <c r="U725" s="341">
        <f>FA!L$53</f>
        <v>0</v>
      </c>
      <c r="V725" s="274"/>
      <c r="W725" s="342"/>
      <c r="X725" s="343"/>
      <c r="Y725" s="6" t="s">
        <v>532</v>
      </c>
      <c r="Z725" s="344"/>
      <c r="AA725" s="240"/>
      <c r="AB725" s="345">
        <v>1</v>
      </c>
      <c r="AC725" s="271"/>
      <c r="AD725" s="272"/>
      <c r="AE725" s="273"/>
      <c r="AF725" s="273"/>
      <c r="AG725" s="274"/>
      <c r="AH725" s="275"/>
      <c r="AI725" s="272"/>
      <c r="AJ725" s="276"/>
      <c r="AK725" s="277"/>
      <c r="AL725" s="278"/>
      <c r="AM725" s="277"/>
      <c r="AN725" s="279" t="str">
        <f t="shared" ref="AN725:AN737" si="54">IF(AK725&lt;&gt;0,"N","")</f>
        <v/>
      </c>
      <c r="AO725" s="279"/>
      <c r="AP725" s="279" t="str">
        <f t="shared" ref="AP725:AP737" si="55">IF(F725&lt;&gt;0,"Y","")</f>
        <v/>
      </c>
      <c r="AQ725" s="279"/>
      <c r="AR725" s="305">
        <f>'预算书-初步'!$F$10</f>
        <v>0.09</v>
      </c>
      <c r="AT725" s="272"/>
      <c r="BC725" s="272" t="s">
        <v>521</v>
      </c>
      <c r="BD725" s="348">
        <v>1042</v>
      </c>
      <c r="BE725" s="347" t="s">
        <v>703</v>
      </c>
    </row>
    <row r="726" s="52" customFormat="1" ht="15.75" customHeight="1" spans="1:57">
      <c r="A726" s="227"/>
      <c r="B726" s="332"/>
      <c r="C726" s="228"/>
      <c r="D726" s="333"/>
      <c r="E726" s="334"/>
      <c r="F726" s="229"/>
      <c r="G726" s="333"/>
      <c r="H726" s="335"/>
      <c r="I726" s="229"/>
      <c r="J726" s="229"/>
      <c r="K726" s="336"/>
      <c r="L726" s="337"/>
      <c r="M726" s="337"/>
      <c r="N726" s="337"/>
      <c r="O726" s="337"/>
      <c r="P726" s="337"/>
      <c r="Q726" s="338">
        <v>1520</v>
      </c>
      <c r="R726" s="271">
        <f t="shared" si="52"/>
        <v>0</v>
      </c>
      <c r="S726" s="339">
        <f t="shared" si="53"/>
        <v>0</v>
      </c>
      <c r="T726" s="340"/>
      <c r="U726" s="341">
        <f>FA!L$54</f>
        <v>0</v>
      </c>
      <c r="V726" s="274"/>
      <c r="W726" s="342"/>
      <c r="X726" s="343"/>
      <c r="Y726" s="6" t="s">
        <v>533</v>
      </c>
      <c r="Z726" s="344"/>
      <c r="AA726" s="240"/>
      <c r="AB726" s="345">
        <v>1</v>
      </c>
      <c r="AC726" s="271"/>
      <c r="AD726" s="272"/>
      <c r="AE726" s="273"/>
      <c r="AF726" s="273"/>
      <c r="AG726" s="274"/>
      <c r="AH726" s="275"/>
      <c r="AI726" s="272"/>
      <c r="AJ726" s="276"/>
      <c r="AK726" s="277"/>
      <c r="AL726" s="278"/>
      <c r="AM726" s="277"/>
      <c r="AN726" s="279" t="str">
        <f t="shared" si="54"/>
        <v/>
      </c>
      <c r="AO726" s="279"/>
      <c r="AP726" s="279" t="str">
        <f t="shared" si="55"/>
        <v/>
      </c>
      <c r="AQ726" s="279"/>
      <c r="AR726" s="305">
        <f>'预算书-初步'!$F$10</f>
        <v>0.09</v>
      </c>
      <c r="AT726" s="272"/>
      <c r="BC726" s="272" t="s">
        <v>521</v>
      </c>
      <c r="BD726" s="348">
        <v>1043</v>
      </c>
      <c r="BE726" s="347" t="s">
        <v>703</v>
      </c>
    </row>
    <row r="727" s="52" customFormat="1" ht="15.75" customHeight="1" spans="1:57">
      <c r="A727" s="227"/>
      <c r="B727" s="332"/>
      <c r="C727" s="228"/>
      <c r="D727" s="333"/>
      <c r="E727" s="334"/>
      <c r="F727" s="229"/>
      <c r="G727" s="333"/>
      <c r="H727" s="335"/>
      <c r="I727" s="229"/>
      <c r="J727" s="229"/>
      <c r="K727" s="336"/>
      <c r="L727" s="337"/>
      <c r="M727" s="337"/>
      <c r="N727" s="337"/>
      <c r="O727" s="337"/>
      <c r="P727" s="337"/>
      <c r="Q727" s="338">
        <v>1530</v>
      </c>
      <c r="R727" s="271">
        <f t="shared" si="52"/>
        <v>0</v>
      </c>
      <c r="S727" s="339">
        <f t="shared" si="53"/>
        <v>0</v>
      </c>
      <c r="T727" s="340"/>
      <c r="U727" s="341">
        <f>FA!L$55</f>
        <v>0</v>
      </c>
      <c r="V727" s="274"/>
      <c r="W727" s="342"/>
      <c r="X727" s="343"/>
      <c r="Y727" s="6" t="s">
        <v>534</v>
      </c>
      <c r="Z727" s="344"/>
      <c r="AA727" s="240"/>
      <c r="AB727" s="345">
        <v>1</v>
      </c>
      <c r="AC727" s="271"/>
      <c r="AD727" s="272"/>
      <c r="AE727" s="273"/>
      <c r="AF727" s="273"/>
      <c r="AG727" s="274"/>
      <c r="AH727" s="275"/>
      <c r="AI727" s="272"/>
      <c r="AJ727" s="276"/>
      <c r="AK727" s="277"/>
      <c r="AL727" s="278"/>
      <c r="AM727" s="277"/>
      <c r="AN727" s="279" t="str">
        <f t="shared" si="54"/>
        <v/>
      </c>
      <c r="AO727" s="279"/>
      <c r="AP727" s="279" t="str">
        <f t="shared" si="55"/>
        <v/>
      </c>
      <c r="AQ727" s="279"/>
      <c r="AR727" s="305">
        <f>'预算书-初步'!$F$10</f>
        <v>0.09</v>
      </c>
      <c r="AT727" s="272"/>
      <c r="BC727" s="272" t="s">
        <v>521</v>
      </c>
      <c r="BD727" s="348">
        <v>1044</v>
      </c>
      <c r="BE727" s="347" t="s">
        <v>703</v>
      </c>
    </row>
    <row r="728" s="52" customFormat="1" ht="15.75" customHeight="1" spans="1:57">
      <c r="A728" s="227"/>
      <c r="B728" s="332"/>
      <c r="C728" s="228"/>
      <c r="D728" s="333"/>
      <c r="E728" s="334"/>
      <c r="F728" s="229"/>
      <c r="G728" s="333"/>
      <c r="H728" s="335"/>
      <c r="I728" s="229"/>
      <c r="J728" s="229"/>
      <c r="K728" s="336"/>
      <c r="L728" s="337"/>
      <c r="M728" s="337"/>
      <c r="N728" s="337"/>
      <c r="O728" s="337"/>
      <c r="P728" s="337"/>
      <c r="Q728" s="338">
        <v>1531</v>
      </c>
      <c r="R728" s="271">
        <f t="shared" si="52"/>
        <v>0</v>
      </c>
      <c r="S728" s="339">
        <f t="shared" si="53"/>
        <v>0</v>
      </c>
      <c r="T728" s="340"/>
      <c r="U728" s="341">
        <f>FA!L$56</f>
        <v>0</v>
      </c>
      <c r="V728" s="274"/>
      <c r="W728" s="342"/>
      <c r="X728" s="343"/>
      <c r="Y728" s="6" t="s">
        <v>535</v>
      </c>
      <c r="Z728" s="344"/>
      <c r="AA728" s="240"/>
      <c r="AB728" s="345">
        <v>1</v>
      </c>
      <c r="AC728" s="271"/>
      <c r="AD728" s="272"/>
      <c r="AE728" s="273"/>
      <c r="AF728" s="273"/>
      <c r="AG728" s="274"/>
      <c r="AH728" s="275"/>
      <c r="AI728" s="272"/>
      <c r="AJ728" s="276"/>
      <c r="AK728" s="277"/>
      <c r="AL728" s="278"/>
      <c r="AM728" s="277"/>
      <c r="AN728" s="279" t="str">
        <f t="shared" si="54"/>
        <v/>
      </c>
      <c r="AO728" s="279"/>
      <c r="AP728" s="279" t="str">
        <f t="shared" si="55"/>
        <v/>
      </c>
      <c r="AQ728" s="279"/>
      <c r="AR728" s="305">
        <f>'预算书-初步'!$F$10</f>
        <v>0.09</v>
      </c>
      <c r="AT728" s="272"/>
      <c r="BC728" s="272" t="s">
        <v>521</v>
      </c>
      <c r="BD728" s="348">
        <v>1045</v>
      </c>
      <c r="BE728" s="347" t="s">
        <v>703</v>
      </c>
    </row>
    <row r="729" s="52" customFormat="1" ht="15.75" customHeight="1" spans="1:57">
      <c r="A729" s="227"/>
      <c r="B729" s="332"/>
      <c r="C729" s="228"/>
      <c r="D729" s="333"/>
      <c r="E729" s="334"/>
      <c r="F729" s="229"/>
      <c r="G729" s="333"/>
      <c r="H729" s="335"/>
      <c r="I729" s="229"/>
      <c r="J729" s="229"/>
      <c r="K729" s="336"/>
      <c r="L729" s="337"/>
      <c r="M729" s="337"/>
      <c r="N729" s="337"/>
      <c r="O729" s="337"/>
      <c r="P729" s="337"/>
      <c r="Q729" s="338">
        <v>1532</v>
      </c>
      <c r="R729" s="271">
        <f t="shared" si="52"/>
        <v>0</v>
      </c>
      <c r="S729" s="339">
        <f t="shared" si="53"/>
        <v>0</v>
      </c>
      <c r="T729" s="340"/>
      <c r="U729" s="341">
        <f>FA!L$57</f>
        <v>0</v>
      </c>
      <c r="V729" s="274"/>
      <c r="W729" s="342"/>
      <c r="X729" s="343"/>
      <c r="Y729" s="6" t="s">
        <v>536</v>
      </c>
      <c r="Z729" s="344"/>
      <c r="AA729" s="240"/>
      <c r="AB729" s="345">
        <v>1</v>
      </c>
      <c r="AC729" s="271"/>
      <c r="AD729" s="272"/>
      <c r="AE729" s="273"/>
      <c r="AF729" s="273"/>
      <c r="AG729" s="274"/>
      <c r="AH729" s="275"/>
      <c r="AI729" s="272"/>
      <c r="AJ729" s="276"/>
      <c r="AK729" s="277"/>
      <c r="AL729" s="278"/>
      <c r="AM729" s="277"/>
      <c r="AN729" s="279" t="str">
        <f t="shared" si="54"/>
        <v/>
      </c>
      <c r="AO729" s="279"/>
      <c r="AP729" s="279" t="str">
        <f t="shared" si="55"/>
        <v/>
      </c>
      <c r="AQ729" s="279"/>
      <c r="AR729" s="305">
        <f>'预算书-初步'!$F$10</f>
        <v>0.09</v>
      </c>
      <c r="AT729" s="272"/>
      <c r="BC729" s="272" t="s">
        <v>521</v>
      </c>
      <c r="BD729" s="348">
        <v>1046</v>
      </c>
      <c r="BE729" s="347" t="s">
        <v>703</v>
      </c>
    </row>
    <row r="730" s="52" customFormat="1" ht="15.75" customHeight="1" spans="1:57">
      <c r="A730" s="227"/>
      <c r="B730" s="332"/>
      <c r="C730" s="228"/>
      <c r="D730" s="333"/>
      <c r="E730" s="334"/>
      <c r="F730" s="229"/>
      <c r="G730" s="333"/>
      <c r="H730" s="335"/>
      <c r="I730" s="229"/>
      <c r="J730" s="229"/>
      <c r="K730" s="336"/>
      <c r="L730" s="337"/>
      <c r="M730" s="337"/>
      <c r="N730" s="337"/>
      <c r="O730" s="337"/>
      <c r="P730" s="337"/>
      <c r="Q730" s="338">
        <v>1533</v>
      </c>
      <c r="R730" s="271">
        <f t="shared" si="52"/>
        <v>0</v>
      </c>
      <c r="S730" s="339">
        <f t="shared" si="53"/>
        <v>0</v>
      </c>
      <c r="T730" s="340"/>
      <c r="U730" s="341">
        <f>FA!L$58</f>
        <v>0</v>
      </c>
      <c r="V730" s="274"/>
      <c r="W730" s="342"/>
      <c r="X730" s="343"/>
      <c r="Y730" s="6" t="s">
        <v>537</v>
      </c>
      <c r="Z730" s="344"/>
      <c r="AA730" s="240"/>
      <c r="AB730" s="345">
        <v>1</v>
      </c>
      <c r="AC730" s="271"/>
      <c r="AD730" s="272"/>
      <c r="AE730" s="273"/>
      <c r="AF730" s="273"/>
      <c r="AG730" s="274"/>
      <c r="AH730" s="275"/>
      <c r="AI730" s="272"/>
      <c r="AJ730" s="276"/>
      <c r="AK730" s="277"/>
      <c r="AL730" s="278"/>
      <c r="AM730" s="277"/>
      <c r="AN730" s="279" t="str">
        <f t="shared" si="54"/>
        <v/>
      </c>
      <c r="AO730" s="279"/>
      <c r="AP730" s="279" t="str">
        <f t="shared" si="55"/>
        <v/>
      </c>
      <c r="AQ730" s="279"/>
      <c r="AR730" s="305">
        <f>'预算书-初步'!$F$10</f>
        <v>0.09</v>
      </c>
      <c r="AT730" s="272"/>
      <c r="BC730" s="272" t="s">
        <v>521</v>
      </c>
      <c r="BD730" s="348">
        <v>1047</v>
      </c>
      <c r="BE730" s="347" t="s">
        <v>703</v>
      </c>
    </row>
    <row r="731" s="52" customFormat="1" ht="15.75" customHeight="1" spans="1:57">
      <c r="A731" s="227"/>
      <c r="B731" s="332"/>
      <c r="C731" s="228"/>
      <c r="D731" s="333"/>
      <c r="E731" s="334"/>
      <c r="F731" s="229"/>
      <c r="G731" s="333"/>
      <c r="H731" s="335"/>
      <c r="I731" s="229"/>
      <c r="J731" s="229"/>
      <c r="K731" s="336"/>
      <c r="L731" s="337"/>
      <c r="M731" s="337"/>
      <c r="N731" s="337"/>
      <c r="O731" s="337"/>
      <c r="P731" s="337"/>
      <c r="Q731" s="338">
        <v>1534</v>
      </c>
      <c r="R731" s="271">
        <f t="shared" si="52"/>
        <v>0</v>
      </c>
      <c r="S731" s="339">
        <f t="shared" si="53"/>
        <v>0</v>
      </c>
      <c r="T731" s="340"/>
      <c r="U731" s="341">
        <f>FA!L$59</f>
        <v>0</v>
      </c>
      <c r="V731" s="274"/>
      <c r="W731" s="342"/>
      <c r="X731" s="343"/>
      <c r="Y731" s="6" t="s">
        <v>538</v>
      </c>
      <c r="Z731" s="344"/>
      <c r="AA731" s="240"/>
      <c r="AB731" s="345">
        <v>1</v>
      </c>
      <c r="AC731" s="271"/>
      <c r="AD731" s="272"/>
      <c r="AE731" s="273"/>
      <c r="AF731" s="273"/>
      <c r="AG731" s="274"/>
      <c r="AH731" s="275"/>
      <c r="AI731" s="272"/>
      <c r="AJ731" s="276"/>
      <c r="AK731" s="277"/>
      <c r="AL731" s="278"/>
      <c r="AM731" s="277"/>
      <c r="AN731" s="279" t="str">
        <f t="shared" si="54"/>
        <v/>
      </c>
      <c r="AO731" s="279"/>
      <c r="AP731" s="279" t="str">
        <f t="shared" si="55"/>
        <v/>
      </c>
      <c r="AQ731" s="279"/>
      <c r="AR731" s="305">
        <f>'预算书-初步'!$F$10</f>
        <v>0.09</v>
      </c>
      <c r="AT731" s="272"/>
      <c r="BC731" s="272" t="s">
        <v>521</v>
      </c>
      <c r="BD731" s="348">
        <v>1048</v>
      </c>
      <c r="BE731" s="347" t="s">
        <v>703</v>
      </c>
    </row>
    <row r="732" s="52" customFormat="1" ht="15.75" customHeight="1" spans="1:57">
      <c r="A732" s="227"/>
      <c r="B732" s="332"/>
      <c r="C732" s="228"/>
      <c r="D732" s="333"/>
      <c r="E732" s="334"/>
      <c r="F732" s="229"/>
      <c r="G732" s="333"/>
      <c r="H732" s="335"/>
      <c r="I732" s="229"/>
      <c r="J732" s="229"/>
      <c r="K732" s="336"/>
      <c r="L732" s="337"/>
      <c r="M732" s="337"/>
      <c r="N732" s="337"/>
      <c r="O732" s="337"/>
      <c r="P732" s="337"/>
      <c r="Q732" s="338">
        <v>1540</v>
      </c>
      <c r="R732" s="271">
        <f t="shared" si="52"/>
        <v>0</v>
      </c>
      <c r="S732" s="339">
        <f t="shared" si="53"/>
        <v>0</v>
      </c>
      <c r="T732" s="340"/>
      <c r="U732" s="341">
        <f>FA!L$60</f>
        <v>0</v>
      </c>
      <c r="V732" s="274"/>
      <c r="W732" s="342"/>
      <c r="X732" s="343"/>
      <c r="Y732" s="6" t="s">
        <v>539</v>
      </c>
      <c r="Z732" s="344"/>
      <c r="AA732" s="240"/>
      <c r="AB732" s="345">
        <v>1</v>
      </c>
      <c r="AC732" s="271"/>
      <c r="AD732" s="272"/>
      <c r="AE732" s="273"/>
      <c r="AF732" s="273"/>
      <c r="AG732" s="274"/>
      <c r="AH732" s="275"/>
      <c r="AI732" s="272"/>
      <c r="AJ732" s="276"/>
      <c r="AK732" s="277"/>
      <c r="AL732" s="278"/>
      <c r="AM732" s="277"/>
      <c r="AN732" s="279" t="str">
        <f t="shared" si="54"/>
        <v/>
      </c>
      <c r="AO732" s="279"/>
      <c r="AP732" s="279" t="str">
        <f t="shared" si="55"/>
        <v/>
      </c>
      <c r="AQ732" s="279"/>
      <c r="AR732" s="305">
        <f>'预算书-初步'!$F$10</f>
        <v>0.09</v>
      </c>
      <c r="AT732" s="272"/>
      <c r="BC732" s="272" t="s">
        <v>521</v>
      </c>
      <c r="BD732" s="348">
        <v>1049</v>
      </c>
      <c r="BE732" s="347" t="s">
        <v>703</v>
      </c>
    </row>
    <row r="733" s="52" customFormat="1" ht="15.75" customHeight="1" spans="1:57">
      <c r="A733" s="227"/>
      <c r="B733" s="332"/>
      <c r="C733" s="228"/>
      <c r="D733" s="333"/>
      <c r="E733" s="334"/>
      <c r="F733" s="229"/>
      <c r="G733" s="333"/>
      <c r="H733" s="335"/>
      <c r="I733" s="229"/>
      <c r="J733" s="229"/>
      <c r="K733" s="336"/>
      <c r="L733" s="337"/>
      <c r="M733" s="337"/>
      <c r="N733" s="337"/>
      <c r="O733" s="337"/>
      <c r="P733" s="337"/>
      <c r="Q733" s="338">
        <v>1611</v>
      </c>
      <c r="R733" s="271">
        <f t="shared" si="52"/>
        <v>0</v>
      </c>
      <c r="S733" s="339">
        <f t="shared" si="53"/>
        <v>0</v>
      </c>
      <c r="T733" s="340"/>
      <c r="U733" s="341">
        <f>FA!L$64</f>
        <v>0</v>
      </c>
      <c r="V733" s="274"/>
      <c r="W733" s="342"/>
      <c r="X733" s="343"/>
      <c r="Y733" s="6" t="s">
        <v>540</v>
      </c>
      <c r="Z733" s="344"/>
      <c r="AA733" s="240"/>
      <c r="AB733" s="345">
        <v>1</v>
      </c>
      <c r="AC733" s="271"/>
      <c r="AD733" s="272"/>
      <c r="AE733" s="273"/>
      <c r="AF733" s="273"/>
      <c r="AG733" s="274"/>
      <c r="AH733" s="275"/>
      <c r="AI733" s="272"/>
      <c r="AJ733" s="276"/>
      <c r="AK733" s="277"/>
      <c r="AL733" s="278"/>
      <c r="AM733" s="277"/>
      <c r="AN733" s="279" t="str">
        <f t="shared" si="54"/>
        <v/>
      </c>
      <c r="AO733" s="279"/>
      <c r="AP733" s="279" t="str">
        <f t="shared" si="55"/>
        <v/>
      </c>
      <c r="AQ733" s="279"/>
      <c r="AR733" s="305">
        <f>'预算书-初步'!$F$10</f>
        <v>0.09</v>
      </c>
      <c r="AT733" s="272"/>
      <c r="BC733" s="272" t="s">
        <v>521</v>
      </c>
      <c r="BD733" s="348">
        <v>1053</v>
      </c>
      <c r="BE733" s="347" t="s">
        <v>703</v>
      </c>
    </row>
    <row r="734" s="52" customFormat="1" ht="15.75" customHeight="1" spans="1:57">
      <c r="A734" s="227"/>
      <c r="B734" s="332"/>
      <c r="C734" s="228"/>
      <c r="D734" s="333"/>
      <c r="E734" s="334"/>
      <c r="F734" s="229"/>
      <c r="G734" s="333"/>
      <c r="H734" s="335"/>
      <c r="I734" s="229"/>
      <c r="J734" s="229"/>
      <c r="K734" s="336"/>
      <c r="L734" s="337"/>
      <c r="M734" s="337"/>
      <c r="N734" s="337"/>
      <c r="O734" s="337"/>
      <c r="P734" s="337"/>
      <c r="Q734" s="338">
        <v>1611</v>
      </c>
      <c r="R734" s="271">
        <f t="shared" si="52"/>
        <v>824</v>
      </c>
      <c r="S734" s="339">
        <f t="shared" ref="S734:S783" si="56">$S$5</f>
        <v>0</v>
      </c>
      <c r="T734" s="340"/>
      <c r="U734" s="341">
        <f>FA!L$65</f>
        <v>755.92</v>
      </c>
      <c r="V734" s="274"/>
      <c r="W734" s="342"/>
      <c r="X734" s="343"/>
      <c r="Y734" s="6" t="s">
        <v>541</v>
      </c>
      <c r="Z734" s="344"/>
      <c r="AA734" s="240"/>
      <c r="AB734" s="345">
        <v>1</v>
      </c>
      <c r="AC734" s="271"/>
      <c r="AD734" s="272"/>
      <c r="AE734" s="273"/>
      <c r="AF734" s="273"/>
      <c r="AG734" s="274"/>
      <c r="AH734" s="275"/>
      <c r="AI734" s="272"/>
      <c r="AJ734" s="276"/>
      <c r="AK734" s="277"/>
      <c r="AL734" s="278"/>
      <c r="AM734" s="277"/>
      <c r="AN734" s="279" t="str">
        <f t="shared" si="54"/>
        <v/>
      </c>
      <c r="AO734" s="279"/>
      <c r="AP734" s="279" t="str">
        <f t="shared" si="55"/>
        <v/>
      </c>
      <c r="AQ734" s="279"/>
      <c r="AR734" s="305">
        <f>'预算书-初步'!$F$10</f>
        <v>0.09</v>
      </c>
      <c r="AT734" s="272"/>
      <c r="BC734" s="272" t="s">
        <v>521</v>
      </c>
      <c r="BD734" s="348">
        <v>1054</v>
      </c>
      <c r="BE734" s="347" t="s">
        <v>703</v>
      </c>
    </row>
    <row r="735" s="52" customFormat="1" ht="15.75" customHeight="1" spans="1:57">
      <c r="A735" s="227"/>
      <c r="B735" s="332"/>
      <c r="C735" s="228"/>
      <c r="D735" s="333"/>
      <c r="E735" s="334"/>
      <c r="F735" s="229"/>
      <c r="G735" s="333"/>
      <c r="H735" s="335"/>
      <c r="I735" s="229"/>
      <c r="J735" s="229"/>
      <c r="K735" s="336"/>
      <c r="L735" s="337"/>
      <c r="M735" s="337"/>
      <c r="N735" s="337"/>
      <c r="O735" s="337"/>
      <c r="P735" s="337"/>
      <c r="Q735" s="338">
        <v>1611</v>
      </c>
      <c r="R735" s="271">
        <f t="shared" si="52"/>
        <v>4163</v>
      </c>
      <c r="S735" s="339">
        <f t="shared" si="56"/>
        <v>0</v>
      </c>
      <c r="T735" s="340"/>
      <c r="U735" s="341">
        <f>FA!L$66</f>
        <v>3819.53</v>
      </c>
      <c r="V735" s="274"/>
      <c r="W735" s="342"/>
      <c r="X735" s="343"/>
      <c r="Y735" s="6" t="s">
        <v>542</v>
      </c>
      <c r="Z735" s="344"/>
      <c r="AA735" s="240"/>
      <c r="AB735" s="345">
        <v>1</v>
      </c>
      <c r="AC735" s="271"/>
      <c r="AD735" s="272"/>
      <c r="AE735" s="273"/>
      <c r="AF735" s="273"/>
      <c r="AG735" s="274"/>
      <c r="AH735" s="275"/>
      <c r="AI735" s="272"/>
      <c r="AJ735" s="276"/>
      <c r="AK735" s="277"/>
      <c r="AL735" s="278"/>
      <c r="AM735" s="277"/>
      <c r="AN735" s="279" t="str">
        <f t="shared" si="54"/>
        <v/>
      </c>
      <c r="AO735" s="279"/>
      <c r="AP735" s="279" t="str">
        <f t="shared" si="55"/>
        <v/>
      </c>
      <c r="AQ735" s="279"/>
      <c r="AR735" s="305">
        <f>'预算书-初步'!$F$10</f>
        <v>0.09</v>
      </c>
      <c r="AT735" s="272"/>
      <c r="BC735" s="272" t="s">
        <v>521</v>
      </c>
      <c r="BD735" s="348">
        <v>1055</v>
      </c>
      <c r="BE735" s="347" t="s">
        <v>703</v>
      </c>
    </row>
    <row r="736" s="52" customFormat="1" ht="15.75" customHeight="1" spans="1:57">
      <c r="A736" s="227"/>
      <c r="B736" s="332"/>
      <c r="C736" s="228"/>
      <c r="D736" s="333"/>
      <c r="E736" s="334"/>
      <c r="F736" s="229"/>
      <c r="G736" s="333"/>
      <c r="H736" s="335"/>
      <c r="I736" s="229"/>
      <c r="J736" s="229"/>
      <c r="K736" s="336"/>
      <c r="L736" s="337"/>
      <c r="M736" s="337"/>
      <c r="N736" s="337"/>
      <c r="O736" s="337"/>
      <c r="P736" s="337"/>
      <c r="Q736" s="338">
        <v>1611</v>
      </c>
      <c r="R736" s="271">
        <f t="shared" si="52"/>
        <v>0</v>
      </c>
      <c r="S736" s="339">
        <f t="shared" si="56"/>
        <v>0</v>
      </c>
      <c r="T736" s="340"/>
      <c r="U736" s="341">
        <f>FA!L$67</f>
        <v>0</v>
      </c>
      <c r="V736" s="274"/>
      <c r="W736" s="342"/>
      <c r="X736" s="343"/>
      <c r="Y736" s="6" t="s">
        <v>543</v>
      </c>
      <c r="Z736" s="344"/>
      <c r="AA736" s="240"/>
      <c r="AB736" s="345">
        <v>1</v>
      </c>
      <c r="AC736" s="271"/>
      <c r="AD736" s="272"/>
      <c r="AE736" s="273"/>
      <c r="AF736" s="273"/>
      <c r="AG736" s="274"/>
      <c r="AH736" s="275"/>
      <c r="AI736" s="272"/>
      <c r="AJ736" s="276"/>
      <c r="AK736" s="277"/>
      <c r="AL736" s="278"/>
      <c r="AM736" s="277"/>
      <c r="AN736" s="279" t="str">
        <f t="shared" si="54"/>
        <v/>
      </c>
      <c r="AO736" s="279"/>
      <c r="AP736" s="279" t="str">
        <f t="shared" si="55"/>
        <v/>
      </c>
      <c r="AQ736" s="279"/>
      <c r="AR736" s="305">
        <f>'预算书-初步'!$F$10</f>
        <v>0.09</v>
      </c>
      <c r="AT736" s="272"/>
      <c r="BC736" s="272" t="s">
        <v>521</v>
      </c>
      <c r="BD736" s="348">
        <v>1056</v>
      </c>
      <c r="BE736" s="347" t="s">
        <v>703</v>
      </c>
    </row>
    <row r="737" s="52" customFormat="1" ht="15.75" customHeight="1" spans="1:57">
      <c r="A737" s="227"/>
      <c r="B737" s="332"/>
      <c r="C737" s="228"/>
      <c r="D737" s="333"/>
      <c r="E737" s="334"/>
      <c r="F737" s="229"/>
      <c r="G737" s="333"/>
      <c r="H737" s="335"/>
      <c r="I737" s="229"/>
      <c r="J737" s="229"/>
      <c r="K737" s="336"/>
      <c r="L737" s="337"/>
      <c r="M737" s="337"/>
      <c r="N737" s="337"/>
      <c r="O737" s="337"/>
      <c r="P737" s="337"/>
      <c r="Q737" s="338">
        <v>1611</v>
      </c>
      <c r="R737" s="271">
        <f t="shared" si="52"/>
        <v>0</v>
      </c>
      <c r="S737" s="339">
        <f t="shared" si="56"/>
        <v>0</v>
      </c>
      <c r="T737" s="340"/>
      <c r="U737" s="341">
        <f>FA!L$68</f>
        <v>0</v>
      </c>
      <c r="V737" s="274"/>
      <c r="W737" s="342"/>
      <c r="X737" s="343"/>
      <c r="Y737" s="6" t="s">
        <v>544</v>
      </c>
      <c r="Z737" s="344"/>
      <c r="AA737" s="240"/>
      <c r="AB737" s="345">
        <v>1</v>
      </c>
      <c r="AC737" s="271"/>
      <c r="AD737" s="272"/>
      <c r="AE737" s="273"/>
      <c r="AF737" s="273"/>
      <c r="AG737" s="274"/>
      <c r="AH737" s="275"/>
      <c r="AI737" s="272"/>
      <c r="AJ737" s="276"/>
      <c r="AK737" s="277"/>
      <c r="AL737" s="278"/>
      <c r="AM737" s="277"/>
      <c r="AN737" s="279" t="str">
        <f t="shared" si="54"/>
        <v/>
      </c>
      <c r="AO737" s="279"/>
      <c r="AP737" s="279" t="str">
        <f t="shared" si="55"/>
        <v/>
      </c>
      <c r="AQ737" s="279"/>
      <c r="AR737" s="305">
        <f>'预算书-初步'!$F$10</f>
        <v>0.09</v>
      </c>
      <c r="AT737" s="272"/>
      <c r="BC737" s="272" t="s">
        <v>521</v>
      </c>
      <c r="BD737" s="348">
        <v>1057</v>
      </c>
      <c r="BE737" s="347" t="s">
        <v>703</v>
      </c>
    </row>
    <row r="738" s="52" customFormat="1" ht="15.75" customHeight="1" spans="1:57">
      <c r="A738" s="227"/>
      <c r="B738" s="332"/>
      <c r="C738" s="228"/>
      <c r="D738" s="333"/>
      <c r="E738" s="334"/>
      <c r="F738" s="229"/>
      <c r="G738" s="333"/>
      <c r="H738" s="335"/>
      <c r="I738" s="229"/>
      <c r="J738" s="229"/>
      <c r="K738" s="336"/>
      <c r="L738" s="337"/>
      <c r="M738" s="337"/>
      <c r="N738" s="337"/>
      <c r="O738" s="337"/>
      <c r="P738" s="337"/>
      <c r="Q738" s="338">
        <v>1611</v>
      </c>
      <c r="R738" s="271">
        <f t="shared" si="52"/>
        <v>0</v>
      </c>
      <c r="S738" s="339">
        <f t="shared" si="56"/>
        <v>0</v>
      </c>
      <c r="T738" s="340"/>
      <c r="U738" s="341">
        <f>FA!L$69</f>
        <v>0</v>
      </c>
      <c r="V738" s="274"/>
      <c r="W738" s="342"/>
      <c r="X738" s="343"/>
      <c r="Y738" s="6" t="s">
        <v>545</v>
      </c>
      <c r="Z738" s="344"/>
      <c r="AA738" s="240"/>
      <c r="AB738" s="345">
        <v>1</v>
      </c>
      <c r="AC738" s="271"/>
      <c r="AD738" s="272"/>
      <c r="AE738" s="273"/>
      <c r="AF738" s="273"/>
      <c r="AG738" s="274"/>
      <c r="AH738" s="275"/>
      <c r="AI738" s="272"/>
      <c r="AJ738" s="276"/>
      <c r="AK738" s="277"/>
      <c r="AL738" s="278"/>
      <c r="AM738" s="277"/>
      <c r="AN738" s="279"/>
      <c r="AO738" s="279"/>
      <c r="AP738" s="279"/>
      <c r="AQ738" s="279"/>
      <c r="AR738" s="305">
        <f>'预算书-初步'!$F$10</f>
        <v>0.09</v>
      </c>
      <c r="AT738" s="272"/>
      <c r="BC738" s="272" t="s">
        <v>521</v>
      </c>
      <c r="BD738" s="348">
        <v>1058</v>
      </c>
      <c r="BE738" s="347" t="s">
        <v>703</v>
      </c>
    </row>
    <row r="739" s="52" customFormat="1" ht="15.75" customHeight="1" spans="1:57">
      <c r="A739" s="227"/>
      <c r="B739" s="332"/>
      <c r="C739" s="228"/>
      <c r="D739" s="333"/>
      <c r="E739" s="334"/>
      <c r="F739" s="229"/>
      <c r="G739" s="333"/>
      <c r="H739" s="335"/>
      <c r="I739" s="229"/>
      <c r="J739" s="229"/>
      <c r="K739" s="336"/>
      <c r="L739" s="337"/>
      <c r="M739" s="337"/>
      <c r="N739" s="337"/>
      <c r="O739" s="337"/>
      <c r="P739" s="337"/>
      <c r="Q739" s="338">
        <v>1611</v>
      </c>
      <c r="R739" s="271">
        <f t="shared" si="52"/>
        <v>0</v>
      </c>
      <c r="S739" s="339">
        <f t="shared" si="56"/>
        <v>0</v>
      </c>
      <c r="T739" s="340"/>
      <c r="U739" s="341">
        <f>FA!L$70</f>
        <v>0</v>
      </c>
      <c r="V739" s="274"/>
      <c r="W739" s="342"/>
      <c r="X739" s="343"/>
      <c r="Y739" s="349" t="s">
        <v>546</v>
      </c>
      <c r="Z739" s="344"/>
      <c r="AA739" s="240"/>
      <c r="AB739" s="345">
        <v>1</v>
      </c>
      <c r="AC739" s="271"/>
      <c r="AD739" s="272"/>
      <c r="AE739" s="273"/>
      <c r="AF739" s="273"/>
      <c r="AG739" s="274"/>
      <c r="AH739" s="275"/>
      <c r="AI739" s="272"/>
      <c r="AJ739" s="276"/>
      <c r="AK739" s="277"/>
      <c r="AL739" s="278"/>
      <c r="AM739" s="277"/>
      <c r="AN739" s="279"/>
      <c r="AO739" s="279"/>
      <c r="AP739" s="279"/>
      <c r="AQ739" s="279"/>
      <c r="AR739" s="305">
        <f>'预算书-初步'!$F$10</f>
        <v>0.09</v>
      </c>
      <c r="AT739" s="272"/>
      <c r="BC739" s="272" t="s">
        <v>521</v>
      </c>
      <c r="BD739" s="348">
        <v>1059</v>
      </c>
      <c r="BE739" s="347" t="s">
        <v>703</v>
      </c>
    </row>
    <row r="740" s="52" customFormat="1" ht="15.75" customHeight="1" spans="1:57">
      <c r="A740" s="227"/>
      <c r="B740" s="332"/>
      <c r="C740" s="228"/>
      <c r="D740" s="333"/>
      <c r="E740" s="334"/>
      <c r="F740" s="229"/>
      <c r="G740" s="333"/>
      <c r="H740" s="335"/>
      <c r="I740" s="229"/>
      <c r="J740" s="229"/>
      <c r="K740" s="336"/>
      <c r="L740" s="337"/>
      <c r="M740" s="337"/>
      <c r="N740" s="337"/>
      <c r="O740" s="337"/>
      <c r="P740" s="337"/>
      <c r="Q740" s="338">
        <v>1611</v>
      </c>
      <c r="R740" s="271">
        <f t="shared" si="52"/>
        <v>0</v>
      </c>
      <c r="S740" s="339">
        <f t="shared" si="56"/>
        <v>0</v>
      </c>
      <c r="T740" s="340"/>
      <c r="U740" s="341">
        <f>FA!L$71</f>
        <v>0</v>
      </c>
      <c r="V740" s="274"/>
      <c r="W740" s="342"/>
      <c r="X740" s="343"/>
      <c r="Y740" s="349" t="s">
        <v>547</v>
      </c>
      <c r="Z740" s="344"/>
      <c r="AA740" s="240"/>
      <c r="AB740" s="345">
        <v>1</v>
      </c>
      <c r="AC740" s="271"/>
      <c r="AD740" s="272"/>
      <c r="AE740" s="273"/>
      <c r="AF740" s="273"/>
      <c r="AG740" s="274"/>
      <c r="AH740" s="275"/>
      <c r="AI740" s="272"/>
      <c r="AJ740" s="276"/>
      <c r="AK740" s="277"/>
      <c r="AL740" s="278"/>
      <c r="AM740" s="277"/>
      <c r="AN740" s="279"/>
      <c r="AO740" s="279"/>
      <c r="AP740" s="279"/>
      <c r="AQ740" s="279"/>
      <c r="AR740" s="305">
        <f>'预算书-初步'!$F$10</f>
        <v>0.09</v>
      </c>
      <c r="AT740" s="272"/>
      <c r="BC740" s="272" t="s">
        <v>521</v>
      </c>
      <c r="BD740" s="348">
        <v>1060</v>
      </c>
      <c r="BE740" s="347" t="s">
        <v>703</v>
      </c>
    </row>
    <row r="741" s="52" customFormat="1" ht="15.75" customHeight="1" spans="1:57">
      <c r="A741" s="227"/>
      <c r="B741" s="332"/>
      <c r="C741" s="228"/>
      <c r="D741" s="333"/>
      <c r="E741" s="334"/>
      <c r="F741" s="229"/>
      <c r="G741" s="333"/>
      <c r="H741" s="335"/>
      <c r="I741" s="229"/>
      <c r="J741" s="229"/>
      <c r="K741" s="336"/>
      <c r="L741" s="337"/>
      <c r="M741" s="337"/>
      <c r="N741" s="337"/>
      <c r="O741" s="337"/>
      <c r="P741" s="337"/>
      <c r="Q741" s="338">
        <v>1611</v>
      </c>
      <c r="R741" s="271">
        <f t="shared" si="52"/>
        <v>0</v>
      </c>
      <c r="S741" s="339">
        <f t="shared" si="56"/>
        <v>0</v>
      </c>
      <c r="T741" s="340"/>
      <c r="U741" s="341">
        <f>FA!L$72</f>
        <v>0</v>
      </c>
      <c r="V741" s="274"/>
      <c r="W741" s="342"/>
      <c r="X741" s="343"/>
      <c r="Y741" s="349" t="s">
        <v>548</v>
      </c>
      <c r="Z741" s="344"/>
      <c r="AA741" s="240"/>
      <c r="AB741" s="345">
        <v>1</v>
      </c>
      <c r="AC741" s="271"/>
      <c r="AD741" s="272"/>
      <c r="AE741" s="273"/>
      <c r="AF741" s="273"/>
      <c r="AG741" s="274"/>
      <c r="AH741" s="275"/>
      <c r="AI741" s="272"/>
      <c r="AJ741" s="276"/>
      <c r="AK741" s="277"/>
      <c r="AL741" s="278"/>
      <c r="AM741" s="277"/>
      <c r="AN741" s="279" t="str">
        <f>IF(AK741&lt;&gt;0,"N","")</f>
        <v/>
      </c>
      <c r="AO741" s="279"/>
      <c r="AP741" s="279" t="str">
        <f>IF(F741&lt;&gt;0,"Y","")</f>
        <v/>
      </c>
      <c r="AQ741" s="279"/>
      <c r="AR741" s="305">
        <f>'预算书-初步'!$F$10</f>
        <v>0.09</v>
      </c>
      <c r="AT741" s="272"/>
      <c r="BC741" s="272" t="s">
        <v>521</v>
      </c>
      <c r="BD741" s="348">
        <v>1061</v>
      </c>
      <c r="BE741" s="347" t="s">
        <v>703</v>
      </c>
    </row>
    <row r="742" s="52" customFormat="1" ht="15.75" customHeight="1" spans="1:57">
      <c r="A742" s="227"/>
      <c r="B742" s="332"/>
      <c r="C742" s="228"/>
      <c r="D742" s="333"/>
      <c r="E742" s="334"/>
      <c r="F742" s="229"/>
      <c r="G742" s="333"/>
      <c r="H742" s="335"/>
      <c r="I742" s="229"/>
      <c r="J742" s="229"/>
      <c r="K742" s="336"/>
      <c r="L742" s="337"/>
      <c r="M742" s="337"/>
      <c r="N742" s="337"/>
      <c r="O742" s="337"/>
      <c r="P742" s="337"/>
      <c r="Q742" s="338">
        <v>1611</v>
      </c>
      <c r="R742" s="271">
        <f t="shared" si="52"/>
        <v>0</v>
      </c>
      <c r="S742" s="339">
        <f t="shared" si="56"/>
        <v>0</v>
      </c>
      <c r="T742" s="340"/>
      <c r="U742" s="341">
        <f>FA!L$73</f>
        <v>0</v>
      </c>
      <c r="V742" s="274"/>
      <c r="W742" s="342"/>
      <c r="X742" s="343"/>
      <c r="Y742" s="349" t="s">
        <v>549</v>
      </c>
      <c r="Z742" s="344"/>
      <c r="AA742" s="240"/>
      <c r="AB742" s="345">
        <v>1</v>
      </c>
      <c r="AC742" s="271"/>
      <c r="AD742" s="272"/>
      <c r="AE742" s="273"/>
      <c r="AF742" s="273"/>
      <c r="AG742" s="274"/>
      <c r="AH742" s="275"/>
      <c r="AI742" s="272"/>
      <c r="AJ742" s="276"/>
      <c r="AK742" s="277"/>
      <c r="AL742" s="278"/>
      <c r="AM742" s="277"/>
      <c r="AN742" s="279"/>
      <c r="AO742" s="279"/>
      <c r="AP742" s="279"/>
      <c r="AQ742" s="279"/>
      <c r="AR742" s="305">
        <f>'预算书-初步'!$F$10</f>
        <v>0.09</v>
      </c>
      <c r="AT742" s="272"/>
      <c r="BC742" s="272" t="s">
        <v>521</v>
      </c>
      <c r="BD742" s="348">
        <v>1062</v>
      </c>
      <c r="BE742" s="347" t="s">
        <v>703</v>
      </c>
    </row>
    <row r="743" s="52" customFormat="1" ht="15.75" customHeight="1" spans="1:57">
      <c r="A743" s="227"/>
      <c r="B743" s="332"/>
      <c r="C743" s="228"/>
      <c r="D743" s="333"/>
      <c r="E743" s="334"/>
      <c r="F743" s="229"/>
      <c r="G743" s="333"/>
      <c r="H743" s="335"/>
      <c r="I743" s="229"/>
      <c r="J743" s="229"/>
      <c r="K743" s="336"/>
      <c r="L743" s="337"/>
      <c r="M743" s="337"/>
      <c r="N743" s="337"/>
      <c r="O743" s="337"/>
      <c r="P743" s="337"/>
      <c r="Q743" s="338">
        <v>1643</v>
      </c>
      <c r="R743" s="271">
        <f t="shared" si="52"/>
        <v>0</v>
      </c>
      <c r="S743" s="339">
        <f t="shared" si="56"/>
        <v>0</v>
      </c>
      <c r="T743" s="340"/>
      <c r="U743" s="341">
        <f>FA!L$74</f>
        <v>0</v>
      </c>
      <c r="V743" s="274"/>
      <c r="W743" s="342"/>
      <c r="X743" s="343"/>
      <c r="Y743" s="349" t="s">
        <v>550</v>
      </c>
      <c r="Z743" s="344"/>
      <c r="AA743" s="240"/>
      <c r="AB743" s="345">
        <v>1</v>
      </c>
      <c r="AC743" s="271"/>
      <c r="AD743" s="272"/>
      <c r="AE743" s="273"/>
      <c r="AF743" s="273"/>
      <c r="AG743" s="274"/>
      <c r="AH743" s="275"/>
      <c r="AI743" s="272"/>
      <c r="AJ743" s="276"/>
      <c r="AK743" s="277"/>
      <c r="AL743" s="278"/>
      <c r="AM743" s="277"/>
      <c r="AN743" s="279" t="str">
        <f t="shared" ref="AN743:AN756" si="57">IF(AK743&lt;&gt;0,"N","")</f>
        <v/>
      </c>
      <c r="AO743" s="279"/>
      <c r="AP743" s="279" t="str">
        <f t="shared" ref="AP743:AP752" si="58">IF(F743&lt;&gt;0,"Y","")</f>
        <v/>
      </c>
      <c r="AQ743" s="279"/>
      <c r="AR743" s="305">
        <f>'预算书-初步'!$F$10</f>
        <v>0.09</v>
      </c>
      <c r="AT743" s="272"/>
      <c r="BC743" s="272" t="s">
        <v>521</v>
      </c>
      <c r="BD743" s="348">
        <v>1063</v>
      </c>
      <c r="BE743" s="347" t="s">
        <v>703</v>
      </c>
    </row>
    <row r="744" s="52" customFormat="1" ht="15.75" customHeight="1" spans="1:57">
      <c r="A744" s="227"/>
      <c r="B744" s="332"/>
      <c r="C744" s="228"/>
      <c r="D744" s="333"/>
      <c r="E744" s="334"/>
      <c r="F744" s="229"/>
      <c r="G744" s="333"/>
      <c r="H744" s="335"/>
      <c r="I744" s="229"/>
      <c r="J744" s="229"/>
      <c r="K744" s="336"/>
      <c r="L744" s="337"/>
      <c r="M744" s="337"/>
      <c r="N744" s="337"/>
      <c r="O744" s="337"/>
      <c r="P744" s="337"/>
      <c r="Q744" s="350">
        <v>1644</v>
      </c>
      <c r="R744" s="271">
        <f t="shared" si="52"/>
        <v>0</v>
      </c>
      <c r="S744" s="339">
        <f t="shared" si="56"/>
        <v>0</v>
      </c>
      <c r="T744" s="340"/>
      <c r="U744" s="341">
        <f>FA!L$75</f>
        <v>0</v>
      </c>
      <c r="V744" s="274"/>
      <c r="W744" s="342"/>
      <c r="X744" s="343"/>
      <c r="Y744" s="349" t="s">
        <v>551</v>
      </c>
      <c r="Z744" s="344"/>
      <c r="AA744" s="240"/>
      <c r="AB744" s="345">
        <v>1</v>
      </c>
      <c r="AC744" s="271"/>
      <c r="AD744" s="272"/>
      <c r="AE744" s="273"/>
      <c r="AF744" s="273"/>
      <c r="AG744" s="274"/>
      <c r="AH744" s="275"/>
      <c r="AI744" s="272"/>
      <c r="AJ744" s="276"/>
      <c r="AK744" s="277"/>
      <c r="AL744" s="278"/>
      <c r="AM744" s="277"/>
      <c r="AN744" s="279" t="str">
        <f t="shared" si="57"/>
        <v/>
      </c>
      <c r="AO744" s="279"/>
      <c r="AP744" s="279" t="str">
        <f t="shared" si="58"/>
        <v/>
      </c>
      <c r="AQ744" s="279"/>
      <c r="AR744" s="305">
        <f>'预算书-初步'!$F$10</f>
        <v>0.09</v>
      </c>
      <c r="AT744" s="272"/>
      <c r="BC744" s="272" t="s">
        <v>521</v>
      </c>
      <c r="BD744" s="348">
        <v>1064</v>
      </c>
      <c r="BE744" s="347" t="s">
        <v>703</v>
      </c>
    </row>
    <row r="745" s="52" customFormat="1" ht="15.75" customHeight="1" spans="1:57">
      <c r="A745" s="227"/>
      <c r="B745" s="332"/>
      <c r="C745" s="228"/>
      <c r="D745" s="333"/>
      <c r="E745" s="334"/>
      <c r="F745" s="229"/>
      <c r="G745" s="333"/>
      <c r="H745" s="335"/>
      <c r="I745" s="229"/>
      <c r="J745" s="229"/>
      <c r="K745" s="336"/>
      <c r="L745" s="337"/>
      <c r="M745" s="337"/>
      <c r="N745" s="337"/>
      <c r="O745" s="337"/>
      <c r="P745" s="337"/>
      <c r="Q745" s="338">
        <v>1645</v>
      </c>
      <c r="R745" s="271">
        <f t="shared" si="52"/>
        <v>0</v>
      </c>
      <c r="S745" s="339">
        <f t="shared" si="56"/>
        <v>0</v>
      </c>
      <c r="T745" s="340"/>
      <c r="U745" s="341">
        <f>FA!L$76</f>
        <v>0</v>
      </c>
      <c r="V745" s="274"/>
      <c r="W745" s="342"/>
      <c r="X745" s="343"/>
      <c r="Y745" s="349" t="s">
        <v>552</v>
      </c>
      <c r="Z745" s="344"/>
      <c r="AA745" s="240"/>
      <c r="AB745" s="345">
        <v>1</v>
      </c>
      <c r="AC745" s="271"/>
      <c r="AD745" s="272"/>
      <c r="AE745" s="273"/>
      <c r="AF745" s="273"/>
      <c r="AG745" s="274"/>
      <c r="AH745" s="275"/>
      <c r="AI745" s="272"/>
      <c r="AJ745" s="276"/>
      <c r="AK745" s="277"/>
      <c r="AL745" s="278"/>
      <c r="AM745" s="277"/>
      <c r="AN745" s="279" t="str">
        <f t="shared" si="57"/>
        <v/>
      </c>
      <c r="AO745" s="279"/>
      <c r="AP745" s="279" t="str">
        <f t="shared" si="58"/>
        <v/>
      </c>
      <c r="AQ745" s="279"/>
      <c r="AR745" s="305">
        <f>'预算书-初步'!$F$10</f>
        <v>0.09</v>
      </c>
      <c r="AT745" s="272"/>
      <c r="BC745" s="272" t="s">
        <v>521</v>
      </c>
      <c r="BD745" s="348">
        <v>1065</v>
      </c>
      <c r="BE745" s="347" t="s">
        <v>703</v>
      </c>
    </row>
    <row r="746" s="52" customFormat="1" ht="15.75" customHeight="1" spans="1:57">
      <c r="A746" s="227"/>
      <c r="B746" s="332"/>
      <c r="C746" s="228"/>
      <c r="D746" s="333"/>
      <c r="E746" s="334"/>
      <c r="F746" s="229"/>
      <c r="G746" s="333"/>
      <c r="H746" s="335"/>
      <c r="I746" s="229"/>
      <c r="J746" s="229"/>
      <c r="K746" s="336"/>
      <c r="L746" s="337"/>
      <c r="M746" s="337"/>
      <c r="N746" s="337"/>
      <c r="O746" s="337"/>
      <c r="P746" s="337"/>
      <c r="Q746" s="338">
        <v>1612</v>
      </c>
      <c r="R746" s="271">
        <f t="shared" si="52"/>
        <v>2469</v>
      </c>
      <c r="S746" s="339">
        <f t="shared" si="56"/>
        <v>0</v>
      </c>
      <c r="T746" s="340"/>
      <c r="U746" s="341">
        <f>FA!L$77</f>
        <v>2265.22</v>
      </c>
      <c r="V746" s="274"/>
      <c r="W746" s="342"/>
      <c r="X746" s="343"/>
      <c r="Y746" s="6" t="s">
        <v>553</v>
      </c>
      <c r="Z746" s="344"/>
      <c r="AA746" s="240"/>
      <c r="AB746" s="345">
        <v>1</v>
      </c>
      <c r="AC746" s="271"/>
      <c r="AD746" s="272"/>
      <c r="AE746" s="273"/>
      <c r="AF746" s="273"/>
      <c r="AG746" s="274"/>
      <c r="AH746" s="275"/>
      <c r="AI746" s="272"/>
      <c r="AJ746" s="276"/>
      <c r="AK746" s="277"/>
      <c r="AL746" s="278"/>
      <c r="AM746" s="277"/>
      <c r="AN746" s="279" t="str">
        <f t="shared" si="57"/>
        <v/>
      </c>
      <c r="AO746" s="279"/>
      <c r="AP746" s="279" t="str">
        <f t="shared" si="58"/>
        <v/>
      </c>
      <c r="AQ746" s="279"/>
      <c r="AR746" s="305">
        <f>'预算书-初步'!$F$10</f>
        <v>0.09</v>
      </c>
      <c r="AT746" s="272"/>
      <c r="BC746" s="272" t="s">
        <v>521</v>
      </c>
      <c r="BD746" s="348">
        <v>1066</v>
      </c>
      <c r="BE746" s="347" t="s">
        <v>703</v>
      </c>
    </row>
    <row r="747" s="52" customFormat="1" ht="15.75" customHeight="1" spans="1:57">
      <c r="A747" s="227"/>
      <c r="B747" s="332"/>
      <c r="C747" s="228"/>
      <c r="D747" s="333"/>
      <c r="E747" s="334"/>
      <c r="F747" s="229"/>
      <c r="G747" s="333"/>
      <c r="H747" s="335"/>
      <c r="I747" s="229"/>
      <c r="J747" s="229"/>
      <c r="K747" s="336"/>
      <c r="L747" s="337"/>
      <c r="M747" s="337"/>
      <c r="N747" s="337"/>
      <c r="O747" s="337"/>
      <c r="P747" s="337"/>
      <c r="Q747" s="338">
        <v>1646</v>
      </c>
      <c r="R747" s="271">
        <f t="shared" si="52"/>
        <v>0</v>
      </c>
      <c r="S747" s="339">
        <f t="shared" si="56"/>
        <v>0</v>
      </c>
      <c r="T747" s="340"/>
      <c r="U747" s="341">
        <f>FA!L$79</f>
        <v>0</v>
      </c>
      <c r="V747" s="274"/>
      <c r="W747" s="342"/>
      <c r="X747" s="343"/>
      <c r="Y747" s="349" t="s">
        <v>554</v>
      </c>
      <c r="Z747" s="344"/>
      <c r="AA747" s="240"/>
      <c r="AB747" s="345">
        <v>1</v>
      </c>
      <c r="AC747" s="271"/>
      <c r="AD747" s="272"/>
      <c r="AE747" s="273"/>
      <c r="AF747" s="273"/>
      <c r="AG747" s="274"/>
      <c r="AH747" s="275"/>
      <c r="AI747" s="272"/>
      <c r="AJ747" s="276"/>
      <c r="AK747" s="277"/>
      <c r="AL747" s="278"/>
      <c r="AM747" s="277"/>
      <c r="AN747" s="279" t="str">
        <f t="shared" si="57"/>
        <v/>
      </c>
      <c r="AO747" s="279"/>
      <c r="AP747" s="279" t="str">
        <f t="shared" si="58"/>
        <v/>
      </c>
      <c r="AQ747" s="279"/>
      <c r="AR747" s="305">
        <f>'预算书-初步'!$F$10</f>
        <v>0.09</v>
      </c>
      <c r="AT747" s="272"/>
      <c r="BC747" s="272" t="s">
        <v>521</v>
      </c>
      <c r="BD747" s="348">
        <v>1068</v>
      </c>
      <c r="BE747" s="347" t="s">
        <v>703</v>
      </c>
    </row>
    <row r="748" s="52" customFormat="1" ht="15.75" customHeight="1" spans="1:57">
      <c r="A748" s="227"/>
      <c r="B748" s="332"/>
      <c r="C748" s="228"/>
      <c r="D748" s="333"/>
      <c r="E748" s="334"/>
      <c r="F748" s="229"/>
      <c r="G748" s="333"/>
      <c r="H748" s="335"/>
      <c r="I748" s="229"/>
      <c r="J748" s="229"/>
      <c r="K748" s="336"/>
      <c r="L748" s="337"/>
      <c r="M748" s="337"/>
      <c r="N748" s="337"/>
      <c r="O748" s="337"/>
      <c r="P748" s="337"/>
      <c r="Q748" s="338">
        <v>1646</v>
      </c>
      <c r="R748" s="271">
        <f t="shared" si="52"/>
        <v>0</v>
      </c>
      <c r="S748" s="339">
        <f t="shared" si="56"/>
        <v>0</v>
      </c>
      <c r="T748" s="340"/>
      <c r="U748" s="341">
        <f>FA!L$80</f>
        <v>0</v>
      </c>
      <c r="V748" s="274"/>
      <c r="W748" s="342"/>
      <c r="X748" s="343"/>
      <c r="Y748" s="6" t="s">
        <v>555</v>
      </c>
      <c r="Z748" s="344"/>
      <c r="AA748" s="240"/>
      <c r="AB748" s="345">
        <v>1</v>
      </c>
      <c r="AC748" s="271"/>
      <c r="AD748" s="272"/>
      <c r="AE748" s="273"/>
      <c r="AF748" s="273"/>
      <c r="AG748" s="274"/>
      <c r="AH748" s="275"/>
      <c r="AI748" s="272"/>
      <c r="AJ748" s="276"/>
      <c r="AK748" s="277"/>
      <c r="AL748" s="278"/>
      <c r="AM748" s="277"/>
      <c r="AN748" s="279" t="str">
        <f t="shared" si="57"/>
        <v/>
      </c>
      <c r="AO748" s="279"/>
      <c r="AP748" s="279" t="str">
        <f t="shared" si="58"/>
        <v/>
      </c>
      <c r="AQ748" s="279"/>
      <c r="AR748" s="305">
        <f>'预算书-初步'!$F$10</f>
        <v>0.09</v>
      </c>
      <c r="AT748" s="272"/>
      <c r="BC748" s="272" t="s">
        <v>521</v>
      </c>
      <c r="BD748" s="348">
        <v>1069</v>
      </c>
      <c r="BE748" s="347" t="s">
        <v>703</v>
      </c>
    </row>
    <row r="749" s="52" customFormat="1" ht="15.75" customHeight="1" spans="1:57">
      <c r="A749" s="227"/>
      <c r="B749" s="332"/>
      <c r="C749" s="228"/>
      <c r="D749" s="333"/>
      <c r="E749" s="334"/>
      <c r="F749" s="229"/>
      <c r="G749" s="333"/>
      <c r="H749" s="335"/>
      <c r="I749" s="229"/>
      <c r="J749" s="229"/>
      <c r="K749" s="336"/>
      <c r="L749" s="337"/>
      <c r="M749" s="337"/>
      <c r="N749" s="337"/>
      <c r="O749" s="337"/>
      <c r="P749" s="337"/>
      <c r="Q749" s="338">
        <v>1613</v>
      </c>
      <c r="R749" s="271">
        <f t="shared" si="52"/>
        <v>0</v>
      </c>
      <c r="S749" s="339">
        <f t="shared" si="56"/>
        <v>0</v>
      </c>
      <c r="T749" s="340"/>
      <c r="U749" s="341">
        <f>FA!L$81</f>
        <v>0</v>
      </c>
      <c r="V749" s="274"/>
      <c r="W749" s="342"/>
      <c r="X749" s="343"/>
      <c r="Y749" s="349" t="s">
        <v>556</v>
      </c>
      <c r="Z749" s="344"/>
      <c r="AA749" s="240"/>
      <c r="AB749" s="345">
        <v>1</v>
      </c>
      <c r="AC749" s="271"/>
      <c r="AD749" s="272"/>
      <c r="AE749" s="273"/>
      <c r="AF749" s="273"/>
      <c r="AG749" s="274"/>
      <c r="AH749" s="275"/>
      <c r="AI749" s="272"/>
      <c r="AJ749" s="276"/>
      <c r="AK749" s="277"/>
      <c r="AL749" s="278"/>
      <c r="AM749" s="277"/>
      <c r="AN749" s="279" t="str">
        <f t="shared" si="57"/>
        <v/>
      </c>
      <c r="AO749" s="279"/>
      <c r="AP749" s="279" t="str">
        <f t="shared" si="58"/>
        <v/>
      </c>
      <c r="AQ749" s="279"/>
      <c r="AR749" s="305">
        <f>'预算书-初步'!$F$10</f>
        <v>0.09</v>
      </c>
      <c r="AT749" s="272"/>
      <c r="BC749" s="272" t="s">
        <v>521</v>
      </c>
      <c r="BD749" s="348">
        <v>1070</v>
      </c>
      <c r="BE749" s="347" t="s">
        <v>703</v>
      </c>
    </row>
    <row r="750" s="52" customFormat="1" ht="15.75" customHeight="1" spans="1:57">
      <c r="A750" s="227"/>
      <c r="B750" s="332"/>
      <c r="C750" s="228"/>
      <c r="D750" s="333"/>
      <c r="E750" s="334"/>
      <c r="F750" s="229"/>
      <c r="G750" s="333"/>
      <c r="H750" s="335"/>
      <c r="I750" s="229"/>
      <c r="J750" s="229"/>
      <c r="K750" s="336"/>
      <c r="L750" s="337"/>
      <c r="M750" s="337"/>
      <c r="N750" s="337"/>
      <c r="O750" s="337"/>
      <c r="P750" s="337"/>
      <c r="Q750" s="338">
        <v>1614</v>
      </c>
      <c r="R750" s="271">
        <f t="shared" si="52"/>
        <v>0</v>
      </c>
      <c r="S750" s="339">
        <f t="shared" si="56"/>
        <v>0</v>
      </c>
      <c r="T750" s="340"/>
      <c r="U750" s="341">
        <f>FA!L$82</f>
        <v>0</v>
      </c>
      <c r="V750" s="274"/>
      <c r="W750" s="342"/>
      <c r="X750" s="343"/>
      <c r="Y750" s="349" t="s">
        <v>557</v>
      </c>
      <c r="Z750" s="344"/>
      <c r="AA750" s="240"/>
      <c r="AB750" s="345">
        <v>1</v>
      </c>
      <c r="AC750" s="271"/>
      <c r="AD750" s="272"/>
      <c r="AE750" s="273"/>
      <c r="AF750" s="273"/>
      <c r="AG750" s="274"/>
      <c r="AH750" s="275"/>
      <c r="AI750" s="272"/>
      <c r="AJ750" s="276"/>
      <c r="AK750" s="277"/>
      <c r="AL750" s="278"/>
      <c r="AM750" s="277"/>
      <c r="AN750" s="279" t="str">
        <f t="shared" si="57"/>
        <v/>
      </c>
      <c r="AO750" s="279"/>
      <c r="AP750" s="279" t="str">
        <f t="shared" si="58"/>
        <v/>
      </c>
      <c r="AQ750" s="279"/>
      <c r="AR750" s="305">
        <f>'预算书-初步'!$F$10</f>
        <v>0.09</v>
      </c>
      <c r="AT750" s="272"/>
      <c r="BC750" s="272" t="s">
        <v>521</v>
      </c>
      <c r="BD750" s="348">
        <v>1071</v>
      </c>
      <c r="BE750" s="347" t="s">
        <v>703</v>
      </c>
    </row>
    <row r="751" s="52" customFormat="1" ht="15.75" customHeight="1" spans="1:57">
      <c r="A751" s="227"/>
      <c r="B751" s="332"/>
      <c r="C751" s="228"/>
      <c r="D751" s="333"/>
      <c r="E751" s="334"/>
      <c r="F751" s="229"/>
      <c r="G751" s="333"/>
      <c r="H751" s="335"/>
      <c r="I751" s="229"/>
      <c r="J751" s="229"/>
      <c r="K751" s="336"/>
      <c r="L751" s="337"/>
      <c r="M751" s="337"/>
      <c r="N751" s="337"/>
      <c r="O751" s="337"/>
      <c r="P751" s="337"/>
      <c r="Q751" s="338">
        <v>1621</v>
      </c>
      <c r="R751" s="271">
        <f t="shared" si="52"/>
        <v>0</v>
      </c>
      <c r="S751" s="339">
        <f t="shared" si="56"/>
        <v>0</v>
      </c>
      <c r="T751" s="340"/>
      <c r="U751" s="341">
        <f>FA!L$84</f>
        <v>0</v>
      </c>
      <c r="V751" s="274"/>
      <c r="W751" s="342"/>
      <c r="X751" s="343"/>
      <c r="Y751" s="349" t="s">
        <v>558</v>
      </c>
      <c r="Z751" s="344"/>
      <c r="AA751" s="240"/>
      <c r="AB751" s="345">
        <v>1</v>
      </c>
      <c r="AC751" s="271"/>
      <c r="AD751" s="272"/>
      <c r="AE751" s="273"/>
      <c r="AF751" s="273"/>
      <c r="AG751" s="274"/>
      <c r="AH751" s="275"/>
      <c r="AI751" s="272"/>
      <c r="AJ751" s="276"/>
      <c r="AK751" s="277"/>
      <c r="AL751" s="278"/>
      <c r="AM751" s="277"/>
      <c r="AN751" s="279" t="str">
        <f t="shared" si="57"/>
        <v/>
      </c>
      <c r="AO751" s="279"/>
      <c r="AP751" s="279" t="str">
        <f t="shared" si="58"/>
        <v/>
      </c>
      <c r="AQ751" s="279"/>
      <c r="AR751" s="305">
        <f>'预算书-初步'!$F$10</f>
        <v>0.09</v>
      </c>
      <c r="AT751" s="272"/>
      <c r="BC751" s="272" t="s">
        <v>521</v>
      </c>
      <c r="BD751" s="348">
        <v>1073</v>
      </c>
      <c r="BE751" s="347" t="s">
        <v>703</v>
      </c>
    </row>
    <row r="752" s="52" customFormat="1" ht="15.75" customHeight="1" spans="1:57">
      <c r="A752" s="227"/>
      <c r="B752" s="332"/>
      <c r="C752" s="228"/>
      <c r="D752" s="333"/>
      <c r="E752" s="334"/>
      <c r="F752" s="229"/>
      <c r="G752" s="333"/>
      <c r="H752" s="335"/>
      <c r="I752" s="229"/>
      <c r="J752" s="229"/>
      <c r="K752" s="336"/>
      <c r="L752" s="337"/>
      <c r="M752" s="337"/>
      <c r="N752" s="337"/>
      <c r="O752" s="337"/>
      <c r="P752" s="337"/>
      <c r="Q752" s="338">
        <v>1622</v>
      </c>
      <c r="R752" s="271">
        <f t="shared" si="52"/>
        <v>0</v>
      </c>
      <c r="S752" s="339">
        <f t="shared" si="56"/>
        <v>0</v>
      </c>
      <c r="T752" s="340"/>
      <c r="U752" s="341">
        <f>FA!L$85</f>
        <v>0</v>
      </c>
      <c r="V752" s="274"/>
      <c r="W752" s="342"/>
      <c r="X752" s="343"/>
      <c r="Y752" s="349" t="s">
        <v>559</v>
      </c>
      <c r="Z752" s="344"/>
      <c r="AA752" s="240"/>
      <c r="AB752" s="345">
        <v>1</v>
      </c>
      <c r="AC752" s="271"/>
      <c r="AD752" s="272"/>
      <c r="AE752" s="273"/>
      <c r="AF752" s="273"/>
      <c r="AG752" s="274"/>
      <c r="AH752" s="275"/>
      <c r="AI752" s="272"/>
      <c r="AJ752" s="276"/>
      <c r="AK752" s="277"/>
      <c r="AL752" s="278"/>
      <c r="AM752" s="277"/>
      <c r="AN752" s="279" t="str">
        <f t="shared" si="57"/>
        <v/>
      </c>
      <c r="AO752" s="279"/>
      <c r="AP752" s="279" t="str">
        <f t="shared" si="58"/>
        <v/>
      </c>
      <c r="AQ752" s="279"/>
      <c r="AR752" s="305">
        <f>'预算书-初步'!$F$10</f>
        <v>0.09</v>
      </c>
      <c r="AT752" s="272"/>
      <c r="BC752" s="272" t="s">
        <v>521</v>
      </c>
      <c r="BD752" s="348">
        <v>1074</v>
      </c>
      <c r="BE752" s="347" t="s">
        <v>703</v>
      </c>
    </row>
    <row r="753" s="52" customFormat="1" ht="15.75" customHeight="1" spans="1:57">
      <c r="A753" s="227"/>
      <c r="B753" s="332"/>
      <c r="C753" s="228"/>
      <c r="D753" s="333"/>
      <c r="E753" s="334"/>
      <c r="F753" s="229"/>
      <c r="G753" s="333"/>
      <c r="H753" s="335"/>
      <c r="I753" s="229"/>
      <c r="J753" s="229"/>
      <c r="K753" s="336"/>
      <c r="L753" s="337"/>
      <c r="M753" s="337"/>
      <c r="N753" s="337"/>
      <c r="O753" s="337"/>
      <c r="P753" s="337"/>
      <c r="Q753" s="338">
        <v>1623</v>
      </c>
      <c r="R753" s="271">
        <f t="shared" si="52"/>
        <v>0</v>
      </c>
      <c r="S753" s="339">
        <f t="shared" si="56"/>
        <v>0</v>
      </c>
      <c r="T753" s="340"/>
      <c r="U753" s="341">
        <f>FA!L$86</f>
        <v>0</v>
      </c>
      <c r="V753" s="274"/>
      <c r="W753" s="342"/>
      <c r="X753" s="343"/>
      <c r="Y753" s="349" t="s">
        <v>560</v>
      </c>
      <c r="Z753" s="344"/>
      <c r="AA753" s="240"/>
      <c r="AB753" s="345">
        <v>1</v>
      </c>
      <c r="AC753" s="271"/>
      <c r="AD753" s="272"/>
      <c r="AE753" s="273"/>
      <c r="AF753" s="273"/>
      <c r="AG753" s="274"/>
      <c r="AH753" s="275"/>
      <c r="AI753" s="272"/>
      <c r="AJ753" s="276"/>
      <c r="AK753" s="277"/>
      <c r="AL753" s="278"/>
      <c r="AM753" s="277"/>
      <c r="AN753" s="279"/>
      <c r="AO753" s="279"/>
      <c r="AP753" s="279"/>
      <c r="AQ753" s="279"/>
      <c r="AR753" s="305">
        <f>'预算书-初步'!$F$10</f>
        <v>0.09</v>
      </c>
      <c r="AT753" s="272"/>
      <c r="BC753" s="272" t="s">
        <v>521</v>
      </c>
      <c r="BD753" s="348">
        <v>1075</v>
      </c>
      <c r="BE753" s="347" t="s">
        <v>703</v>
      </c>
    </row>
    <row r="754" s="52" customFormat="1" ht="15.75" customHeight="1" spans="1:57">
      <c r="A754" s="227"/>
      <c r="B754" s="332"/>
      <c r="C754" s="228"/>
      <c r="D754" s="333"/>
      <c r="E754" s="334"/>
      <c r="F754" s="229"/>
      <c r="G754" s="333"/>
      <c r="H754" s="335"/>
      <c r="I754" s="229"/>
      <c r="J754" s="229"/>
      <c r="K754" s="336"/>
      <c r="L754" s="337"/>
      <c r="M754" s="337"/>
      <c r="N754" s="337"/>
      <c r="O754" s="337"/>
      <c r="P754" s="337"/>
      <c r="Q754" s="338">
        <v>1630</v>
      </c>
      <c r="R754" s="271">
        <f t="shared" si="52"/>
        <v>0</v>
      </c>
      <c r="S754" s="339">
        <f t="shared" si="56"/>
        <v>0</v>
      </c>
      <c r="T754" s="340"/>
      <c r="U754" s="341">
        <f>FA!L$88</f>
        <v>0</v>
      </c>
      <c r="V754" s="274"/>
      <c r="W754" s="342"/>
      <c r="X754" s="343"/>
      <c r="Y754" s="6" t="s">
        <v>561</v>
      </c>
      <c r="Z754" s="344"/>
      <c r="AA754" s="240"/>
      <c r="AB754" s="345">
        <v>1</v>
      </c>
      <c r="AC754" s="271"/>
      <c r="AD754" s="272"/>
      <c r="AE754" s="273"/>
      <c r="AF754" s="273"/>
      <c r="AG754" s="274"/>
      <c r="AH754" s="275"/>
      <c r="AI754" s="272"/>
      <c r="AJ754" s="276"/>
      <c r="AK754" s="277"/>
      <c r="AL754" s="278"/>
      <c r="AM754" s="277"/>
      <c r="AN754" s="279" t="str">
        <f t="shared" si="57"/>
        <v/>
      </c>
      <c r="AO754" s="279"/>
      <c r="AP754" s="279" t="str">
        <f>IF(F754&lt;&gt;0,"Y","")</f>
        <v/>
      </c>
      <c r="AQ754" s="279"/>
      <c r="AR754" s="305">
        <f>'预算书-初步'!$F$10</f>
        <v>0.09</v>
      </c>
      <c r="AT754" s="272"/>
      <c r="BC754" s="272" t="s">
        <v>521</v>
      </c>
      <c r="BD754" s="348">
        <v>1077</v>
      </c>
      <c r="BE754" s="347" t="s">
        <v>703</v>
      </c>
    </row>
    <row r="755" s="52" customFormat="1" ht="15.75" customHeight="1" spans="1:57">
      <c r="A755" s="227"/>
      <c r="B755" s="332"/>
      <c r="C755" s="228"/>
      <c r="D755" s="333"/>
      <c r="E755" s="334"/>
      <c r="F755" s="229"/>
      <c r="G755" s="333"/>
      <c r="H755" s="335"/>
      <c r="I755" s="229"/>
      <c r="J755" s="229"/>
      <c r="K755" s="336"/>
      <c r="L755" s="337"/>
      <c r="M755" s="337"/>
      <c r="N755" s="337"/>
      <c r="O755" s="337"/>
      <c r="P755" s="337"/>
      <c r="Q755" s="338">
        <v>3791</v>
      </c>
      <c r="R755" s="271">
        <f t="shared" si="52"/>
        <v>0</v>
      </c>
      <c r="S755" s="339">
        <f t="shared" si="56"/>
        <v>0</v>
      </c>
      <c r="T755" s="340"/>
      <c r="U755" s="341">
        <f>FA!L$95</f>
        <v>0</v>
      </c>
      <c r="V755" s="274"/>
      <c r="W755" s="342"/>
      <c r="X755" s="343"/>
      <c r="Y755" s="6" t="s">
        <v>562</v>
      </c>
      <c r="Z755" s="344"/>
      <c r="AA755" s="240"/>
      <c r="AB755" s="345">
        <v>1</v>
      </c>
      <c r="AC755" s="271"/>
      <c r="AD755" s="272"/>
      <c r="AE755" s="273"/>
      <c r="AF755" s="273"/>
      <c r="AG755" s="274"/>
      <c r="AH755" s="275"/>
      <c r="AI755" s="272"/>
      <c r="AJ755" s="276"/>
      <c r="AK755" s="277"/>
      <c r="AL755" s="278"/>
      <c r="AM755" s="277"/>
      <c r="AN755" s="279" t="str">
        <f t="shared" si="57"/>
        <v/>
      </c>
      <c r="AO755" s="279"/>
      <c r="AP755" s="279" t="str">
        <f>IF(F755&lt;&gt;0,"Y","")</f>
        <v/>
      </c>
      <c r="AQ755" s="279"/>
      <c r="AR755" s="305">
        <f>'预算书-初步'!$F$10</f>
        <v>0.09</v>
      </c>
      <c r="AT755" s="272"/>
      <c r="BC755" s="272" t="s">
        <v>521</v>
      </c>
      <c r="BD755" s="348">
        <v>1084</v>
      </c>
      <c r="BE755" s="347" t="s">
        <v>703</v>
      </c>
    </row>
    <row r="756" s="52" customFormat="1" ht="15.75" customHeight="1" spans="1:57">
      <c r="A756" s="227"/>
      <c r="B756" s="332"/>
      <c r="C756" s="228"/>
      <c r="D756" s="333"/>
      <c r="E756" s="334"/>
      <c r="F756" s="229"/>
      <c r="G756" s="333"/>
      <c r="H756" s="335"/>
      <c r="I756" s="229"/>
      <c r="J756" s="229"/>
      <c r="K756" s="336"/>
      <c r="L756" s="337"/>
      <c r="M756" s="337"/>
      <c r="N756" s="337"/>
      <c r="O756" s="337"/>
      <c r="P756" s="337"/>
      <c r="Q756" s="338">
        <v>8410</v>
      </c>
      <c r="R756" s="271">
        <f t="shared" si="52"/>
        <v>0</v>
      </c>
      <c r="S756" s="339">
        <f t="shared" si="56"/>
        <v>0</v>
      </c>
      <c r="T756" s="340"/>
      <c r="U756" s="341">
        <f>FA!L$140</f>
        <v>0</v>
      </c>
      <c r="V756" s="274"/>
      <c r="W756" s="342"/>
      <c r="X756" s="343"/>
      <c r="Y756" s="349" t="s">
        <v>563</v>
      </c>
      <c r="Z756" s="344"/>
      <c r="AA756" s="240"/>
      <c r="AB756" s="345">
        <v>1</v>
      </c>
      <c r="AC756" s="271"/>
      <c r="AD756" s="272"/>
      <c r="AE756" s="273"/>
      <c r="AF756" s="273"/>
      <c r="AG756" s="274"/>
      <c r="AH756" s="275"/>
      <c r="AI756" s="272"/>
      <c r="AJ756" s="276"/>
      <c r="AK756" s="277"/>
      <c r="AL756" s="278"/>
      <c r="AM756" s="277"/>
      <c r="AN756" s="279" t="str">
        <f t="shared" si="57"/>
        <v/>
      </c>
      <c r="AO756" s="279"/>
      <c r="AP756" s="279" t="str">
        <f>IF(F756&lt;&gt;0,"Y","")</f>
        <v/>
      </c>
      <c r="AQ756" s="279"/>
      <c r="AR756" s="305">
        <f>'预算书-初步'!$F$10</f>
        <v>0.09</v>
      </c>
      <c r="AT756" s="272"/>
      <c r="BC756" s="272" t="s">
        <v>521</v>
      </c>
      <c r="BD756" s="348">
        <v>1129</v>
      </c>
      <c r="BE756" s="347" t="s">
        <v>703</v>
      </c>
    </row>
    <row r="757" s="52" customFormat="1" spans="1:57">
      <c r="A757" s="227"/>
      <c r="B757" s="332"/>
      <c r="C757" s="228"/>
      <c r="D757" s="333"/>
      <c r="E757" s="334"/>
      <c r="F757" s="229"/>
      <c r="G757" s="333"/>
      <c r="H757" s="335"/>
      <c r="I757" s="229"/>
      <c r="J757" s="229"/>
      <c r="K757" s="336"/>
      <c r="L757" s="337"/>
      <c r="M757" s="337"/>
      <c r="N757" s="337"/>
      <c r="O757" s="337"/>
      <c r="P757" s="337"/>
      <c r="Q757" s="352">
        <v>8421</v>
      </c>
      <c r="R757" s="271">
        <f t="shared" si="52"/>
        <v>0</v>
      </c>
      <c r="S757" s="353">
        <f t="shared" si="56"/>
        <v>0</v>
      </c>
      <c r="T757" s="354"/>
      <c r="U757" s="355"/>
      <c r="V757" s="274"/>
      <c r="W757" s="356"/>
      <c r="X757" s="357"/>
      <c r="Y757" s="6" t="s">
        <v>564</v>
      </c>
      <c r="Z757" s="344"/>
      <c r="AA757" s="240"/>
      <c r="AB757" s="345">
        <v>1</v>
      </c>
      <c r="AC757" s="271"/>
      <c r="AD757" s="272"/>
      <c r="AE757" s="273"/>
      <c r="AF757" s="273"/>
      <c r="AG757" s="274"/>
      <c r="AH757" s="275"/>
      <c r="AI757" s="272"/>
      <c r="AJ757" s="276"/>
      <c r="AK757" s="277"/>
      <c r="AL757" s="278"/>
      <c r="AM757" s="277"/>
      <c r="AN757" s="279"/>
      <c r="AO757" s="279"/>
      <c r="AP757" s="279"/>
      <c r="AQ757" s="279"/>
      <c r="AR757" s="305">
        <f>'预算书-初步'!$F$10</f>
        <v>0.09</v>
      </c>
      <c r="AT757" s="272"/>
      <c r="BC757" s="272" t="s">
        <v>521</v>
      </c>
      <c r="BD757" s="359">
        <v>1130</v>
      </c>
      <c r="BE757" s="347" t="s">
        <v>703</v>
      </c>
    </row>
    <row r="758" s="52" customFormat="1" spans="1:57">
      <c r="A758" s="227"/>
      <c r="B758" s="332"/>
      <c r="C758" s="228"/>
      <c r="D758" s="333"/>
      <c r="E758" s="334"/>
      <c r="F758" s="229"/>
      <c r="G758" s="333"/>
      <c r="H758" s="335"/>
      <c r="I758" s="229"/>
      <c r="J758" s="229"/>
      <c r="K758" s="336"/>
      <c r="L758" s="337"/>
      <c r="M758" s="337"/>
      <c r="N758" s="337"/>
      <c r="O758" s="337"/>
      <c r="P758" s="337"/>
      <c r="Q758" s="352">
        <v>8422</v>
      </c>
      <c r="R758" s="271">
        <f t="shared" si="52"/>
        <v>0</v>
      </c>
      <c r="S758" s="353">
        <f t="shared" si="56"/>
        <v>0</v>
      </c>
      <c r="T758" s="354"/>
      <c r="U758" s="355">
        <f>FA!L141</f>
        <v>0</v>
      </c>
      <c r="V758" s="274"/>
      <c r="W758" s="356"/>
      <c r="X758" s="357"/>
      <c r="Y758" s="349" t="s">
        <v>565</v>
      </c>
      <c r="Z758" s="344"/>
      <c r="AA758" s="240"/>
      <c r="AB758" s="345">
        <v>1</v>
      </c>
      <c r="AC758" s="271"/>
      <c r="AD758" s="272"/>
      <c r="AE758" s="273"/>
      <c r="AF758" s="273"/>
      <c r="AG758" s="274"/>
      <c r="AH758" s="275"/>
      <c r="AI758" s="272"/>
      <c r="AJ758" s="276"/>
      <c r="AK758" s="277"/>
      <c r="AL758" s="278"/>
      <c r="AM758" s="277"/>
      <c r="AN758" s="279"/>
      <c r="AO758" s="279"/>
      <c r="AP758" s="279"/>
      <c r="AQ758" s="279"/>
      <c r="AR758" s="305">
        <f>'预算书-初步'!$F$10</f>
        <v>0.09</v>
      </c>
      <c r="AT758" s="272"/>
      <c r="BC758" s="272" t="s">
        <v>521</v>
      </c>
      <c r="BD758" s="359">
        <v>1130</v>
      </c>
      <c r="BE758" s="347" t="s">
        <v>703</v>
      </c>
    </row>
    <row r="759" s="52" customFormat="1" spans="1:57">
      <c r="A759" s="227"/>
      <c r="B759" s="332"/>
      <c r="C759" s="228"/>
      <c r="D759" s="333"/>
      <c r="E759" s="334"/>
      <c r="F759" s="229"/>
      <c r="G759" s="333"/>
      <c r="H759" s="335"/>
      <c r="I759" s="229"/>
      <c r="J759" s="229"/>
      <c r="K759" s="336"/>
      <c r="L759" s="337"/>
      <c r="M759" s="337"/>
      <c r="N759" s="337"/>
      <c r="O759" s="337"/>
      <c r="P759" s="337"/>
      <c r="Q759" s="352">
        <v>8423</v>
      </c>
      <c r="R759" s="271">
        <f t="shared" si="52"/>
        <v>0</v>
      </c>
      <c r="S759" s="353">
        <f t="shared" si="56"/>
        <v>0</v>
      </c>
      <c r="T759" s="354"/>
      <c r="U759" s="355"/>
      <c r="V759" s="274"/>
      <c r="W759" s="356"/>
      <c r="X759" s="357"/>
      <c r="Y759" s="6" t="s">
        <v>566</v>
      </c>
      <c r="Z759" s="344"/>
      <c r="AA759" s="240"/>
      <c r="AB759" s="345">
        <v>1</v>
      </c>
      <c r="AC759" s="271"/>
      <c r="AD759" s="272"/>
      <c r="AE759" s="273"/>
      <c r="AF759" s="273"/>
      <c r="AG759" s="274"/>
      <c r="AH759" s="275"/>
      <c r="AI759" s="272"/>
      <c r="AJ759" s="276"/>
      <c r="AK759" s="277"/>
      <c r="AL759" s="278"/>
      <c r="AM759" s="277"/>
      <c r="AN759" s="279"/>
      <c r="AO759" s="279"/>
      <c r="AP759" s="279"/>
      <c r="AQ759" s="279"/>
      <c r="AR759" s="305">
        <f>'预算书-初步'!$F$10</f>
        <v>0.09</v>
      </c>
      <c r="AT759" s="272"/>
      <c r="BC759" s="272" t="s">
        <v>521</v>
      </c>
      <c r="BD759" s="359">
        <v>1130</v>
      </c>
      <c r="BE759" s="347" t="s">
        <v>703</v>
      </c>
    </row>
    <row r="760" s="52" customFormat="1" ht="15.75" customHeight="1" spans="1:57">
      <c r="A760" s="227"/>
      <c r="B760" s="332"/>
      <c r="C760" s="228"/>
      <c r="D760" s="333"/>
      <c r="E760" s="334"/>
      <c r="F760" s="229"/>
      <c r="G760" s="333"/>
      <c r="H760" s="335"/>
      <c r="I760" s="229"/>
      <c r="J760" s="229"/>
      <c r="K760" s="336"/>
      <c r="L760" s="337"/>
      <c r="M760" s="337"/>
      <c r="N760" s="337"/>
      <c r="O760" s="337"/>
      <c r="P760" s="337"/>
      <c r="Q760" s="338">
        <v>8424</v>
      </c>
      <c r="R760" s="271">
        <f t="shared" si="52"/>
        <v>0</v>
      </c>
      <c r="S760" s="339">
        <f t="shared" si="56"/>
        <v>0</v>
      </c>
      <c r="T760" s="340"/>
      <c r="U760" s="341">
        <f>FA!L$142</f>
        <v>0</v>
      </c>
      <c r="V760" s="274"/>
      <c r="W760" s="342"/>
      <c r="X760" s="343"/>
      <c r="Y760" s="6" t="s">
        <v>567</v>
      </c>
      <c r="Z760" s="344"/>
      <c r="AA760" s="240"/>
      <c r="AB760" s="345">
        <v>1</v>
      </c>
      <c r="AC760" s="271"/>
      <c r="AD760" s="272"/>
      <c r="AE760" s="273"/>
      <c r="AF760" s="273"/>
      <c r="AG760" s="274"/>
      <c r="AH760" s="275"/>
      <c r="AI760" s="272"/>
      <c r="AJ760" s="276"/>
      <c r="AK760" s="277"/>
      <c r="AL760" s="278"/>
      <c r="AM760" s="277"/>
      <c r="AN760" s="279" t="str">
        <f t="shared" ref="AN760:AN778" si="59">IF(AK760&lt;&gt;0,"N","")</f>
        <v/>
      </c>
      <c r="AO760" s="279"/>
      <c r="AP760" s="279" t="str">
        <f t="shared" ref="AP760:AP804" si="60">IF(F760&lt;&gt;0,"Y","")</f>
        <v/>
      </c>
      <c r="AQ760" s="279"/>
      <c r="AR760" s="305">
        <f>'预算书-初步'!$F$10</f>
        <v>0.09</v>
      </c>
      <c r="AT760" s="272"/>
      <c r="BC760" s="272" t="s">
        <v>521</v>
      </c>
      <c r="BD760" s="348">
        <v>1131</v>
      </c>
      <c r="BE760" s="347" t="s">
        <v>703</v>
      </c>
    </row>
    <row r="761" s="52" customFormat="1" ht="15.75" customHeight="1" spans="1:57">
      <c r="A761" s="227"/>
      <c r="B761" s="332"/>
      <c r="C761" s="228"/>
      <c r="D761" s="333"/>
      <c r="E761" s="334"/>
      <c r="F761" s="229"/>
      <c r="G761" s="333"/>
      <c r="H761" s="335"/>
      <c r="I761" s="229"/>
      <c r="J761" s="229"/>
      <c r="K761" s="336"/>
      <c r="L761" s="337"/>
      <c r="M761" s="337"/>
      <c r="N761" s="337"/>
      <c r="O761" s="337"/>
      <c r="P761" s="337"/>
      <c r="Q761" s="338">
        <v>8426</v>
      </c>
      <c r="R761" s="271">
        <f t="shared" si="52"/>
        <v>0</v>
      </c>
      <c r="S761" s="339">
        <f t="shared" si="56"/>
        <v>0</v>
      </c>
      <c r="T761" s="340"/>
      <c r="U761" s="341">
        <f>FA!L$143</f>
        <v>0</v>
      </c>
      <c r="V761" s="274"/>
      <c r="W761" s="342"/>
      <c r="X761" s="343"/>
      <c r="Y761" s="6" t="s">
        <v>568</v>
      </c>
      <c r="Z761" s="344"/>
      <c r="AA761" s="240"/>
      <c r="AB761" s="345">
        <v>1</v>
      </c>
      <c r="AC761" s="271"/>
      <c r="AD761" s="272"/>
      <c r="AE761" s="273"/>
      <c r="AF761" s="273"/>
      <c r="AG761" s="274"/>
      <c r="AH761" s="275"/>
      <c r="AI761" s="272"/>
      <c r="AJ761" s="276"/>
      <c r="AK761" s="277"/>
      <c r="AL761" s="278"/>
      <c r="AM761" s="277"/>
      <c r="AN761" s="279" t="str">
        <f t="shared" si="59"/>
        <v/>
      </c>
      <c r="AO761" s="279"/>
      <c r="AP761" s="279" t="str">
        <f t="shared" si="60"/>
        <v/>
      </c>
      <c r="AQ761" s="279"/>
      <c r="AR761" s="305">
        <f>'预算书-初步'!$F$10</f>
        <v>0.09</v>
      </c>
      <c r="AT761" s="272"/>
      <c r="BC761" s="272" t="s">
        <v>521</v>
      </c>
      <c r="BD761" s="348">
        <v>1132</v>
      </c>
      <c r="BE761" s="347" t="s">
        <v>703</v>
      </c>
    </row>
    <row r="762" s="52" customFormat="1" ht="15.75" customHeight="1" spans="1:57">
      <c r="A762" s="227"/>
      <c r="B762" s="332"/>
      <c r="C762" s="228"/>
      <c r="D762" s="333"/>
      <c r="E762" s="334"/>
      <c r="F762" s="229"/>
      <c r="G762" s="333"/>
      <c r="H762" s="335"/>
      <c r="I762" s="229"/>
      <c r="J762" s="229"/>
      <c r="K762" s="336"/>
      <c r="L762" s="337"/>
      <c r="M762" s="337"/>
      <c r="N762" s="337"/>
      <c r="O762" s="337"/>
      <c r="P762" s="337"/>
      <c r="Q762" s="338">
        <v>8451</v>
      </c>
      <c r="R762" s="271">
        <f t="shared" si="52"/>
        <v>0</v>
      </c>
      <c r="S762" s="339">
        <v>0</v>
      </c>
      <c r="T762" s="340"/>
      <c r="U762" s="364">
        <f>SUMIF(其他!$A$9:$A$65,$Q762,其他!$M$9:$M$65)</f>
        <v>0</v>
      </c>
      <c r="V762" s="274"/>
      <c r="W762" s="342"/>
      <c r="X762" s="343"/>
      <c r="Y762" s="20" t="s">
        <v>570</v>
      </c>
      <c r="Z762" s="344"/>
      <c r="AA762" s="240"/>
      <c r="AB762" s="345">
        <v>1</v>
      </c>
      <c r="AC762" s="271"/>
      <c r="AD762" s="272"/>
      <c r="AE762" s="273"/>
      <c r="AF762" s="273"/>
      <c r="AG762" s="274"/>
      <c r="AH762" s="275"/>
      <c r="AI762" s="272"/>
      <c r="AJ762" s="276"/>
      <c r="AK762" s="277"/>
      <c r="AL762" s="278"/>
      <c r="AM762" s="277"/>
      <c r="AN762" s="279"/>
      <c r="AO762" s="279"/>
      <c r="AP762" s="279"/>
      <c r="AQ762" s="279"/>
      <c r="AR762" s="305">
        <f>'预算书-初步'!$F$10</f>
        <v>0.09</v>
      </c>
      <c r="AT762" s="272"/>
      <c r="BC762" s="272" t="s">
        <v>521</v>
      </c>
      <c r="BD762" s="348">
        <v>1136</v>
      </c>
      <c r="BE762" s="347" t="s">
        <v>702</v>
      </c>
    </row>
    <row r="763" s="52" customFormat="1" ht="15.75" customHeight="1" spans="1:57">
      <c r="A763" s="227"/>
      <c r="B763" s="332"/>
      <c r="C763" s="228"/>
      <c r="D763" s="333"/>
      <c r="E763" s="334"/>
      <c r="F763" s="229"/>
      <c r="G763" s="333"/>
      <c r="H763" s="335"/>
      <c r="I763" s="229"/>
      <c r="J763" s="229"/>
      <c r="K763" s="336"/>
      <c r="L763" s="337"/>
      <c r="M763" s="337"/>
      <c r="N763" s="337"/>
      <c r="O763" s="337"/>
      <c r="P763" s="337"/>
      <c r="Q763" s="338">
        <v>8452</v>
      </c>
      <c r="R763" s="271">
        <f t="shared" si="52"/>
        <v>0</v>
      </c>
      <c r="S763" s="339">
        <v>0</v>
      </c>
      <c r="T763" s="340"/>
      <c r="U763" s="364">
        <f>SUMIF(其他!$A$9:$A$65,$Q763,其他!$M$9:$M$65)</f>
        <v>0</v>
      </c>
      <c r="V763" s="274"/>
      <c r="W763" s="342"/>
      <c r="X763" s="343"/>
      <c r="Y763" s="20" t="s">
        <v>570</v>
      </c>
      <c r="Z763" s="344"/>
      <c r="AA763" s="240"/>
      <c r="AB763" s="345">
        <v>1</v>
      </c>
      <c r="AC763" s="271"/>
      <c r="AD763" s="272"/>
      <c r="AE763" s="273"/>
      <c r="AF763" s="273"/>
      <c r="AG763" s="274"/>
      <c r="AH763" s="275"/>
      <c r="AI763" s="272"/>
      <c r="AJ763" s="276"/>
      <c r="AK763" s="277"/>
      <c r="AL763" s="278"/>
      <c r="AM763" s="277"/>
      <c r="AN763" s="279"/>
      <c r="AO763" s="279"/>
      <c r="AP763" s="279"/>
      <c r="AQ763" s="279"/>
      <c r="AR763" s="305">
        <f>'预算书-初步'!$F$10</f>
        <v>0.09</v>
      </c>
      <c r="AT763" s="272"/>
      <c r="BC763" s="272" t="s">
        <v>521</v>
      </c>
      <c r="BD763" s="348">
        <v>1136</v>
      </c>
      <c r="BE763" s="347" t="s">
        <v>702</v>
      </c>
    </row>
    <row r="764" s="52" customFormat="1" ht="15.75" customHeight="1" spans="1:57">
      <c r="A764" s="227"/>
      <c r="B764" s="332"/>
      <c r="C764" s="228"/>
      <c r="D764" s="333"/>
      <c r="E764" s="334"/>
      <c r="F764" s="229"/>
      <c r="G764" s="333"/>
      <c r="H764" s="335"/>
      <c r="I764" s="229"/>
      <c r="J764" s="229"/>
      <c r="K764" s="336"/>
      <c r="L764" s="337"/>
      <c r="M764" s="337"/>
      <c r="N764" s="337"/>
      <c r="O764" s="337"/>
      <c r="P764" s="337"/>
      <c r="Q764" s="338">
        <v>8453</v>
      </c>
      <c r="R764" s="271">
        <f t="shared" si="52"/>
        <v>0</v>
      </c>
      <c r="S764" s="339">
        <v>0</v>
      </c>
      <c r="T764" s="340"/>
      <c r="U764" s="364">
        <f>SUMIF(其他!$A$9:$A$65,$Q764,其他!$M$9:$M$65)</f>
        <v>0</v>
      </c>
      <c r="V764" s="274"/>
      <c r="W764" s="342"/>
      <c r="X764" s="343"/>
      <c r="Y764" s="365" t="s">
        <v>571</v>
      </c>
      <c r="Z764" s="344"/>
      <c r="AA764" s="240"/>
      <c r="AB764" s="345">
        <v>1</v>
      </c>
      <c r="AC764" s="271"/>
      <c r="AD764" s="272"/>
      <c r="AE764" s="273"/>
      <c r="AF764" s="273"/>
      <c r="AG764" s="274"/>
      <c r="AH764" s="275"/>
      <c r="AI764" s="272"/>
      <c r="AJ764" s="276"/>
      <c r="AK764" s="277"/>
      <c r="AL764" s="278"/>
      <c r="AM764" s="277"/>
      <c r="AN764" s="279"/>
      <c r="AO764" s="279"/>
      <c r="AP764" s="279"/>
      <c r="AQ764" s="279"/>
      <c r="AR764" s="305">
        <f>'预算书-初步'!$F$10</f>
        <v>0.09</v>
      </c>
      <c r="AT764" s="272"/>
      <c r="BC764" s="272" t="s">
        <v>521</v>
      </c>
      <c r="BD764" s="348">
        <v>1136</v>
      </c>
      <c r="BE764" s="347" t="s">
        <v>702</v>
      </c>
    </row>
    <row r="765" s="52" customFormat="1" ht="15.75" customHeight="1" spans="1:57">
      <c r="A765" s="227"/>
      <c r="B765" s="332"/>
      <c r="C765" s="228"/>
      <c r="D765" s="333"/>
      <c r="E765" s="334"/>
      <c r="F765" s="229"/>
      <c r="G765" s="333"/>
      <c r="H765" s="335"/>
      <c r="I765" s="229"/>
      <c r="J765" s="229"/>
      <c r="K765" s="336"/>
      <c r="L765" s="337"/>
      <c r="M765" s="337"/>
      <c r="N765" s="337"/>
      <c r="O765" s="337"/>
      <c r="P765" s="337"/>
      <c r="Q765" s="338">
        <v>8455</v>
      </c>
      <c r="R765" s="271">
        <f t="shared" si="52"/>
        <v>0</v>
      </c>
      <c r="S765" s="339">
        <v>0</v>
      </c>
      <c r="T765" s="340"/>
      <c r="U765" s="364">
        <f>SUMIF(其他!$A$9:$A$65,$Q765,其他!$M$9:$M$65)</f>
        <v>0</v>
      </c>
      <c r="V765" s="274"/>
      <c r="W765" s="342"/>
      <c r="X765" s="343"/>
      <c r="Y765" s="20" t="s">
        <v>572</v>
      </c>
      <c r="Z765" s="344"/>
      <c r="AA765" s="240"/>
      <c r="AB765" s="345">
        <v>1</v>
      </c>
      <c r="AC765" s="271"/>
      <c r="AD765" s="272"/>
      <c r="AE765" s="273"/>
      <c r="AF765" s="273"/>
      <c r="AG765" s="274"/>
      <c r="AH765" s="275"/>
      <c r="AI765" s="272"/>
      <c r="AJ765" s="276"/>
      <c r="AK765" s="277"/>
      <c r="AL765" s="278"/>
      <c r="AM765" s="277"/>
      <c r="AN765" s="279"/>
      <c r="AO765" s="279"/>
      <c r="AP765" s="279"/>
      <c r="AQ765" s="279"/>
      <c r="AR765" s="305">
        <f>'预算书-初步'!$F$10</f>
        <v>0.09</v>
      </c>
      <c r="AT765" s="272"/>
      <c r="BC765" s="272" t="s">
        <v>521</v>
      </c>
      <c r="BD765" s="348">
        <v>1136</v>
      </c>
      <c r="BE765" s="347" t="s">
        <v>702</v>
      </c>
    </row>
    <row r="766" s="52" customFormat="1" ht="15.75" customHeight="1" spans="1:57">
      <c r="A766" s="227"/>
      <c r="B766" s="332"/>
      <c r="C766" s="228"/>
      <c r="D766" s="333"/>
      <c r="E766" s="334"/>
      <c r="F766" s="229"/>
      <c r="G766" s="333"/>
      <c r="H766" s="335"/>
      <c r="I766" s="229"/>
      <c r="J766" s="229"/>
      <c r="K766" s="336"/>
      <c r="L766" s="337"/>
      <c r="M766" s="337"/>
      <c r="N766" s="337"/>
      <c r="O766" s="337"/>
      <c r="P766" s="337"/>
      <c r="Q766" s="366" t="s">
        <v>573</v>
      </c>
      <c r="R766" s="271">
        <f t="shared" si="52"/>
        <v>0</v>
      </c>
      <c r="S766" s="367">
        <f t="shared" si="56"/>
        <v>0</v>
      </c>
      <c r="T766" s="368"/>
      <c r="U766" s="364">
        <f>SUMIF(其他!$A$9:$A$65,$Q766,其他!$M$9:$M$65)</f>
        <v>0</v>
      </c>
      <c r="V766" s="274"/>
      <c r="W766" s="356"/>
      <c r="X766" s="357"/>
      <c r="Y766" s="6" t="s">
        <v>574</v>
      </c>
      <c r="Z766" s="344"/>
      <c r="AA766" s="240"/>
      <c r="AB766" s="345">
        <v>1</v>
      </c>
      <c r="AC766" s="271"/>
      <c r="AD766" s="272"/>
      <c r="AE766" s="273"/>
      <c r="AF766" s="273"/>
      <c r="AG766" s="274"/>
      <c r="AH766" s="275"/>
      <c r="AI766" s="272"/>
      <c r="AJ766" s="276"/>
      <c r="AK766" s="277"/>
      <c r="AL766" s="278"/>
      <c r="AM766" s="277"/>
      <c r="AN766" s="279" t="str">
        <f>IF(AK766&lt;&gt;0,"N","")</f>
        <v/>
      </c>
      <c r="AO766" s="279"/>
      <c r="AP766" s="279" t="str">
        <f>IF(F766&lt;&gt;0,"Y","")</f>
        <v/>
      </c>
      <c r="AQ766" s="279"/>
      <c r="AR766" s="305">
        <f>'预算书-初步'!$F$10</f>
        <v>0.09</v>
      </c>
      <c r="AT766" s="272"/>
      <c r="BC766" s="272" t="s">
        <v>521</v>
      </c>
      <c r="BD766" s="359">
        <v>1136</v>
      </c>
      <c r="BE766" s="347" t="s">
        <v>703</v>
      </c>
    </row>
    <row r="767" s="52" customFormat="1" ht="15.75" customHeight="1" spans="1:57">
      <c r="A767" s="227"/>
      <c r="B767" s="332"/>
      <c r="C767" s="228"/>
      <c r="D767" s="333"/>
      <c r="E767" s="334"/>
      <c r="F767" s="229"/>
      <c r="G767" s="333"/>
      <c r="H767" s="335"/>
      <c r="I767" s="229"/>
      <c r="J767" s="229"/>
      <c r="K767" s="336"/>
      <c r="L767" s="337"/>
      <c r="M767" s="337"/>
      <c r="N767" s="337"/>
      <c r="O767" s="337"/>
      <c r="P767" s="337"/>
      <c r="Q767" s="366">
        <v>8456</v>
      </c>
      <c r="R767" s="271">
        <f t="shared" si="52"/>
        <v>0</v>
      </c>
      <c r="S767" s="367">
        <f t="shared" si="56"/>
        <v>0</v>
      </c>
      <c r="T767" s="368"/>
      <c r="U767" s="364">
        <f>SUMIF(其他!$A$9:$A$65,$Q767,其他!$M$9:$M$65)</f>
        <v>0</v>
      </c>
      <c r="V767" s="274"/>
      <c r="W767" s="356"/>
      <c r="X767" s="357"/>
      <c r="Y767" s="6" t="s">
        <v>575</v>
      </c>
      <c r="Z767" s="344"/>
      <c r="AA767" s="240"/>
      <c r="AB767" s="345">
        <v>1</v>
      </c>
      <c r="AC767" s="271"/>
      <c r="AD767" s="272"/>
      <c r="AE767" s="273"/>
      <c r="AF767" s="273"/>
      <c r="AG767" s="274"/>
      <c r="AH767" s="275"/>
      <c r="AI767" s="272"/>
      <c r="AJ767" s="276"/>
      <c r="AK767" s="277"/>
      <c r="AL767" s="278"/>
      <c r="AM767" s="277"/>
      <c r="AN767" s="279" t="str">
        <f t="shared" si="59"/>
        <v/>
      </c>
      <c r="AO767" s="279"/>
      <c r="AP767" s="279" t="str">
        <f t="shared" si="60"/>
        <v/>
      </c>
      <c r="AQ767" s="279"/>
      <c r="AR767" s="305">
        <f>'预算书-初步'!$F$10</f>
        <v>0.09</v>
      </c>
      <c r="AT767" s="272"/>
      <c r="BC767" s="272" t="s">
        <v>521</v>
      </c>
      <c r="BD767" s="359">
        <v>1136</v>
      </c>
      <c r="BE767" s="347" t="s">
        <v>703</v>
      </c>
    </row>
    <row r="768" s="52" customFormat="1" ht="15.75" customHeight="1" spans="1:57">
      <c r="A768" s="227"/>
      <c r="B768" s="332"/>
      <c r="C768" s="228"/>
      <c r="D768" s="333"/>
      <c r="E768" s="334"/>
      <c r="F768" s="229"/>
      <c r="G768" s="333"/>
      <c r="H768" s="335"/>
      <c r="I768" s="229"/>
      <c r="J768" s="229"/>
      <c r="K768" s="336"/>
      <c r="L768" s="337"/>
      <c r="M768" s="337"/>
      <c r="N768" s="337"/>
      <c r="O768" s="337"/>
      <c r="P768" s="337"/>
      <c r="Q768" s="338">
        <v>8425</v>
      </c>
      <c r="R768" s="271">
        <f t="shared" si="52"/>
        <v>0</v>
      </c>
      <c r="S768" s="339">
        <f t="shared" si="56"/>
        <v>0</v>
      </c>
      <c r="T768" s="340"/>
      <c r="U768" s="341">
        <f>FA!L$151</f>
        <v>0</v>
      </c>
      <c r="V768" s="274"/>
      <c r="W768" s="342"/>
      <c r="X768" s="343"/>
      <c r="Y768" s="365" t="s">
        <v>576</v>
      </c>
      <c r="Z768" s="344"/>
      <c r="AA768" s="240"/>
      <c r="AB768" s="345">
        <v>1</v>
      </c>
      <c r="AC768" s="271"/>
      <c r="AD768" s="272"/>
      <c r="AE768" s="273"/>
      <c r="AF768" s="273"/>
      <c r="AG768" s="274"/>
      <c r="AH768" s="275"/>
      <c r="AI768" s="272"/>
      <c r="AJ768" s="276"/>
      <c r="AK768" s="277"/>
      <c r="AL768" s="278"/>
      <c r="AM768" s="277"/>
      <c r="AN768" s="279" t="str">
        <f t="shared" si="59"/>
        <v/>
      </c>
      <c r="AO768" s="279"/>
      <c r="AP768" s="279" t="str">
        <f t="shared" si="60"/>
        <v/>
      </c>
      <c r="AQ768" s="279"/>
      <c r="AR768" s="305">
        <f>'预算书-初步'!$F$10</f>
        <v>0.09</v>
      </c>
      <c r="AT768" s="272"/>
      <c r="BC768" s="272" t="s">
        <v>521</v>
      </c>
      <c r="BD768" s="348">
        <v>1140</v>
      </c>
      <c r="BE768" s="347" t="s">
        <v>703</v>
      </c>
    </row>
    <row r="769" s="52" customFormat="1" ht="15.75" customHeight="1" spans="1:57">
      <c r="A769" s="227"/>
      <c r="B769" s="332"/>
      <c r="C769" s="228"/>
      <c r="D769" s="333"/>
      <c r="E769" s="334"/>
      <c r="F769" s="229"/>
      <c r="G769" s="333"/>
      <c r="H769" s="335"/>
      <c r="I769" s="229"/>
      <c r="J769" s="229"/>
      <c r="K769" s="336"/>
      <c r="L769" s="337"/>
      <c r="M769" s="337"/>
      <c r="N769" s="337"/>
      <c r="O769" s="337"/>
      <c r="P769" s="337"/>
      <c r="Q769" s="338">
        <v>8491</v>
      </c>
      <c r="R769" s="271">
        <f t="shared" si="52"/>
        <v>0</v>
      </c>
      <c r="S769" s="339">
        <f t="shared" si="56"/>
        <v>0</v>
      </c>
      <c r="T769" s="340"/>
      <c r="U769" s="341">
        <f>FA!L$153</f>
        <v>0</v>
      </c>
      <c r="V769" s="274"/>
      <c r="W769" s="342"/>
      <c r="X769" s="343"/>
      <c r="Y769" s="6" t="s">
        <v>577</v>
      </c>
      <c r="Z769" s="344"/>
      <c r="AA769" s="240"/>
      <c r="AB769" s="345">
        <v>1</v>
      </c>
      <c r="AC769" s="271"/>
      <c r="AD769" s="272"/>
      <c r="AE769" s="273"/>
      <c r="AF769" s="273"/>
      <c r="AG769" s="274"/>
      <c r="AH769" s="275"/>
      <c r="AI769" s="272"/>
      <c r="AJ769" s="276"/>
      <c r="AK769" s="277"/>
      <c r="AL769" s="278"/>
      <c r="AM769" s="277"/>
      <c r="AN769" s="279" t="str">
        <f t="shared" si="59"/>
        <v/>
      </c>
      <c r="AO769" s="279"/>
      <c r="AP769" s="279" t="str">
        <f t="shared" si="60"/>
        <v/>
      </c>
      <c r="AQ769" s="279"/>
      <c r="AR769" s="305">
        <f>'预算书-初步'!$F$10</f>
        <v>0.09</v>
      </c>
      <c r="AT769" s="272"/>
      <c r="BC769" s="272" t="s">
        <v>521</v>
      </c>
      <c r="BD769" s="348">
        <v>1150</v>
      </c>
      <c r="BE769" s="347" t="s">
        <v>703</v>
      </c>
    </row>
    <row r="770" s="52" customFormat="1" ht="15.75" customHeight="1" spans="1:57">
      <c r="A770" s="227"/>
      <c r="B770" s="332"/>
      <c r="C770" s="228"/>
      <c r="D770" s="333"/>
      <c r="E770" s="334"/>
      <c r="F770" s="229"/>
      <c r="G770" s="333"/>
      <c r="H770" s="335"/>
      <c r="I770" s="229"/>
      <c r="J770" s="229"/>
      <c r="K770" s="336"/>
      <c r="L770" s="337"/>
      <c r="M770" s="337"/>
      <c r="N770" s="337"/>
      <c r="O770" s="337"/>
      <c r="P770" s="337"/>
      <c r="Q770" s="338">
        <v>8492</v>
      </c>
      <c r="R770" s="271">
        <f t="shared" si="52"/>
        <v>0</v>
      </c>
      <c r="S770" s="339">
        <f t="shared" si="56"/>
        <v>0</v>
      </c>
      <c r="T770" s="340"/>
      <c r="U770" s="341">
        <f>FA!L$154</f>
        <v>0</v>
      </c>
      <c r="V770" s="274"/>
      <c r="W770" s="342"/>
      <c r="X770" s="343"/>
      <c r="Y770" s="365" t="s">
        <v>578</v>
      </c>
      <c r="Z770" s="344"/>
      <c r="AA770" s="240"/>
      <c r="AB770" s="345">
        <v>1</v>
      </c>
      <c r="AC770" s="271"/>
      <c r="AD770" s="272"/>
      <c r="AE770" s="273"/>
      <c r="AF770" s="273"/>
      <c r="AG770" s="274"/>
      <c r="AH770" s="275"/>
      <c r="AI770" s="272"/>
      <c r="AJ770" s="276"/>
      <c r="AK770" s="277"/>
      <c r="AL770" s="278"/>
      <c r="AM770" s="277"/>
      <c r="AN770" s="279" t="str">
        <f t="shared" si="59"/>
        <v/>
      </c>
      <c r="AO770" s="279"/>
      <c r="AP770" s="279" t="str">
        <f t="shared" si="60"/>
        <v/>
      </c>
      <c r="AQ770" s="279"/>
      <c r="AR770" s="305">
        <f>'预算书-初步'!$F$10</f>
        <v>0.09</v>
      </c>
      <c r="AT770" s="272"/>
      <c r="BC770" s="272" t="s">
        <v>521</v>
      </c>
      <c r="BD770" s="348">
        <v>1151</v>
      </c>
      <c r="BE770" s="347" t="s">
        <v>703</v>
      </c>
    </row>
    <row r="771" s="52" customFormat="1" ht="15.75" customHeight="1" spans="1:57">
      <c r="A771" s="227"/>
      <c r="B771" s="332"/>
      <c r="C771" s="228"/>
      <c r="D771" s="333"/>
      <c r="E771" s="334"/>
      <c r="F771" s="229"/>
      <c r="G771" s="333"/>
      <c r="H771" s="335"/>
      <c r="I771" s="229"/>
      <c r="J771" s="229"/>
      <c r="K771" s="336"/>
      <c r="L771" s="337"/>
      <c r="M771" s="337"/>
      <c r="N771" s="337"/>
      <c r="O771" s="337"/>
      <c r="P771" s="337"/>
      <c r="Q771" s="338">
        <v>8485</v>
      </c>
      <c r="R771" s="271">
        <f t="shared" si="52"/>
        <v>0</v>
      </c>
      <c r="S771" s="339">
        <f t="shared" si="56"/>
        <v>0</v>
      </c>
      <c r="T771" s="340"/>
      <c r="U771" s="341">
        <f>FA!L$157</f>
        <v>0</v>
      </c>
      <c r="V771" s="274"/>
      <c r="W771" s="342"/>
      <c r="X771" s="343"/>
      <c r="Y771" s="349" t="s">
        <v>579</v>
      </c>
      <c r="Z771" s="344"/>
      <c r="AA771" s="240"/>
      <c r="AB771" s="345">
        <v>1</v>
      </c>
      <c r="AC771" s="271"/>
      <c r="AD771" s="272"/>
      <c r="AE771" s="273"/>
      <c r="AF771" s="273"/>
      <c r="AG771" s="274"/>
      <c r="AH771" s="275"/>
      <c r="AI771" s="272"/>
      <c r="AJ771" s="276"/>
      <c r="AK771" s="277"/>
      <c r="AL771" s="278"/>
      <c r="AM771" s="277"/>
      <c r="AN771" s="279" t="str">
        <f t="shared" si="59"/>
        <v/>
      </c>
      <c r="AO771" s="279"/>
      <c r="AP771" s="279" t="str">
        <f t="shared" si="60"/>
        <v/>
      </c>
      <c r="AQ771" s="279"/>
      <c r="AR771" s="305">
        <f>'预算书-初步'!$F$10</f>
        <v>0.09</v>
      </c>
      <c r="AT771" s="272"/>
      <c r="BC771" s="272" t="s">
        <v>521</v>
      </c>
      <c r="BD771" s="348">
        <v>1154</v>
      </c>
      <c r="BE771" s="347" t="s">
        <v>703</v>
      </c>
    </row>
    <row r="772" s="52" customFormat="1" ht="15.75" customHeight="1" spans="1:57">
      <c r="A772" s="227"/>
      <c r="B772" s="332"/>
      <c r="C772" s="228"/>
      <c r="D772" s="333"/>
      <c r="E772" s="334"/>
      <c r="F772" s="229"/>
      <c r="G772" s="333"/>
      <c r="H772" s="335"/>
      <c r="I772" s="229"/>
      <c r="J772" s="229"/>
      <c r="K772" s="336"/>
      <c r="L772" s="337"/>
      <c r="M772" s="337"/>
      <c r="N772" s="337"/>
      <c r="O772" s="337"/>
      <c r="P772" s="337"/>
      <c r="Q772" s="338">
        <v>8496</v>
      </c>
      <c r="R772" s="271">
        <f t="shared" si="52"/>
        <v>0</v>
      </c>
      <c r="S772" s="339">
        <f t="shared" si="56"/>
        <v>0</v>
      </c>
      <c r="T772" s="340"/>
      <c r="U772" s="341">
        <f>FA!L$158</f>
        <v>0</v>
      </c>
      <c r="V772" s="274"/>
      <c r="W772" s="342"/>
      <c r="X772" s="343"/>
      <c r="Y772" s="6" t="s">
        <v>580</v>
      </c>
      <c r="Z772" s="344"/>
      <c r="AA772" s="240"/>
      <c r="AB772" s="345">
        <v>1</v>
      </c>
      <c r="AC772" s="271"/>
      <c r="AD772" s="272"/>
      <c r="AE772" s="273"/>
      <c r="AF772" s="273"/>
      <c r="AG772" s="274"/>
      <c r="AH772" s="275"/>
      <c r="AI772" s="272"/>
      <c r="AJ772" s="276"/>
      <c r="AK772" s="277"/>
      <c r="AL772" s="278"/>
      <c r="AM772" s="277"/>
      <c r="AN772" s="279" t="str">
        <f t="shared" si="59"/>
        <v/>
      </c>
      <c r="AO772" s="279"/>
      <c r="AP772" s="279" t="str">
        <f t="shared" si="60"/>
        <v/>
      </c>
      <c r="AQ772" s="279"/>
      <c r="AR772" s="305">
        <f>'预算书-初步'!$F$10</f>
        <v>0.09</v>
      </c>
      <c r="AT772" s="272"/>
      <c r="BC772" s="272" t="s">
        <v>521</v>
      </c>
      <c r="BD772" s="348">
        <v>1155</v>
      </c>
      <c r="BE772" s="347" t="s">
        <v>703</v>
      </c>
    </row>
    <row r="773" s="52" customFormat="1" ht="15.75" customHeight="1" spans="1:57">
      <c r="A773" s="227"/>
      <c r="B773" s="332"/>
      <c r="C773" s="228"/>
      <c r="D773" s="333"/>
      <c r="E773" s="334"/>
      <c r="F773" s="229"/>
      <c r="G773" s="333"/>
      <c r="H773" s="335"/>
      <c r="I773" s="229"/>
      <c r="J773" s="229"/>
      <c r="K773" s="336"/>
      <c r="L773" s="337"/>
      <c r="M773" s="337"/>
      <c r="N773" s="337"/>
      <c r="O773" s="337"/>
      <c r="P773" s="337"/>
      <c r="Q773" s="338">
        <v>8497</v>
      </c>
      <c r="R773" s="271">
        <f t="shared" si="52"/>
        <v>0</v>
      </c>
      <c r="S773" s="339">
        <f t="shared" si="56"/>
        <v>0</v>
      </c>
      <c r="T773" s="340"/>
      <c r="U773" s="341">
        <f>FA!L$159</f>
        <v>0</v>
      </c>
      <c r="V773" s="274"/>
      <c r="W773" s="342"/>
      <c r="X773" s="343"/>
      <c r="Y773" s="349" t="s">
        <v>581</v>
      </c>
      <c r="Z773" s="344"/>
      <c r="AA773" s="240"/>
      <c r="AB773" s="345">
        <v>1</v>
      </c>
      <c r="AC773" s="271"/>
      <c r="AD773" s="272"/>
      <c r="AE773" s="273"/>
      <c r="AF773" s="273"/>
      <c r="AG773" s="274"/>
      <c r="AH773" s="275"/>
      <c r="AI773" s="272"/>
      <c r="AJ773" s="276"/>
      <c r="AK773" s="277"/>
      <c r="AL773" s="278"/>
      <c r="AM773" s="277"/>
      <c r="AN773" s="279" t="str">
        <f t="shared" si="59"/>
        <v/>
      </c>
      <c r="AO773" s="279"/>
      <c r="AP773" s="279" t="str">
        <f t="shared" si="60"/>
        <v/>
      </c>
      <c r="AQ773" s="279"/>
      <c r="AR773" s="305">
        <f>'预算书-初步'!$F$10</f>
        <v>0.09</v>
      </c>
      <c r="AT773" s="272"/>
      <c r="BC773" s="272" t="s">
        <v>521</v>
      </c>
      <c r="BD773" s="348">
        <v>1156</v>
      </c>
      <c r="BE773" s="347" t="s">
        <v>703</v>
      </c>
    </row>
    <row r="774" s="52" customFormat="1" ht="15.75" customHeight="1" spans="1:57">
      <c r="A774" s="227"/>
      <c r="B774" s="332"/>
      <c r="C774" s="228"/>
      <c r="D774" s="333"/>
      <c r="E774" s="334"/>
      <c r="F774" s="229"/>
      <c r="G774" s="333"/>
      <c r="H774" s="335"/>
      <c r="I774" s="229"/>
      <c r="J774" s="229"/>
      <c r="K774" s="336"/>
      <c r="L774" s="337"/>
      <c r="M774" s="337"/>
      <c r="N774" s="337"/>
      <c r="O774" s="337"/>
      <c r="P774" s="337"/>
      <c r="Q774" s="338">
        <v>8900</v>
      </c>
      <c r="R774" s="271">
        <f t="shared" ref="R774:R837" si="61">ROUND(U774*(1+AR774),0)</f>
        <v>0</v>
      </c>
      <c r="S774" s="339">
        <f t="shared" si="56"/>
        <v>0</v>
      </c>
      <c r="T774" s="340"/>
      <c r="U774" s="341">
        <f>FA!L$161</f>
        <v>0</v>
      </c>
      <c r="V774" s="274"/>
      <c r="W774" s="342"/>
      <c r="X774" s="343"/>
      <c r="Y774" s="6" t="s">
        <v>582</v>
      </c>
      <c r="Z774" s="344"/>
      <c r="AA774" s="240"/>
      <c r="AB774" s="345">
        <v>1</v>
      </c>
      <c r="AC774" s="271"/>
      <c r="AD774" s="272"/>
      <c r="AE774" s="273"/>
      <c r="AF774" s="273"/>
      <c r="AG774" s="274"/>
      <c r="AH774" s="275"/>
      <c r="AI774" s="272"/>
      <c r="AJ774" s="276"/>
      <c r="AK774" s="277"/>
      <c r="AL774" s="278"/>
      <c r="AM774" s="277"/>
      <c r="AN774" s="279" t="str">
        <f t="shared" si="59"/>
        <v/>
      </c>
      <c r="AO774" s="279"/>
      <c r="AP774" s="279" t="str">
        <f t="shared" si="60"/>
        <v/>
      </c>
      <c r="AQ774" s="279"/>
      <c r="AR774" s="305">
        <f>'预算书-初步'!$F$10</f>
        <v>0.09</v>
      </c>
      <c r="AT774" s="272"/>
      <c r="BC774" s="272" t="s">
        <v>521</v>
      </c>
      <c r="BD774" s="348">
        <v>1158</v>
      </c>
      <c r="BE774" s="347" t="s">
        <v>703</v>
      </c>
    </row>
    <row r="775" s="52" customFormat="1" ht="15.75" customHeight="1" spans="1:57">
      <c r="A775" s="227"/>
      <c r="B775" s="332"/>
      <c r="C775" s="228"/>
      <c r="D775" s="333"/>
      <c r="E775" s="334"/>
      <c r="F775" s="229"/>
      <c r="G775" s="333"/>
      <c r="H775" s="335"/>
      <c r="I775" s="229"/>
      <c r="J775" s="229"/>
      <c r="K775" s="336"/>
      <c r="L775" s="337"/>
      <c r="M775" s="337"/>
      <c r="N775" s="337"/>
      <c r="O775" s="337"/>
      <c r="P775" s="337"/>
      <c r="Q775" s="338">
        <v>2991</v>
      </c>
      <c r="R775" s="271">
        <f t="shared" si="61"/>
        <v>0</v>
      </c>
      <c r="S775" s="339">
        <f t="shared" si="56"/>
        <v>0</v>
      </c>
      <c r="T775" s="340"/>
      <c r="U775" s="341">
        <f>FA!L$165</f>
        <v>0</v>
      </c>
      <c r="V775" s="274"/>
      <c r="W775" s="342"/>
      <c r="X775" s="343"/>
      <c r="Y775" s="6" t="s">
        <v>583</v>
      </c>
      <c r="Z775" s="344"/>
      <c r="AA775" s="240"/>
      <c r="AB775" s="345">
        <v>1</v>
      </c>
      <c r="AC775" s="271"/>
      <c r="AD775" s="272"/>
      <c r="AE775" s="273"/>
      <c r="AF775" s="273"/>
      <c r="AG775" s="274"/>
      <c r="AH775" s="275"/>
      <c r="AI775" s="272"/>
      <c r="AJ775" s="276"/>
      <c r="AK775" s="277"/>
      <c r="AL775" s="278"/>
      <c r="AM775" s="277"/>
      <c r="AN775" s="279" t="str">
        <f t="shared" si="59"/>
        <v/>
      </c>
      <c r="AO775" s="279"/>
      <c r="AP775" s="279" t="str">
        <f t="shared" si="60"/>
        <v/>
      </c>
      <c r="AQ775" s="279"/>
      <c r="AR775" s="305">
        <f>'预算书-初步'!$F$10</f>
        <v>0.09</v>
      </c>
      <c r="AT775" s="272"/>
      <c r="BC775" s="272" t="s">
        <v>521</v>
      </c>
      <c r="BD775" s="359">
        <v>1162</v>
      </c>
      <c r="BE775" s="347" t="s">
        <v>703</v>
      </c>
    </row>
    <row r="776" s="52" customFormat="1" ht="15.75" customHeight="1" spans="1:57">
      <c r="A776" s="227"/>
      <c r="B776" s="332"/>
      <c r="C776" s="228"/>
      <c r="D776" s="333"/>
      <c r="E776" s="334"/>
      <c r="F776" s="229"/>
      <c r="G776" s="333"/>
      <c r="H776" s="335"/>
      <c r="I776" s="229"/>
      <c r="J776" s="229"/>
      <c r="K776" s="336"/>
      <c r="L776" s="337"/>
      <c r="M776" s="337"/>
      <c r="N776" s="337"/>
      <c r="O776" s="337"/>
      <c r="P776" s="337"/>
      <c r="Q776" s="338">
        <v>4007</v>
      </c>
      <c r="R776" s="271">
        <f t="shared" si="61"/>
        <v>0</v>
      </c>
      <c r="S776" s="339">
        <f t="shared" si="56"/>
        <v>0</v>
      </c>
      <c r="T776" s="340"/>
      <c r="U776" s="341">
        <f>FA!L$174</f>
        <v>0</v>
      </c>
      <c r="V776" s="274"/>
      <c r="W776" s="342"/>
      <c r="X776" s="343"/>
      <c r="Y776" s="6" t="s">
        <v>584</v>
      </c>
      <c r="Z776" s="344"/>
      <c r="AA776" s="240"/>
      <c r="AB776" s="345">
        <v>1</v>
      </c>
      <c r="AC776" s="271"/>
      <c r="AD776" s="272"/>
      <c r="AE776" s="273"/>
      <c r="AF776" s="273"/>
      <c r="AG776" s="274"/>
      <c r="AH776" s="275"/>
      <c r="AI776" s="272"/>
      <c r="AJ776" s="276"/>
      <c r="AK776" s="277"/>
      <c r="AL776" s="278"/>
      <c r="AM776" s="277"/>
      <c r="AN776" s="279" t="str">
        <f t="shared" si="59"/>
        <v/>
      </c>
      <c r="AO776" s="279"/>
      <c r="AP776" s="279" t="str">
        <f t="shared" si="60"/>
        <v/>
      </c>
      <c r="AQ776" s="279"/>
      <c r="AR776" s="305">
        <f>'预算书-初步'!$F$10</f>
        <v>0.09</v>
      </c>
      <c r="AT776" s="272"/>
      <c r="BC776" s="272" t="s">
        <v>521</v>
      </c>
      <c r="BD776" s="348">
        <v>1171</v>
      </c>
      <c r="BE776" s="347" t="s">
        <v>703</v>
      </c>
    </row>
    <row r="777" s="52" customFormat="1" ht="15.75" customHeight="1" spans="1:57">
      <c r="A777" s="227"/>
      <c r="B777" s="332"/>
      <c r="C777" s="228"/>
      <c r="D777" s="333"/>
      <c r="E777" s="334"/>
      <c r="F777" s="229"/>
      <c r="G777" s="333"/>
      <c r="H777" s="335"/>
      <c r="I777" s="229"/>
      <c r="J777" s="229"/>
      <c r="K777" s="336"/>
      <c r="L777" s="337"/>
      <c r="M777" s="337"/>
      <c r="N777" s="337"/>
      <c r="O777" s="337"/>
      <c r="P777" s="337"/>
      <c r="Q777" s="338">
        <v>4081</v>
      </c>
      <c r="R777" s="271">
        <f t="shared" si="61"/>
        <v>0</v>
      </c>
      <c r="S777" s="339">
        <f t="shared" si="56"/>
        <v>0</v>
      </c>
      <c r="T777" s="340"/>
      <c r="U777" s="341">
        <f>FA!L$175</f>
        <v>0</v>
      </c>
      <c r="V777" s="274"/>
      <c r="W777" s="342"/>
      <c r="X777" s="343"/>
      <c r="Y777" s="349" t="s">
        <v>585</v>
      </c>
      <c r="Z777" s="344"/>
      <c r="AA777" s="240"/>
      <c r="AB777" s="345">
        <v>1</v>
      </c>
      <c r="AC777" s="271"/>
      <c r="AD777" s="272"/>
      <c r="AE777" s="273"/>
      <c r="AF777" s="273"/>
      <c r="AG777" s="274"/>
      <c r="AH777" s="275"/>
      <c r="AI777" s="272"/>
      <c r="AJ777" s="276"/>
      <c r="AK777" s="277"/>
      <c r="AL777" s="278"/>
      <c r="AM777" s="277"/>
      <c r="AN777" s="279" t="str">
        <f t="shared" si="59"/>
        <v/>
      </c>
      <c r="AO777" s="279"/>
      <c r="AP777" s="279" t="str">
        <f t="shared" si="60"/>
        <v/>
      </c>
      <c r="AQ777" s="279"/>
      <c r="AR777" s="305">
        <f>'预算书-初步'!$F$10</f>
        <v>0.09</v>
      </c>
      <c r="AT777" s="272"/>
      <c r="BC777" s="272" t="s">
        <v>521</v>
      </c>
      <c r="BD777" s="348">
        <v>1172</v>
      </c>
      <c r="BE777" s="347" t="s">
        <v>703</v>
      </c>
    </row>
    <row r="778" s="52" customFormat="1" ht="15.75" customHeight="1" spans="1:57">
      <c r="A778" s="227"/>
      <c r="B778" s="332"/>
      <c r="C778" s="228"/>
      <c r="D778" s="333"/>
      <c r="E778" s="334"/>
      <c r="F778" s="229"/>
      <c r="G778" s="333"/>
      <c r="H778" s="335"/>
      <c r="I778" s="229"/>
      <c r="J778" s="229"/>
      <c r="K778" s="336"/>
      <c r="L778" s="337"/>
      <c r="M778" s="337"/>
      <c r="N778" s="337"/>
      <c r="O778" s="337"/>
      <c r="P778" s="337"/>
      <c r="Q778" s="338">
        <v>4991</v>
      </c>
      <c r="R778" s="271">
        <f t="shared" si="61"/>
        <v>0</v>
      </c>
      <c r="S778" s="339">
        <f t="shared" si="56"/>
        <v>0</v>
      </c>
      <c r="T778" s="340"/>
      <c r="U778" s="341">
        <f>FA!L$176</f>
        <v>0</v>
      </c>
      <c r="V778" s="274"/>
      <c r="W778" s="342"/>
      <c r="X778" s="343"/>
      <c r="Y778" s="6" t="s">
        <v>586</v>
      </c>
      <c r="Z778" s="344"/>
      <c r="AA778" s="240"/>
      <c r="AB778" s="345">
        <v>1</v>
      </c>
      <c r="AC778" s="271"/>
      <c r="AD778" s="272"/>
      <c r="AE778" s="273"/>
      <c r="AF778" s="273"/>
      <c r="AG778" s="274"/>
      <c r="AH778" s="275"/>
      <c r="AI778" s="272"/>
      <c r="AJ778" s="276"/>
      <c r="AK778" s="277"/>
      <c r="AL778" s="278"/>
      <c r="AM778" s="277"/>
      <c r="AN778" s="279" t="str">
        <f t="shared" si="59"/>
        <v/>
      </c>
      <c r="AO778" s="279"/>
      <c r="AP778" s="279" t="str">
        <f t="shared" si="60"/>
        <v/>
      </c>
      <c r="AQ778" s="279"/>
      <c r="AR778" s="305">
        <f>'预算书-初步'!$F$10</f>
        <v>0.09</v>
      </c>
      <c r="AT778" s="272"/>
      <c r="BC778" s="272" t="s">
        <v>521</v>
      </c>
      <c r="BD778" s="348">
        <v>1173</v>
      </c>
      <c r="BE778" s="347" t="s">
        <v>703</v>
      </c>
    </row>
    <row r="779" s="52" customFormat="1" ht="15.75" customHeight="1" spans="1:57">
      <c r="A779" s="227"/>
      <c r="B779" s="332"/>
      <c r="C779" s="228"/>
      <c r="D779" s="333"/>
      <c r="E779" s="334"/>
      <c r="F779" s="229"/>
      <c r="G779" s="333"/>
      <c r="H779" s="335"/>
      <c r="I779" s="229"/>
      <c r="J779" s="229"/>
      <c r="K779" s="336"/>
      <c r="L779" s="337"/>
      <c r="M779" s="337"/>
      <c r="N779" s="337"/>
      <c r="O779" s="337"/>
      <c r="P779" s="337"/>
      <c r="Q779" s="372">
        <v>1120</v>
      </c>
      <c r="R779" s="271">
        <f t="shared" si="61"/>
        <v>0</v>
      </c>
      <c r="S779" s="339">
        <f t="shared" si="56"/>
        <v>0</v>
      </c>
      <c r="T779" s="373"/>
      <c r="U779" s="373">
        <f>FA!L$32</f>
        <v>0</v>
      </c>
      <c r="V779" s="274"/>
      <c r="W779" s="374"/>
      <c r="X779" s="375"/>
      <c r="Y779" s="30" t="s">
        <v>588</v>
      </c>
      <c r="Z779" s="376"/>
      <c r="AA779" s="240"/>
      <c r="AB779" s="345">
        <v>1</v>
      </c>
      <c r="AC779" s="271"/>
      <c r="AD779" s="272"/>
      <c r="AE779" s="273"/>
      <c r="AF779" s="273"/>
      <c r="AG779" s="274"/>
      <c r="AH779" s="275"/>
      <c r="AI779" s="272"/>
      <c r="AJ779" s="276"/>
      <c r="AK779" s="277"/>
      <c r="AL779" s="278"/>
      <c r="AM779" s="277"/>
      <c r="AN779" s="279" t="str">
        <f t="shared" ref="AN779:AN804" si="62">IF(AK779&lt;&gt;0,"N","")</f>
        <v/>
      </c>
      <c r="AO779" s="279"/>
      <c r="AP779" s="279" t="str">
        <f t="shared" si="60"/>
        <v/>
      </c>
      <c r="AQ779" s="279"/>
      <c r="AR779" s="305">
        <f>'预算书-初步'!$F$10</f>
        <v>0.09</v>
      </c>
      <c r="AT779" s="272"/>
      <c r="BC779" s="272" t="s">
        <v>521</v>
      </c>
      <c r="BD779" s="346">
        <v>1021</v>
      </c>
      <c r="BE779" s="347" t="s">
        <v>703</v>
      </c>
    </row>
    <row r="780" s="52" customFormat="1" ht="15.75" customHeight="1" spans="1:57">
      <c r="A780" s="227"/>
      <c r="B780" s="332"/>
      <c r="C780" s="228"/>
      <c r="D780" s="333"/>
      <c r="E780" s="334"/>
      <c r="F780" s="229"/>
      <c r="G780" s="333"/>
      <c r="H780" s="335"/>
      <c r="I780" s="229"/>
      <c r="J780" s="229"/>
      <c r="K780" s="336"/>
      <c r="L780" s="337"/>
      <c r="M780" s="337"/>
      <c r="N780" s="337"/>
      <c r="O780" s="337"/>
      <c r="P780" s="337"/>
      <c r="Q780" s="372">
        <v>1130</v>
      </c>
      <c r="R780" s="271">
        <f t="shared" si="61"/>
        <v>0</v>
      </c>
      <c r="S780" s="339">
        <f t="shared" si="56"/>
        <v>0</v>
      </c>
      <c r="T780" s="373"/>
      <c r="U780" s="373">
        <f>FA!L$33</f>
        <v>0</v>
      </c>
      <c r="V780" s="274"/>
      <c r="W780" s="374"/>
      <c r="X780" s="375"/>
      <c r="Y780" s="30" t="s">
        <v>589</v>
      </c>
      <c r="Z780" s="376"/>
      <c r="AA780" s="240"/>
      <c r="AB780" s="345">
        <v>1</v>
      </c>
      <c r="AC780" s="271"/>
      <c r="AD780" s="272"/>
      <c r="AE780" s="273"/>
      <c r="AF780" s="273"/>
      <c r="AG780" s="274"/>
      <c r="AH780" s="275"/>
      <c r="AI780" s="272"/>
      <c r="AJ780" s="276"/>
      <c r="AK780" s="277"/>
      <c r="AL780" s="278"/>
      <c r="AM780" s="277"/>
      <c r="AN780" s="279" t="str">
        <f t="shared" si="62"/>
        <v/>
      </c>
      <c r="AO780" s="279"/>
      <c r="AP780" s="279" t="str">
        <f t="shared" si="60"/>
        <v/>
      </c>
      <c r="AQ780" s="279"/>
      <c r="AR780" s="305">
        <f>'预算书-初步'!$F$10</f>
        <v>0.09</v>
      </c>
      <c r="AT780" s="272"/>
      <c r="BC780" s="272" t="s">
        <v>521</v>
      </c>
      <c r="BD780" s="346">
        <v>1022</v>
      </c>
      <c r="BE780" s="347" t="s">
        <v>703</v>
      </c>
    </row>
    <row r="781" s="52" customFormat="1" ht="15.75" customHeight="1" spans="1:57">
      <c r="A781" s="227"/>
      <c r="B781" s="332"/>
      <c r="C781" s="228"/>
      <c r="D781" s="333"/>
      <c r="E781" s="334"/>
      <c r="F781" s="229"/>
      <c r="G781" s="333"/>
      <c r="H781" s="335"/>
      <c r="I781" s="229"/>
      <c r="J781" s="229"/>
      <c r="K781" s="336"/>
      <c r="L781" s="337"/>
      <c r="M781" s="337"/>
      <c r="N781" s="337"/>
      <c r="O781" s="337"/>
      <c r="P781" s="337"/>
      <c r="Q781" s="372">
        <v>1210</v>
      </c>
      <c r="R781" s="271">
        <f t="shared" si="61"/>
        <v>0</v>
      </c>
      <c r="S781" s="339">
        <f t="shared" si="56"/>
        <v>0</v>
      </c>
      <c r="T781" s="373"/>
      <c r="U781" s="373">
        <f>FA!L$35</f>
        <v>0</v>
      </c>
      <c r="V781" s="274"/>
      <c r="W781" s="374"/>
      <c r="X781" s="375"/>
      <c r="Y781" s="30" t="s">
        <v>590</v>
      </c>
      <c r="Z781" s="376"/>
      <c r="AA781" s="240"/>
      <c r="AB781" s="345">
        <v>1</v>
      </c>
      <c r="AC781" s="271"/>
      <c r="AD781" s="272"/>
      <c r="AE781" s="273"/>
      <c r="AF781" s="273"/>
      <c r="AG781" s="274"/>
      <c r="AH781" s="275"/>
      <c r="AI781" s="272"/>
      <c r="AJ781" s="276"/>
      <c r="AK781" s="277"/>
      <c r="AL781" s="278"/>
      <c r="AM781" s="277"/>
      <c r="AN781" s="279" t="str">
        <f t="shared" si="62"/>
        <v/>
      </c>
      <c r="AO781" s="279"/>
      <c r="AP781" s="279" t="str">
        <f t="shared" si="60"/>
        <v/>
      </c>
      <c r="AQ781" s="279"/>
      <c r="AR781" s="305">
        <f>'预算书-初步'!$F$10</f>
        <v>0.09</v>
      </c>
      <c r="AT781" s="272"/>
      <c r="BC781" s="272" t="s">
        <v>521</v>
      </c>
      <c r="BD781" s="346">
        <v>1024</v>
      </c>
      <c r="BE781" s="347" t="s">
        <v>703</v>
      </c>
    </row>
    <row r="782" s="52" customFormat="1" ht="15.75" customHeight="1" spans="1:57">
      <c r="A782" s="227"/>
      <c r="B782" s="332"/>
      <c r="C782" s="228"/>
      <c r="D782" s="333"/>
      <c r="E782" s="334"/>
      <c r="F782" s="229"/>
      <c r="G782" s="333"/>
      <c r="H782" s="335"/>
      <c r="I782" s="229"/>
      <c r="J782" s="229"/>
      <c r="K782" s="336"/>
      <c r="L782" s="337"/>
      <c r="M782" s="337"/>
      <c r="N782" s="337"/>
      <c r="O782" s="337"/>
      <c r="P782" s="337"/>
      <c r="Q782" s="372">
        <v>1311</v>
      </c>
      <c r="R782" s="271">
        <f t="shared" si="61"/>
        <v>0</v>
      </c>
      <c r="S782" s="339">
        <f t="shared" si="56"/>
        <v>0</v>
      </c>
      <c r="T782" s="373"/>
      <c r="U782" s="373">
        <f>FA!L$39</f>
        <v>0</v>
      </c>
      <c r="V782" s="274"/>
      <c r="W782" s="374"/>
      <c r="X782" s="375"/>
      <c r="Y782" s="30" t="s">
        <v>591</v>
      </c>
      <c r="Z782" s="376"/>
      <c r="AA782" s="240"/>
      <c r="AB782" s="345">
        <v>1</v>
      </c>
      <c r="AC782" s="271"/>
      <c r="AD782" s="272"/>
      <c r="AE782" s="273"/>
      <c r="AF782" s="273"/>
      <c r="AG782" s="274"/>
      <c r="AH782" s="275"/>
      <c r="AI782" s="272"/>
      <c r="AJ782" s="276"/>
      <c r="AK782" s="277"/>
      <c r="AL782" s="278"/>
      <c r="AM782" s="277"/>
      <c r="AN782" s="279" t="str">
        <f t="shared" si="62"/>
        <v/>
      </c>
      <c r="AO782" s="279"/>
      <c r="AP782" s="279" t="str">
        <f t="shared" si="60"/>
        <v/>
      </c>
      <c r="AQ782" s="279"/>
      <c r="AR782" s="305">
        <f>'预算书-初步'!$F$10</f>
        <v>0.09</v>
      </c>
      <c r="AT782" s="272"/>
      <c r="BC782" s="272" t="s">
        <v>521</v>
      </c>
      <c r="BD782" s="346">
        <v>1028</v>
      </c>
      <c r="BE782" s="347" t="s">
        <v>703</v>
      </c>
    </row>
    <row r="783" s="52" customFormat="1" ht="15.75" customHeight="1" spans="1:57">
      <c r="A783" s="227"/>
      <c r="B783" s="332"/>
      <c r="C783" s="228"/>
      <c r="D783" s="333"/>
      <c r="E783" s="334"/>
      <c r="F783" s="229"/>
      <c r="G783" s="333"/>
      <c r="H783" s="335"/>
      <c r="I783" s="229"/>
      <c r="J783" s="229"/>
      <c r="K783" s="336"/>
      <c r="L783" s="337"/>
      <c r="M783" s="337"/>
      <c r="N783" s="337"/>
      <c r="O783" s="337"/>
      <c r="P783" s="337"/>
      <c r="Q783" s="372">
        <v>1312</v>
      </c>
      <c r="R783" s="271">
        <f t="shared" si="61"/>
        <v>0</v>
      </c>
      <c r="S783" s="339">
        <f t="shared" si="56"/>
        <v>0</v>
      </c>
      <c r="T783" s="373"/>
      <c r="U783" s="373">
        <f>FA!L$40</f>
        <v>0</v>
      </c>
      <c r="V783" s="274"/>
      <c r="W783" s="374"/>
      <c r="X783" s="375"/>
      <c r="Y783" s="30" t="s">
        <v>592</v>
      </c>
      <c r="Z783" s="376"/>
      <c r="AA783" s="240"/>
      <c r="AB783" s="345">
        <v>1</v>
      </c>
      <c r="AC783" s="271"/>
      <c r="AD783" s="272"/>
      <c r="AE783" s="273"/>
      <c r="AF783" s="273"/>
      <c r="AG783" s="274"/>
      <c r="AH783" s="275"/>
      <c r="AI783" s="272"/>
      <c r="AJ783" s="276"/>
      <c r="AK783" s="277"/>
      <c r="AL783" s="278"/>
      <c r="AM783" s="277"/>
      <c r="AN783" s="279" t="str">
        <f t="shared" si="62"/>
        <v/>
      </c>
      <c r="AO783" s="279"/>
      <c r="AP783" s="279" t="str">
        <f t="shared" si="60"/>
        <v/>
      </c>
      <c r="AQ783" s="279"/>
      <c r="AR783" s="305">
        <f>'预算书-初步'!$F$10</f>
        <v>0.09</v>
      </c>
      <c r="AT783" s="272"/>
      <c r="BC783" s="272" t="s">
        <v>521</v>
      </c>
      <c r="BD783" s="346">
        <v>1029</v>
      </c>
      <c r="BE783" s="347" t="s">
        <v>703</v>
      </c>
    </row>
    <row r="784" s="52" customFormat="1" ht="15.75" customHeight="1" spans="1:57">
      <c r="A784" s="227"/>
      <c r="B784" s="332"/>
      <c r="C784" s="228"/>
      <c r="D784" s="333"/>
      <c r="E784" s="334"/>
      <c r="F784" s="229"/>
      <c r="G784" s="333"/>
      <c r="H784" s="335"/>
      <c r="I784" s="229"/>
      <c r="J784" s="229"/>
      <c r="K784" s="336"/>
      <c r="L784" s="337"/>
      <c r="M784" s="337"/>
      <c r="N784" s="337"/>
      <c r="O784" s="337"/>
      <c r="P784" s="337"/>
      <c r="Q784" s="372">
        <v>1313</v>
      </c>
      <c r="R784" s="271">
        <f t="shared" si="61"/>
        <v>0</v>
      </c>
      <c r="S784" s="339">
        <f t="shared" ref="S784:S872" si="63">$S$5</f>
        <v>0</v>
      </c>
      <c r="T784" s="373"/>
      <c r="U784" s="373">
        <f>FA!L$41</f>
        <v>0</v>
      </c>
      <c r="V784" s="274"/>
      <c r="W784" s="374"/>
      <c r="X784" s="375"/>
      <c r="Y784" s="30" t="s">
        <v>593</v>
      </c>
      <c r="Z784" s="376"/>
      <c r="AA784" s="240"/>
      <c r="AB784" s="345">
        <v>1</v>
      </c>
      <c r="AC784" s="271"/>
      <c r="AD784" s="272"/>
      <c r="AE784" s="273"/>
      <c r="AF784" s="273"/>
      <c r="AG784" s="274"/>
      <c r="AH784" s="275"/>
      <c r="AI784" s="272"/>
      <c r="AJ784" s="276"/>
      <c r="AK784" s="277"/>
      <c r="AL784" s="278"/>
      <c r="AM784" s="277"/>
      <c r="AN784" s="279" t="str">
        <f t="shared" si="62"/>
        <v/>
      </c>
      <c r="AO784" s="279"/>
      <c r="AP784" s="279" t="str">
        <f t="shared" si="60"/>
        <v/>
      </c>
      <c r="AQ784" s="279"/>
      <c r="AR784" s="305">
        <f>'预算书-初步'!$F$10</f>
        <v>0.09</v>
      </c>
      <c r="AT784" s="272"/>
      <c r="BC784" s="272" t="s">
        <v>521</v>
      </c>
      <c r="BD784" s="346">
        <v>1030</v>
      </c>
      <c r="BE784" s="347" t="s">
        <v>703</v>
      </c>
    </row>
    <row r="785" s="52" customFormat="1" ht="15.75" customHeight="1" spans="1:57">
      <c r="A785" s="227"/>
      <c r="B785" s="332"/>
      <c r="C785" s="228"/>
      <c r="D785" s="333"/>
      <c r="E785" s="334"/>
      <c r="F785" s="229"/>
      <c r="G785" s="333"/>
      <c r="H785" s="335"/>
      <c r="I785" s="229"/>
      <c r="J785" s="229"/>
      <c r="K785" s="336"/>
      <c r="L785" s="337"/>
      <c r="M785" s="337"/>
      <c r="N785" s="337"/>
      <c r="O785" s="337"/>
      <c r="P785" s="337"/>
      <c r="Q785" s="372">
        <v>1330</v>
      </c>
      <c r="R785" s="271">
        <f t="shared" si="61"/>
        <v>0</v>
      </c>
      <c r="S785" s="339">
        <f t="shared" si="63"/>
        <v>0</v>
      </c>
      <c r="T785" s="373"/>
      <c r="U785" s="373">
        <f>FA!L$44</f>
        <v>0</v>
      </c>
      <c r="V785" s="274"/>
      <c r="W785" s="374"/>
      <c r="X785" s="375"/>
      <c r="Y785" s="30" t="s">
        <v>594</v>
      </c>
      <c r="Z785" s="376"/>
      <c r="AA785" s="240"/>
      <c r="AB785" s="345">
        <v>1</v>
      </c>
      <c r="AC785" s="271"/>
      <c r="AD785" s="272"/>
      <c r="AE785" s="273"/>
      <c r="AF785" s="273"/>
      <c r="AG785" s="274"/>
      <c r="AH785" s="275"/>
      <c r="AI785" s="272"/>
      <c r="AJ785" s="276"/>
      <c r="AK785" s="277"/>
      <c r="AL785" s="278"/>
      <c r="AM785" s="277"/>
      <c r="AN785" s="279" t="str">
        <f t="shared" si="62"/>
        <v/>
      </c>
      <c r="AO785" s="279"/>
      <c r="AP785" s="279" t="str">
        <f t="shared" si="60"/>
        <v/>
      </c>
      <c r="AQ785" s="279"/>
      <c r="AR785" s="305">
        <f>'预算书-初步'!$F$10</f>
        <v>0.09</v>
      </c>
      <c r="AT785" s="272"/>
      <c r="BC785" s="272" t="s">
        <v>521</v>
      </c>
      <c r="BD785" s="346">
        <v>1033</v>
      </c>
      <c r="BE785" s="347" t="s">
        <v>703</v>
      </c>
    </row>
    <row r="786" s="52" customFormat="1" ht="15.75" customHeight="1" spans="1:57">
      <c r="A786" s="227"/>
      <c r="B786" s="332"/>
      <c r="C786" s="228"/>
      <c r="D786" s="333"/>
      <c r="E786" s="334"/>
      <c r="F786" s="229"/>
      <c r="G786" s="333"/>
      <c r="H786" s="335"/>
      <c r="I786" s="229"/>
      <c r="J786" s="229"/>
      <c r="K786" s="336"/>
      <c r="L786" s="337"/>
      <c r="M786" s="337"/>
      <c r="N786" s="337"/>
      <c r="O786" s="337"/>
      <c r="P786" s="337"/>
      <c r="Q786" s="372">
        <v>1340</v>
      </c>
      <c r="R786" s="271">
        <f t="shared" si="61"/>
        <v>0</v>
      </c>
      <c r="S786" s="339">
        <f t="shared" si="63"/>
        <v>0</v>
      </c>
      <c r="T786" s="373"/>
      <c r="U786" s="373">
        <f>FA!L$45</f>
        <v>0</v>
      </c>
      <c r="V786" s="274"/>
      <c r="W786" s="374"/>
      <c r="X786" s="375"/>
      <c r="Y786" s="30" t="s">
        <v>595</v>
      </c>
      <c r="Z786" s="376"/>
      <c r="AA786" s="240"/>
      <c r="AB786" s="345">
        <v>1</v>
      </c>
      <c r="AC786" s="271"/>
      <c r="AD786" s="272"/>
      <c r="AE786" s="273"/>
      <c r="AF786" s="273"/>
      <c r="AG786" s="274"/>
      <c r="AH786" s="275"/>
      <c r="AI786" s="272"/>
      <c r="AJ786" s="276"/>
      <c r="AK786" s="277"/>
      <c r="AL786" s="278"/>
      <c r="AM786" s="277"/>
      <c r="AN786" s="279" t="str">
        <f t="shared" si="62"/>
        <v/>
      </c>
      <c r="AO786" s="279"/>
      <c r="AP786" s="279" t="str">
        <f t="shared" si="60"/>
        <v/>
      </c>
      <c r="AQ786" s="279"/>
      <c r="AR786" s="305">
        <f>'预算书-初步'!$F$10</f>
        <v>0.09</v>
      </c>
      <c r="AT786" s="272"/>
      <c r="BC786" s="272" t="s">
        <v>521</v>
      </c>
      <c r="BD786" s="346">
        <v>1034</v>
      </c>
      <c r="BE786" s="347" t="s">
        <v>703</v>
      </c>
    </row>
    <row r="787" s="52" customFormat="1" ht="15.75" customHeight="1" spans="1:57">
      <c r="A787" s="227"/>
      <c r="B787" s="332"/>
      <c r="C787" s="228"/>
      <c r="D787" s="333"/>
      <c r="E787" s="334"/>
      <c r="F787" s="229"/>
      <c r="G787" s="333"/>
      <c r="H787" s="335"/>
      <c r="I787" s="229"/>
      <c r="J787" s="229"/>
      <c r="K787" s="336"/>
      <c r="L787" s="337"/>
      <c r="M787" s="337"/>
      <c r="N787" s="337"/>
      <c r="O787" s="337"/>
      <c r="P787" s="337"/>
      <c r="Q787" s="372">
        <v>1430</v>
      </c>
      <c r="R787" s="271">
        <f t="shared" si="61"/>
        <v>0</v>
      </c>
      <c r="S787" s="339">
        <f t="shared" si="63"/>
        <v>0</v>
      </c>
      <c r="T787" s="373"/>
      <c r="U787" s="373">
        <f>FA!L$51</f>
        <v>0</v>
      </c>
      <c r="V787" s="274"/>
      <c r="W787" s="374"/>
      <c r="X787" s="375"/>
      <c r="Y787" s="30" t="s">
        <v>596</v>
      </c>
      <c r="Z787" s="376"/>
      <c r="AA787" s="240"/>
      <c r="AB787" s="345">
        <v>1</v>
      </c>
      <c r="AC787" s="271"/>
      <c r="AD787" s="272"/>
      <c r="AE787" s="273"/>
      <c r="AF787" s="273"/>
      <c r="AG787" s="274"/>
      <c r="AH787" s="275"/>
      <c r="AI787" s="272"/>
      <c r="AJ787" s="276"/>
      <c r="AK787" s="277"/>
      <c r="AL787" s="278"/>
      <c r="AM787" s="277"/>
      <c r="AN787" s="279" t="str">
        <f t="shared" si="62"/>
        <v/>
      </c>
      <c r="AO787" s="279"/>
      <c r="AP787" s="279" t="str">
        <f t="shared" si="60"/>
        <v/>
      </c>
      <c r="AQ787" s="279"/>
      <c r="AR787" s="305">
        <f>'预算书-初步'!$F$10</f>
        <v>0.09</v>
      </c>
      <c r="AT787" s="272"/>
      <c r="BC787" s="272" t="s">
        <v>521</v>
      </c>
      <c r="BD787" s="346">
        <v>1040</v>
      </c>
      <c r="BE787" s="347" t="s">
        <v>703</v>
      </c>
    </row>
    <row r="788" s="52" customFormat="1" ht="15.75" customHeight="1" spans="1:57">
      <c r="A788" s="227"/>
      <c r="B788" s="332"/>
      <c r="C788" s="228"/>
      <c r="D788" s="333"/>
      <c r="E788" s="334"/>
      <c r="F788" s="229"/>
      <c r="G788" s="333"/>
      <c r="H788" s="335"/>
      <c r="I788" s="229"/>
      <c r="J788" s="229"/>
      <c r="K788" s="336"/>
      <c r="L788" s="337"/>
      <c r="M788" s="337"/>
      <c r="N788" s="337"/>
      <c r="O788" s="337"/>
      <c r="P788" s="337"/>
      <c r="Q788" s="372">
        <v>1624</v>
      </c>
      <c r="R788" s="271">
        <f t="shared" si="61"/>
        <v>0</v>
      </c>
      <c r="S788" s="339">
        <f t="shared" si="63"/>
        <v>0</v>
      </c>
      <c r="T788" s="373"/>
      <c r="U788" s="373">
        <f>FA!L$87</f>
        <v>0</v>
      </c>
      <c r="V788" s="274"/>
      <c r="W788" s="374"/>
      <c r="X788" s="375"/>
      <c r="Y788" s="30" t="s">
        <v>597</v>
      </c>
      <c r="Z788" s="376"/>
      <c r="AA788" s="240"/>
      <c r="AB788" s="345">
        <v>1</v>
      </c>
      <c r="AC788" s="271"/>
      <c r="AD788" s="272"/>
      <c r="AE788" s="273"/>
      <c r="AF788" s="273"/>
      <c r="AG788" s="274"/>
      <c r="AH788" s="275"/>
      <c r="AI788" s="272"/>
      <c r="AJ788" s="276"/>
      <c r="AK788" s="277"/>
      <c r="AL788" s="278"/>
      <c r="AM788" s="277"/>
      <c r="AN788" s="279" t="str">
        <f t="shared" si="62"/>
        <v/>
      </c>
      <c r="AO788" s="279"/>
      <c r="AP788" s="279" t="str">
        <f t="shared" si="60"/>
        <v/>
      </c>
      <c r="AQ788" s="279"/>
      <c r="AR788" s="305">
        <f>'预算书-初步'!$F$10</f>
        <v>0.09</v>
      </c>
      <c r="AT788" s="272"/>
      <c r="BC788" s="272" t="s">
        <v>521</v>
      </c>
      <c r="BD788" s="346">
        <v>1076</v>
      </c>
      <c r="BE788" s="347" t="s">
        <v>703</v>
      </c>
    </row>
    <row r="789" s="52" customFormat="1" ht="15.75" customHeight="1" spans="1:57">
      <c r="A789" s="227"/>
      <c r="B789" s="332"/>
      <c r="C789" s="228"/>
      <c r="D789" s="333"/>
      <c r="E789" s="334"/>
      <c r="F789" s="229"/>
      <c r="G789" s="333"/>
      <c r="H789" s="335"/>
      <c r="I789" s="229"/>
      <c r="J789" s="229"/>
      <c r="K789" s="336"/>
      <c r="L789" s="337"/>
      <c r="M789" s="337"/>
      <c r="N789" s="337"/>
      <c r="O789" s="337"/>
      <c r="P789" s="337"/>
      <c r="Q789" s="377">
        <v>2960</v>
      </c>
      <c r="R789" s="271">
        <f t="shared" si="61"/>
        <v>0</v>
      </c>
      <c r="S789" s="339">
        <f t="shared" si="63"/>
        <v>0</v>
      </c>
      <c r="T789" s="373"/>
      <c r="U789" s="373">
        <f>FA!L$164</f>
        <v>0</v>
      </c>
      <c r="V789" s="274"/>
      <c r="W789" s="374"/>
      <c r="X789" s="375"/>
      <c r="Y789" s="36" t="s">
        <v>598</v>
      </c>
      <c r="Z789" s="376"/>
      <c r="AA789" s="240"/>
      <c r="AB789" s="345">
        <v>1</v>
      </c>
      <c r="AC789" s="271"/>
      <c r="AD789" s="272"/>
      <c r="AE789" s="273"/>
      <c r="AF789" s="273"/>
      <c r="AG789" s="274"/>
      <c r="AH789" s="275"/>
      <c r="AI789" s="272"/>
      <c r="AJ789" s="276"/>
      <c r="AK789" s="277"/>
      <c r="AL789" s="278"/>
      <c r="AM789" s="277"/>
      <c r="AN789" s="279" t="str">
        <f t="shared" si="62"/>
        <v/>
      </c>
      <c r="AO789" s="279"/>
      <c r="AP789" s="279" t="str">
        <f t="shared" si="60"/>
        <v/>
      </c>
      <c r="AQ789" s="279"/>
      <c r="AR789" s="305">
        <f>'预算书-初步'!$F$10</f>
        <v>0.09</v>
      </c>
      <c r="AT789" s="272"/>
      <c r="BC789" s="272" t="s">
        <v>521</v>
      </c>
      <c r="BD789" s="346">
        <v>1161</v>
      </c>
      <c r="BE789" s="347" t="s">
        <v>703</v>
      </c>
    </row>
    <row r="790" s="52" customFormat="1" ht="15.75" customHeight="1" spans="1:57">
      <c r="A790" s="227"/>
      <c r="B790" s="332"/>
      <c r="C790" s="228"/>
      <c r="D790" s="333"/>
      <c r="E790" s="334"/>
      <c r="F790" s="229"/>
      <c r="G790" s="333"/>
      <c r="H790" s="335"/>
      <c r="I790" s="229"/>
      <c r="J790" s="229"/>
      <c r="K790" s="336"/>
      <c r="L790" s="337"/>
      <c r="M790" s="337"/>
      <c r="N790" s="337"/>
      <c r="O790" s="337"/>
      <c r="P790" s="337"/>
      <c r="Q790" s="372">
        <v>3718</v>
      </c>
      <c r="R790" s="271">
        <f t="shared" si="61"/>
        <v>0</v>
      </c>
      <c r="S790" s="339">
        <f t="shared" si="63"/>
        <v>0</v>
      </c>
      <c r="T790" s="373"/>
      <c r="U790" s="373">
        <f>FA!L$94</f>
        <v>0</v>
      </c>
      <c r="V790" s="274"/>
      <c r="W790" s="374"/>
      <c r="X790" s="375"/>
      <c r="Y790" s="36" t="s">
        <v>599</v>
      </c>
      <c r="Z790" s="376"/>
      <c r="AA790" s="240"/>
      <c r="AB790" s="345">
        <v>1</v>
      </c>
      <c r="AC790" s="271"/>
      <c r="AD790" s="272"/>
      <c r="AE790" s="273"/>
      <c r="AF790" s="273"/>
      <c r="AG790" s="274"/>
      <c r="AH790" s="275"/>
      <c r="AI790" s="272"/>
      <c r="AJ790" s="276"/>
      <c r="AK790" s="277"/>
      <c r="AL790" s="278"/>
      <c r="AM790" s="277"/>
      <c r="AN790" s="279" t="str">
        <f t="shared" si="62"/>
        <v/>
      </c>
      <c r="AO790" s="279"/>
      <c r="AP790" s="279" t="str">
        <f t="shared" si="60"/>
        <v/>
      </c>
      <c r="AQ790" s="279"/>
      <c r="AR790" s="305">
        <f>'预算书-初步'!$F$10</f>
        <v>0.09</v>
      </c>
      <c r="AT790" s="272"/>
      <c r="BC790" s="272" t="s">
        <v>521</v>
      </c>
      <c r="BD790" s="346">
        <v>1083</v>
      </c>
      <c r="BE790" s="347" t="s">
        <v>703</v>
      </c>
    </row>
    <row r="791" s="52" customFormat="1" ht="15.75" customHeight="1" spans="1:57">
      <c r="A791" s="227"/>
      <c r="B791" s="332"/>
      <c r="C791" s="228"/>
      <c r="D791" s="333"/>
      <c r="E791" s="334"/>
      <c r="F791" s="229"/>
      <c r="G791" s="333"/>
      <c r="H791" s="335"/>
      <c r="I791" s="229"/>
      <c r="J791" s="229"/>
      <c r="K791" s="336"/>
      <c r="L791" s="337"/>
      <c r="M791" s="337"/>
      <c r="N791" s="337"/>
      <c r="O791" s="337"/>
      <c r="P791" s="337"/>
      <c r="Q791" s="372">
        <v>4001</v>
      </c>
      <c r="R791" s="271">
        <f t="shared" si="61"/>
        <v>0</v>
      </c>
      <c r="S791" s="339">
        <f t="shared" si="63"/>
        <v>0</v>
      </c>
      <c r="T791" s="373"/>
      <c r="U791" s="373">
        <f>FA!L$168</f>
        <v>0</v>
      </c>
      <c r="V791" s="274"/>
      <c r="W791" s="374"/>
      <c r="X791" s="375"/>
      <c r="Y791" s="36" t="s">
        <v>600</v>
      </c>
      <c r="Z791" s="376"/>
      <c r="AA791" s="240"/>
      <c r="AB791" s="345">
        <v>1</v>
      </c>
      <c r="AC791" s="271"/>
      <c r="AD791" s="272"/>
      <c r="AE791" s="273"/>
      <c r="AF791" s="273"/>
      <c r="AG791" s="274"/>
      <c r="AH791" s="275"/>
      <c r="AI791" s="272"/>
      <c r="AJ791" s="276"/>
      <c r="AK791" s="277"/>
      <c r="AL791" s="278"/>
      <c r="AM791" s="277"/>
      <c r="AN791" s="279" t="str">
        <f t="shared" si="62"/>
        <v/>
      </c>
      <c r="AO791" s="279"/>
      <c r="AP791" s="279" t="str">
        <f t="shared" si="60"/>
        <v/>
      </c>
      <c r="AQ791" s="279"/>
      <c r="AR791" s="305">
        <f>'预算书-初步'!$F$10</f>
        <v>0.09</v>
      </c>
      <c r="AT791" s="272"/>
      <c r="BC791" s="272" t="s">
        <v>521</v>
      </c>
      <c r="BD791" s="346">
        <v>1165</v>
      </c>
      <c r="BE791" s="347" t="s">
        <v>703</v>
      </c>
    </row>
    <row r="792" s="52" customFormat="1" ht="15.75" customHeight="1" spans="1:57">
      <c r="A792" s="227"/>
      <c r="B792" s="332"/>
      <c r="C792" s="228"/>
      <c r="D792" s="333"/>
      <c r="E792" s="334"/>
      <c r="F792" s="229"/>
      <c r="G792" s="333"/>
      <c r="H792" s="335"/>
      <c r="I792" s="229"/>
      <c r="J792" s="229"/>
      <c r="K792" s="336"/>
      <c r="L792" s="337"/>
      <c r="M792" s="337"/>
      <c r="N792" s="337"/>
      <c r="O792" s="337"/>
      <c r="P792" s="337"/>
      <c r="Q792" s="377">
        <v>4002</v>
      </c>
      <c r="R792" s="271">
        <f t="shared" si="61"/>
        <v>0</v>
      </c>
      <c r="S792" s="339">
        <f t="shared" si="63"/>
        <v>0</v>
      </c>
      <c r="T792" s="373"/>
      <c r="U792" s="373">
        <f>FA!L$169</f>
        <v>0</v>
      </c>
      <c r="V792" s="274"/>
      <c r="W792" s="374"/>
      <c r="X792" s="375"/>
      <c r="Y792" s="36" t="s">
        <v>601</v>
      </c>
      <c r="Z792" s="376"/>
      <c r="AA792" s="240"/>
      <c r="AB792" s="345">
        <v>1</v>
      </c>
      <c r="AC792" s="271"/>
      <c r="AD792" s="272"/>
      <c r="AE792" s="273"/>
      <c r="AF792" s="273"/>
      <c r="AG792" s="274"/>
      <c r="AH792" s="275"/>
      <c r="AI792" s="272"/>
      <c r="AJ792" s="276"/>
      <c r="AK792" s="277"/>
      <c r="AL792" s="278"/>
      <c r="AM792" s="277"/>
      <c r="AN792" s="279" t="str">
        <f t="shared" si="62"/>
        <v/>
      </c>
      <c r="AO792" s="279"/>
      <c r="AP792" s="279" t="str">
        <f t="shared" si="60"/>
        <v/>
      </c>
      <c r="AQ792" s="279"/>
      <c r="AR792" s="305">
        <f>'预算书-初步'!$F$10</f>
        <v>0.09</v>
      </c>
      <c r="AT792" s="272"/>
      <c r="BC792" s="272" t="s">
        <v>521</v>
      </c>
      <c r="BD792" s="346">
        <v>1166</v>
      </c>
      <c r="BE792" s="347" t="s">
        <v>703</v>
      </c>
    </row>
    <row r="793" s="52" customFormat="1" ht="15.75" customHeight="1" spans="1:57">
      <c r="A793" s="227"/>
      <c r="B793" s="332"/>
      <c r="C793" s="228"/>
      <c r="D793" s="333"/>
      <c r="E793" s="334"/>
      <c r="F793" s="229"/>
      <c r="G793" s="333"/>
      <c r="H793" s="335"/>
      <c r="I793" s="229"/>
      <c r="J793" s="229"/>
      <c r="K793" s="336"/>
      <c r="L793" s="337"/>
      <c r="M793" s="337"/>
      <c r="N793" s="337"/>
      <c r="O793" s="337"/>
      <c r="P793" s="337"/>
      <c r="Q793" s="377">
        <v>4003</v>
      </c>
      <c r="R793" s="271">
        <f t="shared" si="61"/>
        <v>0</v>
      </c>
      <c r="S793" s="339">
        <f t="shared" si="63"/>
        <v>0</v>
      </c>
      <c r="T793" s="373"/>
      <c r="U793" s="373">
        <f>FA!L$170</f>
        <v>0</v>
      </c>
      <c r="V793" s="274"/>
      <c r="W793" s="374"/>
      <c r="X793" s="375"/>
      <c r="Y793" s="36" t="s">
        <v>602</v>
      </c>
      <c r="Z793" s="376"/>
      <c r="AA793" s="240"/>
      <c r="AB793" s="345">
        <v>1</v>
      </c>
      <c r="AC793" s="271"/>
      <c r="AD793" s="272"/>
      <c r="AE793" s="273"/>
      <c r="AF793" s="273"/>
      <c r="AG793" s="274"/>
      <c r="AH793" s="275"/>
      <c r="AI793" s="272"/>
      <c r="AJ793" s="276"/>
      <c r="AK793" s="277"/>
      <c r="AL793" s="278"/>
      <c r="AM793" s="277"/>
      <c r="AN793" s="279" t="str">
        <f t="shared" si="62"/>
        <v/>
      </c>
      <c r="AO793" s="279"/>
      <c r="AP793" s="279" t="str">
        <f t="shared" si="60"/>
        <v/>
      </c>
      <c r="AQ793" s="279"/>
      <c r="AR793" s="305">
        <f>'预算书-初步'!$F$10</f>
        <v>0.09</v>
      </c>
      <c r="AT793" s="272"/>
      <c r="BC793" s="272" t="s">
        <v>521</v>
      </c>
      <c r="BD793" s="346">
        <v>1167</v>
      </c>
      <c r="BE793" s="347" t="s">
        <v>703</v>
      </c>
    </row>
    <row r="794" s="52" customFormat="1" ht="15.75" customHeight="1" spans="1:57">
      <c r="A794" s="227"/>
      <c r="B794" s="332"/>
      <c r="C794" s="228"/>
      <c r="D794" s="333"/>
      <c r="E794" s="334"/>
      <c r="F794" s="229"/>
      <c r="G794" s="333"/>
      <c r="H794" s="335"/>
      <c r="I794" s="229"/>
      <c r="J794" s="229"/>
      <c r="K794" s="336"/>
      <c r="L794" s="337"/>
      <c r="M794" s="337"/>
      <c r="N794" s="337"/>
      <c r="O794" s="337"/>
      <c r="P794" s="337"/>
      <c r="Q794" s="372">
        <v>4004</v>
      </c>
      <c r="R794" s="271">
        <f t="shared" si="61"/>
        <v>0</v>
      </c>
      <c r="S794" s="339">
        <f t="shared" si="63"/>
        <v>0</v>
      </c>
      <c r="T794" s="373"/>
      <c r="U794" s="373">
        <f>FA!L$171</f>
        <v>0</v>
      </c>
      <c r="V794" s="274"/>
      <c r="W794" s="374"/>
      <c r="X794" s="375"/>
      <c r="Y794" s="30" t="s">
        <v>603</v>
      </c>
      <c r="Z794" s="376"/>
      <c r="AA794" s="240"/>
      <c r="AB794" s="345">
        <v>1</v>
      </c>
      <c r="AC794" s="271"/>
      <c r="AD794" s="272"/>
      <c r="AE794" s="273"/>
      <c r="AF794" s="273"/>
      <c r="AG794" s="274"/>
      <c r="AH794" s="275"/>
      <c r="AI794" s="272"/>
      <c r="AJ794" s="276"/>
      <c r="AK794" s="277"/>
      <c r="AL794" s="278"/>
      <c r="AM794" s="277"/>
      <c r="AN794" s="279" t="str">
        <f t="shared" si="62"/>
        <v/>
      </c>
      <c r="AO794" s="279"/>
      <c r="AP794" s="279" t="str">
        <f t="shared" si="60"/>
        <v/>
      </c>
      <c r="AQ794" s="279"/>
      <c r="AR794" s="305">
        <f>'预算书-初步'!$F$10</f>
        <v>0.09</v>
      </c>
      <c r="AT794" s="272"/>
      <c r="BC794" s="272" t="s">
        <v>521</v>
      </c>
      <c r="BD794" s="346">
        <v>1168</v>
      </c>
      <c r="BE794" s="347" t="s">
        <v>703</v>
      </c>
    </row>
    <row r="795" s="52" customFormat="1" ht="15.75" customHeight="1" spans="1:57">
      <c r="A795" s="227"/>
      <c r="B795" s="332"/>
      <c r="C795" s="228"/>
      <c r="D795" s="333"/>
      <c r="E795" s="334"/>
      <c r="F795" s="229"/>
      <c r="G795" s="333"/>
      <c r="H795" s="335"/>
      <c r="I795" s="229"/>
      <c r="J795" s="229"/>
      <c r="K795" s="336"/>
      <c r="L795" s="337"/>
      <c r="M795" s="337"/>
      <c r="N795" s="337"/>
      <c r="O795" s="337"/>
      <c r="P795" s="337"/>
      <c r="Q795" s="372">
        <v>4005</v>
      </c>
      <c r="R795" s="271">
        <f t="shared" si="61"/>
        <v>0</v>
      </c>
      <c r="S795" s="339">
        <f t="shared" si="63"/>
        <v>0</v>
      </c>
      <c r="T795" s="373"/>
      <c r="U795" s="373">
        <f>FA!L$172</f>
        <v>0</v>
      </c>
      <c r="V795" s="274"/>
      <c r="W795" s="374"/>
      <c r="X795" s="375"/>
      <c r="Y795" s="30" t="s">
        <v>604</v>
      </c>
      <c r="Z795" s="376"/>
      <c r="AA795" s="240"/>
      <c r="AB795" s="345">
        <v>1</v>
      </c>
      <c r="AC795" s="271"/>
      <c r="AD795" s="272"/>
      <c r="AE795" s="273"/>
      <c r="AF795" s="273"/>
      <c r="AG795" s="274"/>
      <c r="AH795" s="275"/>
      <c r="AI795" s="272"/>
      <c r="AJ795" s="276"/>
      <c r="AK795" s="277"/>
      <c r="AL795" s="278"/>
      <c r="AM795" s="277"/>
      <c r="AN795" s="279" t="str">
        <f t="shared" si="62"/>
        <v/>
      </c>
      <c r="AO795" s="279"/>
      <c r="AP795" s="279" t="str">
        <f t="shared" si="60"/>
        <v/>
      </c>
      <c r="AQ795" s="279"/>
      <c r="AR795" s="305">
        <f>'预算书-初步'!$F$10</f>
        <v>0.09</v>
      </c>
      <c r="AT795" s="272"/>
      <c r="BC795" s="272" t="s">
        <v>521</v>
      </c>
      <c r="BD795" s="346">
        <v>1169</v>
      </c>
      <c r="BE795" s="347" t="s">
        <v>703</v>
      </c>
    </row>
    <row r="796" s="52" customFormat="1" spans="1:57">
      <c r="A796" s="227"/>
      <c r="B796" s="332"/>
      <c r="C796" s="228"/>
      <c r="D796" s="333"/>
      <c r="E796" s="334"/>
      <c r="F796" s="229"/>
      <c r="G796" s="333"/>
      <c r="H796" s="335"/>
      <c r="I796" s="229"/>
      <c r="J796" s="229"/>
      <c r="K796" s="336"/>
      <c r="L796" s="337"/>
      <c r="M796" s="337"/>
      <c r="N796" s="337"/>
      <c r="O796" s="337"/>
      <c r="P796" s="337"/>
      <c r="Q796" s="372">
        <v>4006</v>
      </c>
      <c r="R796" s="271">
        <f t="shared" si="61"/>
        <v>0</v>
      </c>
      <c r="S796" s="339">
        <f t="shared" si="63"/>
        <v>0</v>
      </c>
      <c r="T796" s="373"/>
      <c r="U796" s="373">
        <f>FA!L$173</f>
        <v>0</v>
      </c>
      <c r="V796" s="274"/>
      <c r="W796" s="374"/>
      <c r="X796" s="375"/>
      <c r="Y796" s="36" t="s">
        <v>605</v>
      </c>
      <c r="Z796" s="376"/>
      <c r="AA796" s="240"/>
      <c r="AB796" s="345">
        <v>1</v>
      </c>
      <c r="AC796" s="271"/>
      <c r="AD796" s="272"/>
      <c r="AE796" s="273"/>
      <c r="AF796" s="273"/>
      <c r="AG796" s="274"/>
      <c r="AH796" s="275"/>
      <c r="AI796" s="272"/>
      <c r="AJ796" s="276"/>
      <c r="AK796" s="277"/>
      <c r="AL796" s="278"/>
      <c r="AM796" s="277"/>
      <c r="AN796" s="279" t="str">
        <f t="shared" si="62"/>
        <v/>
      </c>
      <c r="AO796" s="279"/>
      <c r="AP796" s="279" t="str">
        <f t="shared" si="60"/>
        <v/>
      </c>
      <c r="AQ796" s="279"/>
      <c r="AR796" s="305">
        <f>'预算书-初步'!$F$10</f>
        <v>0.09</v>
      </c>
      <c r="AT796" s="272"/>
      <c r="BC796" s="272" t="s">
        <v>521</v>
      </c>
      <c r="BD796" s="346">
        <v>1170</v>
      </c>
      <c r="BE796" s="347" t="s">
        <v>703</v>
      </c>
    </row>
    <row r="797" s="52" customFormat="1" spans="1:57">
      <c r="A797" s="227"/>
      <c r="B797" s="332"/>
      <c r="C797" s="228"/>
      <c r="D797" s="333"/>
      <c r="E797" s="334"/>
      <c r="F797" s="229"/>
      <c r="G797" s="333"/>
      <c r="H797" s="335"/>
      <c r="I797" s="229"/>
      <c r="J797" s="229"/>
      <c r="K797" s="336"/>
      <c r="L797" s="337"/>
      <c r="M797" s="337"/>
      <c r="N797" s="337"/>
      <c r="O797" s="337"/>
      <c r="P797" s="337"/>
      <c r="Q797" s="377">
        <v>6003</v>
      </c>
      <c r="R797" s="271">
        <f t="shared" si="61"/>
        <v>0</v>
      </c>
      <c r="S797" s="339">
        <f t="shared" si="63"/>
        <v>0</v>
      </c>
      <c r="T797" s="373"/>
      <c r="U797" s="373">
        <f>FA!L$19</f>
        <v>0</v>
      </c>
      <c r="V797" s="274"/>
      <c r="W797" s="374"/>
      <c r="X797" s="375"/>
      <c r="Y797" s="36" t="s">
        <v>606</v>
      </c>
      <c r="Z797" s="376"/>
      <c r="AA797" s="240"/>
      <c r="AB797" s="345">
        <v>1</v>
      </c>
      <c r="AC797" s="271"/>
      <c r="AD797" s="272"/>
      <c r="AE797" s="273"/>
      <c r="AF797" s="273"/>
      <c r="AG797" s="274"/>
      <c r="AH797" s="275"/>
      <c r="AI797" s="272"/>
      <c r="AJ797" s="276"/>
      <c r="AK797" s="277"/>
      <c r="AL797" s="278"/>
      <c r="AM797" s="277"/>
      <c r="AN797" s="279" t="str">
        <f t="shared" si="62"/>
        <v/>
      </c>
      <c r="AO797" s="279"/>
      <c r="AP797" s="279" t="str">
        <f t="shared" si="60"/>
        <v/>
      </c>
      <c r="AQ797" s="279"/>
      <c r="AR797" s="305">
        <f>'预算书-初步'!$F$10</f>
        <v>0.09</v>
      </c>
      <c r="AT797" s="272"/>
      <c r="BC797" s="272" t="s">
        <v>521</v>
      </c>
      <c r="BD797" s="346">
        <v>1008</v>
      </c>
      <c r="BE797" s="347" t="s">
        <v>703</v>
      </c>
    </row>
    <row r="798" s="52" customFormat="1" spans="1:57">
      <c r="A798" s="227"/>
      <c r="B798" s="332"/>
      <c r="C798" s="228"/>
      <c r="D798" s="333"/>
      <c r="E798" s="334"/>
      <c r="F798" s="229"/>
      <c r="G798" s="333"/>
      <c r="H798" s="335"/>
      <c r="I798" s="229"/>
      <c r="J798" s="229"/>
      <c r="K798" s="336"/>
      <c r="L798" s="337"/>
      <c r="M798" s="337"/>
      <c r="N798" s="337"/>
      <c r="O798" s="337"/>
      <c r="P798" s="337"/>
      <c r="Q798" s="377">
        <v>6004</v>
      </c>
      <c r="R798" s="271">
        <f t="shared" si="61"/>
        <v>0</v>
      </c>
      <c r="S798" s="339">
        <f t="shared" si="63"/>
        <v>0</v>
      </c>
      <c r="T798" s="373"/>
      <c r="U798" s="373">
        <f>FA!L$20</f>
        <v>0</v>
      </c>
      <c r="V798" s="274"/>
      <c r="W798" s="374"/>
      <c r="X798" s="375"/>
      <c r="Y798" s="36" t="s">
        <v>607</v>
      </c>
      <c r="Z798" s="376"/>
      <c r="AA798" s="240"/>
      <c r="AB798" s="345">
        <v>1</v>
      </c>
      <c r="AC798" s="271"/>
      <c r="AD798" s="272"/>
      <c r="AE798" s="273"/>
      <c r="AF798" s="273"/>
      <c r="AG798" s="274"/>
      <c r="AH798" s="275"/>
      <c r="AI798" s="272"/>
      <c r="AJ798" s="276"/>
      <c r="AK798" s="277"/>
      <c r="AL798" s="278"/>
      <c r="AM798" s="277"/>
      <c r="AN798" s="279" t="str">
        <f t="shared" si="62"/>
        <v/>
      </c>
      <c r="AO798" s="279"/>
      <c r="AP798" s="279" t="str">
        <f t="shared" si="60"/>
        <v/>
      </c>
      <c r="AQ798" s="279"/>
      <c r="AR798" s="305">
        <f>'预算书-初步'!$F$10</f>
        <v>0.09</v>
      </c>
      <c r="AT798" s="272"/>
      <c r="BC798" s="272" t="s">
        <v>521</v>
      </c>
      <c r="BD798" s="346">
        <v>1009</v>
      </c>
      <c r="BE798" s="347" t="s">
        <v>703</v>
      </c>
    </row>
    <row r="799" s="52" customFormat="1" spans="1:57">
      <c r="A799" s="227"/>
      <c r="B799" s="332"/>
      <c r="C799" s="228"/>
      <c r="D799" s="333"/>
      <c r="E799" s="334"/>
      <c r="F799" s="229"/>
      <c r="G799" s="333"/>
      <c r="H799" s="335"/>
      <c r="I799" s="229"/>
      <c r="J799" s="229"/>
      <c r="K799" s="336"/>
      <c r="L799" s="337"/>
      <c r="M799" s="337"/>
      <c r="N799" s="337"/>
      <c r="O799" s="337"/>
      <c r="P799" s="337"/>
      <c r="Q799" s="377">
        <v>6005</v>
      </c>
      <c r="R799" s="271">
        <f t="shared" si="61"/>
        <v>0</v>
      </c>
      <c r="S799" s="339">
        <f t="shared" si="63"/>
        <v>0</v>
      </c>
      <c r="T799" s="373"/>
      <c r="U799" s="373">
        <f>FA!L$21</f>
        <v>0</v>
      </c>
      <c r="V799" s="274"/>
      <c r="W799" s="374"/>
      <c r="X799" s="375"/>
      <c r="Y799" s="36" t="s">
        <v>608</v>
      </c>
      <c r="Z799" s="376"/>
      <c r="AA799" s="240"/>
      <c r="AB799" s="345">
        <v>1</v>
      </c>
      <c r="AC799" s="271"/>
      <c r="AD799" s="272"/>
      <c r="AE799" s="273"/>
      <c r="AF799" s="273"/>
      <c r="AG799" s="274"/>
      <c r="AH799" s="275"/>
      <c r="AI799" s="272"/>
      <c r="AJ799" s="276"/>
      <c r="AK799" s="277"/>
      <c r="AL799" s="278"/>
      <c r="AM799" s="277"/>
      <c r="AN799" s="279" t="str">
        <f t="shared" si="62"/>
        <v/>
      </c>
      <c r="AO799" s="279"/>
      <c r="AP799" s="279" t="str">
        <f t="shared" si="60"/>
        <v/>
      </c>
      <c r="AQ799" s="279"/>
      <c r="AR799" s="305">
        <f>'预算书-初步'!$F$10</f>
        <v>0.09</v>
      </c>
      <c r="AT799" s="272"/>
      <c r="BC799" s="272" t="s">
        <v>521</v>
      </c>
      <c r="BD799" s="346">
        <v>1010</v>
      </c>
      <c r="BE799" s="347" t="s">
        <v>703</v>
      </c>
    </row>
    <row r="800" s="52" customFormat="1" spans="1:57">
      <c r="A800" s="227"/>
      <c r="B800" s="332"/>
      <c r="C800" s="228"/>
      <c r="D800" s="333"/>
      <c r="E800" s="334"/>
      <c r="F800" s="229"/>
      <c r="G800" s="333"/>
      <c r="H800" s="335"/>
      <c r="I800" s="229"/>
      <c r="J800" s="229"/>
      <c r="K800" s="336"/>
      <c r="L800" s="337"/>
      <c r="M800" s="337"/>
      <c r="N800" s="337"/>
      <c r="O800" s="337"/>
      <c r="P800" s="337"/>
      <c r="Q800" s="372">
        <v>6006</v>
      </c>
      <c r="R800" s="271">
        <f t="shared" si="61"/>
        <v>0</v>
      </c>
      <c r="S800" s="339">
        <f t="shared" si="63"/>
        <v>0</v>
      </c>
      <c r="T800" s="373"/>
      <c r="U800" s="373">
        <f>FA!L$22</f>
        <v>0</v>
      </c>
      <c r="V800" s="274"/>
      <c r="W800" s="374"/>
      <c r="X800" s="375"/>
      <c r="Y800" s="30" t="s">
        <v>609</v>
      </c>
      <c r="Z800" s="376"/>
      <c r="AA800" s="240"/>
      <c r="AB800" s="345">
        <v>1</v>
      </c>
      <c r="AC800" s="271"/>
      <c r="AD800" s="272"/>
      <c r="AE800" s="273"/>
      <c r="AF800" s="273"/>
      <c r="AG800" s="274"/>
      <c r="AH800" s="275"/>
      <c r="AI800" s="272"/>
      <c r="AJ800" s="276"/>
      <c r="AK800" s="277"/>
      <c r="AL800" s="278"/>
      <c r="AM800" s="277"/>
      <c r="AN800" s="279" t="str">
        <f t="shared" si="62"/>
        <v/>
      </c>
      <c r="AO800" s="279"/>
      <c r="AP800" s="279" t="str">
        <f t="shared" si="60"/>
        <v/>
      </c>
      <c r="AQ800" s="279"/>
      <c r="AR800" s="305">
        <f>'预算书-初步'!$F$10</f>
        <v>0.09</v>
      </c>
      <c r="AT800" s="272"/>
      <c r="BC800" s="272" t="s">
        <v>521</v>
      </c>
      <c r="BD800" s="346">
        <v>1011</v>
      </c>
      <c r="BE800" s="347" t="s">
        <v>703</v>
      </c>
    </row>
    <row r="801" s="52" customFormat="1" spans="1:57">
      <c r="A801" s="227"/>
      <c r="B801" s="332"/>
      <c r="C801" s="228"/>
      <c r="D801" s="333"/>
      <c r="E801" s="334"/>
      <c r="F801" s="229"/>
      <c r="G801" s="333"/>
      <c r="H801" s="335"/>
      <c r="I801" s="229"/>
      <c r="J801" s="229"/>
      <c r="K801" s="336"/>
      <c r="L801" s="337"/>
      <c r="M801" s="337"/>
      <c r="N801" s="337"/>
      <c r="O801" s="337"/>
      <c r="P801" s="337"/>
      <c r="Q801" s="372">
        <v>6007</v>
      </c>
      <c r="R801" s="271">
        <f t="shared" si="61"/>
        <v>0</v>
      </c>
      <c r="S801" s="339">
        <f t="shared" si="63"/>
        <v>0</v>
      </c>
      <c r="T801" s="373"/>
      <c r="U801" s="373">
        <f>FA!L$23</f>
        <v>0</v>
      </c>
      <c r="V801" s="274"/>
      <c r="W801" s="374"/>
      <c r="X801" s="375"/>
      <c r="Y801" s="30" t="s">
        <v>610</v>
      </c>
      <c r="Z801" s="376"/>
      <c r="AA801" s="240"/>
      <c r="AB801" s="345">
        <v>1</v>
      </c>
      <c r="AC801" s="271"/>
      <c r="AD801" s="272"/>
      <c r="AE801" s="273"/>
      <c r="AF801" s="273"/>
      <c r="AG801" s="274"/>
      <c r="AH801" s="275"/>
      <c r="AI801" s="272"/>
      <c r="AJ801" s="276"/>
      <c r="AK801" s="277"/>
      <c r="AL801" s="278"/>
      <c r="AM801" s="277"/>
      <c r="AN801" s="279" t="str">
        <f t="shared" si="62"/>
        <v/>
      </c>
      <c r="AO801" s="279"/>
      <c r="AP801" s="279" t="str">
        <f t="shared" si="60"/>
        <v/>
      </c>
      <c r="AQ801" s="279"/>
      <c r="AR801" s="305">
        <f>'预算书-初步'!$F$10</f>
        <v>0.09</v>
      </c>
      <c r="AT801" s="272"/>
      <c r="BC801" s="272" t="s">
        <v>521</v>
      </c>
      <c r="BD801" s="346">
        <v>1012</v>
      </c>
      <c r="BE801" s="347" t="s">
        <v>703</v>
      </c>
    </row>
    <row r="802" s="52" customFormat="1" spans="1:57">
      <c r="A802" s="227"/>
      <c r="B802" s="332"/>
      <c r="C802" s="228"/>
      <c r="D802" s="333"/>
      <c r="E802" s="334"/>
      <c r="F802" s="229"/>
      <c r="G802" s="333"/>
      <c r="H802" s="335"/>
      <c r="I802" s="229"/>
      <c r="J802" s="229"/>
      <c r="K802" s="336"/>
      <c r="L802" s="337"/>
      <c r="M802" s="337"/>
      <c r="N802" s="337"/>
      <c r="O802" s="337"/>
      <c r="P802" s="337"/>
      <c r="Q802" s="372">
        <v>8310</v>
      </c>
      <c r="R802" s="271">
        <f t="shared" si="61"/>
        <v>0</v>
      </c>
      <c r="S802" s="339">
        <f t="shared" si="63"/>
        <v>0</v>
      </c>
      <c r="T802" s="373"/>
      <c r="U802" s="373">
        <f>FA!L$116</f>
        <v>0</v>
      </c>
      <c r="V802" s="274"/>
      <c r="W802" s="374"/>
      <c r="X802" s="375"/>
      <c r="Y802" s="30" t="s">
        <v>611</v>
      </c>
      <c r="Z802" s="376"/>
      <c r="AA802" s="240"/>
      <c r="AB802" s="345">
        <v>1</v>
      </c>
      <c r="AC802" s="271"/>
      <c r="AD802" s="272"/>
      <c r="AE802" s="273"/>
      <c r="AF802" s="273"/>
      <c r="AG802" s="274"/>
      <c r="AH802" s="275"/>
      <c r="AI802" s="272"/>
      <c r="AJ802" s="276"/>
      <c r="AK802" s="277"/>
      <c r="AL802" s="278"/>
      <c r="AM802" s="277"/>
      <c r="AN802" s="279" t="str">
        <f t="shared" si="62"/>
        <v/>
      </c>
      <c r="AO802" s="279"/>
      <c r="AP802" s="279" t="str">
        <f t="shared" si="60"/>
        <v/>
      </c>
      <c r="AQ802" s="279"/>
      <c r="AR802" s="305">
        <f>'预算书-初步'!$F$10</f>
        <v>0.09</v>
      </c>
      <c r="AT802" s="272"/>
      <c r="BC802" s="272" t="s">
        <v>521</v>
      </c>
      <c r="BD802" s="346">
        <v>1105</v>
      </c>
      <c r="BE802" s="347" t="s">
        <v>703</v>
      </c>
    </row>
    <row r="803" s="52" customFormat="1" ht="15.75" customHeight="1" spans="1:57">
      <c r="A803" s="227"/>
      <c r="B803" s="332"/>
      <c r="C803" s="228"/>
      <c r="D803" s="333"/>
      <c r="E803" s="334"/>
      <c r="F803" s="229"/>
      <c r="G803" s="333"/>
      <c r="H803" s="335"/>
      <c r="I803" s="229"/>
      <c r="J803" s="229"/>
      <c r="K803" s="336"/>
      <c r="L803" s="337"/>
      <c r="M803" s="337"/>
      <c r="N803" s="337"/>
      <c r="O803" s="337"/>
      <c r="P803" s="337"/>
      <c r="Q803" s="372">
        <v>8457</v>
      </c>
      <c r="R803" s="271">
        <f t="shared" si="61"/>
        <v>0</v>
      </c>
      <c r="S803" s="339">
        <f t="shared" si="63"/>
        <v>0</v>
      </c>
      <c r="T803" s="373"/>
      <c r="U803" s="373">
        <f>FA!L$150</f>
        <v>0</v>
      </c>
      <c r="V803" s="274"/>
      <c r="W803" s="374"/>
      <c r="X803" s="375"/>
      <c r="Y803" s="30" t="s">
        <v>612</v>
      </c>
      <c r="Z803" s="376"/>
      <c r="AA803" s="240"/>
      <c r="AB803" s="345">
        <v>1</v>
      </c>
      <c r="AC803" s="271"/>
      <c r="AD803" s="272"/>
      <c r="AE803" s="273"/>
      <c r="AF803" s="273"/>
      <c r="AG803" s="274"/>
      <c r="AH803" s="275"/>
      <c r="AI803" s="272"/>
      <c r="AJ803" s="276"/>
      <c r="AK803" s="277"/>
      <c r="AL803" s="278"/>
      <c r="AM803" s="277"/>
      <c r="AN803" s="279" t="str">
        <f t="shared" si="62"/>
        <v/>
      </c>
      <c r="AO803" s="279"/>
      <c r="AP803" s="279" t="str">
        <f t="shared" si="60"/>
        <v/>
      </c>
      <c r="AQ803" s="279"/>
      <c r="AR803" s="305">
        <f>'预算书-初步'!$F$10</f>
        <v>0.09</v>
      </c>
      <c r="AT803" s="272"/>
      <c r="BC803" s="272" t="s">
        <v>521</v>
      </c>
      <c r="BD803" s="346">
        <v>1139</v>
      </c>
      <c r="BE803" s="347" t="s">
        <v>703</v>
      </c>
    </row>
    <row r="804" s="52" customFormat="1" spans="1:57">
      <c r="A804" s="227"/>
      <c r="B804" s="332"/>
      <c r="C804" s="228"/>
      <c r="D804" s="333"/>
      <c r="E804" s="334"/>
      <c r="Q804" s="372">
        <v>8500</v>
      </c>
      <c r="R804" s="271">
        <f t="shared" si="61"/>
        <v>0</v>
      </c>
      <c r="S804" s="339">
        <f t="shared" si="63"/>
        <v>0</v>
      </c>
      <c r="T804" s="373"/>
      <c r="U804" s="373">
        <f>FA!L$160</f>
        <v>0</v>
      </c>
      <c r="V804" s="274"/>
      <c r="W804" s="374"/>
      <c r="X804" s="375"/>
      <c r="Y804" s="30" t="s">
        <v>613</v>
      </c>
      <c r="Z804" s="376"/>
      <c r="AA804" s="240"/>
      <c r="AB804" s="345">
        <v>1</v>
      </c>
      <c r="AC804" s="271"/>
      <c r="AD804" s="272"/>
      <c r="AE804" s="273"/>
      <c r="AF804" s="273"/>
      <c r="AG804" s="274"/>
      <c r="AH804" s="275"/>
      <c r="AI804" s="272"/>
      <c r="AJ804" s="276"/>
      <c r="AK804" s="277"/>
      <c r="AL804" s="278"/>
      <c r="AM804" s="277"/>
      <c r="AN804" s="279" t="str">
        <f t="shared" si="62"/>
        <v/>
      </c>
      <c r="AO804" s="279"/>
      <c r="AP804" s="279" t="str">
        <f t="shared" si="60"/>
        <v/>
      </c>
      <c r="AQ804" s="378"/>
      <c r="AR804" s="305">
        <f>'预算书-初步'!$F$10</f>
        <v>0.09</v>
      </c>
      <c r="AT804" s="272"/>
      <c r="BC804" s="272" t="s">
        <v>521</v>
      </c>
      <c r="BD804" s="346">
        <v>1157</v>
      </c>
      <c r="BE804" s="347" t="s">
        <v>703</v>
      </c>
    </row>
    <row r="805" s="52" customFormat="1" spans="1:57">
      <c r="A805" s="227"/>
      <c r="B805" s="332"/>
      <c r="C805" s="228"/>
      <c r="D805" s="333"/>
      <c r="E805" s="334"/>
      <c r="F805" s="229"/>
      <c r="G805" s="333"/>
      <c r="H805" s="335"/>
      <c r="I805" s="229"/>
      <c r="J805" s="229"/>
      <c r="K805" s="336"/>
      <c r="L805" s="337"/>
      <c r="M805" s="337"/>
      <c r="N805" s="337"/>
      <c r="O805" s="337"/>
      <c r="P805" s="337"/>
      <c r="Q805" s="379">
        <v>9999</v>
      </c>
      <c r="R805" s="271">
        <f t="shared" si="61"/>
        <v>0</v>
      </c>
      <c r="S805" s="339">
        <f t="shared" si="63"/>
        <v>0</v>
      </c>
      <c r="T805" s="373"/>
      <c r="U805" s="373">
        <f>FA!L$24</f>
        <v>0</v>
      </c>
      <c r="V805" s="274"/>
      <c r="W805" s="374"/>
      <c r="X805" s="375"/>
      <c r="Y805" s="44" t="s">
        <v>40</v>
      </c>
      <c r="Z805" s="376"/>
      <c r="AA805" s="240"/>
      <c r="AB805" s="345">
        <v>1</v>
      </c>
      <c r="AC805" s="271"/>
      <c r="AD805" s="272"/>
      <c r="AE805" s="273"/>
      <c r="AF805" s="273"/>
      <c r="AG805" s="274"/>
      <c r="AH805" s="275"/>
      <c r="AI805" s="272"/>
      <c r="AJ805" s="276"/>
      <c r="AK805" s="277"/>
      <c r="AL805" s="278"/>
      <c r="AM805" s="277"/>
      <c r="AN805" s="279"/>
      <c r="AO805" s="279"/>
      <c r="AP805" s="279"/>
      <c r="AQ805" s="378"/>
      <c r="AR805" s="305">
        <f>'预算书-初步'!$F$10</f>
        <v>0.09</v>
      </c>
      <c r="AT805" s="272"/>
      <c r="BC805" s="272" t="s">
        <v>521</v>
      </c>
      <c r="BD805" s="380">
        <v>1013</v>
      </c>
      <c r="BE805" s="347" t="s">
        <v>703</v>
      </c>
    </row>
    <row r="806" s="52" customFormat="1" spans="1:57">
      <c r="A806" s="227"/>
      <c r="B806" s="332"/>
      <c r="C806" s="228"/>
      <c r="D806" s="333"/>
      <c r="E806" s="334"/>
      <c r="F806" s="229"/>
      <c r="G806" s="333"/>
      <c r="H806" s="335"/>
      <c r="I806" s="229"/>
      <c r="J806" s="229"/>
      <c r="K806" s="336"/>
      <c r="L806" s="337"/>
      <c r="M806" s="337"/>
      <c r="N806" s="337"/>
      <c r="O806" s="337"/>
      <c r="P806" s="337"/>
      <c r="Q806" s="379">
        <v>7001</v>
      </c>
      <c r="R806" s="271">
        <f t="shared" si="61"/>
        <v>0</v>
      </c>
      <c r="S806" s="339">
        <f t="shared" si="63"/>
        <v>0</v>
      </c>
      <c r="T806" s="373"/>
      <c r="U806" s="373">
        <f>FA!L$25</f>
        <v>0</v>
      </c>
      <c r="V806" s="274"/>
      <c r="W806" s="374"/>
      <c r="X806" s="375"/>
      <c r="Y806" s="44" t="s">
        <v>614</v>
      </c>
      <c r="Z806" s="376"/>
      <c r="AA806" s="240"/>
      <c r="AB806" s="345">
        <v>1</v>
      </c>
      <c r="AC806" s="271"/>
      <c r="AD806" s="272"/>
      <c r="AE806" s="273"/>
      <c r="AF806" s="273"/>
      <c r="AG806" s="274"/>
      <c r="AH806" s="275"/>
      <c r="AI806" s="272"/>
      <c r="AJ806" s="276"/>
      <c r="AK806" s="277"/>
      <c r="AL806" s="278"/>
      <c r="AM806" s="277"/>
      <c r="AN806" s="279"/>
      <c r="AO806" s="279"/>
      <c r="AP806" s="279"/>
      <c r="AQ806" s="378"/>
      <c r="AR806" s="305">
        <f>'预算书-初步'!$F$10</f>
        <v>0.09</v>
      </c>
      <c r="AT806" s="272"/>
      <c r="BC806" s="272" t="s">
        <v>521</v>
      </c>
      <c r="BD806" s="380">
        <v>1014</v>
      </c>
      <c r="BE806" s="347" t="s">
        <v>703</v>
      </c>
    </row>
    <row r="807" s="52" customFormat="1" spans="1:57">
      <c r="A807" s="227"/>
      <c r="B807" s="332"/>
      <c r="C807" s="228"/>
      <c r="D807" s="333"/>
      <c r="E807" s="334"/>
      <c r="F807" s="229"/>
      <c r="G807" s="333"/>
      <c r="H807" s="335"/>
      <c r="I807" s="229"/>
      <c r="J807" s="229"/>
      <c r="K807" s="336"/>
      <c r="L807" s="337"/>
      <c r="M807" s="337"/>
      <c r="N807" s="337"/>
      <c r="O807" s="337"/>
      <c r="P807" s="337"/>
      <c r="Q807" s="379">
        <v>7012</v>
      </c>
      <c r="R807" s="271">
        <f t="shared" si="61"/>
        <v>0</v>
      </c>
      <c r="S807" s="339">
        <f t="shared" si="63"/>
        <v>0</v>
      </c>
      <c r="T807" s="373"/>
      <c r="U807" s="373">
        <f>FA!L$26</f>
        <v>0</v>
      </c>
      <c r="V807" s="274"/>
      <c r="W807" s="374"/>
      <c r="X807" s="375"/>
      <c r="Y807" s="45" t="s">
        <v>615</v>
      </c>
      <c r="Z807" s="376"/>
      <c r="AA807" s="240"/>
      <c r="AB807" s="345">
        <v>1</v>
      </c>
      <c r="AC807" s="271"/>
      <c r="AD807" s="272"/>
      <c r="AE807" s="273"/>
      <c r="AF807" s="273"/>
      <c r="AG807" s="274"/>
      <c r="AH807" s="275"/>
      <c r="AI807" s="272"/>
      <c r="AJ807" s="276"/>
      <c r="AK807" s="277"/>
      <c r="AL807" s="278"/>
      <c r="AM807" s="277"/>
      <c r="AN807" s="279"/>
      <c r="AO807" s="279"/>
      <c r="AP807" s="279"/>
      <c r="AQ807" s="378"/>
      <c r="AR807" s="305">
        <f>'预算书-初步'!$F$10</f>
        <v>0.09</v>
      </c>
      <c r="AT807" s="272"/>
      <c r="BC807" s="272" t="s">
        <v>521</v>
      </c>
      <c r="BD807" s="380">
        <v>1015</v>
      </c>
      <c r="BE807" s="347" t="s">
        <v>703</v>
      </c>
    </row>
    <row r="808" s="52" customFormat="1" ht="15.75" customHeight="1" spans="1:57">
      <c r="A808" s="227"/>
      <c r="B808" s="332"/>
      <c r="C808" s="228"/>
      <c r="D808" s="333"/>
      <c r="E808" s="334"/>
      <c r="F808" s="229"/>
      <c r="G808" s="333"/>
      <c r="H808" s="335"/>
      <c r="I808" s="229"/>
      <c r="J808" s="229"/>
      <c r="K808" s="336"/>
      <c r="L808" s="337"/>
      <c r="M808" s="337"/>
      <c r="N808" s="337"/>
      <c r="O808" s="337"/>
      <c r="P808" s="337"/>
      <c r="Q808" s="381">
        <v>1650</v>
      </c>
      <c r="R808" s="271">
        <f t="shared" si="61"/>
        <v>0</v>
      </c>
      <c r="S808" s="339">
        <f t="shared" si="63"/>
        <v>0</v>
      </c>
      <c r="T808" s="373"/>
      <c r="U808" s="373">
        <f>FA!L$89</f>
        <v>0</v>
      </c>
      <c r="V808" s="274"/>
      <c r="W808" s="374"/>
      <c r="X808" s="375"/>
      <c r="Y808" s="45" t="s">
        <v>616</v>
      </c>
      <c r="Z808" s="376"/>
      <c r="AA808" s="240"/>
      <c r="AB808" s="345">
        <v>1</v>
      </c>
      <c r="AC808" s="271"/>
      <c r="AD808" s="272"/>
      <c r="AE808" s="273"/>
      <c r="AF808" s="273"/>
      <c r="AG808" s="274"/>
      <c r="AH808" s="275"/>
      <c r="AI808" s="272"/>
      <c r="AJ808" s="276"/>
      <c r="AK808" s="277"/>
      <c r="AL808" s="278"/>
      <c r="AM808" s="277"/>
      <c r="AN808" s="279"/>
      <c r="AO808" s="279"/>
      <c r="AP808" s="279"/>
      <c r="AQ808" s="378"/>
      <c r="AR808" s="305">
        <f>'预算书-初步'!$F$10</f>
        <v>0.09</v>
      </c>
      <c r="AT808" s="272"/>
      <c r="BC808" s="272" t="s">
        <v>521</v>
      </c>
      <c r="BD808" s="380">
        <v>1078</v>
      </c>
      <c r="BE808" s="347" t="s">
        <v>703</v>
      </c>
    </row>
    <row r="809" s="52" customFormat="1" ht="15.75" customHeight="1" spans="1:57">
      <c r="A809" s="227"/>
      <c r="B809" s="332"/>
      <c r="C809" s="228"/>
      <c r="D809" s="333"/>
      <c r="E809" s="334"/>
      <c r="F809" s="229"/>
      <c r="G809" s="333"/>
      <c r="H809" s="335"/>
      <c r="I809" s="229"/>
      <c r="J809" s="229"/>
      <c r="K809" s="336"/>
      <c r="L809" s="337"/>
      <c r="M809" s="337"/>
      <c r="N809" s="337"/>
      <c r="O809" s="337"/>
      <c r="P809" s="337"/>
      <c r="Q809" s="384">
        <v>3711</v>
      </c>
      <c r="R809" s="271">
        <f t="shared" si="61"/>
        <v>0</v>
      </c>
      <c r="S809" s="339">
        <f t="shared" si="63"/>
        <v>0</v>
      </c>
      <c r="T809" s="373"/>
      <c r="U809" s="373">
        <f>SUMIF(其他!$A$9:$A$65,"3711",其他!$M$9:M$65)</f>
        <v>0</v>
      </c>
      <c r="V809" s="274"/>
      <c r="W809" s="374"/>
      <c r="X809" s="375"/>
      <c r="Y809" s="45" t="s">
        <v>617</v>
      </c>
      <c r="Z809" s="376"/>
      <c r="AA809" s="240"/>
      <c r="AB809" s="345">
        <v>1</v>
      </c>
      <c r="AC809" s="271"/>
      <c r="AD809" s="272"/>
      <c r="AE809" s="273"/>
      <c r="AF809" s="273"/>
      <c r="AG809" s="274"/>
      <c r="AH809" s="275"/>
      <c r="AI809" s="272"/>
      <c r="AJ809" s="276"/>
      <c r="AK809" s="277"/>
      <c r="AL809" s="278"/>
      <c r="AM809" s="277"/>
      <c r="AN809" s="279"/>
      <c r="AO809" s="279"/>
      <c r="AP809" s="279"/>
      <c r="AQ809" s="378"/>
      <c r="AR809" s="305">
        <f>'预算书-初步'!$F$10</f>
        <v>0.09</v>
      </c>
      <c r="AT809" s="272"/>
      <c r="BC809" s="272" t="s">
        <v>521</v>
      </c>
      <c r="BD809" s="380">
        <v>1082</v>
      </c>
      <c r="BE809" s="347" t="s">
        <v>703</v>
      </c>
    </row>
    <row r="810" s="52" customFormat="1" ht="15.75" customHeight="1" spans="1:57">
      <c r="A810" s="227"/>
      <c r="B810" s="332"/>
      <c r="C810" s="228"/>
      <c r="D810" s="333"/>
      <c r="E810" s="334"/>
      <c r="F810" s="229"/>
      <c r="G810" s="333"/>
      <c r="H810" s="335"/>
      <c r="I810" s="229"/>
      <c r="J810" s="229"/>
      <c r="K810" s="336"/>
      <c r="L810" s="337"/>
      <c r="M810" s="337"/>
      <c r="N810" s="337"/>
      <c r="O810" s="337"/>
      <c r="P810" s="337"/>
      <c r="Q810" s="384">
        <v>3712</v>
      </c>
      <c r="R810" s="271">
        <f t="shared" si="61"/>
        <v>0</v>
      </c>
      <c r="S810" s="339">
        <f t="shared" si="63"/>
        <v>0</v>
      </c>
      <c r="T810" s="373"/>
      <c r="U810" s="373">
        <f>SUMIF(其他!$A$9:$A$65,"3712",其他!$M$9:M$65)</f>
        <v>0</v>
      </c>
      <c r="V810" s="274"/>
      <c r="W810" s="374"/>
      <c r="X810" s="375"/>
      <c r="Y810" s="45" t="s">
        <v>618</v>
      </c>
      <c r="Z810" s="376"/>
      <c r="AA810" s="240"/>
      <c r="AB810" s="345">
        <v>1</v>
      </c>
      <c r="AC810" s="271"/>
      <c r="AD810" s="272"/>
      <c r="AE810" s="273"/>
      <c r="AF810" s="273"/>
      <c r="AG810" s="274"/>
      <c r="AH810" s="275"/>
      <c r="AI810" s="272"/>
      <c r="AJ810" s="276"/>
      <c r="AK810" s="277"/>
      <c r="AL810" s="278"/>
      <c r="AM810" s="277"/>
      <c r="AN810" s="279"/>
      <c r="AO810" s="279"/>
      <c r="AP810" s="279"/>
      <c r="AQ810" s="378"/>
      <c r="AR810" s="305">
        <f>'预算书-初步'!$F$10</f>
        <v>0.09</v>
      </c>
      <c r="AT810" s="272"/>
      <c r="BC810" s="272" t="s">
        <v>521</v>
      </c>
      <c r="BD810" s="380">
        <v>1082</v>
      </c>
      <c r="BE810" s="347" t="s">
        <v>703</v>
      </c>
    </row>
    <row r="811" s="52" customFormat="1" ht="15.75" customHeight="1" spans="1:57">
      <c r="A811" s="227"/>
      <c r="B811" s="332"/>
      <c r="C811" s="228"/>
      <c r="D811" s="333"/>
      <c r="E811" s="334"/>
      <c r="F811" s="229"/>
      <c r="G811" s="333"/>
      <c r="H811" s="335"/>
      <c r="I811" s="229"/>
      <c r="J811" s="229"/>
      <c r="K811" s="336"/>
      <c r="L811" s="337"/>
      <c r="M811" s="337"/>
      <c r="N811" s="337"/>
      <c r="O811" s="337"/>
      <c r="P811" s="337"/>
      <c r="Q811" s="384">
        <v>3713</v>
      </c>
      <c r="R811" s="271">
        <f t="shared" si="61"/>
        <v>0</v>
      </c>
      <c r="S811" s="339">
        <f t="shared" si="63"/>
        <v>0</v>
      </c>
      <c r="T811" s="373"/>
      <c r="U811" s="373">
        <f>SUMIF(其他!$A$9:$A$65,"3713",其他!$M$9:M$65)</f>
        <v>0</v>
      </c>
      <c r="V811" s="274"/>
      <c r="W811" s="374"/>
      <c r="X811" s="375"/>
      <c r="Y811" s="45" t="s">
        <v>619</v>
      </c>
      <c r="Z811" s="376"/>
      <c r="AA811" s="240"/>
      <c r="AB811" s="345">
        <v>1</v>
      </c>
      <c r="AC811" s="271"/>
      <c r="AD811" s="272"/>
      <c r="AE811" s="273"/>
      <c r="AF811" s="273"/>
      <c r="AG811" s="274"/>
      <c r="AH811" s="275"/>
      <c r="AI811" s="272"/>
      <c r="AJ811" s="276"/>
      <c r="AK811" s="277"/>
      <c r="AL811" s="278"/>
      <c r="AM811" s="277"/>
      <c r="AN811" s="279"/>
      <c r="AO811" s="279"/>
      <c r="AP811" s="279"/>
      <c r="AQ811" s="378"/>
      <c r="AR811" s="305">
        <f>'预算书-初步'!$F$10</f>
        <v>0.09</v>
      </c>
      <c r="AT811" s="272"/>
      <c r="BC811" s="272" t="s">
        <v>521</v>
      </c>
      <c r="BD811" s="380">
        <v>1082</v>
      </c>
      <c r="BE811" s="347" t="s">
        <v>703</v>
      </c>
    </row>
    <row r="812" s="52" customFormat="1" ht="15.75" customHeight="1" spans="1:57">
      <c r="A812" s="227"/>
      <c r="B812" s="332"/>
      <c r="C812" s="228"/>
      <c r="D812" s="333"/>
      <c r="E812" s="334"/>
      <c r="F812" s="229"/>
      <c r="G812" s="333"/>
      <c r="H812" s="335"/>
      <c r="I812" s="229"/>
      <c r="J812" s="229"/>
      <c r="K812" s="336"/>
      <c r="L812" s="337"/>
      <c r="M812" s="337"/>
      <c r="N812" s="337"/>
      <c r="O812" s="337"/>
      <c r="P812" s="337"/>
      <c r="Q812" s="384">
        <v>3714</v>
      </c>
      <c r="R812" s="271">
        <f t="shared" si="61"/>
        <v>0</v>
      </c>
      <c r="S812" s="339">
        <f t="shared" si="63"/>
        <v>0</v>
      </c>
      <c r="T812" s="373"/>
      <c r="U812" s="373">
        <f>SUMIF(其他!$A$9:$A$65,"3714",其他!$M$9:M$65)</f>
        <v>0</v>
      </c>
      <c r="V812" s="274"/>
      <c r="W812" s="374"/>
      <c r="X812" s="375"/>
      <c r="Y812" s="45" t="s">
        <v>620</v>
      </c>
      <c r="Z812" s="376"/>
      <c r="AA812" s="240"/>
      <c r="AB812" s="345">
        <v>1</v>
      </c>
      <c r="AC812" s="271"/>
      <c r="AD812" s="272"/>
      <c r="AE812" s="273"/>
      <c r="AF812" s="273"/>
      <c r="AG812" s="274"/>
      <c r="AH812" s="275"/>
      <c r="AI812" s="272"/>
      <c r="AJ812" s="276"/>
      <c r="AK812" s="277"/>
      <c r="AL812" s="278"/>
      <c r="AM812" s="277"/>
      <c r="AN812" s="279"/>
      <c r="AO812" s="279"/>
      <c r="AP812" s="279"/>
      <c r="AQ812" s="378"/>
      <c r="AR812" s="305">
        <f>'预算书-初步'!$F$10</f>
        <v>0.09</v>
      </c>
      <c r="AT812" s="272"/>
      <c r="BC812" s="272" t="s">
        <v>521</v>
      </c>
      <c r="BD812" s="380">
        <v>1082</v>
      </c>
      <c r="BE812" s="347" t="s">
        <v>703</v>
      </c>
    </row>
    <row r="813" s="52" customFormat="1" ht="15.75" customHeight="1" spans="1:57">
      <c r="A813" s="227"/>
      <c r="B813" s="332"/>
      <c r="C813" s="228"/>
      <c r="D813" s="333"/>
      <c r="E813" s="334"/>
      <c r="F813" s="229"/>
      <c r="G813" s="333"/>
      <c r="H813" s="335"/>
      <c r="I813" s="229"/>
      <c r="J813" s="229"/>
      <c r="K813" s="336"/>
      <c r="L813" s="337"/>
      <c r="M813" s="337"/>
      <c r="N813" s="337"/>
      <c r="O813" s="337"/>
      <c r="P813" s="337"/>
      <c r="Q813" s="384">
        <v>3792</v>
      </c>
      <c r="R813" s="271">
        <f t="shared" si="61"/>
        <v>0</v>
      </c>
      <c r="S813" s="339">
        <f t="shared" si="63"/>
        <v>0</v>
      </c>
      <c r="T813" s="373"/>
      <c r="U813" s="373">
        <f>SUMIF(其他!$A$9:$A$65,"3792",其他!$M$9:M$65)</f>
        <v>0</v>
      </c>
      <c r="V813" s="274"/>
      <c r="W813" s="374"/>
      <c r="X813" s="375"/>
      <c r="Y813" s="45" t="s">
        <v>621</v>
      </c>
      <c r="Z813" s="376"/>
      <c r="AA813" s="240"/>
      <c r="AB813" s="345">
        <v>1</v>
      </c>
      <c r="AC813" s="271"/>
      <c r="AD813" s="272"/>
      <c r="AE813" s="273"/>
      <c r="AF813" s="273"/>
      <c r="AG813" s="274"/>
      <c r="AH813" s="275"/>
      <c r="AI813" s="272"/>
      <c r="AJ813" s="276"/>
      <c r="AK813" s="277"/>
      <c r="AL813" s="278"/>
      <c r="AM813" s="277"/>
      <c r="AN813" s="279"/>
      <c r="AO813" s="279"/>
      <c r="AP813" s="279"/>
      <c r="AQ813" s="378"/>
      <c r="AR813" s="305">
        <f>'预算书-初步'!$F$10</f>
        <v>0.09</v>
      </c>
      <c r="AT813" s="272"/>
      <c r="BC813" s="272" t="s">
        <v>521</v>
      </c>
      <c r="BD813" s="380">
        <v>1085</v>
      </c>
      <c r="BE813" s="347" t="s">
        <v>703</v>
      </c>
    </row>
    <row r="814" s="52" customFormat="1" ht="15.75" customHeight="1" spans="1:57">
      <c r="A814" s="227"/>
      <c r="B814" s="332"/>
      <c r="C814" s="228"/>
      <c r="D814" s="333"/>
      <c r="E814" s="334"/>
      <c r="F814" s="229"/>
      <c r="G814" s="333"/>
      <c r="H814" s="335"/>
      <c r="I814" s="229"/>
      <c r="J814" s="229"/>
      <c r="K814" s="336"/>
      <c r="L814" s="337"/>
      <c r="M814" s="337"/>
      <c r="N814" s="337"/>
      <c r="O814" s="337"/>
      <c r="P814" s="337"/>
      <c r="Q814" s="384">
        <v>3793</v>
      </c>
      <c r="R814" s="271">
        <f t="shared" si="61"/>
        <v>0</v>
      </c>
      <c r="S814" s="339">
        <f t="shared" si="63"/>
        <v>0</v>
      </c>
      <c r="T814" s="373"/>
      <c r="U814" s="373">
        <f>SUMIF(其他!$A$9:$A$65,"3793",其他!$K$9:K$65)</f>
        <v>0</v>
      </c>
      <c r="V814" s="274"/>
      <c r="W814" s="374"/>
      <c r="X814" s="375"/>
      <c r="Y814" s="45" t="s">
        <v>622</v>
      </c>
      <c r="Z814" s="376"/>
      <c r="AA814" s="240"/>
      <c r="AB814" s="345">
        <v>1</v>
      </c>
      <c r="AC814" s="271"/>
      <c r="AD814" s="272"/>
      <c r="AE814" s="273"/>
      <c r="AF814" s="273"/>
      <c r="AG814" s="274"/>
      <c r="AH814" s="275"/>
      <c r="AI814" s="272"/>
      <c r="AJ814" s="276"/>
      <c r="AK814" s="277"/>
      <c r="AL814" s="278"/>
      <c r="AM814" s="277"/>
      <c r="AN814" s="279"/>
      <c r="AO814" s="279"/>
      <c r="AP814" s="279"/>
      <c r="AQ814" s="378"/>
      <c r="AR814" s="305">
        <f>'预算书-初步'!$F$10</f>
        <v>0.09</v>
      </c>
      <c r="AT814" s="272"/>
      <c r="BC814" s="272" t="s">
        <v>521</v>
      </c>
      <c r="BD814" s="380">
        <v>1085</v>
      </c>
      <c r="BE814" s="347" t="s">
        <v>703</v>
      </c>
    </row>
    <row r="815" s="52" customFormat="1" ht="15.75" customHeight="1" spans="1:57">
      <c r="A815" s="227"/>
      <c r="B815" s="332"/>
      <c r="C815" s="228"/>
      <c r="D815" s="333"/>
      <c r="E815" s="334"/>
      <c r="F815" s="229"/>
      <c r="G815" s="333"/>
      <c r="H815" s="335"/>
      <c r="I815" s="229"/>
      <c r="J815" s="229"/>
      <c r="K815" s="336"/>
      <c r="L815" s="337"/>
      <c r="M815" s="337"/>
      <c r="N815" s="337"/>
      <c r="O815" s="337"/>
      <c r="P815" s="337"/>
      <c r="Q815" s="384">
        <v>3794</v>
      </c>
      <c r="R815" s="271">
        <f t="shared" si="61"/>
        <v>0</v>
      </c>
      <c r="S815" s="339">
        <f t="shared" si="63"/>
        <v>0</v>
      </c>
      <c r="T815" s="373"/>
      <c r="U815" s="373">
        <f>SUMIF(其他!$A$9:$A$65,"3794",其他!$M$9:M$65)</f>
        <v>0</v>
      </c>
      <c r="V815" s="274"/>
      <c r="W815" s="374"/>
      <c r="X815" s="375"/>
      <c r="Y815" s="45" t="s">
        <v>623</v>
      </c>
      <c r="Z815" s="376"/>
      <c r="AA815" s="240"/>
      <c r="AB815" s="345">
        <v>1</v>
      </c>
      <c r="AC815" s="271"/>
      <c r="AD815" s="272"/>
      <c r="AE815" s="273"/>
      <c r="AF815" s="273"/>
      <c r="AG815" s="274"/>
      <c r="AH815" s="275"/>
      <c r="AI815" s="272"/>
      <c r="AJ815" s="276"/>
      <c r="AK815" s="277"/>
      <c r="AL815" s="278"/>
      <c r="AM815" s="277"/>
      <c r="AN815" s="279"/>
      <c r="AO815" s="279"/>
      <c r="AP815" s="279"/>
      <c r="AQ815" s="378"/>
      <c r="AR815" s="305">
        <f>'预算书-初步'!$F$10</f>
        <v>0.09</v>
      </c>
      <c r="AT815" s="272"/>
      <c r="BC815" s="272" t="s">
        <v>521</v>
      </c>
      <c r="BD815" s="380">
        <v>1085</v>
      </c>
      <c r="BE815" s="347" t="s">
        <v>703</v>
      </c>
    </row>
    <row r="816" s="52" customFormat="1" ht="15.75" customHeight="1" spans="1:57">
      <c r="A816" s="227"/>
      <c r="B816" s="332"/>
      <c r="C816" s="228"/>
      <c r="D816" s="333"/>
      <c r="E816" s="334"/>
      <c r="F816" s="229"/>
      <c r="G816" s="333"/>
      <c r="H816" s="335"/>
      <c r="I816" s="229"/>
      <c r="J816" s="229"/>
      <c r="K816" s="336"/>
      <c r="L816" s="337"/>
      <c r="M816" s="337"/>
      <c r="N816" s="337"/>
      <c r="O816" s="337"/>
      <c r="P816" s="337"/>
      <c r="Q816" s="384">
        <v>8110</v>
      </c>
      <c r="R816" s="271">
        <f t="shared" si="61"/>
        <v>0</v>
      </c>
      <c r="S816" s="339">
        <f t="shared" si="63"/>
        <v>0</v>
      </c>
      <c r="T816" s="373"/>
      <c r="U816" s="373">
        <f>FA!L$99</f>
        <v>0</v>
      </c>
      <c r="V816" s="274"/>
      <c r="W816" s="374"/>
      <c r="X816" s="375"/>
      <c r="Y816" s="45" t="s">
        <v>624</v>
      </c>
      <c r="Z816" s="376"/>
      <c r="AA816" s="240"/>
      <c r="AB816" s="345">
        <v>1</v>
      </c>
      <c r="AC816" s="271"/>
      <c r="AD816" s="272"/>
      <c r="AE816" s="273"/>
      <c r="AF816" s="273"/>
      <c r="AG816" s="274"/>
      <c r="AH816" s="275"/>
      <c r="AI816" s="272"/>
      <c r="AJ816" s="276"/>
      <c r="AK816" s="277"/>
      <c r="AL816" s="278"/>
      <c r="AM816" s="277"/>
      <c r="AN816" s="279"/>
      <c r="AO816" s="279"/>
      <c r="AP816" s="279"/>
      <c r="AQ816" s="378"/>
      <c r="AR816" s="305">
        <f>'预算书-初步'!$F$10</f>
        <v>0.09</v>
      </c>
      <c r="AT816" s="272"/>
      <c r="BC816" s="272" t="s">
        <v>521</v>
      </c>
      <c r="BD816" s="380">
        <v>1088</v>
      </c>
      <c r="BE816" s="347" t="s">
        <v>703</v>
      </c>
    </row>
    <row r="817" s="52" customFormat="1" ht="15.75" customHeight="1" spans="1:57">
      <c r="A817" s="227"/>
      <c r="B817" s="332"/>
      <c r="C817" s="228"/>
      <c r="D817" s="333"/>
      <c r="E817" s="334"/>
      <c r="F817" s="229"/>
      <c r="G817" s="333"/>
      <c r="H817" s="335"/>
      <c r="I817" s="229"/>
      <c r="J817" s="229"/>
      <c r="K817" s="336"/>
      <c r="L817" s="337"/>
      <c r="M817" s="337"/>
      <c r="N817" s="337"/>
      <c r="O817" s="337"/>
      <c r="P817" s="337"/>
      <c r="Q817" s="384">
        <v>8120</v>
      </c>
      <c r="R817" s="271">
        <f t="shared" si="61"/>
        <v>0</v>
      </c>
      <c r="S817" s="339">
        <f t="shared" si="63"/>
        <v>0</v>
      </c>
      <c r="T817" s="373"/>
      <c r="U817" s="373">
        <f>FA!L$100</f>
        <v>0</v>
      </c>
      <c r="V817" s="274"/>
      <c r="W817" s="374"/>
      <c r="X817" s="375"/>
      <c r="Y817" s="385" t="s">
        <v>625</v>
      </c>
      <c r="Z817" s="376"/>
      <c r="AA817" s="240"/>
      <c r="AB817" s="345">
        <v>1</v>
      </c>
      <c r="AC817" s="271"/>
      <c r="AD817" s="272"/>
      <c r="AE817" s="273"/>
      <c r="AF817" s="273"/>
      <c r="AG817" s="274"/>
      <c r="AH817" s="275"/>
      <c r="AI817" s="272"/>
      <c r="AJ817" s="276"/>
      <c r="AK817" s="277"/>
      <c r="AL817" s="278"/>
      <c r="AM817" s="277"/>
      <c r="AN817" s="279"/>
      <c r="AO817" s="279"/>
      <c r="AP817" s="279"/>
      <c r="AQ817" s="378"/>
      <c r="AR817" s="305">
        <f>'预算书-初步'!$F$10</f>
        <v>0.09</v>
      </c>
      <c r="AT817" s="272"/>
      <c r="BC817" s="272" t="s">
        <v>521</v>
      </c>
      <c r="BD817" s="380">
        <v>1089</v>
      </c>
      <c r="BE817" s="347" t="s">
        <v>703</v>
      </c>
    </row>
    <row r="818" s="52" customFormat="1" ht="15.75" customHeight="1" spans="1:57">
      <c r="A818" s="227"/>
      <c r="B818" s="332"/>
      <c r="C818" s="228"/>
      <c r="D818" s="333"/>
      <c r="E818" s="334"/>
      <c r="F818" s="229"/>
      <c r="G818" s="333"/>
      <c r="H818" s="335"/>
      <c r="I818" s="229"/>
      <c r="J818" s="229"/>
      <c r="K818" s="336"/>
      <c r="L818" s="337"/>
      <c r="M818" s="337"/>
      <c r="N818" s="337"/>
      <c r="O818" s="337"/>
      <c r="P818" s="337"/>
      <c r="Q818" s="384">
        <v>8130</v>
      </c>
      <c r="R818" s="271">
        <f t="shared" si="61"/>
        <v>0</v>
      </c>
      <c r="S818" s="339">
        <f t="shared" si="63"/>
        <v>0</v>
      </c>
      <c r="T818" s="373"/>
      <c r="U818" s="373">
        <f>FA!L$101</f>
        <v>0</v>
      </c>
      <c r="V818" s="274"/>
      <c r="W818" s="374"/>
      <c r="X818" s="375"/>
      <c r="Y818" s="365" t="s">
        <v>626</v>
      </c>
      <c r="Z818" s="376"/>
      <c r="AA818" s="240"/>
      <c r="AB818" s="345">
        <v>1</v>
      </c>
      <c r="AC818" s="271"/>
      <c r="AD818" s="272"/>
      <c r="AE818" s="273"/>
      <c r="AF818" s="273"/>
      <c r="AG818" s="274"/>
      <c r="AH818" s="275"/>
      <c r="AI818" s="272"/>
      <c r="AJ818" s="276"/>
      <c r="AK818" s="277"/>
      <c r="AL818" s="278"/>
      <c r="AM818" s="277"/>
      <c r="AN818" s="279"/>
      <c r="AO818" s="279"/>
      <c r="AP818" s="279"/>
      <c r="AQ818" s="378"/>
      <c r="AR818" s="305">
        <f>'预算书-初步'!$F$10</f>
        <v>0.09</v>
      </c>
      <c r="AT818" s="272"/>
      <c r="BC818" s="272" t="s">
        <v>521</v>
      </c>
      <c r="BD818" s="380">
        <v>1090</v>
      </c>
      <c r="BE818" s="347" t="s">
        <v>703</v>
      </c>
    </row>
    <row r="819" s="52" customFormat="1" ht="15.75" customHeight="1" spans="1:57">
      <c r="A819" s="227"/>
      <c r="B819" s="332"/>
      <c r="C819" s="228"/>
      <c r="D819" s="333"/>
      <c r="E819" s="334"/>
      <c r="F819" s="229"/>
      <c r="G819" s="333"/>
      <c r="H819" s="335"/>
      <c r="I819" s="229"/>
      <c r="J819" s="229"/>
      <c r="K819" s="336"/>
      <c r="L819" s="337"/>
      <c r="M819" s="337"/>
      <c r="N819" s="337"/>
      <c r="O819" s="337"/>
      <c r="P819" s="337"/>
      <c r="Q819" s="384">
        <v>8140</v>
      </c>
      <c r="R819" s="271">
        <f t="shared" si="61"/>
        <v>0</v>
      </c>
      <c r="S819" s="339">
        <f t="shared" si="63"/>
        <v>0</v>
      </c>
      <c r="T819" s="373"/>
      <c r="U819" s="373">
        <f>FA!L$102</f>
        <v>0</v>
      </c>
      <c r="V819" s="274"/>
      <c r="W819" s="374"/>
      <c r="X819" s="375"/>
      <c r="Y819" s="385" t="s">
        <v>627</v>
      </c>
      <c r="Z819" s="376"/>
      <c r="AA819" s="240"/>
      <c r="AB819" s="345">
        <v>1</v>
      </c>
      <c r="AC819" s="271"/>
      <c r="AD819" s="272"/>
      <c r="AE819" s="273"/>
      <c r="AF819" s="273"/>
      <c r="AG819" s="274"/>
      <c r="AH819" s="275"/>
      <c r="AI819" s="272"/>
      <c r="AJ819" s="276"/>
      <c r="AK819" s="277"/>
      <c r="AL819" s="278"/>
      <c r="AM819" s="277"/>
      <c r="AN819" s="279"/>
      <c r="AO819" s="279"/>
      <c r="AP819" s="279"/>
      <c r="AQ819" s="378"/>
      <c r="AR819" s="305">
        <f>'预算书-初步'!$F$10</f>
        <v>0.09</v>
      </c>
      <c r="AT819" s="272"/>
      <c r="BC819" s="272" t="s">
        <v>521</v>
      </c>
      <c r="BD819" s="380">
        <v>1091</v>
      </c>
      <c r="BE819" s="347" t="s">
        <v>703</v>
      </c>
    </row>
    <row r="820" s="52" customFormat="1" ht="15.75" customHeight="1" spans="1:57">
      <c r="A820" s="227"/>
      <c r="B820" s="332"/>
      <c r="C820" s="228"/>
      <c r="D820" s="333"/>
      <c r="E820" s="334"/>
      <c r="F820" s="229"/>
      <c r="G820" s="333"/>
      <c r="H820" s="335"/>
      <c r="I820" s="229"/>
      <c r="J820" s="229"/>
      <c r="K820" s="336"/>
      <c r="L820" s="337"/>
      <c r="M820" s="337"/>
      <c r="N820" s="337"/>
      <c r="O820" s="337"/>
      <c r="P820" s="337"/>
      <c r="Q820" s="384">
        <v>8150</v>
      </c>
      <c r="R820" s="271">
        <f t="shared" si="61"/>
        <v>0</v>
      </c>
      <c r="S820" s="339">
        <f t="shared" si="63"/>
        <v>0</v>
      </c>
      <c r="T820" s="373"/>
      <c r="U820" s="373">
        <f>FA!L$103</f>
        <v>0</v>
      </c>
      <c r="V820" s="274"/>
      <c r="W820" s="374"/>
      <c r="X820" s="375"/>
      <c r="Y820" s="365" t="s">
        <v>628</v>
      </c>
      <c r="Z820" s="376"/>
      <c r="AA820" s="240"/>
      <c r="AB820" s="345">
        <v>1</v>
      </c>
      <c r="AC820" s="271"/>
      <c r="AD820" s="272"/>
      <c r="AE820" s="273"/>
      <c r="AF820" s="273"/>
      <c r="AG820" s="274"/>
      <c r="AH820" s="275"/>
      <c r="AI820" s="272"/>
      <c r="AJ820" s="276"/>
      <c r="AK820" s="277"/>
      <c r="AL820" s="278"/>
      <c r="AM820" s="277"/>
      <c r="AN820" s="279"/>
      <c r="AO820" s="279"/>
      <c r="AP820" s="279"/>
      <c r="AQ820" s="378"/>
      <c r="AR820" s="305">
        <f>'预算书-初步'!$F$10</f>
        <v>0.09</v>
      </c>
      <c r="AT820" s="272"/>
      <c r="BC820" s="272" t="s">
        <v>521</v>
      </c>
      <c r="BD820" s="380">
        <v>1092</v>
      </c>
      <c r="BE820" s="347" t="s">
        <v>703</v>
      </c>
    </row>
    <row r="821" s="52" customFormat="1" ht="15.75" customHeight="1" spans="1:57">
      <c r="A821" s="227"/>
      <c r="B821" s="332"/>
      <c r="C821" s="228"/>
      <c r="D821" s="333"/>
      <c r="E821" s="334"/>
      <c r="F821" s="229"/>
      <c r="G821" s="333"/>
      <c r="H821" s="335"/>
      <c r="I821" s="229"/>
      <c r="J821" s="229"/>
      <c r="K821" s="336"/>
      <c r="L821" s="337"/>
      <c r="M821" s="337"/>
      <c r="N821" s="337"/>
      <c r="O821" s="337"/>
      <c r="P821" s="337"/>
      <c r="Q821" s="384">
        <v>8160</v>
      </c>
      <c r="R821" s="271">
        <f t="shared" si="61"/>
        <v>0</v>
      </c>
      <c r="S821" s="339">
        <f t="shared" si="63"/>
        <v>0</v>
      </c>
      <c r="T821" s="373"/>
      <c r="U821" s="373">
        <f>FA!L$104</f>
        <v>0</v>
      </c>
      <c r="V821" s="274"/>
      <c r="W821" s="374"/>
      <c r="X821" s="375"/>
      <c r="Y821" s="365" t="s">
        <v>629</v>
      </c>
      <c r="Z821" s="376"/>
      <c r="AA821" s="240"/>
      <c r="AB821" s="345">
        <v>1</v>
      </c>
      <c r="AC821" s="271"/>
      <c r="AD821" s="272"/>
      <c r="AE821" s="273"/>
      <c r="AF821" s="273"/>
      <c r="AG821" s="274"/>
      <c r="AH821" s="275"/>
      <c r="AI821" s="272"/>
      <c r="AJ821" s="276"/>
      <c r="AK821" s="277"/>
      <c r="AL821" s="278"/>
      <c r="AM821" s="277"/>
      <c r="AN821" s="279"/>
      <c r="AO821" s="279"/>
      <c r="AP821" s="279"/>
      <c r="AQ821" s="378"/>
      <c r="AR821" s="305">
        <f>'预算书-初步'!$F$10</f>
        <v>0.09</v>
      </c>
      <c r="AT821" s="272"/>
      <c r="BC821" s="272" t="s">
        <v>521</v>
      </c>
      <c r="BD821" s="380">
        <v>1093</v>
      </c>
      <c r="BE821" s="347" t="s">
        <v>703</v>
      </c>
    </row>
    <row r="822" s="52" customFormat="1" ht="15.75" customHeight="1" spans="1:57">
      <c r="A822" s="227"/>
      <c r="B822" s="332"/>
      <c r="C822" s="228"/>
      <c r="D822" s="333"/>
      <c r="E822" s="334"/>
      <c r="F822" s="229"/>
      <c r="G822" s="333"/>
      <c r="H822" s="335"/>
      <c r="I822" s="229"/>
      <c r="J822" s="229"/>
      <c r="K822" s="336"/>
      <c r="L822" s="337"/>
      <c r="M822" s="337"/>
      <c r="N822" s="337"/>
      <c r="O822" s="337"/>
      <c r="P822" s="337"/>
      <c r="Q822" s="384">
        <v>8170</v>
      </c>
      <c r="R822" s="271">
        <f t="shared" si="61"/>
        <v>0</v>
      </c>
      <c r="S822" s="339">
        <f t="shared" si="63"/>
        <v>0</v>
      </c>
      <c r="T822" s="373"/>
      <c r="U822" s="373">
        <f>FA!L$105</f>
        <v>0</v>
      </c>
      <c r="V822" s="274"/>
      <c r="W822" s="374"/>
      <c r="X822" s="375"/>
      <c r="Y822" s="365" t="s">
        <v>630</v>
      </c>
      <c r="Z822" s="376"/>
      <c r="AA822" s="240"/>
      <c r="AB822" s="345">
        <v>1</v>
      </c>
      <c r="AC822" s="271"/>
      <c r="AD822" s="272"/>
      <c r="AE822" s="273"/>
      <c r="AF822" s="273"/>
      <c r="AG822" s="274"/>
      <c r="AH822" s="275"/>
      <c r="AI822" s="272"/>
      <c r="AJ822" s="276"/>
      <c r="AK822" s="277"/>
      <c r="AL822" s="278"/>
      <c r="AM822" s="277"/>
      <c r="AN822" s="279"/>
      <c r="AO822" s="279"/>
      <c r="AP822" s="279"/>
      <c r="AQ822" s="378"/>
      <c r="AR822" s="305">
        <f>'预算书-初步'!$F$10</f>
        <v>0.09</v>
      </c>
      <c r="AT822" s="272"/>
      <c r="BC822" s="272" t="s">
        <v>521</v>
      </c>
      <c r="BD822" s="380">
        <v>1094</v>
      </c>
      <c r="BE822" s="347" t="s">
        <v>703</v>
      </c>
    </row>
    <row r="823" s="52" customFormat="1" ht="15.75" customHeight="1" spans="1:57">
      <c r="A823" s="227"/>
      <c r="B823" s="332"/>
      <c r="C823" s="228"/>
      <c r="D823" s="333"/>
      <c r="E823" s="334"/>
      <c r="F823" s="229"/>
      <c r="G823" s="333"/>
      <c r="H823" s="335"/>
      <c r="I823" s="229"/>
      <c r="J823" s="229"/>
      <c r="K823" s="336"/>
      <c r="L823" s="337"/>
      <c r="M823" s="337"/>
      <c r="N823" s="337"/>
      <c r="O823" s="337"/>
      <c r="P823" s="337"/>
      <c r="Q823" s="384">
        <v>8180</v>
      </c>
      <c r="R823" s="271">
        <f t="shared" si="61"/>
        <v>0</v>
      </c>
      <c r="S823" s="339">
        <f t="shared" si="63"/>
        <v>0</v>
      </c>
      <c r="T823" s="373"/>
      <c r="U823" s="373">
        <f>FA!L$106</f>
        <v>0</v>
      </c>
      <c r="V823" s="274"/>
      <c r="W823" s="374"/>
      <c r="X823" s="375"/>
      <c r="Y823" s="386" t="s">
        <v>631</v>
      </c>
      <c r="Z823" s="376"/>
      <c r="AA823" s="240"/>
      <c r="AB823" s="345">
        <v>1</v>
      </c>
      <c r="AC823" s="271"/>
      <c r="AD823" s="272"/>
      <c r="AE823" s="273"/>
      <c r="AF823" s="273"/>
      <c r="AG823" s="274"/>
      <c r="AH823" s="275"/>
      <c r="AI823" s="272"/>
      <c r="AJ823" s="276"/>
      <c r="AK823" s="277"/>
      <c r="AL823" s="278"/>
      <c r="AM823" s="277"/>
      <c r="AN823" s="279"/>
      <c r="AO823" s="279"/>
      <c r="AP823" s="279"/>
      <c r="AQ823" s="378"/>
      <c r="AR823" s="305">
        <f>'预算书-初步'!$F$10</f>
        <v>0.09</v>
      </c>
      <c r="AT823" s="272"/>
      <c r="BC823" s="272" t="s">
        <v>521</v>
      </c>
      <c r="BD823" s="380">
        <v>1095</v>
      </c>
      <c r="BE823" s="347" t="s">
        <v>703</v>
      </c>
    </row>
    <row r="824" s="52" customFormat="1" ht="15.75" customHeight="1" spans="1:57">
      <c r="A824" s="227"/>
      <c r="B824" s="332"/>
      <c r="C824" s="228"/>
      <c r="D824" s="333"/>
      <c r="E824" s="334"/>
      <c r="F824" s="229"/>
      <c r="G824" s="333"/>
      <c r="H824" s="335"/>
      <c r="I824" s="229"/>
      <c r="J824" s="229"/>
      <c r="K824" s="336"/>
      <c r="L824" s="337"/>
      <c r="M824" s="337"/>
      <c r="N824" s="337"/>
      <c r="O824" s="337"/>
      <c r="P824" s="337"/>
      <c r="Q824" s="384">
        <v>8190</v>
      </c>
      <c r="R824" s="271">
        <f t="shared" si="61"/>
        <v>0</v>
      </c>
      <c r="S824" s="339">
        <f t="shared" si="63"/>
        <v>0</v>
      </c>
      <c r="T824" s="373"/>
      <c r="U824" s="373">
        <f>FA!L$107</f>
        <v>0</v>
      </c>
      <c r="V824" s="274"/>
      <c r="W824" s="374"/>
      <c r="X824" s="375"/>
      <c r="Y824" s="45" t="s">
        <v>632</v>
      </c>
      <c r="Z824" s="376"/>
      <c r="AA824" s="240"/>
      <c r="AB824" s="345">
        <v>1</v>
      </c>
      <c r="AC824" s="271"/>
      <c r="AD824" s="272"/>
      <c r="AE824" s="273"/>
      <c r="AF824" s="273"/>
      <c r="AG824" s="274"/>
      <c r="AH824" s="275"/>
      <c r="AI824" s="272"/>
      <c r="AJ824" s="276"/>
      <c r="AK824" s="277"/>
      <c r="AL824" s="278"/>
      <c r="AM824" s="277"/>
      <c r="AN824" s="279"/>
      <c r="AO824" s="279"/>
      <c r="AP824" s="279"/>
      <c r="AQ824" s="378"/>
      <c r="AR824" s="305">
        <f>'预算书-初步'!$F$10</f>
        <v>0.09</v>
      </c>
      <c r="AT824" s="272"/>
      <c r="BC824" s="272" t="s">
        <v>521</v>
      </c>
      <c r="BD824" s="380">
        <v>1096</v>
      </c>
      <c r="BE824" s="347" t="s">
        <v>703</v>
      </c>
    </row>
    <row r="825" s="52" customFormat="1" ht="15.75" customHeight="1" spans="1:57">
      <c r="A825" s="227"/>
      <c r="B825" s="332"/>
      <c r="C825" s="228"/>
      <c r="D825" s="333"/>
      <c r="E825" s="334"/>
      <c r="F825" s="229"/>
      <c r="G825" s="333"/>
      <c r="H825" s="335"/>
      <c r="I825" s="229"/>
      <c r="J825" s="229"/>
      <c r="K825" s="336"/>
      <c r="L825" s="337"/>
      <c r="M825" s="337"/>
      <c r="N825" s="337"/>
      <c r="O825" s="337"/>
      <c r="P825" s="337"/>
      <c r="Q825" s="381">
        <v>8210</v>
      </c>
      <c r="R825" s="271">
        <f t="shared" si="61"/>
        <v>0</v>
      </c>
      <c r="S825" s="339">
        <f t="shared" si="63"/>
        <v>0</v>
      </c>
      <c r="T825" s="373"/>
      <c r="U825" s="373">
        <f>SUMIF(其他!$A$9:$A$65,"8210",其他!$M$9:M$65)</f>
        <v>0</v>
      </c>
      <c r="V825" s="274"/>
      <c r="W825" s="374"/>
      <c r="X825" s="375"/>
      <c r="Y825" s="45" t="s">
        <v>633</v>
      </c>
      <c r="Z825" s="376"/>
      <c r="AA825" s="240"/>
      <c r="AB825" s="345">
        <v>1</v>
      </c>
      <c r="AC825" s="271"/>
      <c r="AD825" s="272"/>
      <c r="AE825" s="273"/>
      <c r="AF825" s="273"/>
      <c r="AG825" s="274"/>
      <c r="AH825" s="275"/>
      <c r="AI825" s="272"/>
      <c r="AJ825" s="276"/>
      <c r="AK825" s="277"/>
      <c r="AL825" s="278"/>
      <c r="AM825" s="277"/>
      <c r="AN825" s="279"/>
      <c r="AO825" s="279"/>
      <c r="AP825" s="279"/>
      <c r="AQ825" s="378"/>
      <c r="AR825" s="305">
        <f>'预算书-初步'!$F$10</f>
        <v>0.09</v>
      </c>
      <c r="AT825" s="272"/>
      <c r="BC825" s="272" t="s">
        <v>521</v>
      </c>
      <c r="BD825" s="380">
        <v>1098</v>
      </c>
      <c r="BE825" s="347" t="s">
        <v>703</v>
      </c>
    </row>
    <row r="826" s="52" customFormat="1" ht="15.75" customHeight="1" spans="1:57">
      <c r="A826" s="227"/>
      <c r="B826" s="332"/>
      <c r="C826" s="228"/>
      <c r="D826" s="333"/>
      <c r="E826" s="334"/>
      <c r="F826" s="229"/>
      <c r="G826" s="333"/>
      <c r="H826" s="335"/>
      <c r="I826" s="229"/>
      <c r="J826" s="229"/>
      <c r="K826" s="336"/>
      <c r="L826" s="337"/>
      <c r="M826" s="337"/>
      <c r="N826" s="337"/>
      <c r="O826" s="337"/>
      <c r="P826" s="337"/>
      <c r="Q826" s="381">
        <v>8220</v>
      </c>
      <c r="R826" s="271">
        <f t="shared" si="61"/>
        <v>0</v>
      </c>
      <c r="S826" s="339">
        <f t="shared" si="63"/>
        <v>0</v>
      </c>
      <c r="T826" s="373"/>
      <c r="U826" s="373">
        <f>SUMIF(其他!$A$9:$A$65,"8220",其他!$M$9:M$65)</f>
        <v>0</v>
      </c>
      <c r="V826" s="274"/>
      <c r="W826" s="374"/>
      <c r="X826" s="375"/>
      <c r="Y826" s="45" t="s">
        <v>634</v>
      </c>
      <c r="Z826" s="376"/>
      <c r="AA826" s="240"/>
      <c r="AB826" s="345">
        <v>1</v>
      </c>
      <c r="AC826" s="271"/>
      <c r="AD826" s="272"/>
      <c r="AE826" s="273"/>
      <c r="AF826" s="273"/>
      <c r="AG826" s="274"/>
      <c r="AH826" s="275"/>
      <c r="AI826" s="272"/>
      <c r="AJ826" s="276"/>
      <c r="AK826" s="277"/>
      <c r="AL826" s="278"/>
      <c r="AM826" s="277"/>
      <c r="AN826" s="279"/>
      <c r="AO826" s="279"/>
      <c r="AP826" s="279"/>
      <c r="AQ826" s="378"/>
      <c r="AR826" s="305">
        <f>'预算书-初步'!$F$10</f>
        <v>0.09</v>
      </c>
      <c r="AT826" s="272"/>
      <c r="BC826" s="272" t="s">
        <v>521</v>
      </c>
      <c r="BD826" s="380">
        <v>1098</v>
      </c>
      <c r="BE826" s="347" t="s">
        <v>703</v>
      </c>
    </row>
    <row r="827" s="52" customFormat="1" ht="15.75" customHeight="1" spans="1:57">
      <c r="A827" s="227"/>
      <c r="B827" s="332"/>
      <c r="C827" s="228"/>
      <c r="D827" s="333"/>
      <c r="E827" s="334"/>
      <c r="F827" s="229"/>
      <c r="G827" s="333"/>
      <c r="H827" s="335"/>
      <c r="I827" s="229"/>
      <c r="J827" s="229"/>
      <c r="K827" s="336"/>
      <c r="L827" s="337"/>
      <c r="M827" s="337"/>
      <c r="N827" s="337"/>
      <c r="O827" s="337"/>
      <c r="P827" s="337"/>
      <c r="Q827" s="381">
        <v>8230</v>
      </c>
      <c r="R827" s="271">
        <f t="shared" si="61"/>
        <v>0</v>
      </c>
      <c r="S827" s="339">
        <f t="shared" si="63"/>
        <v>0</v>
      </c>
      <c r="T827" s="373"/>
      <c r="U827" s="373">
        <f>SUMIF(其他!$A$9:$A$65,"8230",其他!$M$9:M$65)</f>
        <v>0</v>
      </c>
      <c r="V827" s="274"/>
      <c r="W827" s="374"/>
      <c r="X827" s="375"/>
      <c r="Y827" s="45" t="s">
        <v>635</v>
      </c>
      <c r="Z827" s="376"/>
      <c r="AA827" s="240"/>
      <c r="AB827" s="345">
        <v>1</v>
      </c>
      <c r="AC827" s="271"/>
      <c r="AD827" s="272"/>
      <c r="AE827" s="273"/>
      <c r="AF827" s="273"/>
      <c r="AG827" s="274"/>
      <c r="AH827" s="275"/>
      <c r="AI827" s="272"/>
      <c r="AJ827" s="276"/>
      <c r="AK827" s="277"/>
      <c r="AL827" s="278"/>
      <c r="AM827" s="277"/>
      <c r="AN827" s="279"/>
      <c r="AO827" s="279"/>
      <c r="AP827" s="279"/>
      <c r="AQ827" s="378"/>
      <c r="AR827" s="305">
        <f>'预算书-初步'!$F$10</f>
        <v>0.09</v>
      </c>
      <c r="AT827" s="272"/>
      <c r="BC827" s="272" t="s">
        <v>521</v>
      </c>
      <c r="BD827" s="380">
        <v>1098</v>
      </c>
      <c r="BE827" s="347" t="s">
        <v>703</v>
      </c>
    </row>
    <row r="828" s="52" customFormat="1" ht="15.75" customHeight="1" spans="1:57">
      <c r="A828" s="227"/>
      <c r="B828" s="332"/>
      <c r="C828" s="228"/>
      <c r="D828" s="333"/>
      <c r="E828" s="334"/>
      <c r="F828" s="229"/>
      <c r="G828" s="333"/>
      <c r="H828" s="335"/>
      <c r="I828" s="229"/>
      <c r="J828" s="229"/>
      <c r="K828" s="336"/>
      <c r="L828" s="337"/>
      <c r="M828" s="337"/>
      <c r="N828" s="337"/>
      <c r="O828" s="337"/>
      <c r="P828" s="337"/>
      <c r="Q828" s="381">
        <v>8240</v>
      </c>
      <c r="R828" s="271">
        <f t="shared" si="61"/>
        <v>0</v>
      </c>
      <c r="S828" s="339">
        <f t="shared" si="63"/>
        <v>0</v>
      </c>
      <c r="T828" s="373"/>
      <c r="U828" s="373">
        <f>FA!L$110</f>
        <v>0</v>
      </c>
      <c r="V828" s="274"/>
      <c r="W828" s="374"/>
      <c r="X828" s="375"/>
      <c r="Y828" s="45" t="s">
        <v>636</v>
      </c>
      <c r="Z828" s="376"/>
      <c r="AA828" s="240"/>
      <c r="AB828" s="345">
        <v>1</v>
      </c>
      <c r="AC828" s="271"/>
      <c r="AD828" s="272"/>
      <c r="AE828" s="273"/>
      <c r="AF828" s="273"/>
      <c r="AG828" s="274"/>
      <c r="AH828" s="275"/>
      <c r="AI828" s="272"/>
      <c r="AJ828" s="276"/>
      <c r="AK828" s="277"/>
      <c r="AL828" s="278"/>
      <c r="AM828" s="277"/>
      <c r="AN828" s="279"/>
      <c r="AO828" s="279"/>
      <c r="AP828" s="279"/>
      <c r="AQ828" s="378"/>
      <c r="AR828" s="305">
        <f>'预算书-初步'!$F$10</f>
        <v>0.09</v>
      </c>
      <c r="AT828" s="272"/>
      <c r="BC828" s="272" t="s">
        <v>521</v>
      </c>
      <c r="BD828" s="380">
        <v>1099</v>
      </c>
      <c r="BE828" s="347" t="s">
        <v>703</v>
      </c>
    </row>
    <row r="829" s="52" customFormat="1" ht="15.75" customHeight="1" spans="1:57">
      <c r="A829" s="227"/>
      <c r="B829" s="332"/>
      <c r="C829" s="228"/>
      <c r="D829" s="333"/>
      <c r="E829" s="334"/>
      <c r="F829" s="229"/>
      <c r="G829" s="333"/>
      <c r="H829" s="335"/>
      <c r="I829" s="229"/>
      <c r="J829" s="229"/>
      <c r="K829" s="336"/>
      <c r="L829" s="337"/>
      <c r="M829" s="337"/>
      <c r="N829" s="337"/>
      <c r="O829" s="337"/>
      <c r="P829" s="337"/>
      <c r="Q829" s="381">
        <v>8250</v>
      </c>
      <c r="R829" s="271">
        <f t="shared" si="61"/>
        <v>0</v>
      </c>
      <c r="S829" s="339">
        <f t="shared" si="63"/>
        <v>0</v>
      </c>
      <c r="T829" s="373"/>
      <c r="U829" s="373">
        <f>FA!L$111</f>
        <v>0</v>
      </c>
      <c r="V829" s="274"/>
      <c r="W829" s="374"/>
      <c r="X829" s="375"/>
      <c r="Y829" s="45" t="s">
        <v>637</v>
      </c>
      <c r="Z829" s="376"/>
      <c r="AA829" s="240"/>
      <c r="AB829" s="345">
        <v>1</v>
      </c>
      <c r="AC829" s="271"/>
      <c r="AD829" s="272"/>
      <c r="AE829" s="273"/>
      <c r="AF829" s="273"/>
      <c r="AG829" s="274"/>
      <c r="AH829" s="275"/>
      <c r="AI829" s="272"/>
      <c r="AJ829" s="276"/>
      <c r="AK829" s="277"/>
      <c r="AL829" s="278"/>
      <c r="AM829" s="277"/>
      <c r="AN829" s="279"/>
      <c r="AO829" s="279"/>
      <c r="AP829" s="279"/>
      <c r="AQ829" s="378"/>
      <c r="AR829" s="305">
        <f>'预算书-初步'!$F$10</f>
        <v>0.09</v>
      </c>
      <c r="AT829" s="272"/>
      <c r="BC829" s="272" t="s">
        <v>521</v>
      </c>
      <c r="BD829" s="380">
        <v>1100</v>
      </c>
      <c r="BE829" s="347" t="s">
        <v>703</v>
      </c>
    </row>
    <row r="830" s="52" customFormat="1" ht="15.75" customHeight="1" spans="1:57">
      <c r="A830" s="227"/>
      <c r="B830" s="332"/>
      <c r="C830" s="228"/>
      <c r="D830" s="333"/>
      <c r="E830" s="334"/>
      <c r="F830" s="229"/>
      <c r="G830" s="333"/>
      <c r="H830" s="335"/>
      <c r="I830" s="229"/>
      <c r="J830" s="229"/>
      <c r="K830" s="336"/>
      <c r="L830" s="337"/>
      <c r="M830" s="337"/>
      <c r="N830" s="337"/>
      <c r="O830" s="337"/>
      <c r="P830" s="337"/>
      <c r="Q830" s="384">
        <v>8260</v>
      </c>
      <c r="R830" s="271">
        <f t="shared" si="61"/>
        <v>0</v>
      </c>
      <c r="S830" s="339">
        <f t="shared" si="63"/>
        <v>0</v>
      </c>
      <c r="T830" s="373"/>
      <c r="U830" s="373">
        <f>FA!L$112</f>
        <v>0</v>
      </c>
      <c r="V830" s="274"/>
      <c r="W830" s="374"/>
      <c r="X830" s="375"/>
      <c r="Y830" s="45" t="s">
        <v>638</v>
      </c>
      <c r="Z830" s="376"/>
      <c r="AA830" s="240"/>
      <c r="AB830" s="345">
        <v>1</v>
      </c>
      <c r="AC830" s="271"/>
      <c r="AD830" s="272"/>
      <c r="AE830" s="273"/>
      <c r="AF830" s="273"/>
      <c r="AG830" s="274"/>
      <c r="AH830" s="275"/>
      <c r="AI830" s="272"/>
      <c r="AJ830" s="276"/>
      <c r="AK830" s="277"/>
      <c r="AL830" s="278"/>
      <c r="AM830" s="277"/>
      <c r="AN830" s="279"/>
      <c r="AO830" s="279"/>
      <c r="AP830" s="279"/>
      <c r="AQ830" s="378"/>
      <c r="AR830" s="305">
        <f>'预算书-初步'!$F$10</f>
        <v>0.09</v>
      </c>
      <c r="AT830" s="272"/>
      <c r="BC830" s="272" t="s">
        <v>521</v>
      </c>
      <c r="BD830" s="380">
        <v>1101</v>
      </c>
      <c r="BE830" s="347" t="s">
        <v>703</v>
      </c>
    </row>
    <row r="831" s="52" customFormat="1" ht="15.75" customHeight="1" spans="1:57">
      <c r="A831" s="227"/>
      <c r="B831" s="332"/>
      <c r="C831" s="228"/>
      <c r="D831" s="333"/>
      <c r="E831" s="334"/>
      <c r="F831" s="229"/>
      <c r="G831" s="333"/>
      <c r="H831" s="335"/>
      <c r="I831" s="229"/>
      <c r="J831" s="229"/>
      <c r="K831" s="336"/>
      <c r="L831" s="337"/>
      <c r="M831" s="337"/>
      <c r="N831" s="337"/>
      <c r="O831" s="337"/>
      <c r="P831" s="337"/>
      <c r="Q831" s="384">
        <v>8431</v>
      </c>
      <c r="R831" s="271">
        <f t="shared" si="61"/>
        <v>0</v>
      </c>
      <c r="S831" s="339">
        <f t="shared" si="63"/>
        <v>0</v>
      </c>
      <c r="T831" s="373"/>
      <c r="U831" s="373">
        <f>SUMIF(其他!$A$9:$A$65,"8431",其他!$M$9:M$65)</f>
        <v>0</v>
      </c>
      <c r="V831" s="274"/>
      <c r="W831" s="374"/>
      <c r="X831" s="375"/>
      <c r="Y831" s="45" t="s">
        <v>639</v>
      </c>
      <c r="Z831" s="376"/>
      <c r="AA831" s="240"/>
      <c r="AB831" s="345">
        <v>1</v>
      </c>
      <c r="AC831" s="271"/>
      <c r="AD831" s="272"/>
      <c r="AE831" s="273"/>
      <c r="AF831" s="273"/>
      <c r="AG831" s="274"/>
      <c r="AH831" s="275"/>
      <c r="AI831" s="272"/>
      <c r="AJ831" s="276"/>
      <c r="AK831" s="277"/>
      <c r="AL831" s="278"/>
      <c r="AM831" s="277"/>
      <c r="AN831" s="279"/>
      <c r="AO831" s="279"/>
      <c r="AP831" s="279"/>
      <c r="AQ831" s="378"/>
      <c r="AR831" s="305">
        <f>'预算书-初步'!$F$10</f>
        <v>0.09</v>
      </c>
      <c r="AT831" s="272"/>
      <c r="BC831" s="272" t="s">
        <v>521</v>
      </c>
      <c r="BD831" s="380">
        <v>1102</v>
      </c>
      <c r="BE831" s="347" t="s">
        <v>703</v>
      </c>
    </row>
    <row r="832" s="52" customFormat="1" ht="15.75" customHeight="1" spans="1:57">
      <c r="A832" s="227"/>
      <c r="B832" s="332"/>
      <c r="C832" s="228"/>
      <c r="D832" s="333"/>
      <c r="E832" s="334"/>
      <c r="F832" s="229"/>
      <c r="G832" s="333"/>
      <c r="H832" s="335"/>
      <c r="I832" s="229"/>
      <c r="J832" s="229"/>
      <c r="K832" s="336"/>
      <c r="L832" s="337"/>
      <c r="M832" s="337"/>
      <c r="N832" s="337"/>
      <c r="O832" s="337"/>
      <c r="P832" s="337"/>
      <c r="Q832" s="384">
        <v>8432</v>
      </c>
      <c r="R832" s="271">
        <f t="shared" si="61"/>
        <v>0</v>
      </c>
      <c r="S832" s="339">
        <f t="shared" si="63"/>
        <v>0</v>
      </c>
      <c r="T832" s="373"/>
      <c r="U832" s="373">
        <f>SUMIF(其他!$A$9:$A$65,"8432",其他!$M$9:M$65)</f>
        <v>0</v>
      </c>
      <c r="V832" s="274"/>
      <c r="W832" s="374"/>
      <c r="X832" s="375"/>
      <c r="Y832" s="45" t="s">
        <v>640</v>
      </c>
      <c r="Z832" s="376"/>
      <c r="AA832" s="240"/>
      <c r="AB832" s="345">
        <v>1</v>
      </c>
      <c r="AC832" s="271"/>
      <c r="AD832" s="272"/>
      <c r="AE832" s="273"/>
      <c r="AF832" s="273"/>
      <c r="AG832" s="274"/>
      <c r="AH832" s="275"/>
      <c r="AI832" s="272"/>
      <c r="AJ832" s="276"/>
      <c r="AK832" s="277"/>
      <c r="AL832" s="278"/>
      <c r="AM832" s="277"/>
      <c r="AN832" s="279"/>
      <c r="AO832" s="279"/>
      <c r="AP832" s="279"/>
      <c r="AQ832" s="378"/>
      <c r="AR832" s="305">
        <f>'预算书-初步'!$F$10</f>
        <v>0.09</v>
      </c>
      <c r="AT832" s="272"/>
      <c r="BC832" s="272" t="s">
        <v>521</v>
      </c>
      <c r="BD832" s="380">
        <v>1102</v>
      </c>
      <c r="BE832" s="347" t="s">
        <v>703</v>
      </c>
    </row>
    <row r="833" s="52" customFormat="1" ht="15.75" customHeight="1" spans="1:57">
      <c r="A833" s="227"/>
      <c r="B833" s="332"/>
      <c r="C833" s="228"/>
      <c r="D833" s="333"/>
      <c r="E833" s="334"/>
      <c r="F833" s="229"/>
      <c r="G833" s="333"/>
      <c r="H833" s="335"/>
      <c r="I833" s="229"/>
      <c r="J833" s="229"/>
      <c r="K833" s="336"/>
      <c r="L833" s="337"/>
      <c r="M833" s="337"/>
      <c r="N833" s="337"/>
      <c r="O833" s="337"/>
      <c r="P833" s="337"/>
      <c r="Q833" s="384">
        <v>8433</v>
      </c>
      <c r="R833" s="271">
        <f t="shared" si="61"/>
        <v>0</v>
      </c>
      <c r="S833" s="339">
        <f t="shared" si="63"/>
        <v>0</v>
      </c>
      <c r="T833" s="373"/>
      <c r="U833" s="373">
        <f>SUMIF(其他!$A$9:$A$65,"8433",其他!$M$9:M$65)</f>
        <v>0</v>
      </c>
      <c r="V833" s="274"/>
      <c r="W833" s="374"/>
      <c r="X833" s="375"/>
      <c r="Y833" s="45" t="s">
        <v>641</v>
      </c>
      <c r="Z833" s="376"/>
      <c r="AA833" s="240"/>
      <c r="AB833" s="345">
        <v>1</v>
      </c>
      <c r="AC833" s="271"/>
      <c r="AD833" s="272"/>
      <c r="AE833" s="273"/>
      <c r="AF833" s="273"/>
      <c r="AG833" s="274"/>
      <c r="AH833" s="275"/>
      <c r="AI833" s="272"/>
      <c r="AJ833" s="276"/>
      <c r="AK833" s="277"/>
      <c r="AL833" s="278"/>
      <c r="AM833" s="277"/>
      <c r="AN833" s="279"/>
      <c r="AO833" s="279"/>
      <c r="AP833" s="279"/>
      <c r="AQ833" s="378"/>
      <c r="AR833" s="305">
        <f>'预算书-初步'!$F$10</f>
        <v>0.09</v>
      </c>
      <c r="AT833" s="272"/>
      <c r="BC833" s="272" t="s">
        <v>521</v>
      </c>
      <c r="BD833" s="380">
        <v>1102</v>
      </c>
      <c r="BE833" s="347" t="s">
        <v>703</v>
      </c>
    </row>
    <row r="834" s="52" customFormat="1" ht="15.75" customHeight="1" spans="1:57">
      <c r="A834" s="227"/>
      <c r="B834" s="332"/>
      <c r="C834" s="228"/>
      <c r="D834" s="333"/>
      <c r="E834" s="334"/>
      <c r="F834" s="229"/>
      <c r="G834" s="333"/>
      <c r="H834" s="335"/>
      <c r="I834" s="229"/>
      <c r="J834" s="229"/>
      <c r="K834" s="336"/>
      <c r="L834" s="337"/>
      <c r="M834" s="337"/>
      <c r="N834" s="337"/>
      <c r="O834" s="337"/>
      <c r="P834" s="337"/>
      <c r="Q834" s="384">
        <v>8434</v>
      </c>
      <c r="R834" s="271">
        <f t="shared" si="61"/>
        <v>0</v>
      </c>
      <c r="S834" s="339">
        <f t="shared" si="63"/>
        <v>0</v>
      </c>
      <c r="T834" s="373"/>
      <c r="U834" s="373">
        <f>SUMIF(其他!$A$9:$A$65,"8434",其他!$M$9:M$65)</f>
        <v>0</v>
      </c>
      <c r="V834" s="274"/>
      <c r="W834" s="374"/>
      <c r="X834" s="375"/>
      <c r="Y834" s="386" t="s">
        <v>642</v>
      </c>
      <c r="Z834" s="376"/>
      <c r="AA834" s="240"/>
      <c r="AB834" s="345">
        <v>1</v>
      </c>
      <c r="AC834" s="271"/>
      <c r="AD834" s="272"/>
      <c r="AE834" s="273"/>
      <c r="AF834" s="273"/>
      <c r="AG834" s="274"/>
      <c r="AH834" s="275"/>
      <c r="AI834" s="272"/>
      <c r="AJ834" s="276"/>
      <c r="AK834" s="277"/>
      <c r="AL834" s="278"/>
      <c r="AM834" s="277"/>
      <c r="AN834" s="279"/>
      <c r="AO834" s="279"/>
      <c r="AP834" s="279"/>
      <c r="AQ834" s="378"/>
      <c r="AR834" s="305">
        <f>'预算书-初步'!$F$10</f>
        <v>0.09</v>
      </c>
      <c r="AT834" s="272"/>
      <c r="BC834" s="272" t="s">
        <v>521</v>
      </c>
      <c r="BD834" s="380">
        <v>1102</v>
      </c>
      <c r="BE834" s="347" t="s">
        <v>703</v>
      </c>
    </row>
    <row r="835" s="52" customFormat="1" ht="15.75" customHeight="1" spans="1:57">
      <c r="A835" s="227"/>
      <c r="B835" s="332"/>
      <c r="C835" s="228"/>
      <c r="D835" s="333"/>
      <c r="E835" s="334"/>
      <c r="F835" s="229"/>
      <c r="G835" s="333"/>
      <c r="H835" s="335"/>
      <c r="I835" s="229"/>
      <c r="J835" s="229"/>
      <c r="K835" s="336"/>
      <c r="L835" s="337"/>
      <c r="M835" s="337"/>
      <c r="N835" s="337"/>
      <c r="O835" s="337"/>
      <c r="P835" s="337"/>
      <c r="Q835" s="384">
        <v>8435</v>
      </c>
      <c r="R835" s="271">
        <f t="shared" si="61"/>
        <v>0</v>
      </c>
      <c r="S835" s="339">
        <f t="shared" si="63"/>
        <v>0</v>
      </c>
      <c r="T835" s="373"/>
      <c r="U835" s="373">
        <f>SUMIF(其他!$A$9:$A$65,"8435",其他!$M$9:M$65)</f>
        <v>0</v>
      </c>
      <c r="V835" s="274"/>
      <c r="W835" s="374"/>
      <c r="X835" s="375"/>
      <c r="Y835" s="385" t="s">
        <v>643</v>
      </c>
      <c r="Z835" s="376"/>
      <c r="AA835" s="240"/>
      <c r="AB835" s="345">
        <v>1</v>
      </c>
      <c r="AC835" s="271"/>
      <c r="AD835" s="272"/>
      <c r="AE835" s="273"/>
      <c r="AF835" s="273"/>
      <c r="AG835" s="274"/>
      <c r="AH835" s="275"/>
      <c r="AI835" s="272"/>
      <c r="AJ835" s="276"/>
      <c r="AK835" s="277"/>
      <c r="AL835" s="278"/>
      <c r="AM835" s="277"/>
      <c r="AN835" s="279"/>
      <c r="AO835" s="279"/>
      <c r="AP835" s="279"/>
      <c r="AQ835" s="378"/>
      <c r="AR835" s="305">
        <f>'预算书-初步'!$F$10</f>
        <v>0.09</v>
      </c>
      <c r="AT835" s="272"/>
      <c r="BC835" s="272" t="s">
        <v>521</v>
      </c>
      <c r="BD835" s="380">
        <v>1102</v>
      </c>
      <c r="BE835" s="347" t="s">
        <v>703</v>
      </c>
    </row>
    <row r="836" s="52" customFormat="1" ht="15.75" customHeight="1" spans="1:57">
      <c r="A836" s="227"/>
      <c r="B836" s="332"/>
      <c r="C836" s="228"/>
      <c r="D836" s="333"/>
      <c r="E836" s="334"/>
      <c r="F836" s="229"/>
      <c r="G836" s="333"/>
      <c r="H836" s="335"/>
      <c r="I836" s="229"/>
      <c r="J836" s="229"/>
      <c r="K836" s="336"/>
      <c r="L836" s="337"/>
      <c r="M836" s="337"/>
      <c r="N836" s="337"/>
      <c r="O836" s="337"/>
      <c r="P836" s="337"/>
      <c r="Q836" s="384">
        <v>8436</v>
      </c>
      <c r="R836" s="271">
        <f t="shared" si="61"/>
        <v>0</v>
      </c>
      <c r="S836" s="339">
        <f t="shared" si="63"/>
        <v>0</v>
      </c>
      <c r="T836" s="373"/>
      <c r="U836" s="373">
        <f>SUMIF(其他!$A$9:$A$65,"8436",其他!$M$9:M$65)</f>
        <v>0</v>
      </c>
      <c r="V836" s="274"/>
      <c r="W836" s="374"/>
      <c r="X836" s="375"/>
      <c r="Y836" s="385" t="s">
        <v>644</v>
      </c>
      <c r="Z836" s="376"/>
      <c r="AA836" s="240"/>
      <c r="AB836" s="345">
        <v>1</v>
      </c>
      <c r="AC836" s="271"/>
      <c r="AD836" s="272"/>
      <c r="AE836" s="273"/>
      <c r="AF836" s="273"/>
      <c r="AG836" s="274"/>
      <c r="AH836" s="275"/>
      <c r="AI836" s="272"/>
      <c r="AJ836" s="276"/>
      <c r="AK836" s="277"/>
      <c r="AL836" s="278"/>
      <c r="AM836" s="277"/>
      <c r="AN836" s="279"/>
      <c r="AO836" s="279"/>
      <c r="AP836" s="279"/>
      <c r="AQ836" s="378"/>
      <c r="AR836" s="305">
        <f>'预算书-初步'!$F$10</f>
        <v>0.09</v>
      </c>
      <c r="AT836" s="272"/>
      <c r="BC836" s="272" t="s">
        <v>521</v>
      </c>
      <c r="BD836" s="380">
        <v>1102</v>
      </c>
      <c r="BE836" s="347" t="s">
        <v>703</v>
      </c>
    </row>
    <row r="837" s="52" customFormat="1" ht="15.75" customHeight="1" spans="1:57">
      <c r="A837" s="227"/>
      <c r="B837" s="332"/>
      <c r="C837" s="228"/>
      <c r="D837" s="333"/>
      <c r="E837" s="334"/>
      <c r="F837" s="229"/>
      <c r="G837" s="333"/>
      <c r="H837" s="335"/>
      <c r="I837" s="229"/>
      <c r="J837" s="229"/>
      <c r="K837" s="336"/>
      <c r="L837" s="337"/>
      <c r="M837" s="337"/>
      <c r="N837" s="337"/>
      <c r="O837" s="337"/>
      <c r="P837" s="337"/>
      <c r="Q837" s="384">
        <v>8280</v>
      </c>
      <c r="R837" s="271">
        <f t="shared" si="61"/>
        <v>0</v>
      </c>
      <c r="S837" s="339">
        <f t="shared" si="63"/>
        <v>0</v>
      </c>
      <c r="T837" s="373"/>
      <c r="U837" s="373">
        <f>FA!L$114</f>
        <v>0</v>
      </c>
      <c r="V837" s="274"/>
      <c r="W837" s="374"/>
      <c r="X837" s="375"/>
      <c r="Y837" s="385" t="s">
        <v>645</v>
      </c>
      <c r="Z837" s="376"/>
      <c r="AA837" s="240"/>
      <c r="AB837" s="345">
        <v>1</v>
      </c>
      <c r="AC837" s="271"/>
      <c r="AD837" s="272"/>
      <c r="AE837" s="273"/>
      <c r="AF837" s="273"/>
      <c r="AG837" s="274"/>
      <c r="AH837" s="275"/>
      <c r="AI837" s="272"/>
      <c r="AJ837" s="276"/>
      <c r="AK837" s="277"/>
      <c r="AL837" s="278"/>
      <c r="AM837" s="277"/>
      <c r="AN837" s="279"/>
      <c r="AO837" s="279"/>
      <c r="AP837" s="279"/>
      <c r="AQ837" s="378"/>
      <c r="AR837" s="305">
        <f>'预算书-初步'!$F$10</f>
        <v>0.09</v>
      </c>
      <c r="AT837" s="272"/>
      <c r="BC837" s="272" t="s">
        <v>521</v>
      </c>
      <c r="BD837" s="380">
        <v>1103</v>
      </c>
      <c r="BE837" s="347" t="s">
        <v>703</v>
      </c>
    </row>
    <row r="838" s="52" customFormat="1" ht="15.75" customHeight="1" spans="1:57">
      <c r="A838" s="227"/>
      <c r="B838" s="332"/>
      <c r="C838" s="228"/>
      <c r="D838" s="333"/>
      <c r="E838" s="334"/>
      <c r="F838" s="229"/>
      <c r="G838" s="333"/>
      <c r="H838" s="335"/>
      <c r="I838" s="229"/>
      <c r="J838" s="229"/>
      <c r="K838" s="336"/>
      <c r="L838" s="337"/>
      <c r="M838" s="337"/>
      <c r="N838" s="337"/>
      <c r="O838" s="337"/>
      <c r="P838" s="337"/>
      <c r="Q838" s="384">
        <v>8321</v>
      </c>
      <c r="R838" s="271">
        <f t="shared" ref="R838:R901" si="64">ROUND(U838*(1+AR838),0)</f>
        <v>0</v>
      </c>
      <c r="S838" s="339">
        <f t="shared" si="63"/>
        <v>0</v>
      </c>
      <c r="T838" s="373"/>
      <c r="U838" s="373">
        <f>FA!L$117</f>
        <v>0</v>
      </c>
      <c r="V838" s="274"/>
      <c r="W838" s="374"/>
      <c r="X838" s="375"/>
      <c r="Y838" s="385" t="s">
        <v>646</v>
      </c>
      <c r="Z838" s="376"/>
      <c r="AA838" s="240"/>
      <c r="AB838" s="345">
        <v>1</v>
      </c>
      <c r="AC838" s="271"/>
      <c r="AD838" s="272"/>
      <c r="AE838" s="273"/>
      <c r="AF838" s="273"/>
      <c r="AG838" s="274"/>
      <c r="AH838" s="275"/>
      <c r="AI838" s="272"/>
      <c r="AJ838" s="276"/>
      <c r="AK838" s="277"/>
      <c r="AL838" s="278"/>
      <c r="AM838" s="277"/>
      <c r="AN838" s="279"/>
      <c r="AO838" s="279"/>
      <c r="AP838" s="279"/>
      <c r="AQ838" s="378"/>
      <c r="AR838" s="305">
        <f>'预算书-初步'!$F$10</f>
        <v>0.09</v>
      </c>
      <c r="AT838" s="272"/>
      <c r="BC838" s="272" t="s">
        <v>521</v>
      </c>
      <c r="BD838" s="380">
        <v>1106</v>
      </c>
      <c r="BE838" s="347" t="s">
        <v>703</v>
      </c>
    </row>
    <row r="839" s="52" customFormat="1" ht="15.75" customHeight="1" spans="1:57">
      <c r="A839" s="227"/>
      <c r="B839" s="332"/>
      <c r="C839" s="228"/>
      <c r="D839" s="333"/>
      <c r="E839" s="334"/>
      <c r="F839" s="229"/>
      <c r="G839" s="333"/>
      <c r="H839" s="335"/>
      <c r="I839" s="229"/>
      <c r="J839" s="229"/>
      <c r="K839" s="336"/>
      <c r="L839" s="337"/>
      <c r="M839" s="337"/>
      <c r="N839" s="337"/>
      <c r="O839" s="337"/>
      <c r="P839" s="337"/>
      <c r="Q839" s="384">
        <v>8322</v>
      </c>
      <c r="R839" s="271">
        <f t="shared" si="64"/>
        <v>0</v>
      </c>
      <c r="S839" s="339">
        <f t="shared" si="63"/>
        <v>0</v>
      </c>
      <c r="T839" s="373"/>
      <c r="U839" s="373">
        <f>FA!L$118</f>
        <v>0</v>
      </c>
      <c r="V839" s="274"/>
      <c r="W839" s="374"/>
      <c r="X839" s="375"/>
      <c r="Y839" s="385" t="s">
        <v>647</v>
      </c>
      <c r="Z839" s="376"/>
      <c r="AA839" s="240"/>
      <c r="AB839" s="345">
        <v>1</v>
      </c>
      <c r="AC839" s="271"/>
      <c r="AD839" s="272"/>
      <c r="AE839" s="273"/>
      <c r="AF839" s="273"/>
      <c r="AG839" s="274"/>
      <c r="AH839" s="275"/>
      <c r="AI839" s="272"/>
      <c r="AJ839" s="276"/>
      <c r="AK839" s="277"/>
      <c r="AL839" s="278"/>
      <c r="AM839" s="277"/>
      <c r="AN839" s="279"/>
      <c r="AO839" s="279"/>
      <c r="AP839" s="279"/>
      <c r="AQ839" s="378"/>
      <c r="AR839" s="305">
        <f>'预算书-初步'!$F$10</f>
        <v>0.09</v>
      </c>
      <c r="AT839" s="272"/>
      <c r="BC839" s="272" t="s">
        <v>521</v>
      </c>
      <c r="BD839" s="380">
        <v>1107</v>
      </c>
      <c r="BE839" s="347" t="s">
        <v>703</v>
      </c>
    </row>
    <row r="840" s="52" customFormat="1" ht="15.75" customHeight="1" spans="1:57">
      <c r="A840" s="227"/>
      <c r="B840" s="332"/>
      <c r="C840" s="228"/>
      <c r="D840" s="333"/>
      <c r="E840" s="334"/>
      <c r="F840" s="229"/>
      <c r="G840" s="333"/>
      <c r="H840" s="335"/>
      <c r="I840" s="229"/>
      <c r="J840" s="229"/>
      <c r="K840" s="336"/>
      <c r="L840" s="337"/>
      <c r="M840" s="337"/>
      <c r="N840" s="337"/>
      <c r="O840" s="337"/>
      <c r="P840" s="337"/>
      <c r="Q840" s="384">
        <v>8323</v>
      </c>
      <c r="R840" s="271">
        <f t="shared" si="64"/>
        <v>0</v>
      </c>
      <c r="S840" s="339">
        <f t="shared" si="63"/>
        <v>0</v>
      </c>
      <c r="T840" s="373"/>
      <c r="U840" s="373">
        <f>SUMIF(其他!$A$9:$A$65,"8323",其他!$M$9:M$65)</f>
        <v>0</v>
      </c>
      <c r="V840" s="274"/>
      <c r="W840" s="374"/>
      <c r="X840" s="375"/>
      <c r="Y840" s="45" t="s">
        <v>648</v>
      </c>
      <c r="Z840" s="376"/>
      <c r="AA840" s="240"/>
      <c r="AB840" s="345">
        <v>1</v>
      </c>
      <c r="AC840" s="271"/>
      <c r="AD840" s="272"/>
      <c r="AE840" s="273"/>
      <c r="AF840" s="273"/>
      <c r="AG840" s="274"/>
      <c r="AH840" s="275"/>
      <c r="AI840" s="272"/>
      <c r="AJ840" s="276"/>
      <c r="AK840" s="277"/>
      <c r="AL840" s="278"/>
      <c r="AM840" s="277"/>
      <c r="AN840" s="279"/>
      <c r="AO840" s="279"/>
      <c r="AP840" s="279"/>
      <c r="AQ840" s="378"/>
      <c r="AR840" s="305">
        <f>'预算书-初步'!$F$10</f>
        <v>0.09</v>
      </c>
      <c r="AT840" s="272"/>
      <c r="BC840" s="272" t="s">
        <v>521</v>
      </c>
      <c r="BD840" s="380">
        <v>1108</v>
      </c>
      <c r="BE840" s="347" t="s">
        <v>703</v>
      </c>
    </row>
    <row r="841" s="52" customFormat="1" ht="15.75" customHeight="1" spans="1:57">
      <c r="A841" s="227"/>
      <c r="B841" s="332"/>
      <c r="C841" s="228"/>
      <c r="D841" s="333"/>
      <c r="E841" s="334"/>
      <c r="F841" s="229"/>
      <c r="G841" s="333"/>
      <c r="H841" s="335"/>
      <c r="I841" s="229"/>
      <c r="J841" s="229"/>
      <c r="K841" s="336"/>
      <c r="L841" s="337"/>
      <c r="M841" s="337"/>
      <c r="N841" s="337"/>
      <c r="O841" s="337"/>
      <c r="P841" s="337"/>
      <c r="Q841" s="384">
        <v>8324</v>
      </c>
      <c r="R841" s="271">
        <f t="shared" si="64"/>
        <v>0</v>
      </c>
      <c r="S841" s="339">
        <f t="shared" si="63"/>
        <v>0</v>
      </c>
      <c r="T841" s="373"/>
      <c r="U841" s="373">
        <f>SUMIF(其他!$A$9:$A$65,"8324",其他!$M$9:M$65)</f>
        <v>0</v>
      </c>
      <c r="V841" s="274"/>
      <c r="W841" s="374"/>
      <c r="X841" s="375"/>
      <c r="Y841" s="385" t="s">
        <v>649</v>
      </c>
      <c r="Z841" s="376"/>
      <c r="AA841" s="240"/>
      <c r="AB841" s="345">
        <v>1</v>
      </c>
      <c r="AC841" s="271"/>
      <c r="AD841" s="272"/>
      <c r="AE841" s="273"/>
      <c r="AF841" s="273"/>
      <c r="AG841" s="274"/>
      <c r="AH841" s="275"/>
      <c r="AI841" s="272"/>
      <c r="AJ841" s="276"/>
      <c r="AK841" s="277"/>
      <c r="AL841" s="278"/>
      <c r="AM841" s="277"/>
      <c r="AN841" s="279"/>
      <c r="AO841" s="279"/>
      <c r="AP841" s="279"/>
      <c r="AQ841" s="378"/>
      <c r="AR841" s="305">
        <f>'预算书-初步'!$F$10</f>
        <v>0.09</v>
      </c>
      <c r="AT841" s="272"/>
      <c r="BC841" s="272" t="s">
        <v>521</v>
      </c>
      <c r="BD841" s="380">
        <v>1108</v>
      </c>
      <c r="BE841" s="347" t="s">
        <v>703</v>
      </c>
    </row>
    <row r="842" s="52" customFormat="1" ht="15.75" customHeight="1" spans="1:57">
      <c r="A842" s="227"/>
      <c r="B842" s="332"/>
      <c r="C842" s="228"/>
      <c r="D842" s="333"/>
      <c r="E842" s="334"/>
      <c r="F842" s="229"/>
      <c r="G842" s="333"/>
      <c r="H842" s="335"/>
      <c r="I842" s="229"/>
      <c r="J842" s="229"/>
      <c r="K842" s="336"/>
      <c r="L842" s="337"/>
      <c r="M842" s="337"/>
      <c r="N842" s="337"/>
      <c r="O842" s="337"/>
      <c r="P842" s="337"/>
      <c r="Q842" s="384">
        <v>8325</v>
      </c>
      <c r="R842" s="271">
        <f t="shared" si="64"/>
        <v>0</v>
      </c>
      <c r="S842" s="339">
        <f t="shared" si="63"/>
        <v>0</v>
      </c>
      <c r="T842" s="373"/>
      <c r="U842" s="373">
        <f>FA!L$120</f>
        <v>0</v>
      </c>
      <c r="V842" s="274"/>
      <c r="W842" s="374"/>
      <c r="X842" s="375"/>
      <c r="Y842" s="388" t="s">
        <v>650</v>
      </c>
      <c r="Z842" s="376"/>
      <c r="AA842" s="240"/>
      <c r="AB842" s="345">
        <v>1</v>
      </c>
      <c r="AC842" s="271"/>
      <c r="AD842" s="272"/>
      <c r="AE842" s="273"/>
      <c r="AF842" s="273"/>
      <c r="AG842" s="274"/>
      <c r="AH842" s="275"/>
      <c r="AI842" s="272"/>
      <c r="AJ842" s="276"/>
      <c r="AK842" s="277"/>
      <c r="AL842" s="278"/>
      <c r="AM842" s="277"/>
      <c r="AN842" s="279"/>
      <c r="AO842" s="279"/>
      <c r="AP842" s="279"/>
      <c r="AQ842" s="378"/>
      <c r="AR842" s="305">
        <f>'预算书-初步'!$F$10</f>
        <v>0.09</v>
      </c>
      <c r="AT842" s="272"/>
      <c r="BC842" s="272" t="s">
        <v>521</v>
      </c>
      <c r="BD842" s="380">
        <v>1109</v>
      </c>
      <c r="BE842" s="347" t="s">
        <v>703</v>
      </c>
    </row>
    <row r="843" s="52" customFormat="1" ht="15.75" customHeight="1" spans="1:57">
      <c r="A843" s="227"/>
      <c r="B843" s="332"/>
      <c r="C843" s="228"/>
      <c r="D843" s="333"/>
      <c r="E843" s="334"/>
      <c r="F843" s="229"/>
      <c r="G843" s="333"/>
      <c r="H843" s="335"/>
      <c r="I843" s="229"/>
      <c r="J843" s="229"/>
      <c r="K843" s="336"/>
      <c r="L843" s="337"/>
      <c r="M843" s="337"/>
      <c r="N843" s="337"/>
      <c r="O843" s="337"/>
      <c r="P843" s="337"/>
      <c r="Q843" s="384">
        <v>8326</v>
      </c>
      <c r="R843" s="271">
        <f t="shared" si="64"/>
        <v>0</v>
      </c>
      <c r="S843" s="339">
        <f t="shared" si="63"/>
        <v>0</v>
      </c>
      <c r="T843" s="373"/>
      <c r="U843" s="373">
        <f>FA!L$121</f>
        <v>0</v>
      </c>
      <c r="V843" s="274"/>
      <c r="W843" s="374"/>
      <c r="X843" s="375"/>
      <c r="Y843" s="45" t="s">
        <v>651</v>
      </c>
      <c r="Z843" s="376"/>
      <c r="AA843" s="240"/>
      <c r="AB843" s="345">
        <v>1</v>
      </c>
      <c r="AC843" s="271"/>
      <c r="AD843" s="272"/>
      <c r="AE843" s="273"/>
      <c r="AF843" s="273"/>
      <c r="AG843" s="274"/>
      <c r="AH843" s="275"/>
      <c r="AI843" s="272"/>
      <c r="AJ843" s="276"/>
      <c r="AK843" s="277"/>
      <c r="AL843" s="278"/>
      <c r="AM843" s="277"/>
      <c r="AN843" s="279"/>
      <c r="AO843" s="279"/>
      <c r="AP843" s="279"/>
      <c r="AQ843" s="378"/>
      <c r="AR843" s="305">
        <f>'预算书-初步'!$F$10</f>
        <v>0.09</v>
      </c>
      <c r="AT843" s="272"/>
      <c r="BC843" s="272" t="s">
        <v>521</v>
      </c>
      <c r="BD843" s="380">
        <v>1110</v>
      </c>
      <c r="BE843" s="347" t="s">
        <v>703</v>
      </c>
    </row>
    <row r="844" s="52" customFormat="1" ht="15.75" customHeight="1" spans="1:57">
      <c r="A844" s="227"/>
      <c r="B844" s="332"/>
      <c r="C844" s="228"/>
      <c r="D844" s="333"/>
      <c r="E844" s="334"/>
      <c r="F844" s="229"/>
      <c r="G844" s="333"/>
      <c r="H844" s="335"/>
      <c r="I844" s="229"/>
      <c r="J844" s="229"/>
      <c r="K844" s="336"/>
      <c r="L844" s="337"/>
      <c r="M844" s="337"/>
      <c r="N844" s="337"/>
      <c r="O844" s="337"/>
      <c r="P844" s="337"/>
      <c r="Q844" s="384">
        <v>8327</v>
      </c>
      <c r="R844" s="271">
        <f t="shared" si="64"/>
        <v>0</v>
      </c>
      <c r="S844" s="339">
        <f t="shared" si="63"/>
        <v>0</v>
      </c>
      <c r="T844" s="373"/>
      <c r="U844" s="373">
        <f>FA!L$122</f>
        <v>0</v>
      </c>
      <c r="V844" s="274"/>
      <c r="W844" s="374"/>
      <c r="X844" s="375"/>
      <c r="Y844" s="385" t="s">
        <v>652</v>
      </c>
      <c r="Z844" s="376"/>
      <c r="AA844" s="240"/>
      <c r="AB844" s="345">
        <v>1</v>
      </c>
      <c r="AC844" s="271"/>
      <c r="AD844" s="272"/>
      <c r="AE844" s="273"/>
      <c r="AF844" s="273"/>
      <c r="AG844" s="274"/>
      <c r="AH844" s="275"/>
      <c r="AI844" s="272"/>
      <c r="AJ844" s="276"/>
      <c r="AK844" s="277"/>
      <c r="AL844" s="278"/>
      <c r="AM844" s="277"/>
      <c r="AN844" s="279"/>
      <c r="AO844" s="279"/>
      <c r="AP844" s="279"/>
      <c r="AQ844" s="378"/>
      <c r="AR844" s="305">
        <f>'预算书-初步'!$F$10</f>
        <v>0.09</v>
      </c>
      <c r="AT844" s="272"/>
      <c r="BC844" s="272" t="s">
        <v>521</v>
      </c>
      <c r="BD844" s="380">
        <v>1111</v>
      </c>
      <c r="BE844" s="347" t="s">
        <v>703</v>
      </c>
    </row>
    <row r="845" s="52" customFormat="1" ht="15.75" customHeight="1" spans="1:57">
      <c r="A845" s="227"/>
      <c r="B845" s="332"/>
      <c r="C845" s="228"/>
      <c r="D845" s="333"/>
      <c r="E845" s="334"/>
      <c r="F845" s="229"/>
      <c r="G845" s="333"/>
      <c r="H845" s="335"/>
      <c r="I845" s="229"/>
      <c r="J845" s="229"/>
      <c r="K845" s="336"/>
      <c r="L845" s="337"/>
      <c r="M845" s="337"/>
      <c r="N845" s="337"/>
      <c r="O845" s="337"/>
      <c r="P845" s="337"/>
      <c r="Q845" s="384">
        <v>8328</v>
      </c>
      <c r="R845" s="271">
        <f t="shared" si="64"/>
        <v>0</v>
      </c>
      <c r="S845" s="339">
        <f t="shared" si="63"/>
        <v>0</v>
      </c>
      <c r="T845" s="373"/>
      <c r="U845" s="373">
        <f>FA!L$123</f>
        <v>0</v>
      </c>
      <c r="V845" s="274"/>
      <c r="W845" s="374"/>
      <c r="X845" s="375"/>
      <c r="Y845" s="45" t="s">
        <v>653</v>
      </c>
      <c r="Z845" s="376"/>
      <c r="AA845" s="240"/>
      <c r="AB845" s="345">
        <v>1</v>
      </c>
      <c r="AC845" s="271"/>
      <c r="AD845" s="272"/>
      <c r="AE845" s="273"/>
      <c r="AF845" s="273"/>
      <c r="AG845" s="274"/>
      <c r="AH845" s="275"/>
      <c r="AI845" s="272"/>
      <c r="AJ845" s="276"/>
      <c r="AK845" s="277"/>
      <c r="AL845" s="278"/>
      <c r="AM845" s="277"/>
      <c r="AN845" s="279"/>
      <c r="AO845" s="279"/>
      <c r="AP845" s="279"/>
      <c r="AQ845" s="378"/>
      <c r="AR845" s="305">
        <f>'预算书-初步'!$F$10</f>
        <v>0.09</v>
      </c>
      <c r="AT845" s="272"/>
      <c r="BC845" s="272" t="s">
        <v>521</v>
      </c>
      <c r="BD845" s="380">
        <v>1112</v>
      </c>
      <c r="BE845" s="347" t="s">
        <v>703</v>
      </c>
    </row>
    <row r="846" s="52" customFormat="1" ht="15.75" customHeight="1" spans="1:57">
      <c r="A846" s="227"/>
      <c r="B846" s="332"/>
      <c r="C846" s="228"/>
      <c r="D846" s="333"/>
      <c r="E846" s="334"/>
      <c r="F846" s="229"/>
      <c r="G846" s="333"/>
      <c r="H846" s="335"/>
      <c r="I846" s="229"/>
      <c r="J846" s="229"/>
      <c r="K846" s="336"/>
      <c r="L846" s="337"/>
      <c r="M846" s="337"/>
      <c r="N846" s="337"/>
      <c r="O846" s="337"/>
      <c r="P846" s="337"/>
      <c r="Q846" s="384">
        <v>8331</v>
      </c>
      <c r="R846" s="271">
        <f t="shared" si="64"/>
        <v>0</v>
      </c>
      <c r="S846" s="339">
        <f t="shared" si="63"/>
        <v>0</v>
      </c>
      <c r="T846" s="373"/>
      <c r="U846" s="373">
        <f>FA!L$124</f>
        <v>0</v>
      </c>
      <c r="V846" s="274"/>
      <c r="W846" s="374"/>
      <c r="X846" s="375"/>
      <c r="Y846" s="45" t="s">
        <v>654</v>
      </c>
      <c r="Z846" s="376"/>
      <c r="AA846" s="240"/>
      <c r="AB846" s="345">
        <v>1</v>
      </c>
      <c r="AC846" s="271"/>
      <c r="AD846" s="272"/>
      <c r="AE846" s="273"/>
      <c r="AF846" s="273"/>
      <c r="AG846" s="274"/>
      <c r="AH846" s="275"/>
      <c r="AI846" s="272"/>
      <c r="AJ846" s="276"/>
      <c r="AK846" s="277"/>
      <c r="AL846" s="278"/>
      <c r="AM846" s="277"/>
      <c r="AN846" s="279"/>
      <c r="AO846" s="279"/>
      <c r="AP846" s="279"/>
      <c r="AQ846" s="378"/>
      <c r="AR846" s="305">
        <f>'预算书-初步'!$F$10</f>
        <v>0.09</v>
      </c>
      <c r="AT846" s="272"/>
      <c r="BC846" s="272" t="s">
        <v>521</v>
      </c>
      <c r="BD846" s="380">
        <v>1113</v>
      </c>
      <c r="BE846" s="347" t="s">
        <v>703</v>
      </c>
    </row>
    <row r="847" s="52" customFormat="1" ht="15.75" customHeight="1" spans="1:57">
      <c r="A847" s="227"/>
      <c r="B847" s="332"/>
      <c r="C847" s="228"/>
      <c r="D847" s="333"/>
      <c r="E847" s="334"/>
      <c r="F847" s="229"/>
      <c r="G847" s="333"/>
      <c r="H847" s="335"/>
      <c r="I847" s="229"/>
      <c r="J847" s="229"/>
      <c r="K847" s="336"/>
      <c r="L847" s="337"/>
      <c r="M847" s="337"/>
      <c r="N847" s="337"/>
      <c r="O847" s="337"/>
      <c r="P847" s="337"/>
      <c r="Q847" s="384">
        <v>8332</v>
      </c>
      <c r="R847" s="271">
        <f t="shared" si="64"/>
        <v>0</v>
      </c>
      <c r="S847" s="339">
        <f t="shared" si="63"/>
        <v>0</v>
      </c>
      <c r="T847" s="373"/>
      <c r="U847" s="373">
        <f>FA!L$125</f>
        <v>0</v>
      </c>
      <c r="V847" s="274"/>
      <c r="W847" s="374"/>
      <c r="X847" s="375"/>
      <c r="Y847" s="45" t="s">
        <v>655</v>
      </c>
      <c r="Z847" s="376"/>
      <c r="AA847" s="240"/>
      <c r="AB847" s="345">
        <v>1</v>
      </c>
      <c r="AC847" s="271"/>
      <c r="AD847" s="272"/>
      <c r="AE847" s="273"/>
      <c r="AF847" s="273"/>
      <c r="AG847" s="274"/>
      <c r="AH847" s="275"/>
      <c r="AI847" s="272"/>
      <c r="AJ847" s="276"/>
      <c r="AK847" s="277"/>
      <c r="AL847" s="278"/>
      <c r="AM847" s="277"/>
      <c r="AN847" s="279"/>
      <c r="AO847" s="279"/>
      <c r="AP847" s="279"/>
      <c r="AQ847" s="378"/>
      <c r="AR847" s="305">
        <f>'预算书-初步'!$F$10</f>
        <v>0.09</v>
      </c>
      <c r="AT847" s="272"/>
      <c r="BC847" s="272" t="s">
        <v>521</v>
      </c>
      <c r="BD847" s="380">
        <v>1114</v>
      </c>
      <c r="BE847" s="347" t="s">
        <v>703</v>
      </c>
    </row>
    <row r="848" s="52" customFormat="1" ht="15.75" customHeight="1" spans="1:57">
      <c r="A848" s="227"/>
      <c r="B848" s="332"/>
      <c r="C848" s="228"/>
      <c r="D848" s="333"/>
      <c r="E848" s="334"/>
      <c r="F848" s="229"/>
      <c r="G848" s="333"/>
      <c r="H848" s="335"/>
      <c r="I848" s="229"/>
      <c r="J848" s="229"/>
      <c r="K848" s="336"/>
      <c r="L848" s="337"/>
      <c r="M848" s="337"/>
      <c r="N848" s="337"/>
      <c r="O848" s="337"/>
      <c r="P848" s="337"/>
      <c r="Q848" s="384">
        <v>8333</v>
      </c>
      <c r="R848" s="271">
        <f t="shared" si="64"/>
        <v>0</v>
      </c>
      <c r="S848" s="339">
        <f t="shared" si="63"/>
        <v>0</v>
      </c>
      <c r="T848" s="373"/>
      <c r="U848" s="373">
        <f>FA!L$126</f>
        <v>0</v>
      </c>
      <c r="V848" s="274"/>
      <c r="W848" s="374"/>
      <c r="X848" s="375"/>
      <c r="Y848" s="388" t="s">
        <v>656</v>
      </c>
      <c r="Z848" s="376"/>
      <c r="AA848" s="240"/>
      <c r="AB848" s="345">
        <v>1</v>
      </c>
      <c r="AC848" s="271"/>
      <c r="AD848" s="272"/>
      <c r="AE848" s="273"/>
      <c r="AF848" s="273"/>
      <c r="AG848" s="274"/>
      <c r="AH848" s="275"/>
      <c r="AI848" s="272"/>
      <c r="AJ848" s="276"/>
      <c r="AK848" s="277"/>
      <c r="AL848" s="278"/>
      <c r="AM848" s="277"/>
      <c r="AN848" s="279"/>
      <c r="AO848" s="279"/>
      <c r="AP848" s="279"/>
      <c r="AQ848" s="378"/>
      <c r="AR848" s="305">
        <f>'预算书-初步'!$F$10</f>
        <v>0.09</v>
      </c>
      <c r="AT848" s="272"/>
      <c r="BC848" s="272" t="s">
        <v>521</v>
      </c>
      <c r="BD848" s="380">
        <v>1115</v>
      </c>
      <c r="BE848" s="347" t="s">
        <v>703</v>
      </c>
    </row>
    <row r="849" s="52" customFormat="1" ht="15.75" customHeight="1" spans="1:57">
      <c r="A849" s="227"/>
      <c r="B849" s="332"/>
      <c r="C849" s="228"/>
      <c r="D849" s="333"/>
      <c r="E849" s="334"/>
      <c r="F849" s="229"/>
      <c r="G849" s="333"/>
      <c r="H849" s="335"/>
      <c r="I849" s="229"/>
      <c r="J849" s="229"/>
      <c r="K849" s="336"/>
      <c r="L849" s="337"/>
      <c r="M849" s="337"/>
      <c r="N849" s="337"/>
      <c r="O849" s="337"/>
      <c r="P849" s="337"/>
      <c r="Q849" s="384">
        <v>8334</v>
      </c>
      <c r="R849" s="271">
        <f t="shared" si="64"/>
        <v>0</v>
      </c>
      <c r="S849" s="339">
        <f t="shared" si="63"/>
        <v>0</v>
      </c>
      <c r="T849" s="373"/>
      <c r="U849" s="373">
        <f>FA!L$127</f>
        <v>0</v>
      </c>
      <c r="V849" s="274"/>
      <c r="W849" s="374"/>
      <c r="X849" s="375"/>
      <c r="Y849" s="388" t="s">
        <v>657</v>
      </c>
      <c r="Z849" s="376"/>
      <c r="AA849" s="240"/>
      <c r="AB849" s="345">
        <v>1</v>
      </c>
      <c r="AC849" s="271"/>
      <c r="AD849" s="272"/>
      <c r="AE849" s="273"/>
      <c r="AF849" s="273"/>
      <c r="AG849" s="274"/>
      <c r="AH849" s="275"/>
      <c r="AI849" s="272"/>
      <c r="AJ849" s="276"/>
      <c r="AK849" s="277"/>
      <c r="AL849" s="278"/>
      <c r="AM849" s="277"/>
      <c r="AN849" s="279"/>
      <c r="AO849" s="279"/>
      <c r="AP849" s="279"/>
      <c r="AQ849" s="378"/>
      <c r="AR849" s="305">
        <f>'预算书-初步'!$F$10</f>
        <v>0.09</v>
      </c>
      <c r="AT849" s="272"/>
      <c r="BC849" s="272" t="s">
        <v>521</v>
      </c>
      <c r="BD849" s="380">
        <v>1116</v>
      </c>
      <c r="BE849" s="347" t="s">
        <v>703</v>
      </c>
    </row>
    <row r="850" s="52" customFormat="1" ht="15.75" customHeight="1" spans="1:57">
      <c r="A850" s="227"/>
      <c r="B850" s="332"/>
      <c r="C850" s="228"/>
      <c r="D850" s="333"/>
      <c r="E850" s="334"/>
      <c r="F850" s="229"/>
      <c r="G850" s="333"/>
      <c r="H850" s="335"/>
      <c r="I850" s="229"/>
      <c r="J850" s="229"/>
      <c r="K850" s="336"/>
      <c r="L850" s="337"/>
      <c r="M850" s="337"/>
      <c r="N850" s="337"/>
      <c r="O850" s="337"/>
      <c r="P850" s="337"/>
      <c r="Q850" s="384">
        <v>8335</v>
      </c>
      <c r="R850" s="271">
        <f t="shared" si="64"/>
        <v>0</v>
      </c>
      <c r="S850" s="339">
        <f t="shared" si="63"/>
        <v>0</v>
      </c>
      <c r="T850" s="373"/>
      <c r="U850" s="373">
        <f>FA!L$128</f>
        <v>0</v>
      </c>
      <c r="V850" s="274"/>
      <c r="W850" s="374"/>
      <c r="X850" s="375"/>
      <c r="Y850" s="45" t="s">
        <v>658</v>
      </c>
      <c r="Z850" s="376"/>
      <c r="AA850" s="240"/>
      <c r="AB850" s="345">
        <v>1</v>
      </c>
      <c r="AC850" s="271"/>
      <c r="AD850" s="272"/>
      <c r="AE850" s="273"/>
      <c r="AF850" s="273"/>
      <c r="AG850" s="274"/>
      <c r="AH850" s="275"/>
      <c r="AI850" s="272"/>
      <c r="AJ850" s="276"/>
      <c r="AK850" s="277"/>
      <c r="AL850" s="278"/>
      <c r="AM850" s="277"/>
      <c r="AN850" s="279"/>
      <c r="AO850" s="279"/>
      <c r="AP850" s="279"/>
      <c r="AQ850" s="378"/>
      <c r="AR850" s="305">
        <f>'预算书-初步'!$F$10</f>
        <v>0.09</v>
      </c>
      <c r="AT850" s="272"/>
      <c r="BC850" s="272" t="s">
        <v>521</v>
      </c>
      <c r="BD850" s="380">
        <v>1117</v>
      </c>
      <c r="BE850" s="347" t="s">
        <v>703</v>
      </c>
    </row>
    <row r="851" s="52" customFormat="1" ht="15.75" customHeight="1" spans="1:57">
      <c r="A851" s="227"/>
      <c r="B851" s="332"/>
      <c r="C851" s="228"/>
      <c r="D851" s="333"/>
      <c r="E851" s="334"/>
      <c r="F851" s="229"/>
      <c r="G851" s="333"/>
      <c r="H851" s="335"/>
      <c r="I851" s="229"/>
      <c r="J851" s="229"/>
      <c r="K851" s="336"/>
      <c r="L851" s="337"/>
      <c r="M851" s="337"/>
      <c r="N851" s="337"/>
      <c r="O851" s="337"/>
      <c r="P851" s="337"/>
      <c r="Q851" s="384">
        <v>8351</v>
      </c>
      <c r="R851" s="271">
        <f t="shared" si="64"/>
        <v>0</v>
      </c>
      <c r="S851" s="339">
        <f t="shared" si="63"/>
        <v>0</v>
      </c>
      <c r="T851" s="373"/>
      <c r="U851" s="373">
        <f>FA!L$129</f>
        <v>0</v>
      </c>
      <c r="V851" s="274"/>
      <c r="W851" s="374"/>
      <c r="X851" s="375"/>
      <c r="Y851" s="388" t="s">
        <v>659</v>
      </c>
      <c r="Z851" s="376"/>
      <c r="AA851" s="240"/>
      <c r="AB851" s="345">
        <v>1</v>
      </c>
      <c r="AC851" s="271"/>
      <c r="AD851" s="272"/>
      <c r="AE851" s="273"/>
      <c r="AF851" s="273"/>
      <c r="AG851" s="274"/>
      <c r="AH851" s="275"/>
      <c r="AI851" s="272"/>
      <c r="AJ851" s="276"/>
      <c r="AK851" s="277"/>
      <c r="AL851" s="278"/>
      <c r="AM851" s="277"/>
      <c r="AN851" s="279"/>
      <c r="AO851" s="279"/>
      <c r="AP851" s="279"/>
      <c r="AQ851" s="378"/>
      <c r="AR851" s="305">
        <f>'预算书-初步'!$F$10</f>
        <v>0.09</v>
      </c>
      <c r="AT851" s="272"/>
      <c r="BC851" s="272" t="s">
        <v>521</v>
      </c>
      <c r="BD851" s="380">
        <v>1118</v>
      </c>
      <c r="BE851" s="347" t="s">
        <v>703</v>
      </c>
    </row>
    <row r="852" s="52" customFormat="1" ht="15.75" customHeight="1" spans="1:57">
      <c r="A852" s="227"/>
      <c r="B852" s="332"/>
      <c r="C852" s="228"/>
      <c r="D852" s="333"/>
      <c r="E852" s="334"/>
      <c r="F852" s="229"/>
      <c r="G852" s="333"/>
      <c r="H852" s="335"/>
      <c r="I852" s="229"/>
      <c r="J852" s="229"/>
      <c r="K852" s="336"/>
      <c r="L852" s="337"/>
      <c r="M852" s="337"/>
      <c r="N852" s="337"/>
      <c r="O852" s="337"/>
      <c r="P852" s="337"/>
      <c r="Q852" s="384">
        <v>8341</v>
      </c>
      <c r="R852" s="271">
        <f t="shared" si="64"/>
        <v>0</v>
      </c>
      <c r="S852" s="339">
        <f t="shared" si="63"/>
        <v>0</v>
      </c>
      <c r="T852" s="373"/>
      <c r="U852" s="373">
        <f>SUMIF(其他!$A$9:$A$65,"8341",其他!$M$9:M$65)</f>
        <v>0</v>
      </c>
      <c r="V852" s="274"/>
      <c r="W852" s="374"/>
      <c r="X852" s="375"/>
      <c r="Y852" s="388" t="s">
        <v>660</v>
      </c>
      <c r="Z852" s="376"/>
      <c r="AA852" s="240"/>
      <c r="AB852" s="345">
        <v>1</v>
      </c>
      <c r="AC852" s="271"/>
      <c r="AD852" s="272"/>
      <c r="AE852" s="273"/>
      <c r="AF852" s="273"/>
      <c r="AG852" s="274"/>
      <c r="AH852" s="275"/>
      <c r="AI852" s="272"/>
      <c r="AJ852" s="276"/>
      <c r="AK852" s="277"/>
      <c r="AL852" s="278"/>
      <c r="AM852" s="277"/>
      <c r="AN852" s="279"/>
      <c r="AO852" s="279"/>
      <c r="AP852" s="279"/>
      <c r="AQ852" s="378"/>
      <c r="AR852" s="305">
        <f>'预算书-初步'!$F$10</f>
        <v>0.09</v>
      </c>
      <c r="AT852" s="272"/>
      <c r="BC852" s="272" t="s">
        <v>521</v>
      </c>
      <c r="BD852" s="380">
        <v>1119</v>
      </c>
      <c r="BE852" s="347" t="s">
        <v>703</v>
      </c>
    </row>
    <row r="853" s="52" customFormat="1" ht="15.75" customHeight="1" spans="1:57">
      <c r="A853" s="227"/>
      <c r="B853" s="332"/>
      <c r="C853" s="228"/>
      <c r="D853" s="333"/>
      <c r="E853" s="334"/>
      <c r="F853" s="229"/>
      <c r="G853" s="333"/>
      <c r="H853" s="335"/>
      <c r="I853" s="229"/>
      <c r="J853" s="229"/>
      <c r="K853" s="336"/>
      <c r="L853" s="337"/>
      <c r="M853" s="337"/>
      <c r="N853" s="337"/>
      <c r="O853" s="337"/>
      <c r="P853" s="337"/>
      <c r="Q853" s="384">
        <v>8342</v>
      </c>
      <c r="R853" s="271">
        <f t="shared" si="64"/>
        <v>0</v>
      </c>
      <c r="S853" s="339">
        <f t="shared" si="63"/>
        <v>0</v>
      </c>
      <c r="T853" s="373"/>
      <c r="U853" s="373">
        <f>SUMIF(其他!$A$9:$A$65,"8342",其他!$M$9:M$65)</f>
        <v>0</v>
      </c>
      <c r="V853" s="274"/>
      <c r="W853" s="374"/>
      <c r="X853" s="375"/>
      <c r="Y853" s="45" t="s">
        <v>661</v>
      </c>
      <c r="Z853" s="376"/>
      <c r="AA853" s="240"/>
      <c r="AB853" s="345">
        <v>1</v>
      </c>
      <c r="AC853" s="271"/>
      <c r="AD853" s="272"/>
      <c r="AE853" s="273"/>
      <c r="AF853" s="273"/>
      <c r="AG853" s="274"/>
      <c r="AH853" s="275"/>
      <c r="AI853" s="272"/>
      <c r="AJ853" s="276"/>
      <c r="AK853" s="277"/>
      <c r="AL853" s="278"/>
      <c r="AM853" s="277"/>
      <c r="AN853" s="279"/>
      <c r="AO853" s="279"/>
      <c r="AP853" s="279"/>
      <c r="AQ853" s="378"/>
      <c r="AR853" s="305">
        <f>'预算书-初步'!$F$10</f>
        <v>0.09</v>
      </c>
      <c r="AT853" s="272"/>
      <c r="BC853" s="272" t="s">
        <v>521</v>
      </c>
      <c r="BD853" s="380">
        <v>1119</v>
      </c>
      <c r="BE853" s="347" t="s">
        <v>703</v>
      </c>
    </row>
    <row r="854" s="52" customFormat="1" ht="15.75" customHeight="1" spans="1:57">
      <c r="A854" s="227"/>
      <c r="B854" s="332"/>
      <c r="C854" s="228"/>
      <c r="D854" s="333"/>
      <c r="E854" s="334"/>
      <c r="F854" s="229"/>
      <c r="G854" s="333"/>
      <c r="H854" s="335"/>
      <c r="I854" s="229"/>
      <c r="J854" s="229"/>
      <c r="K854" s="336"/>
      <c r="L854" s="337"/>
      <c r="M854" s="337"/>
      <c r="N854" s="337"/>
      <c r="O854" s="337"/>
      <c r="P854" s="337"/>
      <c r="Q854" s="384">
        <v>8343</v>
      </c>
      <c r="R854" s="271">
        <f t="shared" si="64"/>
        <v>0</v>
      </c>
      <c r="S854" s="339">
        <f t="shared" si="63"/>
        <v>0</v>
      </c>
      <c r="T854" s="373"/>
      <c r="U854" s="373">
        <f>SUMIF(其他!$A$9:$A$65,"8343",其他!$M$9:M$65)</f>
        <v>0</v>
      </c>
      <c r="V854" s="274"/>
      <c r="W854" s="374"/>
      <c r="X854" s="375"/>
      <c r="Y854" s="45" t="s">
        <v>662</v>
      </c>
      <c r="Z854" s="376"/>
      <c r="AA854" s="240"/>
      <c r="AB854" s="345">
        <v>1</v>
      </c>
      <c r="AC854" s="271"/>
      <c r="AD854" s="272"/>
      <c r="AE854" s="273"/>
      <c r="AF854" s="273"/>
      <c r="AG854" s="274"/>
      <c r="AH854" s="275"/>
      <c r="AI854" s="272"/>
      <c r="AJ854" s="276"/>
      <c r="AK854" s="277"/>
      <c r="AL854" s="278"/>
      <c r="AM854" s="277"/>
      <c r="AN854" s="279"/>
      <c r="AO854" s="279"/>
      <c r="AP854" s="279"/>
      <c r="AQ854" s="378"/>
      <c r="AR854" s="305">
        <f>'预算书-初步'!$F$10</f>
        <v>0.09</v>
      </c>
      <c r="AT854" s="272"/>
      <c r="BC854" s="272" t="s">
        <v>521</v>
      </c>
      <c r="BD854" s="380">
        <v>1119</v>
      </c>
      <c r="BE854" s="347" t="s">
        <v>703</v>
      </c>
    </row>
    <row r="855" s="52" customFormat="1" ht="15.75" customHeight="1" spans="1:57">
      <c r="A855" s="227"/>
      <c r="B855" s="332"/>
      <c r="C855" s="228"/>
      <c r="D855" s="333"/>
      <c r="E855" s="334"/>
      <c r="F855" s="229"/>
      <c r="G855" s="333"/>
      <c r="H855" s="335"/>
      <c r="I855" s="229"/>
      <c r="J855" s="229"/>
      <c r="K855" s="336"/>
      <c r="L855" s="337"/>
      <c r="M855" s="337"/>
      <c r="N855" s="337"/>
      <c r="O855" s="337"/>
      <c r="P855" s="337"/>
      <c r="Q855" s="384">
        <v>8344</v>
      </c>
      <c r="R855" s="271">
        <f t="shared" si="64"/>
        <v>0</v>
      </c>
      <c r="S855" s="339">
        <f t="shared" si="63"/>
        <v>0</v>
      </c>
      <c r="T855" s="373"/>
      <c r="U855" s="373">
        <f>SUMIF(其他!$A$9:$A$65,"8344",其他!$M$9:M$65)</f>
        <v>0</v>
      </c>
      <c r="V855" s="274"/>
      <c r="W855" s="374"/>
      <c r="X855" s="375"/>
      <c r="Y855" s="385" t="s">
        <v>663</v>
      </c>
      <c r="Z855" s="376"/>
      <c r="AA855" s="240"/>
      <c r="AB855" s="345">
        <v>1</v>
      </c>
      <c r="AC855" s="271"/>
      <c r="AD855" s="272"/>
      <c r="AE855" s="273"/>
      <c r="AF855" s="273"/>
      <c r="AG855" s="274"/>
      <c r="AH855" s="275"/>
      <c r="AI855" s="272"/>
      <c r="AJ855" s="276"/>
      <c r="AK855" s="277"/>
      <c r="AL855" s="278"/>
      <c r="AM855" s="277"/>
      <c r="AN855" s="279"/>
      <c r="AO855" s="279"/>
      <c r="AP855" s="279"/>
      <c r="AQ855" s="378"/>
      <c r="AR855" s="305">
        <f>'预算书-初步'!$F$10</f>
        <v>0.09</v>
      </c>
      <c r="AT855" s="272"/>
      <c r="BC855" s="272" t="s">
        <v>521</v>
      </c>
      <c r="BD855" s="380">
        <v>1120</v>
      </c>
      <c r="BE855" s="347" t="s">
        <v>703</v>
      </c>
    </row>
    <row r="856" s="52" customFormat="1" ht="15.75" customHeight="1" spans="1:57">
      <c r="A856" s="227"/>
      <c r="B856" s="332"/>
      <c r="C856" s="228"/>
      <c r="D856" s="333"/>
      <c r="E856" s="334"/>
      <c r="F856" s="229"/>
      <c r="G856" s="333"/>
      <c r="H856" s="335"/>
      <c r="I856" s="229"/>
      <c r="J856" s="229"/>
      <c r="K856" s="336"/>
      <c r="L856" s="337"/>
      <c r="M856" s="337"/>
      <c r="N856" s="337"/>
      <c r="O856" s="337"/>
      <c r="P856" s="337"/>
      <c r="Q856" s="384">
        <v>8345</v>
      </c>
      <c r="R856" s="271">
        <f t="shared" si="64"/>
        <v>0</v>
      </c>
      <c r="S856" s="339">
        <f t="shared" si="63"/>
        <v>0</v>
      </c>
      <c r="T856" s="373"/>
      <c r="U856" s="373">
        <f>SUMIF(其他!$A$9:$A$65,"8345",其他!$M$9:M$65)</f>
        <v>0</v>
      </c>
      <c r="V856" s="274"/>
      <c r="W856" s="374"/>
      <c r="X856" s="375"/>
      <c r="Y856" s="385" t="s">
        <v>664</v>
      </c>
      <c r="Z856" s="376"/>
      <c r="AA856" s="240"/>
      <c r="AB856" s="345">
        <v>1</v>
      </c>
      <c r="AC856" s="271"/>
      <c r="AD856" s="272"/>
      <c r="AE856" s="273"/>
      <c r="AF856" s="273"/>
      <c r="AG856" s="274"/>
      <c r="AH856" s="275"/>
      <c r="AI856" s="272"/>
      <c r="AJ856" s="276"/>
      <c r="AK856" s="277"/>
      <c r="AL856" s="278"/>
      <c r="AM856" s="277"/>
      <c r="AN856" s="279"/>
      <c r="AO856" s="279"/>
      <c r="AP856" s="279"/>
      <c r="AQ856" s="378"/>
      <c r="AR856" s="305">
        <f>'预算书-初步'!$F$10</f>
        <v>0.09</v>
      </c>
      <c r="AT856" s="272"/>
      <c r="BC856" s="272" t="s">
        <v>521</v>
      </c>
      <c r="BD856" s="380">
        <v>1120</v>
      </c>
      <c r="BE856" s="347" t="s">
        <v>703</v>
      </c>
    </row>
    <row r="857" s="52" customFormat="1" ht="15.75" customHeight="1" spans="1:57">
      <c r="A857" s="227"/>
      <c r="B857" s="332"/>
      <c r="C857" s="228"/>
      <c r="D857" s="333"/>
      <c r="E857" s="334"/>
      <c r="F857" s="229"/>
      <c r="G857" s="333"/>
      <c r="H857" s="335"/>
      <c r="I857" s="229"/>
      <c r="J857" s="229"/>
      <c r="K857" s="336"/>
      <c r="L857" s="337"/>
      <c r="M857" s="337"/>
      <c r="N857" s="337"/>
      <c r="O857" s="337"/>
      <c r="P857" s="337"/>
      <c r="Q857" s="384">
        <v>8346</v>
      </c>
      <c r="R857" s="271">
        <f t="shared" si="64"/>
        <v>0</v>
      </c>
      <c r="S857" s="339">
        <f t="shared" si="63"/>
        <v>0</v>
      </c>
      <c r="T857" s="373"/>
      <c r="U857" s="373">
        <f>SUMIF(其他!$A$9:$A$65,"8346",其他!$M$9:M$65)</f>
        <v>0</v>
      </c>
      <c r="V857" s="274"/>
      <c r="W857" s="374"/>
      <c r="X857" s="375"/>
      <c r="Y857" s="45" t="s">
        <v>665</v>
      </c>
      <c r="Z857" s="376"/>
      <c r="AA857" s="240"/>
      <c r="AB857" s="345">
        <v>1</v>
      </c>
      <c r="AC857" s="271"/>
      <c r="AD857" s="272"/>
      <c r="AE857" s="273"/>
      <c r="AF857" s="273"/>
      <c r="AG857" s="274"/>
      <c r="AH857" s="275"/>
      <c r="AI857" s="272"/>
      <c r="AJ857" s="276"/>
      <c r="AK857" s="277"/>
      <c r="AL857" s="278"/>
      <c r="AM857" s="277"/>
      <c r="AN857" s="279"/>
      <c r="AO857" s="279"/>
      <c r="AP857" s="279"/>
      <c r="AQ857" s="378"/>
      <c r="AR857" s="305">
        <f>'预算书-初步'!$F$10</f>
        <v>0.09</v>
      </c>
      <c r="AT857" s="272"/>
      <c r="BC857" s="272" t="s">
        <v>521</v>
      </c>
      <c r="BD857" s="380">
        <v>1120</v>
      </c>
      <c r="BE857" s="347" t="s">
        <v>703</v>
      </c>
    </row>
    <row r="858" s="52" customFormat="1" ht="15.75" customHeight="1" spans="1:57">
      <c r="A858" s="227"/>
      <c r="B858" s="332"/>
      <c r="C858" s="228"/>
      <c r="D858" s="333"/>
      <c r="E858" s="334"/>
      <c r="F858" s="229"/>
      <c r="G858" s="333"/>
      <c r="H858" s="335"/>
      <c r="I858" s="229"/>
      <c r="J858" s="229"/>
      <c r="K858" s="336"/>
      <c r="L858" s="337"/>
      <c r="M858" s="337"/>
      <c r="N858" s="337"/>
      <c r="O858" s="337"/>
      <c r="P858" s="337"/>
      <c r="Q858" s="384">
        <v>8347</v>
      </c>
      <c r="R858" s="271">
        <f t="shared" si="64"/>
        <v>0</v>
      </c>
      <c r="S858" s="339">
        <f t="shared" si="63"/>
        <v>0</v>
      </c>
      <c r="T858" s="373"/>
      <c r="U858" s="373">
        <f>SUMIF(其他!$A$9:$A$65,"8347",其他!$M$9:M$65)</f>
        <v>0</v>
      </c>
      <c r="V858" s="274"/>
      <c r="W858" s="374"/>
      <c r="X858" s="375"/>
      <c r="Y858" s="45" t="s">
        <v>666</v>
      </c>
      <c r="Z858" s="376"/>
      <c r="AA858" s="240"/>
      <c r="AB858" s="345">
        <v>1</v>
      </c>
      <c r="AC858" s="271"/>
      <c r="AD858" s="272"/>
      <c r="AE858" s="273"/>
      <c r="AF858" s="273"/>
      <c r="AG858" s="274"/>
      <c r="AH858" s="275"/>
      <c r="AI858" s="272"/>
      <c r="AJ858" s="276"/>
      <c r="AK858" s="277"/>
      <c r="AL858" s="278"/>
      <c r="AM858" s="277"/>
      <c r="AN858" s="279"/>
      <c r="AO858" s="279"/>
      <c r="AP858" s="279"/>
      <c r="AQ858" s="378"/>
      <c r="AR858" s="305">
        <f>'预算书-初步'!$F$10</f>
        <v>0.09</v>
      </c>
      <c r="AT858" s="272"/>
      <c r="BC858" s="272" t="s">
        <v>521</v>
      </c>
      <c r="BD858" s="380">
        <v>1120</v>
      </c>
      <c r="BE858" s="347" t="s">
        <v>703</v>
      </c>
    </row>
    <row r="859" s="52" customFormat="1" ht="15.75" customHeight="1" spans="1:57">
      <c r="A859" s="227"/>
      <c r="B859" s="332"/>
      <c r="C859" s="228"/>
      <c r="D859" s="333"/>
      <c r="E859" s="334"/>
      <c r="F859" s="229"/>
      <c r="G859" s="333"/>
      <c r="H859" s="335"/>
      <c r="I859" s="229"/>
      <c r="J859" s="229"/>
      <c r="K859" s="336"/>
      <c r="L859" s="337"/>
      <c r="M859" s="337"/>
      <c r="N859" s="337"/>
      <c r="O859" s="337"/>
      <c r="P859" s="337"/>
      <c r="Q859" s="384">
        <v>8348</v>
      </c>
      <c r="R859" s="271">
        <f t="shared" si="64"/>
        <v>0</v>
      </c>
      <c r="S859" s="339">
        <f t="shared" si="63"/>
        <v>0</v>
      </c>
      <c r="T859" s="373"/>
      <c r="U859" s="373">
        <f>SUMIF(其他!$A$9:$A$65,"8348",其他!$M$9:M$65)</f>
        <v>0</v>
      </c>
      <c r="V859" s="274"/>
      <c r="W859" s="374"/>
      <c r="X859" s="375"/>
      <c r="Y859" s="45" t="s">
        <v>667</v>
      </c>
      <c r="Z859" s="376"/>
      <c r="AA859" s="240"/>
      <c r="AB859" s="345">
        <v>1</v>
      </c>
      <c r="AC859" s="271"/>
      <c r="AD859" s="272"/>
      <c r="AE859" s="273"/>
      <c r="AF859" s="273"/>
      <c r="AG859" s="274"/>
      <c r="AH859" s="275"/>
      <c r="AI859" s="272"/>
      <c r="AJ859" s="276"/>
      <c r="AK859" s="277"/>
      <c r="AL859" s="278"/>
      <c r="AM859" s="277"/>
      <c r="AN859" s="279"/>
      <c r="AO859" s="279"/>
      <c r="AP859" s="279"/>
      <c r="AQ859" s="378"/>
      <c r="AR859" s="305">
        <f>'预算书-初步'!$F$10</f>
        <v>0.09</v>
      </c>
      <c r="AT859" s="272"/>
      <c r="BC859" s="272" t="s">
        <v>521</v>
      </c>
      <c r="BD859" s="380">
        <v>1120</v>
      </c>
      <c r="BE859" s="347" t="s">
        <v>703</v>
      </c>
    </row>
    <row r="860" s="52" customFormat="1" ht="15.75" customHeight="1" spans="1:57">
      <c r="A860" s="227"/>
      <c r="B860" s="332"/>
      <c r="C860" s="228"/>
      <c r="D860" s="333"/>
      <c r="E860" s="334"/>
      <c r="F860" s="229"/>
      <c r="G860" s="333"/>
      <c r="H860" s="335"/>
      <c r="I860" s="229"/>
      <c r="J860" s="229"/>
      <c r="K860" s="336"/>
      <c r="L860" s="337"/>
      <c r="M860" s="337"/>
      <c r="N860" s="337"/>
      <c r="O860" s="337"/>
      <c r="P860" s="337"/>
      <c r="Q860" s="384">
        <v>8349</v>
      </c>
      <c r="R860" s="271">
        <f t="shared" si="64"/>
        <v>0</v>
      </c>
      <c r="S860" s="339">
        <f t="shared" si="63"/>
        <v>0</v>
      </c>
      <c r="T860" s="373"/>
      <c r="U860" s="373">
        <f>SUMIF(其他!$A$9:$A$65,"8349",其他!$M$9:M$65)</f>
        <v>0</v>
      </c>
      <c r="V860" s="274"/>
      <c r="W860" s="374"/>
      <c r="X860" s="375"/>
      <c r="Y860" s="45" t="s">
        <v>668</v>
      </c>
      <c r="Z860" s="376"/>
      <c r="AA860" s="240"/>
      <c r="AB860" s="345">
        <v>1</v>
      </c>
      <c r="AC860" s="271"/>
      <c r="AD860" s="272"/>
      <c r="AE860" s="273"/>
      <c r="AF860" s="273"/>
      <c r="AG860" s="274"/>
      <c r="AH860" s="275"/>
      <c r="AI860" s="272"/>
      <c r="AJ860" s="276"/>
      <c r="AK860" s="277"/>
      <c r="AL860" s="278"/>
      <c r="AM860" s="277"/>
      <c r="AN860" s="279"/>
      <c r="AO860" s="279"/>
      <c r="AP860" s="279"/>
      <c r="AQ860" s="378"/>
      <c r="AR860" s="305">
        <f>'预算书-初步'!$F$10</f>
        <v>0.09</v>
      </c>
      <c r="AT860" s="272"/>
      <c r="BC860" s="272" t="s">
        <v>521</v>
      </c>
      <c r="BD860" s="380">
        <v>1120</v>
      </c>
      <c r="BE860" s="347" t="s">
        <v>703</v>
      </c>
    </row>
    <row r="861" s="52" customFormat="1" ht="15.75" customHeight="1" spans="1:57">
      <c r="A861" s="227"/>
      <c r="B861" s="332"/>
      <c r="C861" s="228"/>
      <c r="D861" s="333"/>
      <c r="E861" s="334"/>
      <c r="F861" s="229"/>
      <c r="G861" s="333"/>
      <c r="H861" s="335"/>
      <c r="I861" s="229"/>
      <c r="J861" s="229"/>
      <c r="K861" s="336"/>
      <c r="L861" s="337"/>
      <c r="M861" s="337"/>
      <c r="N861" s="337"/>
      <c r="O861" s="337"/>
      <c r="P861" s="337"/>
      <c r="Q861" s="384">
        <v>8352</v>
      </c>
      <c r="R861" s="271">
        <f t="shared" si="64"/>
        <v>0</v>
      </c>
      <c r="S861" s="339">
        <f t="shared" si="63"/>
        <v>0</v>
      </c>
      <c r="T861" s="373"/>
      <c r="U861" s="373">
        <f>SUMIF(其他!$A$9:$A$65,"8352",其他!$M$9:M$65)</f>
        <v>0</v>
      </c>
      <c r="V861" s="274"/>
      <c r="W861" s="374"/>
      <c r="X861" s="375"/>
      <c r="Y861" s="45" t="s">
        <v>669</v>
      </c>
      <c r="Z861" s="376"/>
      <c r="AA861" s="240"/>
      <c r="AB861" s="345">
        <v>1</v>
      </c>
      <c r="AC861" s="271"/>
      <c r="AD861" s="272"/>
      <c r="AE861" s="273"/>
      <c r="AF861" s="273"/>
      <c r="AG861" s="274"/>
      <c r="AH861" s="275"/>
      <c r="AI861" s="272"/>
      <c r="AJ861" s="276"/>
      <c r="AK861" s="277"/>
      <c r="AL861" s="278"/>
      <c r="AM861" s="277"/>
      <c r="AN861" s="279"/>
      <c r="AO861" s="279"/>
      <c r="AP861" s="279"/>
      <c r="AQ861" s="378"/>
      <c r="AR861" s="305">
        <f>'预算书-初步'!$F$10</f>
        <v>0.09</v>
      </c>
      <c r="AT861" s="272"/>
      <c r="BC861" s="272" t="s">
        <v>521</v>
      </c>
      <c r="BD861" s="380">
        <v>1121</v>
      </c>
      <c r="BE861" s="347" t="s">
        <v>703</v>
      </c>
    </row>
    <row r="862" s="52" customFormat="1" ht="15.75" customHeight="1" spans="1:57">
      <c r="A862" s="227"/>
      <c r="B862" s="332"/>
      <c r="C862" s="228"/>
      <c r="D862" s="333"/>
      <c r="E862" s="334"/>
      <c r="F862" s="229"/>
      <c r="G862" s="333"/>
      <c r="H862" s="335"/>
      <c r="I862" s="229"/>
      <c r="J862" s="229"/>
      <c r="K862" s="336"/>
      <c r="L862" s="337"/>
      <c r="M862" s="337"/>
      <c r="N862" s="337"/>
      <c r="O862" s="337"/>
      <c r="P862" s="337"/>
      <c r="Q862" s="384">
        <v>8353</v>
      </c>
      <c r="R862" s="271">
        <f t="shared" si="64"/>
        <v>0</v>
      </c>
      <c r="S862" s="339">
        <f t="shared" si="63"/>
        <v>0</v>
      </c>
      <c r="T862" s="373"/>
      <c r="U862" s="373">
        <f>SUMIF(其他!$A$9:$A$65,"8353",其他!$M$9:M$65)</f>
        <v>0</v>
      </c>
      <c r="V862" s="274"/>
      <c r="W862" s="374"/>
      <c r="X862" s="375"/>
      <c r="Y862" s="45" t="s">
        <v>670</v>
      </c>
      <c r="Z862" s="376"/>
      <c r="AA862" s="240"/>
      <c r="AB862" s="345">
        <v>1</v>
      </c>
      <c r="AC862" s="271"/>
      <c r="AD862" s="272"/>
      <c r="AE862" s="273"/>
      <c r="AF862" s="273"/>
      <c r="AG862" s="274"/>
      <c r="AH862" s="275"/>
      <c r="AI862" s="272"/>
      <c r="AJ862" s="276"/>
      <c r="AK862" s="277"/>
      <c r="AL862" s="278"/>
      <c r="AM862" s="277"/>
      <c r="AN862" s="279"/>
      <c r="AO862" s="279"/>
      <c r="AP862" s="279"/>
      <c r="AQ862" s="378"/>
      <c r="AR862" s="305">
        <f>'预算书-初步'!$F$10</f>
        <v>0.09</v>
      </c>
      <c r="AT862" s="272"/>
      <c r="BC862" s="272" t="s">
        <v>521</v>
      </c>
      <c r="BD862" s="380">
        <v>1121</v>
      </c>
      <c r="BE862" s="347" t="s">
        <v>703</v>
      </c>
    </row>
    <row r="863" s="52" customFormat="1" ht="15.75" customHeight="1" spans="1:57">
      <c r="A863" s="227"/>
      <c r="B863" s="332"/>
      <c r="C863" s="228"/>
      <c r="D863" s="333"/>
      <c r="E863" s="334"/>
      <c r="F863" s="229"/>
      <c r="G863" s="333"/>
      <c r="H863" s="335"/>
      <c r="I863" s="229"/>
      <c r="J863" s="229"/>
      <c r="K863" s="336"/>
      <c r="L863" s="337"/>
      <c r="M863" s="337"/>
      <c r="N863" s="337"/>
      <c r="O863" s="337"/>
      <c r="P863" s="337"/>
      <c r="Q863" s="384">
        <v>8354</v>
      </c>
      <c r="R863" s="271">
        <f t="shared" si="64"/>
        <v>0</v>
      </c>
      <c r="S863" s="339">
        <f t="shared" si="63"/>
        <v>0</v>
      </c>
      <c r="T863" s="373"/>
      <c r="U863" s="373">
        <f>SUMIF(其他!$A$9:$A$65,"8354",其他!$M$9:M$65)</f>
        <v>0</v>
      </c>
      <c r="V863" s="274"/>
      <c r="W863" s="374"/>
      <c r="X863" s="375"/>
      <c r="Y863" s="45" t="s">
        <v>671</v>
      </c>
      <c r="Z863" s="376"/>
      <c r="AA863" s="240"/>
      <c r="AB863" s="345">
        <v>1</v>
      </c>
      <c r="AC863" s="271"/>
      <c r="AD863" s="272"/>
      <c r="AE863" s="273"/>
      <c r="AF863" s="273"/>
      <c r="AG863" s="274"/>
      <c r="AH863" s="275"/>
      <c r="AI863" s="272"/>
      <c r="AJ863" s="276"/>
      <c r="AK863" s="277"/>
      <c r="AL863" s="278"/>
      <c r="AM863" s="277"/>
      <c r="AN863" s="279"/>
      <c r="AO863" s="279"/>
      <c r="AP863" s="279"/>
      <c r="AQ863" s="378"/>
      <c r="AR863" s="305">
        <f>'预算书-初步'!$F$10</f>
        <v>0.09</v>
      </c>
      <c r="AT863" s="272"/>
      <c r="BC863" s="272" t="s">
        <v>521</v>
      </c>
      <c r="BD863" s="380">
        <v>1121</v>
      </c>
      <c r="BE863" s="347" t="s">
        <v>703</v>
      </c>
    </row>
    <row r="864" s="52" customFormat="1" ht="15.75" customHeight="1" spans="1:57">
      <c r="A864" s="227"/>
      <c r="B864" s="332"/>
      <c r="C864" s="228"/>
      <c r="D864" s="333"/>
      <c r="E864" s="334"/>
      <c r="F864" s="229"/>
      <c r="G864" s="333"/>
      <c r="H864" s="335"/>
      <c r="I864" s="229"/>
      <c r="J864" s="229"/>
      <c r="K864" s="336"/>
      <c r="L864" s="337"/>
      <c r="M864" s="337"/>
      <c r="N864" s="337"/>
      <c r="O864" s="337"/>
      <c r="P864" s="337"/>
      <c r="Q864" s="384">
        <v>8355</v>
      </c>
      <c r="R864" s="271">
        <f t="shared" si="64"/>
        <v>0</v>
      </c>
      <c r="S864" s="339">
        <f t="shared" si="63"/>
        <v>0</v>
      </c>
      <c r="T864" s="373"/>
      <c r="U864" s="373">
        <f>SUMIF(其他!$A$9:$A$65,"8355",其他!$M$9:M$65)</f>
        <v>0</v>
      </c>
      <c r="V864" s="274"/>
      <c r="W864" s="374"/>
      <c r="X864" s="375"/>
      <c r="Y864" s="365" t="s">
        <v>672</v>
      </c>
      <c r="Z864" s="376"/>
      <c r="AA864" s="240"/>
      <c r="AB864" s="345">
        <v>1</v>
      </c>
      <c r="AC864" s="271"/>
      <c r="AD864" s="272"/>
      <c r="AE864" s="273"/>
      <c r="AF864" s="273"/>
      <c r="AG864" s="274"/>
      <c r="AH864" s="275"/>
      <c r="AI864" s="272"/>
      <c r="AJ864" s="276"/>
      <c r="AK864" s="277"/>
      <c r="AL864" s="278"/>
      <c r="AM864" s="277"/>
      <c r="AN864" s="279"/>
      <c r="AO864" s="279"/>
      <c r="AP864" s="279"/>
      <c r="AQ864" s="378"/>
      <c r="AR864" s="305">
        <f>'预算书-初步'!$F$10</f>
        <v>0.09</v>
      </c>
      <c r="AT864" s="272"/>
      <c r="BC864" s="272" t="s">
        <v>521</v>
      </c>
      <c r="BD864" s="380">
        <v>1121</v>
      </c>
      <c r="BE864" s="347" t="s">
        <v>703</v>
      </c>
    </row>
    <row r="865" s="52" customFormat="1" ht="15.75" customHeight="1" spans="1:57">
      <c r="A865" s="227"/>
      <c r="B865" s="332"/>
      <c r="C865" s="228"/>
      <c r="D865" s="333"/>
      <c r="E865" s="334"/>
      <c r="F865" s="229"/>
      <c r="G865" s="333"/>
      <c r="H865" s="335"/>
      <c r="I865" s="229"/>
      <c r="J865" s="229"/>
      <c r="K865" s="336"/>
      <c r="L865" s="337"/>
      <c r="M865" s="337"/>
      <c r="N865" s="337"/>
      <c r="O865" s="337"/>
      <c r="P865" s="337"/>
      <c r="Q865" s="384">
        <v>8357</v>
      </c>
      <c r="R865" s="271">
        <f t="shared" si="64"/>
        <v>0</v>
      </c>
      <c r="S865" s="339">
        <f t="shared" si="63"/>
        <v>0</v>
      </c>
      <c r="T865" s="373"/>
      <c r="U865" s="373">
        <f>FA!L$133</f>
        <v>0</v>
      </c>
      <c r="V865" s="274"/>
      <c r="W865" s="374"/>
      <c r="X865" s="375"/>
      <c r="Y865" s="390" t="s">
        <v>673</v>
      </c>
      <c r="Z865" s="376"/>
      <c r="AA865" s="240"/>
      <c r="AB865" s="345">
        <v>1</v>
      </c>
      <c r="AC865" s="271"/>
      <c r="AD865" s="272"/>
      <c r="AE865" s="273"/>
      <c r="AF865" s="273"/>
      <c r="AG865" s="274"/>
      <c r="AH865" s="275"/>
      <c r="AI865" s="272"/>
      <c r="AJ865" s="276"/>
      <c r="AK865" s="277"/>
      <c r="AL865" s="278"/>
      <c r="AM865" s="277"/>
      <c r="AN865" s="279"/>
      <c r="AO865" s="279"/>
      <c r="AP865" s="279"/>
      <c r="AQ865" s="378"/>
      <c r="AR865" s="305">
        <f>'预算书-初步'!$F$10</f>
        <v>0.09</v>
      </c>
      <c r="AT865" s="272"/>
      <c r="BC865" s="272" t="s">
        <v>521</v>
      </c>
      <c r="BD865" s="380">
        <v>1122</v>
      </c>
      <c r="BE865" s="347" t="s">
        <v>703</v>
      </c>
    </row>
    <row r="866" s="52" customFormat="1" ht="15.75" customHeight="1" spans="1:57">
      <c r="A866" s="227"/>
      <c r="B866" s="332"/>
      <c r="C866" s="228"/>
      <c r="D866" s="333"/>
      <c r="E866" s="334"/>
      <c r="F866" s="229"/>
      <c r="G866" s="333"/>
      <c r="H866" s="335"/>
      <c r="I866" s="229"/>
      <c r="J866" s="229"/>
      <c r="K866" s="336"/>
      <c r="L866" s="337"/>
      <c r="M866" s="337"/>
      <c r="N866" s="337"/>
      <c r="O866" s="337"/>
      <c r="P866" s="337"/>
      <c r="Q866" s="381">
        <v>8361</v>
      </c>
      <c r="R866" s="271">
        <f t="shared" si="64"/>
        <v>0</v>
      </c>
      <c r="S866" s="339">
        <f t="shared" si="63"/>
        <v>0</v>
      </c>
      <c r="T866" s="373"/>
      <c r="U866" s="373">
        <f>SUMIF(其他!$A$9:$A$65,"8361",其他!$M$9:M$65)</f>
        <v>0</v>
      </c>
      <c r="V866" s="274"/>
      <c r="W866" s="374"/>
      <c r="X866" s="375"/>
      <c r="Y866" s="45" t="s">
        <v>674</v>
      </c>
      <c r="Z866" s="376"/>
      <c r="AA866" s="240"/>
      <c r="AB866" s="345">
        <v>1</v>
      </c>
      <c r="AC866" s="271"/>
      <c r="AD866" s="272"/>
      <c r="AE866" s="273"/>
      <c r="AF866" s="273"/>
      <c r="AG866" s="274"/>
      <c r="AH866" s="275"/>
      <c r="AI866" s="272"/>
      <c r="AJ866" s="276"/>
      <c r="AK866" s="277"/>
      <c r="AL866" s="278"/>
      <c r="AM866" s="277"/>
      <c r="AN866" s="279"/>
      <c r="AO866" s="279"/>
      <c r="AP866" s="279"/>
      <c r="AQ866" s="378"/>
      <c r="AR866" s="305">
        <f>'预算书-初步'!$F$10</f>
        <v>0.09</v>
      </c>
      <c r="AT866" s="272"/>
      <c r="BC866" s="272" t="s">
        <v>521</v>
      </c>
      <c r="BD866" s="380">
        <v>1123</v>
      </c>
      <c r="BE866" s="347" t="s">
        <v>703</v>
      </c>
    </row>
    <row r="867" s="52" customFormat="1" ht="15.75" customHeight="1" spans="1:57">
      <c r="A867" s="227"/>
      <c r="B867" s="332"/>
      <c r="C867" s="228"/>
      <c r="D867" s="333"/>
      <c r="E867" s="334"/>
      <c r="F867" s="229"/>
      <c r="G867" s="333"/>
      <c r="H867" s="335"/>
      <c r="I867" s="229"/>
      <c r="J867" s="229"/>
      <c r="K867" s="336"/>
      <c r="L867" s="337"/>
      <c r="M867" s="337"/>
      <c r="N867" s="337"/>
      <c r="O867" s="337"/>
      <c r="P867" s="337"/>
      <c r="Q867" s="381">
        <v>8362</v>
      </c>
      <c r="R867" s="271">
        <f t="shared" si="64"/>
        <v>0</v>
      </c>
      <c r="S867" s="339">
        <f t="shared" si="63"/>
        <v>0</v>
      </c>
      <c r="T867" s="373"/>
      <c r="U867" s="373">
        <f>SUMIF(其他!$A$9:$A$65,"8362",其他!$M$9:M$65)</f>
        <v>0</v>
      </c>
      <c r="V867" s="274"/>
      <c r="W867" s="374"/>
      <c r="X867" s="375"/>
      <c r="Y867" s="45" t="s">
        <v>675</v>
      </c>
      <c r="Z867" s="376"/>
      <c r="AA867" s="240"/>
      <c r="AB867" s="345">
        <v>1</v>
      </c>
      <c r="AC867" s="271"/>
      <c r="AD867" s="272"/>
      <c r="AE867" s="273"/>
      <c r="AF867" s="273"/>
      <c r="AG867" s="274"/>
      <c r="AH867" s="275"/>
      <c r="AI867" s="272"/>
      <c r="AJ867" s="276"/>
      <c r="AK867" s="277"/>
      <c r="AL867" s="278"/>
      <c r="AM867" s="277"/>
      <c r="AN867" s="279"/>
      <c r="AO867" s="279"/>
      <c r="AP867" s="279"/>
      <c r="AQ867" s="378"/>
      <c r="AR867" s="305">
        <f>'预算书-初步'!$F$10</f>
        <v>0.09</v>
      </c>
      <c r="AT867" s="272"/>
      <c r="BC867" s="272" t="s">
        <v>521</v>
      </c>
      <c r="BD867" s="380">
        <v>1123</v>
      </c>
      <c r="BE867" s="347" t="s">
        <v>703</v>
      </c>
    </row>
    <row r="868" s="52" customFormat="1" ht="15.75" customHeight="1" spans="1:57">
      <c r="A868" s="227"/>
      <c r="B868" s="332"/>
      <c r="C868" s="228"/>
      <c r="D868" s="333"/>
      <c r="E868" s="334"/>
      <c r="F868" s="229"/>
      <c r="G868" s="333"/>
      <c r="H868" s="335"/>
      <c r="I868" s="229"/>
      <c r="J868" s="229"/>
      <c r="K868" s="336"/>
      <c r="L868" s="337"/>
      <c r="M868" s="337"/>
      <c r="N868" s="337"/>
      <c r="O868" s="337"/>
      <c r="P868" s="337"/>
      <c r="Q868" s="381">
        <v>8391</v>
      </c>
      <c r="R868" s="271">
        <f t="shared" si="64"/>
        <v>0</v>
      </c>
      <c r="S868" s="339">
        <f t="shared" si="63"/>
        <v>0</v>
      </c>
      <c r="T868" s="373"/>
      <c r="U868" s="373">
        <f>FA!L$135</f>
        <v>0</v>
      </c>
      <c r="V868" s="274"/>
      <c r="W868" s="374"/>
      <c r="X868" s="375"/>
      <c r="Y868" s="45" t="s">
        <v>676</v>
      </c>
      <c r="Z868" s="376"/>
      <c r="AA868" s="240"/>
      <c r="AB868" s="345">
        <v>1</v>
      </c>
      <c r="AC868" s="271"/>
      <c r="AD868" s="272"/>
      <c r="AE868" s="273"/>
      <c r="AF868" s="273"/>
      <c r="AG868" s="274"/>
      <c r="AH868" s="275"/>
      <c r="AI868" s="272"/>
      <c r="AJ868" s="276"/>
      <c r="AK868" s="277"/>
      <c r="AL868" s="278"/>
      <c r="AM868" s="277"/>
      <c r="AN868" s="279"/>
      <c r="AO868" s="279"/>
      <c r="AP868" s="279"/>
      <c r="AQ868" s="378"/>
      <c r="AR868" s="305">
        <f>'预算书-初步'!$F$10</f>
        <v>0.09</v>
      </c>
      <c r="AT868" s="272"/>
      <c r="BC868" s="272" t="s">
        <v>521</v>
      </c>
      <c r="BD868" s="380">
        <v>1124</v>
      </c>
      <c r="BE868" s="347" t="s">
        <v>703</v>
      </c>
    </row>
    <row r="869" s="52" customFormat="1" ht="15.75" customHeight="1" spans="1:57">
      <c r="A869" s="227"/>
      <c r="B869" s="332"/>
      <c r="C869" s="228"/>
      <c r="D869" s="333"/>
      <c r="E869" s="334"/>
      <c r="F869" s="229"/>
      <c r="G869" s="333"/>
      <c r="H869" s="335"/>
      <c r="I869" s="229"/>
      <c r="J869" s="229"/>
      <c r="K869" s="336"/>
      <c r="L869" s="337"/>
      <c r="M869" s="337"/>
      <c r="N869" s="337"/>
      <c r="O869" s="337"/>
      <c r="P869" s="337"/>
      <c r="Q869" s="381">
        <v>8392</v>
      </c>
      <c r="R869" s="271">
        <f t="shared" si="64"/>
        <v>0</v>
      </c>
      <c r="S869" s="339">
        <f t="shared" si="63"/>
        <v>0</v>
      </c>
      <c r="T869" s="373"/>
      <c r="U869" s="373">
        <f>SUMIF(其他!$A$9:$A$65,"8392",其他!$M$9:M$65)</f>
        <v>0</v>
      </c>
      <c r="V869" s="274"/>
      <c r="W869" s="374"/>
      <c r="X869" s="375"/>
      <c r="Y869" s="45" t="s">
        <v>677</v>
      </c>
      <c r="Z869" s="376"/>
      <c r="AA869" s="240"/>
      <c r="AB869" s="345">
        <v>1</v>
      </c>
      <c r="AC869" s="271"/>
      <c r="AD869" s="272"/>
      <c r="AE869" s="273"/>
      <c r="AF869" s="273"/>
      <c r="AG869" s="274"/>
      <c r="AH869" s="275"/>
      <c r="AI869" s="272"/>
      <c r="AJ869" s="276"/>
      <c r="AK869" s="277"/>
      <c r="AL869" s="278"/>
      <c r="AM869" s="277"/>
      <c r="AN869" s="279"/>
      <c r="AO869" s="279"/>
      <c r="AP869" s="279"/>
      <c r="AQ869" s="378"/>
      <c r="AR869" s="305">
        <f>'预算书-初步'!$F$10</f>
        <v>0.09</v>
      </c>
      <c r="AT869" s="272"/>
      <c r="BC869" s="272" t="s">
        <v>521</v>
      </c>
      <c r="BD869" s="380">
        <v>1125</v>
      </c>
      <c r="BE869" s="347" t="s">
        <v>703</v>
      </c>
    </row>
    <row r="870" s="52" customFormat="1" ht="15.75" customHeight="1" spans="1:57">
      <c r="A870" s="227"/>
      <c r="B870" s="332"/>
      <c r="C870" s="228"/>
      <c r="D870" s="333"/>
      <c r="E870" s="334"/>
      <c r="F870" s="229"/>
      <c r="G870" s="333"/>
      <c r="H870" s="335"/>
      <c r="I870" s="229"/>
      <c r="J870" s="229"/>
      <c r="K870" s="336"/>
      <c r="L870" s="337"/>
      <c r="M870" s="337"/>
      <c r="N870" s="337"/>
      <c r="O870" s="337"/>
      <c r="P870" s="337"/>
      <c r="Q870" s="381">
        <v>8393</v>
      </c>
      <c r="R870" s="271">
        <f t="shared" si="64"/>
        <v>0</v>
      </c>
      <c r="S870" s="339">
        <f t="shared" si="63"/>
        <v>0</v>
      </c>
      <c r="T870" s="373"/>
      <c r="U870" s="373">
        <f>SUMIF(其他!$A$9:$A$65,"8393",其他!$M$9:M$65)</f>
        <v>0</v>
      </c>
      <c r="V870" s="274"/>
      <c r="W870" s="374"/>
      <c r="X870" s="375"/>
      <c r="Y870" s="45" t="s">
        <v>678</v>
      </c>
      <c r="Z870" s="376"/>
      <c r="AA870" s="240"/>
      <c r="AB870" s="345">
        <v>1</v>
      </c>
      <c r="AC870" s="271"/>
      <c r="AD870" s="272"/>
      <c r="AE870" s="273"/>
      <c r="AF870" s="273"/>
      <c r="AG870" s="274"/>
      <c r="AH870" s="275"/>
      <c r="AI870" s="272"/>
      <c r="AJ870" s="276"/>
      <c r="AK870" s="277"/>
      <c r="AL870" s="278"/>
      <c r="AM870" s="277"/>
      <c r="AN870" s="279"/>
      <c r="AO870" s="279"/>
      <c r="AP870" s="279"/>
      <c r="AQ870" s="378"/>
      <c r="AR870" s="305">
        <f>'预算书-初步'!$F$10</f>
        <v>0.09</v>
      </c>
      <c r="AT870" s="272"/>
      <c r="BC870" s="272" t="s">
        <v>521</v>
      </c>
      <c r="BD870" s="380">
        <v>1125</v>
      </c>
      <c r="BE870" s="347" t="s">
        <v>703</v>
      </c>
    </row>
    <row r="871" s="52" customFormat="1" ht="15.75" customHeight="1" spans="1:57">
      <c r="A871" s="227"/>
      <c r="B871" s="332"/>
      <c r="C871" s="228"/>
      <c r="D871" s="333"/>
      <c r="E871" s="334"/>
      <c r="F871" s="229"/>
      <c r="G871" s="333"/>
      <c r="H871" s="335"/>
      <c r="I871" s="229"/>
      <c r="J871" s="229"/>
      <c r="K871" s="336"/>
      <c r="L871" s="337"/>
      <c r="M871" s="337"/>
      <c r="N871" s="337"/>
      <c r="O871" s="337"/>
      <c r="P871" s="337"/>
      <c r="Q871" s="381">
        <v>8394</v>
      </c>
      <c r="R871" s="271">
        <f t="shared" si="64"/>
        <v>0</v>
      </c>
      <c r="S871" s="339">
        <f t="shared" si="63"/>
        <v>0</v>
      </c>
      <c r="T871" s="373"/>
      <c r="U871" s="373">
        <f>SUMIF(其他!$A$9:$A$65,"8394",其他!$M$9:M$65)</f>
        <v>0</v>
      </c>
      <c r="V871" s="274"/>
      <c r="W871" s="374"/>
      <c r="X871" s="375"/>
      <c r="Y871" s="45" t="s">
        <v>679</v>
      </c>
      <c r="Z871" s="376"/>
      <c r="AA871" s="240"/>
      <c r="AB871" s="345">
        <v>1</v>
      </c>
      <c r="AC871" s="271"/>
      <c r="AD871" s="272"/>
      <c r="AE871" s="273"/>
      <c r="AF871" s="273"/>
      <c r="AG871" s="274"/>
      <c r="AH871" s="275"/>
      <c r="AI871" s="272"/>
      <c r="AJ871" s="276"/>
      <c r="AK871" s="277"/>
      <c r="AL871" s="278"/>
      <c r="AM871" s="277"/>
      <c r="AN871" s="279"/>
      <c r="AO871" s="279"/>
      <c r="AP871" s="279"/>
      <c r="AQ871" s="378"/>
      <c r="AR871" s="305">
        <f>'预算书-初步'!$F$10</f>
        <v>0.09</v>
      </c>
      <c r="AT871" s="272"/>
      <c r="BC871" s="272" t="s">
        <v>521</v>
      </c>
      <c r="BD871" s="380">
        <v>1125</v>
      </c>
      <c r="BE871" s="347" t="s">
        <v>703</v>
      </c>
    </row>
    <row r="872" s="52" customFormat="1" ht="15.75" customHeight="1" spans="1:57">
      <c r="A872" s="227"/>
      <c r="B872" s="332"/>
      <c r="C872" s="228"/>
      <c r="D872" s="333"/>
      <c r="E872" s="334"/>
      <c r="F872" s="229"/>
      <c r="G872" s="333"/>
      <c r="H872" s="335"/>
      <c r="I872" s="229"/>
      <c r="J872" s="229"/>
      <c r="K872" s="336"/>
      <c r="L872" s="337"/>
      <c r="M872" s="337"/>
      <c r="N872" s="337"/>
      <c r="O872" s="337"/>
      <c r="P872" s="337"/>
      <c r="Q872" s="381">
        <v>8329</v>
      </c>
      <c r="R872" s="271">
        <f t="shared" si="64"/>
        <v>0</v>
      </c>
      <c r="S872" s="339">
        <f t="shared" si="63"/>
        <v>0</v>
      </c>
      <c r="T872" s="373"/>
      <c r="U872" s="373">
        <f>FA!L$137</f>
        <v>0</v>
      </c>
      <c r="V872" s="274"/>
      <c r="W872" s="374"/>
      <c r="X872" s="375"/>
      <c r="Y872" s="388" t="s">
        <v>680</v>
      </c>
      <c r="Z872" s="376"/>
      <c r="AA872" s="240"/>
      <c r="AB872" s="345">
        <v>1</v>
      </c>
      <c r="AC872" s="271"/>
      <c r="AD872" s="272"/>
      <c r="AE872" s="273"/>
      <c r="AF872" s="273"/>
      <c r="AG872" s="274"/>
      <c r="AH872" s="275"/>
      <c r="AI872" s="272"/>
      <c r="AJ872" s="276"/>
      <c r="AK872" s="277"/>
      <c r="AL872" s="278"/>
      <c r="AM872" s="277"/>
      <c r="AN872" s="279"/>
      <c r="AO872" s="279"/>
      <c r="AP872" s="279"/>
      <c r="AQ872" s="378"/>
      <c r="AR872" s="305">
        <f>'预算书-初步'!$F$10</f>
        <v>0.09</v>
      </c>
      <c r="AT872" s="272"/>
      <c r="BC872" s="272" t="s">
        <v>521</v>
      </c>
      <c r="BD872" s="380">
        <v>1126</v>
      </c>
      <c r="BE872" s="347" t="s">
        <v>703</v>
      </c>
    </row>
    <row r="873" s="52" customFormat="1" ht="15.75" customHeight="1" spans="1:57">
      <c r="A873" s="227"/>
      <c r="B873" s="332"/>
      <c r="C873" s="228"/>
      <c r="D873" s="333"/>
      <c r="E873" s="334"/>
      <c r="F873" s="229"/>
      <c r="G873" s="333"/>
      <c r="H873" s="335"/>
      <c r="I873" s="229"/>
      <c r="J873" s="229"/>
      <c r="K873" s="336"/>
      <c r="L873" s="337"/>
      <c r="M873" s="337"/>
      <c r="N873" s="337"/>
      <c r="O873" s="337"/>
      <c r="P873" s="337"/>
      <c r="Q873" s="381">
        <v>8330</v>
      </c>
      <c r="R873" s="271">
        <f t="shared" si="64"/>
        <v>0</v>
      </c>
      <c r="S873" s="339">
        <f t="shared" ref="S873:S898" si="65">$S$5</f>
        <v>0</v>
      </c>
      <c r="T873" s="373"/>
      <c r="U873" s="373">
        <f>FA!L$138</f>
        <v>0</v>
      </c>
      <c r="V873" s="274"/>
      <c r="W873" s="374"/>
      <c r="X873" s="375"/>
      <c r="Y873" s="45" t="s">
        <v>681</v>
      </c>
      <c r="Z873" s="376"/>
      <c r="AA873" s="240"/>
      <c r="AB873" s="345">
        <v>1</v>
      </c>
      <c r="AC873" s="271"/>
      <c r="AD873" s="272"/>
      <c r="AE873" s="273"/>
      <c r="AF873" s="273"/>
      <c r="AG873" s="274"/>
      <c r="AH873" s="275"/>
      <c r="AI873" s="272"/>
      <c r="AJ873" s="276"/>
      <c r="AK873" s="277"/>
      <c r="AL873" s="278"/>
      <c r="AM873" s="277"/>
      <c r="AN873" s="279"/>
      <c r="AO873" s="279"/>
      <c r="AP873" s="279"/>
      <c r="AQ873" s="378"/>
      <c r="AR873" s="305">
        <f>'预算书-初步'!$F$10</f>
        <v>0.09</v>
      </c>
      <c r="AT873" s="272"/>
      <c r="BC873" s="272" t="s">
        <v>521</v>
      </c>
      <c r="BD873" s="380">
        <v>1127</v>
      </c>
      <c r="BE873" s="347" t="s">
        <v>703</v>
      </c>
    </row>
    <row r="874" s="52" customFormat="1" ht="15.75" customHeight="1" spans="1:57">
      <c r="A874" s="227"/>
      <c r="B874" s="332"/>
      <c r="C874" s="228"/>
      <c r="D874" s="333"/>
      <c r="E874" s="334"/>
      <c r="F874" s="229"/>
      <c r="G874" s="333"/>
      <c r="H874" s="335"/>
      <c r="I874" s="229"/>
      <c r="J874" s="229"/>
      <c r="K874" s="336"/>
      <c r="L874" s="337"/>
      <c r="M874" s="337"/>
      <c r="N874" s="337"/>
      <c r="O874" s="337"/>
      <c r="P874" s="337"/>
      <c r="Q874" s="381">
        <v>8440</v>
      </c>
      <c r="R874" s="271">
        <f t="shared" si="64"/>
        <v>0</v>
      </c>
      <c r="S874" s="339">
        <f t="shared" si="65"/>
        <v>0</v>
      </c>
      <c r="T874" s="373"/>
      <c r="U874" s="373">
        <f>FA!L$144</f>
        <v>0</v>
      </c>
      <c r="V874" s="274"/>
      <c r="W874" s="374"/>
      <c r="X874" s="375"/>
      <c r="Y874" s="385" t="s">
        <v>682</v>
      </c>
      <c r="Z874" s="376"/>
      <c r="AA874" s="240"/>
      <c r="AB874" s="345">
        <v>1</v>
      </c>
      <c r="AC874" s="271"/>
      <c r="AD874" s="272"/>
      <c r="AE874" s="273"/>
      <c r="AF874" s="273"/>
      <c r="AG874" s="274"/>
      <c r="AH874" s="275"/>
      <c r="AI874" s="272"/>
      <c r="AJ874" s="276"/>
      <c r="AK874" s="277"/>
      <c r="AL874" s="278"/>
      <c r="AM874" s="277"/>
      <c r="AN874" s="279"/>
      <c r="AO874" s="279"/>
      <c r="AP874" s="279"/>
      <c r="AQ874" s="378"/>
      <c r="AR874" s="305">
        <f>'预算书-初步'!$F$10</f>
        <v>0.09</v>
      </c>
      <c r="AT874" s="272"/>
      <c r="BC874" s="272" t="s">
        <v>521</v>
      </c>
      <c r="BD874" s="380">
        <v>1133</v>
      </c>
      <c r="BE874" s="347" t="s">
        <v>703</v>
      </c>
    </row>
    <row r="875" s="52" customFormat="1" ht="15.75" customHeight="1" spans="1:57">
      <c r="A875" s="227"/>
      <c r="B875" s="332"/>
      <c r="C875" s="228"/>
      <c r="D875" s="333"/>
      <c r="E875" s="334"/>
      <c r="F875" s="229"/>
      <c r="G875" s="333"/>
      <c r="H875" s="335"/>
      <c r="I875" s="229"/>
      <c r="J875" s="229"/>
      <c r="K875" s="336"/>
      <c r="L875" s="337"/>
      <c r="M875" s="337"/>
      <c r="N875" s="337"/>
      <c r="O875" s="337"/>
      <c r="P875" s="337"/>
      <c r="Q875" s="381">
        <v>8437</v>
      </c>
      <c r="R875" s="271">
        <f t="shared" si="64"/>
        <v>0</v>
      </c>
      <c r="S875" s="339">
        <f t="shared" si="65"/>
        <v>0</v>
      </c>
      <c r="T875" s="373"/>
      <c r="U875" s="373">
        <f>FA!L$145</f>
        <v>0</v>
      </c>
      <c r="V875" s="274"/>
      <c r="W875" s="374"/>
      <c r="X875" s="375"/>
      <c r="Y875" s="45" t="s">
        <v>683</v>
      </c>
      <c r="Z875" s="376"/>
      <c r="AA875" s="240"/>
      <c r="AB875" s="345">
        <v>1</v>
      </c>
      <c r="AC875" s="271"/>
      <c r="AD875" s="272"/>
      <c r="AE875" s="273"/>
      <c r="AF875" s="273"/>
      <c r="AG875" s="274"/>
      <c r="AH875" s="275"/>
      <c r="AI875" s="272"/>
      <c r="AJ875" s="276"/>
      <c r="AK875" s="277"/>
      <c r="AL875" s="278"/>
      <c r="AM875" s="277"/>
      <c r="AN875" s="279"/>
      <c r="AO875" s="279"/>
      <c r="AP875" s="279"/>
      <c r="AQ875" s="378"/>
      <c r="AR875" s="305">
        <f>'预算书-初步'!$F$10</f>
        <v>0.09</v>
      </c>
      <c r="AT875" s="272"/>
      <c r="BC875" s="272" t="s">
        <v>521</v>
      </c>
      <c r="BD875" s="380">
        <v>1134</v>
      </c>
      <c r="BE875" s="347" t="s">
        <v>703</v>
      </c>
    </row>
    <row r="876" s="52" customFormat="1" ht="15.75" customHeight="1" spans="1:57">
      <c r="A876" s="227"/>
      <c r="B876" s="332"/>
      <c r="C876" s="228"/>
      <c r="D876" s="333"/>
      <c r="E876" s="334"/>
      <c r="F876" s="229"/>
      <c r="G876" s="333"/>
      <c r="H876" s="335"/>
      <c r="I876" s="229"/>
      <c r="J876" s="229"/>
      <c r="K876" s="336"/>
      <c r="L876" s="337"/>
      <c r="M876" s="337"/>
      <c r="N876" s="337"/>
      <c r="O876" s="337"/>
      <c r="P876" s="337"/>
      <c r="Q876" s="381">
        <v>8441</v>
      </c>
      <c r="R876" s="271">
        <f t="shared" si="64"/>
        <v>0</v>
      </c>
      <c r="S876" s="339">
        <f t="shared" si="65"/>
        <v>0</v>
      </c>
      <c r="T876" s="373"/>
      <c r="U876" s="373">
        <f>FA!L$146</f>
        <v>0</v>
      </c>
      <c r="V876" s="274"/>
      <c r="W876" s="374"/>
      <c r="X876" s="375"/>
      <c r="Y876" s="388" t="s">
        <v>684</v>
      </c>
      <c r="Z876" s="376"/>
      <c r="AA876" s="240"/>
      <c r="AB876" s="345">
        <v>1</v>
      </c>
      <c r="AC876" s="271"/>
      <c r="AD876" s="272"/>
      <c r="AE876" s="273"/>
      <c r="AF876" s="273"/>
      <c r="AG876" s="274"/>
      <c r="AH876" s="275"/>
      <c r="AI876" s="272"/>
      <c r="AJ876" s="276"/>
      <c r="AK876" s="277"/>
      <c r="AL876" s="278"/>
      <c r="AM876" s="277"/>
      <c r="AN876" s="279"/>
      <c r="AO876" s="279"/>
      <c r="AP876" s="279"/>
      <c r="AQ876" s="378"/>
      <c r="AR876" s="305">
        <f>'预算书-初步'!$F$10</f>
        <v>0.09</v>
      </c>
      <c r="AT876" s="272"/>
      <c r="BC876" s="272" t="s">
        <v>521</v>
      </c>
      <c r="BD876" s="380">
        <v>1135</v>
      </c>
      <c r="BE876" s="347" t="s">
        <v>703</v>
      </c>
    </row>
    <row r="877" s="52" customFormat="1" ht="15.75" customHeight="1" spans="1:57">
      <c r="A877" s="227"/>
      <c r="B877" s="332"/>
      <c r="C877" s="228"/>
      <c r="D877" s="333"/>
      <c r="E877" s="334"/>
      <c r="F877" s="229"/>
      <c r="G877" s="333"/>
      <c r="H877" s="335"/>
      <c r="I877" s="229"/>
      <c r="J877" s="229"/>
      <c r="K877" s="336"/>
      <c r="L877" s="337"/>
      <c r="M877" s="337"/>
      <c r="N877" s="337"/>
      <c r="O877" s="337"/>
      <c r="P877" s="337"/>
      <c r="Q877" s="381">
        <v>8420</v>
      </c>
      <c r="R877" s="271">
        <f t="shared" si="64"/>
        <v>0</v>
      </c>
      <c r="S877" s="339">
        <f t="shared" si="65"/>
        <v>0</v>
      </c>
      <c r="T877" s="373"/>
      <c r="U877" s="373">
        <f>FA!L$148</f>
        <v>0</v>
      </c>
      <c r="V877" s="274"/>
      <c r="W877" s="374"/>
      <c r="X877" s="375"/>
      <c r="Y877" s="45" t="s">
        <v>685</v>
      </c>
      <c r="Z877" s="376"/>
      <c r="AA877" s="240"/>
      <c r="AB877" s="345">
        <v>1</v>
      </c>
      <c r="AC877" s="271"/>
      <c r="AD877" s="272"/>
      <c r="AE877" s="273"/>
      <c r="AF877" s="273"/>
      <c r="AG877" s="274"/>
      <c r="AH877" s="275"/>
      <c r="AI877" s="272"/>
      <c r="AJ877" s="276"/>
      <c r="AK877" s="277"/>
      <c r="AL877" s="278"/>
      <c r="AM877" s="277"/>
      <c r="AN877" s="279"/>
      <c r="AO877" s="279"/>
      <c r="AP877" s="279"/>
      <c r="AQ877" s="378"/>
      <c r="AR877" s="305">
        <f>'预算书-初步'!$F$10</f>
        <v>0.09</v>
      </c>
      <c r="AT877" s="272"/>
      <c r="BC877" s="272" t="s">
        <v>521</v>
      </c>
      <c r="BD877" s="380">
        <v>1137</v>
      </c>
      <c r="BE877" s="347" t="s">
        <v>703</v>
      </c>
    </row>
    <row r="878" s="52" customFormat="1" ht="15.75" customHeight="1" spans="1:57">
      <c r="A878" s="227"/>
      <c r="B878" s="332"/>
      <c r="C878" s="228"/>
      <c r="D878" s="333"/>
      <c r="E878" s="334"/>
      <c r="F878" s="229"/>
      <c r="G878" s="333"/>
      <c r="H878" s="335"/>
      <c r="I878" s="229"/>
      <c r="J878" s="229"/>
      <c r="K878" s="336"/>
      <c r="L878" s="337"/>
      <c r="M878" s="337"/>
      <c r="N878" s="337"/>
      <c r="O878" s="337"/>
      <c r="P878" s="337"/>
      <c r="Q878" s="381">
        <v>8450</v>
      </c>
      <c r="R878" s="271">
        <f t="shared" si="64"/>
        <v>0</v>
      </c>
      <c r="S878" s="339">
        <f t="shared" si="65"/>
        <v>0</v>
      </c>
      <c r="T878" s="373"/>
      <c r="U878" s="373">
        <f>FA!L$149</f>
        <v>0</v>
      </c>
      <c r="V878" s="274"/>
      <c r="W878" s="374"/>
      <c r="X878" s="375"/>
      <c r="Y878" s="388" t="s">
        <v>686</v>
      </c>
      <c r="Z878" s="376"/>
      <c r="AA878" s="240"/>
      <c r="AB878" s="345">
        <v>1</v>
      </c>
      <c r="AC878" s="271"/>
      <c r="AD878" s="272"/>
      <c r="AE878" s="273"/>
      <c r="AF878" s="273"/>
      <c r="AG878" s="274"/>
      <c r="AH878" s="275"/>
      <c r="AI878" s="272"/>
      <c r="AJ878" s="276"/>
      <c r="AK878" s="277"/>
      <c r="AL878" s="278"/>
      <c r="AM878" s="277"/>
      <c r="AN878" s="279"/>
      <c r="AO878" s="279"/>
      <c r="AP878" s="279"/>
      <c r="AQ878" s="378"/>
      <c r="AR878" s="305">
        <f>'预算书-初步'!$F$10</f>
        <v>0.09</v>
      </c>
      <c r="AT878" s="272"/>
      <c r="BC878" s="272" t="s">
        <v>521</v>
      </c>
      <c r="BD878" s="380">
        <v>1138</v>
      </c>
      <c r="BE878" s="347" t="s">
        <v>703</v>
      </c>
    </row>
    <row r="879" s="52" customFormat="1" ht="15.75" customHeight="1" spans="1:57">
      <c r="A879" s="227"/>
      <c r="B879" s="332"/>
      <c r="C879" s="228"/>
      <c r="D879" s="333"/>
      <c r="E879" s="334"/>
      <c r="F879" s="229"/>
      <c r="G879" s="333"/>
      <c r="H879" s="335"/>
      <c r="I879" s="229"/>
      <c r="J879" s="229"/>
      <c r="K879" s="336"/>
      <c r="L879" s="337"/>
      <c r="M879" s="337"/>
      <c r="N879" s="337"/>
      <c r="O879" s="337"/>
      <c r="P879" s="337"/>
      <c r="Q879" s="381">
        <v>8493</v>
      </c>
      <c r="R879" s="271">
        <f t="shared" si="64"/>
        <v>0</v>
      </c>
      <c r="S879" s="339">
        <f t="shared" si="65"/>
        <v>0</v>
      </c>
      <c r="T879" s="373"/>
      <c r="U879" s="373">
        <f>FA!L$155</f>
        <v>0</v>
      </c>
      <c r="V879" s="274"/>
      <c r="W879" s="374"/>
      <c r="X879" s="375"/>
      <c r="Y879" s="365" t="s">
        <v>687</v>
      </c>
      <c r="Z879" s="376"/>
      <c r="AA879" s="240"/>
      <c r="AB879" s="345">
        <v>1</v>
      </c>
      <c r="AC879" s="271"/>
      <c r="AD879" s="272"/>
      <c r="AE879" s="273"/>
      <c r="AF879" s="273"/>
      <c r="AG879" s="274"/>
      <c r="AH879" s="275"/>
      <c r="AI879" s="272"/>
      <c r="AJ879" s="276"/>
      <c r="AK879" s="277"/>
      <c r="AL879" s="278"/>
      <c r="AM879" s="277"/>
      <c r="AN879" s="279"/>
      <c r="AO879" s="279"/>
      <c r="AP879" s="279"/>
      <c r="AQ879" s="378"/>
      <c r="AR879" s="305">
        <f>'预算书-初步'!$F$10</f>
        <v>0.09</v>
      </c>
      <c r="AT879" s="272"/>
      <c r="BC879" s="272" t="s">
        <v>521</v>
      </c>
      <c r="BD879" s="380">
        <v>1152</v>
      </c>
      <c r="BE879" s="347" t="s">
        <v>703</v>
      </c>
    </row>
    <row r="880" s="52" customFormat="1" ht="15.75" customHeight="1" spans="1:57">
      <c r="A880" s="227"/>
      <c r="B880" s="332"/>
      <c r="C880" s="228"/>
      <c r="D880" s="333"/>
      <c r="E880" s="334"/>
      <c r="F880" s="229"/>
      <c r="G880" s="333"/>
      <c r="H880" s="335"/>
      <c r="I880" s="229"/>
      <c r="J880" s="229"/>
      <c r="K880" s="336"/>
      <c r="L880" s="337"/>
      <c r="M880" s="337"/>
      <c r="N880" s="337"/>
      <c r="O880" s="337"/>
      <c r="P880" s="337"/>
      <c r="Q880" s="381">
        <v>8494</v>
      </c>
      <c r="R880" s="271">
        <f t="shared" si="64"/>
        <v>0</v>
      </c>
      <c r="S880" s="339">
        <f t="shared" si="65"/>
        <v>0</v>
      </c>
      <c r="T880" s="373"/>
      <c r="U880" s="373">
        <f>FA!L$156</f>
        <v>0</v>
      </c>
      <c r="V880" s="274"/>
      <c r="W880" s="374"/>
      <c r="X880" s="375"/>
      <c r="Y880" s="365" t="s">
        <v>688</v>
      </c>
      <c r="Z880" s="376"/>
      <c r="AA880" s="240"/>
      <c r="AB880" s="345">
        <v>1</v>
      </c>
      <c r="AC880" s="271"/>
      <c r="AD880" s="272"/>
      <c r="AE880" s="273"/>
      <c r="AF880" s="273"/>
      <c r="AG880" s="274"/>
      <c r="AH880" s="275"/>
      <c r="AI880" s="272"/>
      <c r="AJ880" s="276"/>
      <c r="AK880" s="277"/>
      <c r="AL880" s="278"/>
      <c r="AM880" s="277"/>
      <c r="AN880" s="279"/>
      <c r="AO880" s="279"/>
      <c r="AP880" s="279"/>
      <c r="AQ880" s="378"/>
      <c r="AR880" s="305">
        <f>'预算书-初步'!$F$10</f>
        <v>0.09</v>
      </c>
      <c r="AT880" s="272"/>
      <c r="BC880" s="272" t="s">
        <v>521</v>
      </c>
      <c r="BD880" s="380">
        <v>1153</v>
      </c>
      <c r="BE880" s="347" t="s">
        <v>703</v>
      </c>
    </row>
    <row r="881" s="52" customFormat="1" ht="15.75" customHeight="1" spans="1:57">
      <c r="A881" s="227"/>
      <c r="B881" s="332"/>
      <c r="C881" s="228"/>
      <c r="D881" s="333"/>
      <c r="E881" s="334"/>
      <c r="F881" s="229"/>
      <c r="G881" s="333"/>
      <c r="H881" s="335"/>
      <c r="I881" s="229"/>
      <c r="J881" s="229"/>
      <c r="K881" s="336"/>
      <c r="L881" s="337"/>
      <c r="M881" s="337"/>
      <c r="N881" s="337"/>
      <c r="O881" s="337"/>
      <c r="P881" s="337"/>
      <c r="Q881" s="384">
        <v>2910</v>
      </c>
      <c r="R881" s="271">
        <f t="shared" si="64"/>
        <v>0</v>
      </c>
      <c r="S881" s="339">
        <f t="shared" si="65"/>
        <v>0</v>
      </c>
      <c r="T881" s="373"/>
      <c r="U881" s="373">
        <f>SUMIF(其他!$A$9:$A$65,"2910",其他!$M$9:M$65)</f>
        <v>0</v>
      </c>
      <c r="V881" s="274"/>
      <c r="W881" s="374"/>
      <c r="X881" s="375"/>
      <c r="Y881" s="45" t="s">
        <v>689</v>
      </c>
      <c r="Z881" s="376"/>
      <c r="AA881" s="240"/>
      <c r="AB881" s="345">
        <v>1</v>
      </c>
      <c r="AC881" s="271"/>
      <c r="AD881" s="272"/>
      <c r="AE881" s="273"/>
      <c r="AF881" s="273"/>
      <c r="AG881" s="274"/>
      <c r="AH881" s="275"/>
      <c r="AI881" s="272"/>
      <c r="AJ881" s="276"/>
      <c r="AK881" s="277"/>
      <c r="AL881" s="278"/>
      <c r="AM881" s="277"/>
      <c r="AN881" s="279"/>
      <c r="AO881" s="279"/>
      <c r="AP881" s="279"/>
      <c r="AQ881" s="378"/>
      <c r="AR881" s="305">
        <f>'预算书-初步'!$F$10</f>
        <v>0.09</v>
      </c>
      <c r="AT881" s="272"/>
      <c r="BC881" s="272" t="s">
        <v>521</v>
      </c>
      <c r="BD881" s="380">
        <v>1160</v>
      </c>
      <c r="BE881" s="347" t="s">
        <v>703</v>
      </c>
    </row>
    <row r="882" s="52" customFormat="1" ht="15.75" customHeight="1" spans="1:57">
      <c r="A882" s="227"/>
      <c r="B882" s="332"/>
      <c r="C882" s="228"/>
      <c r="D882" s="333"/>
      <c r="E882" s="334"/>
      <c r="F882" s="229"/>
      <c r="G882" s="333"/>
      <c r="H882" s="335"/>
      <c r="I882" s="229"/>
      <c r="J882" s="229"/>
      <c r="K882" s="336"/>
      <c r="L882" s="337"/>
      <c r="M882" s="337"/>
      <c r="N882" s="337"/>
      <c r="O882" s="337"/>
      <c r="P882" s="337"/>
      <c r="Q882" s="384">
        <v>2920</v>
      </c>
      <c r="R882" s="271">
        <f t="shared" si="64"/>
        <v>0</v>
      </c>
      <c r="S882" s="339">
        <f t="shared" si="65"/>
        <v>0</v>
      </c>
      <c r="T882" s="373"/>
      <c r="U882" s="373">
        <f>SUMIF(其他!$A$9:$A$65,"2920",其他!$M$9:M$65)</f>
        <v>0</v>
      </c>
      <c r="V882" s="274"/>
      <c r="W882" s="374"/>
      <c r="X882" s="375"/>
      <c r="Y882" s="45" t="s">
        <v>690</v>
      </c>
      <c r="Z882" s="376"/>
      <c r="AA882" s="240"/>
      <c r="AB882" s="345">
        <v>1</v>
      </c>
      <c r="AC882" s="271"/>
      <c r="AD882" s="272"/>
      <c r="AE882" s="273"/>
      <c r="AF882" s="273"/>
      <c r="AG882" s="274"/>
      <c r="AH882" s="275"/>
      <c r="AI882" s="272"/>
      <c r="AJ882" s="276"/>
      <c r="AK882" s="277"/>
      <c r="AL882" s="278"/>
      <c r="AM882" s="277"/>
      <c r="AN882" s="279"/>
      <c r="AO882" s="279"/>
      <c r="AP882" s="279"/>
      <c r="AQ882" s="378"/>
      <c r="AR882" s="305">
        <f>'预算书-初步'!$F$10</f>
        <v>0.09</v>
      </c>
      <c r="AT882" s="272"/>
      <c r="BC882" s="272" t="s">
        <v>521</v>
      </c>
      <c r="BD882" s="380">
        <v>1160</v>
      </c>
      <c r="BE882" s="347" t="s">
        <v>703</v>
      </c>
    </row>
    <row r="883" s="52" customFormat="1" ht="15.75" customHeight="1" spans="1:57">
      <c r="A883" s="227"/>
      <c r="B883" s="332"/>
      <c r="C883" s="228"/>
      <c r="D883" s="333"/>
      <c r="E883" s="334"/>
      <c r="F883" s="229"/>
      <c r="G883" s="333"/>
      <c r="H883" s="335"/>
      <c r="I883" s="229"/>
      <c r="J883" s="229"/>
      <c r="K883" s="336"/>
      <c r="L883" s="337"/>
      <c r="M883" s="337"/>
      <c r="N883" s="337"/>
      <c r="O883" s="337"/>
      <c r="P883" s="337"/>
      <c r="Q883" s="384">
        <v>2930</v>
      </c>
      <c r="R883" s="271">
        <f t="shared" si="64"/>
        <v>0</v>
      </c>
      <c r="S883" s="339">
        <f t="shared" si="65"/>
        <v>0</v>
      </c>
      <c r="T883" s="373"/>
      <c r="U883" s="373">
        <f>SUMIF(其他!$A$9:$A$65,"2930",其他!$M$9:M$65)</f>
        <v>0</v>
      </c>
      <c r="V883" s="274"/>
      <c r="W883" s="374"/>
      <c r="X883" s="375"/>
      <c r="Y883" s="45" t="s">
        <v>691</v>
      </c>
      <c r="Z883" s="376"/>
      <c r="AA883" s="240"/>
      <c r="AB883" s="345">
        <v>1</v>
      </c>
      <c r="AC883" s="271"/>
      <c r="AD883" s="272"/>
      <c r="AE883" s="273"/>
      <c r="AF883" s="273"/>
      <c r="AG883" s="274"/>
      <c r="AH883" s="275"/>
      <c r="AI883" s="272"/>
      <c r="AJ883" s="276"/>
      <c r="AK883" s="277"/>
      <c r="AL883" s="278"/>
      <c r="AM883" s="277"/>
      <c r="AN883" s="279"/>
      <c r="AO883" s="279"/>
      <c r="AP883" s="279"/>
      <c r="AQ883" s="378"/>
      <c r="AR883" s="305">
        <f>'预算书-初步'!$F$10</f>
        <v>0.09</v>
      </c>
      <c r="AT883" s="272"/>
      <c r="BC883" s="272" t="s">
        <v>521</v>
      </c>
      <c r="BD883" s="380">
        <v>1160</v>
      </c>
      <c r="BE883" s="347" t="s">
        <v>703</v>
      </c>
    </row>
    <row r="884" s="52" customFormat="1" ht="15.75" customHeight="1" spans="1:57">
      <c r="A884" s="227"/>
      <c r="B884" s="332"/>
      <c r="C884" s="228"/>
      <c r="D884" s="333"/>
      <c r="E884" s="334"/>
      <c r="F884" s="229"/>
      <c r="G884" s="333"/>
      <c r="H884" s="335"/>
      <c r="I884" s="229"/>
      <c r="J884" s="229"/>
      <c r="K884" s="336"/>
      <c r="L884" s="337"/>
      <c r="M884" s="337"/>
      <c r="N884" s="337"/>
      <c r="O884" s="337"/>
      <c r="P884" s="337"/>
      <c r="Q884" s="384">
        <v>2940</v>
      </c>
      <c r="R884" s="271">
        <f t="shared" si="64"/>
        <v>0</v>
      </c>
      <c r="S884" s="339">
        <f t="shared" si="65"/>
        <v>0</v>
      </c>
      <c r="T884" s="373"/>
      <c r="U884" s="373">
        <f>SUMIF(其他!$A$9:$A$65,"2940",其他!$M$9:M$65)</f>
        <v>0</v>
      </c>
      <c r="V884" s="274"/>
      <c r="W884" s="374"/>
      <c r="X884" s="375"/>
      <c r="Y884" s="45" t="s">
        <v>692</v>
      </c>
      <c r="Z884" s="376"/>
      <c r="AA884" s="240"/>
      <c r="AB884" s="345">
        <v>1</v>
      </c>
      <c r="AC884" s="271"/>
      <c r="AD884" s="272"/>
      <c r="AE884" s="273"/>
      <c r="AF884" s="273"/>
      <c r="AG884" s="274"/>
      <c r="AH884" s="275"/>
      <c r="AI884" s="272"/>
      <c r="AJ884" s="276"/>
      <c r="AK884" s="277"/>
      <c r="AL884" s="278"/>
      <c r="AM884" s="277"/>
      <c r="AN884" s="279"/>
      <c r="AO884" s="279"/>
      <c r="AP884" s="279"/>
      <c r="AQ884" s="378"/>
      <c r="AR884" s="305">
        <f>'预算书-初步'!$F$10</f>
        <v>0.09</v>
      </c>
      <c r="AT884" s="272"/>
      <c r="BC884" s="272" t="s">
        <v>521</v>
      </c>
      <c r="BD884" s="380">
        <v>1160</v>
      </c>
      <c r="BE884" s="347" t="s">
        <v>703</v>
      </c>
    </row>
    <row r="885" s="52" customFormat="1" ht="15.75" customHeight="1" spans="1:57">
      <c r="A885" s="227"/>
      <c r="B885" s="332"/>
      <c r="C885" s="228"/>
      <c r="D885" s="333"/>
      <c r="E885" s="334"/>
      <c r="F885" s="229"/>
      <c r="G885" s="333"/>
      <c r="H885" s="335"/>
      <c r="I885" s="229"/>
      <c r="J885" s="229"/>
      <c r="K885" s="336"/>
      <c r="L885" s="337"/>
      <c r="M885" s="337"/>
      <c r="N885" s="337"/>
      <c r="O885" s="337"/>
      <c r="P885" s="337"/>
      <c r="Q885" s="384">
        <v>2950</v>
      </c>
      <c r="R885" s="271">
        <f t="shared" si="64"/>
        <v>0</v>
      </c>
      <c r="S885" s="339">
        <f t="shared" si="65"/>
        <v>0</v>
      </c>
      <c r="T885" s="373"/>
      <c r="U885" s="373">
        <f>SUMIF(其他!$A$9:$A$65,"2950",其他!$M$9:M$65)</f>
        <v>0</v>
      </c>
      <c r="V885" s="274"/>
      <c r="W885" s="374"/>
      <c r="X885" s="375"/>
      <c r="Y885" s="45" t="s">
        <v>693</v>
      </c>
      <c r="Z885" s="376"/>
      <c r="AA885" s="240"/>
      <c r="AB885" s="345">
        <v>1</v>
      </c>
      <c r="AC885" s="271"/>
      <c r="AD885" s="272"/>
      <c r="AE885" s="273"/>
      <c r="AF885" s="273"/>
      <c r="AG885" s="274"/>
      <c r="AH885" s="275"/>
      <c r="AI885" s="272"/>
      <c r="AJ885" s="276"/>
      <c r="AK885" s="277"/>
      <c r="AL885" s="278"/>
      <c r="AM885" s="277"/>
      <c r="AN885" s="279"/>
      <c r="AO885" s="279"/>
      <c r="AP885" s="279"/>
      <c r="AQ885" s="378"/>
      <c r="AR885" s="305">
        <f>'预算书-初步'!$F$10</f>
        <v>0.09</v>
      </c>
      <c r="AT885" s="272"/>
      <c r="BC885" s="272" t="s">
        <v>521</v>
      </c>
      <c r="BD885" s="380">
        <v>1160</v>
      </c>
      <c r="BE885" s="347" t="s">
        <v>703</v>
      </c>
    </row>
    <row r="886" s="52" customFormat="1" ht="15.75" customHeight="1" spans="1:57">
      <c r="A886" s="227"/>
      <c r="B886" s="332"/>
      <c r="C886" s="228"/>
      <c r="D886" s="333"/>
      <c r="E886" s="334"/>
      <c r="F886" s="229"/>
      <c r="G886" s="333"/>
      <c r="H886" s="335"/>
      <c r="I886" s="229"/>
      <c r="J886" s="229"/>
      <c r="K886" s="336"/>
      <c r="L886" s="337"/>
      <c r="M886" s="337"/>
      <c r="N886" s="337"/>
      <c r="O886" s="337"/>
      <c r="P886" s="337"/>
      <c r="Q886" s="384">
        <v>2992</v>
      </c>
      <c r="R886" s="271">
        <f t="shared" si="64"/>
        <v>0</v>
      </c>
      <c r="S886" s="339">
        <f t="shared" si="65"/>
        <v>0</v>
      </c>
      <c r="T886" s="373"/>
      <c r="U886" s="373">
        <f>SUMIF(其他!$A$9:$A$65,"2992",其他!$M$9:M$65)</f>
        <v>0</v>
      </c>
      <c r="V886" s="274"/>
      <c r="W886" s="374"/>
      <c r="X886" s="375"/>
      <c r="Y886" s="45" t="s">
        <v>694</v>
      </c>
      <c r="Z886" s="376"/>
      <c r="AA886" s="240"/>
      <c r="AB886" s="345">
        <v>1</v>
      </c>
      <c r="AC886" s="271"/>
      <c r="AD886" s="272"/>
      <c r="AE886" s="273"/>
      <c r="AF886" s="273"/>
      <c r="AG886" s="274"/>
      <c r="AH886" s="275"/>
      <c r="AI886" s="272"/>
      <c r="AJ886" s="276"/>
      <c r="AK886" s="277"/>
      <c r="AL886" s="278"/>
      <c r="AM886" s="277"/>
      <c r="AN886" s="279"/>
      <c r="AO886" s="279"/>
      <c r="AP886" s="279"/>
      <c r="AQ886" s="378"/>
      <c r="AR886" s="305">
        <f>'预算书-初步'!$F$10</f>
        <v>0.09</v>
      </c>
      <c r="AT886" s="272"/>
      <c r="BC886" s="272" t="s">
        <v>521</v>
      </c>
      <c r="BD886" s="380">
        <v>1163</v>
      </c>
      <c r="BE886" s="347" t="s">
        <v>703</v>
      </c>
    </row>
    <row r="887" s="52" customFormat="1" ht="15.75" customHeight="1" spans="1:57">
      <c r="A887" s="227"/>
      <c r="B887" s="332"/>
      <c r="C887" s="228"/>
      <c r="D887" s="333"/>
      <c r="E887" s="334"/>
      <c r="F887" s="229"/>
      <c r="G887" s="333"/>
      <c r="H887" s="335"/>
      <c r="I887" s="229"/>
      <c r="J887" s="229"/>
      <c r="K887" s="336"/>
      <c r="L887" s="337"/>
      <c r="M887" s="337"/>
      <c r="N887" s="337"/>
      <c r="O887" s="337"/>
      <c r="P887" s="337"/>
      <c r="Q887" s="384">
        <v>2993</v>
      </c>
      <c r="R887" s="271">
        <f t="shared" si="64"/>
        <v>0</v>
      </c>
      <c r="S887" s="339">
        <f t="shared" si="65"/>
        <v>0</v>
      </c>
      <c r="T887" s="373"/>
      <c r="U887" s="373">
        <f>SUMIF(其他!$A$9:$A$65,"2993",其他!$M$9:M$65)</f>
        <v>0</v>
      </c>
      <c r="V887" s="274"/>
      <c r="W887" s="374"/>
      <c r="X887" s="375"/>
      <c r="Y887" s="45" t="s">
        <v>695</v>
      </c>
      <c r="Z887" s="376"/>
      <c r="AA887" s="240"/>
      <c r="AB887" s="345">
        <v>1</v>
      </c>
      <c r="AC887" s="271"/>
      <c r="AD887" s="272"/>
      <c r="AE887" s="273"/>
      <c r="AF887" s="273"/>
      <c r="AG887" s="274"/>
      <c r="AH887" s="275"/>
      <c r="AI887" s="272"/>
      <c r="AJ887" s="276"/>
      <c r="AK887" s="277"/>
      <c r="AL887" s="278"/>
      <c r="AM887" s="277"/>
      <c r="AN887" s="279"/>
      <c r="AO887" s="279"/>
      <c r="AP887" s="279"/>
      <c r="AQ887" s="378"/>
      <c r="AR887" s="305">
        <f>'预算书-初步'!$F$10</f>
        <v>0.09</v>
      </c>
      <c r="AT887" s="272"/>
      <c r="BC887" s="272" t="s">
        <v>521</v>
      </c>
      <c r="BD887" s="380">
        <v>1163</v>
      </c>
      <c r="BE887" s="347" t="s">
        <v>703</v>
      </c>
    </row>
    <row r="888" s="52" customFormat="1" ht="15.75" customHeight="1" spans="1:57">
      <c r="A888" s="227"/>
      <c r="B888" s="332"/>
      <c r="C888" s="228"/>
      <c r="D888" s="333"/>
      <c r="E888" s="334"/>
      <c r="F888" s="229"/>
      <c r="G888" s="333"/>
      <c r="H888" s="335"/>
      <c r="I888" s="229"/>
      <c r="J888" s="229"/>
      <c r="K888" s="336"/>
      <c r="L888" s="337"/>
      <c r="M888" s="337"/>
      <c r="N888" s="337"/>
      <c r="O888" s="337"/>
      <c r="P888" s="337"/>
      <c r="Q888" s="384">
        <v>2994</v>
      </c>
      <c r="R888" s="271">
        <f t="shared" si="64"/>
        <v>0</v>
      </c>
      <c r="S888" s="339">
        <f t="shared" si="65"/>
        <v>0</v>
      </c>
      <c r="T888" s="373"/>
      <c r="U888" s="373">
        <f>SUMIF(其他!$A$9:$A$65,"2994",其他!$M$9:M$65)</f>
        <v>0</v>
      </c>
      <c r="V888" s="274"/>
      <c r="W888" s="374"/>
      <c r="X888" s="375"/>
      <c r="Y888" s="45" t="s">
        <v>696</v>
      </c>
      <c r="Z888" s="376"/>
      <c r="AA888" s="240"/>
      <c r="AB888" s="345">
        <v>1</v>
      </c>
      <c r="AC888" s="271"/>
      <c r="AD888" s="272"/>
      <c r="AE888" s="273"/>
      <c r="AF888" s="273"/>
      <c r="AG888" s="274"/>
      <c r="AH888" s="275"/>
      <c r="AI888" s="272"/>
      <c r="AJ888" s="276"/>
      <c r="AK888" s="277"/>
      <c r="AL888" s="278"/>
      <c r="AM888" s="277"/>
      <c r="AN888" s="279"/>
      <c r="AO888" s="279"/>
      <c r="AP888" s="279"/>
      <c r="AQ888" s="378"/>
      <c r="AR888" s="305">
        <f>'预算书-初步'!$F$10</f>
        <v>0.09</v>
      </c>
      <c r="AT888" s="272"/>
      <c r="BC888" s="272" t="s">
        <v>521</v>
      </c>
      <c r="BD888" s="380">
        <v>1163</v>
      </c>
      <c r="BE888" s="347" t="s">
        <v>703</v>
      </c>
    </row>
    <row r="889" s="52" customFormat="1" spans="1:57">
      <c r="A889" s="227"/>
      <c r="B889" s="332"/>
      <c r="C889" s="228"/>
      <c r="D889" s="333"/>
      <c r="E889" s="334"/>
      <c r="F889" s="229"/>
      <c r="G889" s="333"/>
      <c r="H889" s="335"/>
      <c r="I889" s="229"/>
      <c r="J889" s="229"/>
      <c r="K889" s="336"/>
      <c r="L889" s="337"/>
      <c r="M889" s="337"/>
      <c r="N889" s="337"/>
      <c r="O889" s="337"/>
      <c r="P889" s="337"/>
      <c r="Q889" s="384">
        <v>4992</v>
      </c>
      <c r="R889" s="271">
        <f t="shared" si="64"/>
        <v>0</v>
      </c>
      <c r="S889" s="339">
        <f t="shared" si="65"/>
        <v>0</v>
      </c>
      <c r="T889" s="373"/>
      <c r="U889" s="373">
        <f>SUMIF(其他!$A$9:$A$65,"4992",其他!$M$9:M$65)</f>
        <v>0</v>
      </c>
      <c r="V889" s="274"/>
      <c r="W889" s="374"/>
      <c r="X889" s="375"/>
      <c r="Y889" s="45" t="s">
        <v>697</v>
      </c>
      <c r="Z889" s="376"/>
      <c r="AA889" s="240"/>
      <c r="AB889" s="345">
        <v>1</v>
      </c>
      <c r="AC889" s="271"/>
      <c r="AD889" s="272"/>
      <c r="AE889" s="273"/>
      <c r="AF889" s="273"/>
      <c r="AG889" s="274"/>
      <c r="AH889" s="275"/>
      <c r="AI889" s="272"/>
      <c r="AJ889" s="276"/>
      <c r="AK889" s="277"/>
      <c r="AL889" s="278"/>
      <c r="AM889" s="277"/>
      <c r="AN889" s="279"/>
      <c r="AO889" s="279"/>
      <c r="AP889" s="279"/>
      <c r="AQ889" s="378"/>
      <c r="AR889" s="305">
        <f>'预算书-初步'!$F$10</f>
        <v>0.09</v>
      </c>
      <c r="AT889" s="272"/>
      <c r="BC889" s="272" t="s">
        <v>521</v>
      </c>
      <c r="BD889" s="380">
        <v>1174</v>
      </c>
      <c r="BE889" s="347" t="s">
        <v>703</v>
      </c>
    </row>
    <row r="890" s="52" customFormat="1" spans="1:57">
      <c r="A890" s="227"/>
      <c r="B890" s="332"/>
      <c r="C890" s="228"/>
      <c r="D890" s="333"/>
      <c r="E890" s="334"/>
      <c r="F890" s="229"/>
      <c r="G890" s="333"/>
      <c r="H890" s="335"/>
      <c r="I890" s="229"/>
      <c r="J890" s="229"/>
      <c r="K890" s="336"/>
      <c r="L890" s="337"/>
      <c r="M890" s="337"/>
      <c r="N890" s="337"/>
      <c r="O890" s="337"/>
      <c r="P890" s="337"/>
      <c r="Q890" s="384">
        <v>4993</v>
      </c>
      <c r="R890" s="271">
        <f t="shared" si="64"/>
        <v>0</v>
      </c>
      <c r="S890" s="339">
        <f t="shared" si="65"/>
        <v>0</v>
      </c>
      <c r="T890" s="373"/>
      <c r="U890" s="373">
        <f>SUMIF(其他!$A$9:$A$65,"4993",其他!$M$9:M$65)</f>
        <v>0</v>
      </c>
      <c r="V890" s="274"/>
      <c r="W890" s="374"/>
      <c r="X890" s="375"/>
      <c r="Y890" s="45" t="s">
        <v>698</v>
      </c>
      <c r="Z890" s="376"/>
      <c r="AA890" s="240"/>
      <c r="AB890" s="345">
        <v>1</v>
      </c>
      <c r="AC890" s="271"/>
      <c r="AD890" s="272"/>
      <c r="AE890" s="273"/>
      <c r="AF890" s="273"/>
      <c r="AG890" s="274"/>
      <c r="AH890" s="275"/>
      <c r="AI890" s="272"/>
      <c r="AJ890" s="276"/>
      <c r="AK890" s="277"/>
      <c r="AL890" s="278"/>
      <c r="AM890" s="277"/>
      <c r="AN890" s="279"/>
      <c r="AO890" s="279"/>
      <c r="AP890" s="279"/>
      <c r="AQ890" s="378"/>
      <c r="AR890" s="305">
        <f>'预算书-初步'!$F$10</f>
        <v>0.09</v>
      </c>
      <c r="AT890" s="272"/>
      <c r="BC890" s="272" t="s">
        <v>521</v>
      </c>
      <c r="BD890" s="380">
        <v>1174</v>
      </c>
      <c r="BE890" s="347" t="s">
        <v>703</v>
      </c>
    </row>
    <row r="891" s="52" customFormat="1" spans="1:57">
      <c r="A891" s="227"/>
      <c r="B891" s="332"/>
      <c r="C891" s="228"/>
      <c r="D891" s="333"/>
      <c r="E891" s="334"/>
      <c r="F891" s="229"/>
      <c r="G891" s="333"/>
      <c r="H891" s="335"/>
      <c r="I891" s="229"/>
      <c r="J891" s="229"/>
      <c r="K891" s="336"/>
      <c r="L891" s="337"/>
      <c r="M891" s="337"/>
      <c r="N891" s="337"/>
      <c r="O891" s="337"/>
      <c r="P891" s="337"/>
      <c r="Q891" s="384">
        <v>4994</v>
      </c>
      <c r="R891" s="271">
        <f t="shared" si="64"/>
        <v>0</v>
      </c>
      <c r="S891" s="339">
        <f t="shared" si="65"/>
        <v>0</v>
      </c>
      <c r="T891" s="373"/>
      <c r="U891" s="373">
        <f>SUMIF(其他!$A$9:$A$65,"4994",其他!$M$9:M$65)</f>
        <v>0</v>
      </c>
      <c r="V891" s="274"/>
      <c r="W891" s="374"/>
      <c r="X891" s="375"/>
      <c r="Y891" s="45" t="s">
        <v>699</v>
      </c>
      <c r="Z891" s="376"/>
      <c r="AA891" s="240"/>
      <c r="AB891" s="345">
        <v>1</v>
      </c>
      <c r="AC891" s="271"/>
      <c r="AD891" s="272"/>
      <c r="AE891" s="273"/>
      <c r="AF891" s="273"/>
      <c r="AG891" s="274"/>
      <c r="AH891" s="275"/>
      <c r="AI891" s="272"/>
      <c r="AJ891" s="276"/>
      <c r="AK891" s="277"/>
      <c r="AL891" s="278"/>
      <c r="AM891" s="277"/>
      <c r="AN891" s="279"/>
      <c r="AO891" s="279"/>
      <c r="AP891" s="279"/>
      <c r="AQ891" s="378"/>
      <c r="AR891" s="305">
        <f>'预算书-初步'!$F$10</f>
        <v>0.09</v>
      </c>
      <c r="AT891" s="272"/>
      <c r="BC891" s="272" t="s">
        <v>521</v>
      </c>
      <c r="BD891" s="380">
        <v>1174</v>
      </c>
      <c r="BE891" s="347" t="s">
        <v>703</v>
      </c>
    </row>
    <row r="892" s="52" customFormat="1" ht="15.75" customHeight="1" spans="1:57">
      <c r="A892" s="227"/>
      <c r="B892" s="332"/>
      <c r="C892" s="228"/>
      <c r="D892" s="333"/>
      <c r="E892" s="334"/>
      <c r="F892" s="229"/>
      <c r="G892" s="333"/>
      <c r="H892" s="335"/>
      <c r="I892" s="229"/>
      <c r="J892" s="229"/>
      <c r="K892" s="336"/>
      <c r="L892" s="337"/>
      <c r="M892" s="337"/>
      <c r="N892" s="337"/>
      <c r="O892" s="337"/>
      <c r="P892" s="337"/>
      <c r="Q892" s="338">
        <v>6002</v>
      </c>
      <c r="R892" s="271">
        <f t="shared" si="64"/>
        <v>0</v>
      </c>
      <c r="S892" s="339">
        <f t="shared" si="65"/>
        <v>0</v>
      </c>
      <c r="T892" s="340"/>
      <c r="U892" s="341">
        <f>FA!M$16</f>
        <v>0</v>
      </c>
      <c r="V892" s="274"/>
      <c r="W892" s="342"/>
      <c r="X892" s="343"/>
      <c r="Y892" s="6" t="s">
        <v>520</v>
      </c>
      <c r="Z892" s="344"/>
      <c r="AA892" s="240"/>
      <c r="AB892" s="345">
        <v>1</v>
      </c>
      <c r="AC892" s="271"/>
      <c r="AD892" s="272"/>
      <c r="AE892" s="273"/>
      <c r="AF892" s="273"/>
      <c r="AG892" s="274"/>
      <c r="AH892" s="275"/>
      <c r="AI892" s="272"/>
      <c r="AJ892" s="276"/>
      <c r="AK892" s="277"/>
      <c r="AL892" s="278"/>
      <c r="AM892" s="277"/>
      <c r="AN892" s="279"/>
      <c r="AO892" s="279"/>
      <c r="AP892" s="279"/>
      <c r="AQ892" s="279"/>
      <c r="AR892" s="305">
        <f>'预算书-初步'!$F$10</f>
        <v>0.09</v>
      </c>
      <c r="AT892" s="272">
        <v>12</v>
      </c>
      <c r="BC892" s="272" t="s">
        <v>521</v>
      </c>
      <c r="BD892" s="346">
        <v>1005</v>
      </c>
      <c r="BE892" s="347" t="s">
        <v>704</v>
      </c>
    </row>
    <row r="893" s="52" customFormat="1" ht="15.75" customHeight="1" spans="1:57">
      <c r="A893" s="227"/>
      <c r="B893" s="332"/>
      <c r="C893" s="228"/>
      <c r="D893" s="333"/>
      <c r="E893" s="334"/>
      <c r="F893" s="229"/>
      <c r="G893" s="333"/>
      <c r="H893" s="335"/>
      <c r="I893" s="229"/>
      <c r="J893" s="229"/>
      <c r="K893" s="336"/>
      <c r="L893" s="337"/>
      <c r="M893" s="337"/>
      <c r="N893" s="337"/>
      <c r="O893" s="337"/>
      <c r="P893" s="337"/>
      <c r="Q893" s="338">
        <v>6002</v>
      </c>
      <c r="R893" s="271">
        <f t="shared" si="64"/>
        <v>0</v>
      </c>
      <c r="S893" s="339">
        <f t="shared" si="65"/>
        <v>0</v>
      </c>
      <c r="T893" s="340"/>
      <c r="U893" s="341">
        <f>FA!M$17</f>
        <v>0</v>
      </c>
      <c r="V893" s="274"/>
      <c r="W893" s="342"/>
      <c r="X893" s="343"/>
      <c r="Y893" s="6" t="s">
        <v>523</v>
      </c>
      <c r="Z893" s="344"/>
      <c r="AA893" s="240"/>
      <c r="AB893" s="345">
        <v>1</v>
      </c>
      <c r="AC893" s="271"/>
      <c r="AD893" s="272"/>
      <c r="AE893" s="273"/>
      <c r="AF893" s="273"/>
      <c r="AG893" s="274"/>
      <c r="AH893" s="275"/>
      <c r="AI893" s="272"/>
      <c r="AJ893" s="276"/>
      <c r="AK893" s="277"/>
      <c r="AL893" s="278"/>
      <c r="AM893" s="277"/>
      <c r="AN893" s="279" t="str">
        <f>IF(AK893&lt;&gt;0,"N","")</f>
        <v/>
      </c>
      <c r="AO893" s="279"/>
      <c r="AP893" s="279" t="str">
        <f>IF(F893&lt;&gt;0,"Y","")</f>
        <v/>
      </c>
      <c r="AQ893" s="279"/>
      <c r="AR893" s="305">
        <f>'预算书-初步'!$F$10</f>
        <v>0.09</v>
      </c>
      <c r="AT893" s="272">
        <v>20</v>
      </c>
      <c r="BC893" s="272" t="s">
        <v>521</v>
      </c>
      <c r="BD893" s="346">
        <v>1006</v>
      </c>
      <c r="BE893" s="347" t="s">
        <v>704</v>
      </c>
    </row>
    <row r="894" s="52" customFormat="1" ht="15.75" customHeight="1" spans="1:57">
      <c r="A894" s="227"/>
      <c r="B894" s="332"/>
      <c r="C894" s="228"/>
      <c r="D894" s="333"/>
      <c r="E894" s="334"/>
      <c r="F894" s="229"/>
      <c r="G894" s="333"/>
      <c r="H894" s="335"/>
      <c r="I894" s="229"/>
      <c r="J894" s="229"/>
      <c r="K894" s="336"/>
      <c r="L894" s="337"/>
      <c r="M894" s="337"/>
      <c r="N894" s="337"/>
      <c r="O894" s="337"/>
      <c r="P894" s="337"/>
      <c r="Q894" s="338">
        <v>6002</v>
      </c>
      <c r="R894" s="271">
        <f t="shared" si="64"/>
        <v>0</v>
      </c>
      <c r="S894" s="339">
        <f t="shared" si="65"/>
        <v>0</v>
      </c>
      <c r="T894" s="340"/>
      <c r="U894" s="341">
        <f>FA!M$18</f>
        <v>0</v>
      </c>
      <c r="V894" s="274"/>
      <c r="W894" s="342"/>
      <c r="X894" s="343"/>
      <c r="Y894" s="6" t="s">
        <v>524</v>
      </c>
      <c r="Z894" s="344"/>
      <c r="AA894" s="240"/>
      <c r="AB894" s="345">
        <v>1</v>
      </c>
      <c r="AC894" s="271"/>
      <c r="AD894" s="272"/>
      <c r="AE894" s="273"/>
      <c r="AF894" s="273"/>
      <c r="AG894" s="274"/>
      <c r="AH894" s="275"/>
      <c r="AI894" s="272"/>
      <c r="AJ894" s="276"/>
      <c r="AK894" s="277"/>
      <c r="AL894" s="278"/>
      <c r="AM894" s="277"/>
      <c r="AN894" s="279" t="str">
        <f>IF(AK894&lt;&gt;0,"N","")</f>
        <v/>
      </c>
      <c r="AO894" s="279"/>
      <c r="AP894" s="279" t="str">
        <f>IF(F894&lt;&gt;0,"Y","")</f>
        <v/>
      </c>
      <c r="AQ894" s="279"/>
      <c r="AR894" s="305">
        <f>'预算书-初步'!$F$10</f>
        <v>0.09</v>
      </c>
      <c r="AT894" s="272">
        <v>23</v>
      </c>
      <c r="BC894" s="272" t="s">
        <v>521</v>
      </c>
      <c r="BD894" s="346">
        <v>1007</v>
      </c>
      <c r="BE894" s="347" t="s">
        <v>704</v>
      </c>
    </row>
    <row r="895" s="52" customFormat="1" ht="15.75" customHeight="1" spans="1:57">
      <c r="A895" s="227"/>
      <c r="B895" s="332"/>
      <c r="C895" s="228"/>
      <c r="D895" s="333"/>
      <c r="E895" s="334"/>
      <c r="F895" s="229"/>
      <c r="G895" s="333"/>
      <c r="H895" s="335"/>
      <c r="I895" s="229"/>
      <c r="J895" s="229"/>
      <c r="K895" s="336"/>
      <c r="L895" s="337"/>
      <c r="M895" s="337"/>
      <c r="N895" s="337"/>
      <c r="O895" s="337"/>
      <c r="P895" s="337"/>
      <c r="Q895" s="338">
        <v>1220</v>
      </c>
      <c r="R895" s="271">
        <f t="shared" si="64"/>
        <v>0</v>
      </c>
      <c r="S895" s="339">
        <f t="shared" si="65"/>
        <v>0</v>
      </c>
      <c r="T895" s="340"/>
      <c r="U895" s="341">
        <f>FA!M$36</f>
        <v>0</v>
      </c>
      <c r="V895" s="274"/>
      <c r="W895" s="342"/>
      <c r="X895" s="343"/>
      <c r="Y895" s="6" t="s">
        <v>525</v>
      </c>
      <c r="Z895" s="344"/>
      <c r="AA895" s="240"/>
      <c r="AB895" s="345">
        <v>1</v>
      </c>
      <c r="AC895" s="271"/>
      <c r="AD895" s="272"/>
      <c r="AE895" s="273"/>
      <c r="AF895" s="273"/>
      <c r="AG895" s="274"/>
      <c r="AH895" s="275"/>
      <c r="AI895" s="272"/>
      <c r="AJ895" s="276"/>
      <c r="AK895" s="277"/>
      <c r="AL895" s="278"/>
      <c r="AM895" s="277"/>
      <c r="AN895" s="279"/>
      <c r="AO895" s="279"/>
      <c r="AP895" s="279"/>
      <c r="AQ895" s="279"/>
      <c r="AR895" s="305">
        <f>'预算书-初步'!$F$10</f>
        <v>0.09</v>
      </c>
      <c r="AT895" s="272"/>
      <c r="BC895" s="272" t="s">
        <v>521</v>
      </c>
      <c r="BD895" s="346">
        <v>1025</v>
      </c>
      <c r="BE895" s="347" t="s">
        <v>704</v>
      </c>
    </row>
    <row r="896" s="52" customFormat="1" ht="15.75" customHeight="1" spans="1:57">
      <c r="A896" s="227"/>
      <c r="B896" s="332"/>
      <c r="C896" s="228"/>
      <c r="D896" s="333"/>
      <c r="E896" s="334"/>
      <c r="F896" s="229"/>
      <c r="G896" s="333"/>
      <c r="H896" s="335"/>
      <c r="I896" s="229"/>
      <c r="J896" s="229"/>
      <c r="K896" s="336"/>
      <c r="L896" s="337"/>
      <c r="M896" s="337"/>
      <c r="N896" s="337"/>
      <c r="O896" s="337"/>
      <c r="P896" s="337"/>
      <c r="Q896" s="338">
        <v>1314</v>
      </c>
      <c r="R896" s="271">
        <f t="shared" si="64"/>
        <v>0</v>
      </c>
      <c r="S896" s="339">
        <f t="shared" si="65"/>
        <v>0</v>
      </c>
      <c r="T896" s="340"/>
      <c r="U896" s="341">
        <f>FA!M$42</f>
        <v>0</v>
      </c>
      <c r="V896" s="274"/>
      <c r="W896" s="342"/>
      <c r="X896" s="343"/>
      <c r="Y896" s="6" t="s">
        <v>526</v>
      </c>
      <c r="Z896" s="344"/>
      <c r="AA896" s="240"/>
      <c r="AB896" s="345">
        <v>1</v>
      </c>
      <c r="AC896" s="271"/>
      <c r="AD896" s="272"/>
      <c r="AE896" s="273"/>
      <c r="AF896" s="273"/>
      <c r="AG896" s="274"/>
      <c r="AH896" s="275"/>
      <c r="AI896" s="272"/>
      <c r="AJ896" s="276"/>
      <c r="AK896" s="277"/>
      <c r="AL896" s="278"/>
      <c r="AM896" s="277"/>
      <c r="AN896" s="279"/>
      <c r="AO896" s="279"/>
      <c r="AP896" s="279"/>
      <c r="AQ896" s="279"/>
      <c r="AR896" s="305">
        <f>'预算书-初步'!$F$10</f>
        <v>0.09</v>
      </c>
      <c r="AT896" s="272"/>
      <c r="BC896" s="272" t="s">
        <v>521</v>
      </c>
      <c r="BD896" s="348">
        <v>1031</v>
      </c>
      <c r="BE896" s="347" t="s">
        <v>704</v>
      </c>
    </row>
    <row r="897" s="52" customFormat="1" ht="15.75" customHeight="1" spans="1:57">
      <c r="A897" s="227"/>
      <c r="B897" s="332"/>
      <c r="C897" s="228"/>
      <c r="D897" s="333"/>
      <c r="E897" s="334"/>
      <c r="F897" s="229"/>
      <c r="G897" s="333"/>
      <c r="H897" s="335"/>
      <c r="I897" s="229"/>
      <c r="J897" s="229"/>
      <c r="K897" s="336"/>
      <c r="L897" s="337"/>
      <c r="M897" s="337"/>
      <c r="N897" s="337"/>
      <c r="O897" s="337"/>
      <c r="P897" s="337"/>
      <c r="Q897" s="338">
        <v>1320</v>
      </c>
      <c r="R897" s="271">
        <f t="shared" si="64"/>
        <v>0</v>
      </c>
      <c r="S897" s="339">
        <f t="shared" si="65"/>
        <v>0</v>
      </c>
      <c r="T897" s="340"/>
      <c r="U897" s="341">
        <f>FA!M$43</f>
        <v>0</v>
      </c>
      <c r="V897" s="274"/>
      <c r="W897" s="342"/>
      <c r="X897" s="343"/>
      <c r="Y897" s="6" t="s">
        <v>527</v>
      </c>
      <c r="Z897" s="344"/>
      <c r="AA897" s="240"/>
      <c r="AB897" s="345">
        <v>1</v>
      </c>
      <c r="AC897" s="271"/>
      <c r="AD897" s="272"/>
      <c r="AE897" s="273"/>
      <c r="AF897" s="273"/>
      <c r="AG897" s="274"/>
      <c r="AH897" s="275"/>
      <c r="AI897" s="272"/>
      <c r="AJ897" s="276"/>
      <c r="AK897" s="277"/>
      <c r="AL897" s="278"/>
      <c r="AM897" s="277"/>
      <c r="AN897" s="279"/>
      <c r="AO897" s="279"/>
      <c r="AP897" s="279"/>
      <c r="AQ897" s="279"/>
      <c r="AR897" s="305">
        <f>'预算书-初步'!$F$10</f>
        <v>0.09</v>
      </c>
      <c r="AT897" s="272"/>
      <c r="BC897" s="272" t="s">
        <v>521</v>
      </c>
      <c r="BD897" s="348">
        <v>1032</v>
      </c>
      <c r="BE897" s="347" t="s">
        <v>704</v>
      </c>
    </row>
    <row r="898" s="52" customFormat="1" ht="15.75" customHeight="1" spans="1:57">
      <c r="A898" s="227"/>
      <c r="B898" s="332"/>
      <c r="C898" s="228"/>
      <c r="D898" s="333"/>
      <c r="E898" s="334"/>
      <c r="F898" s="229"/>
      <c r="G898" s="333"/>
      <c r="H898" s="335"/>
      <c r="I898" s="229"/>
      <c r="J898" s="229"/>
      <c r="K898" s="336"/>
      <c r="L898" s="337"/>
      <c r="M898" s="337"/>
      <c r="N898" s="337"/>
      <c r="O898" s="337"/>
      <c r="P898" s="337"/>
      <c r="Q898" s="338">
        <v>1350</v>
      </c>
      <c r="R898" s="271">
        <f t="shared" si="64"/>
        <v>0</v>
      </c>
      <c r="S898" s="339">
        <f t="shared" si="65"/>
        <v>0</v>
      </c>
      <c r="T898" s="340"/>
      <c r="U898" s="341">
        <f>FA!M$46</f>
        <v>0</v>
      </c>
      <c r="V898" s="274"/>
      <c r="W898" s="342"/>
      <c r="X898" s="343"/>
      <c r="Y898" s="6" t="s">
        <v>528</v>
      </c>
      <c r="Z898" s="344"/>
      <c r="AA898" s="240"/>
      <c r="AB898" s="345">
        <v>1</v>
      </c>
      <c r="AC898" s="271"/>
      <c r="AD898" s="272"/>
      <c r="AE898" s="273"/>
      <c r="AF898" s="273"/>
      <c r="AG898" s="274"/>
      <c r="AH898" s="275"/>
      <c r="AI898" s="272"/>
      <c r="AJ898" s="276"/>
      <c r="AK898" s="277"/>
      <c r="AL898" s="278"/>
      <c r="AM898" s="277"/>
      <c r="AN898" s="279"/>
      <c r="AO898" s="279"/>
      <c r="AP898" s="279"/>
      <c r="AQ898" s="279"/>
      <c r="AR898" s="305">
        <f>'预算书-初步'!$F$10</f>
        <v>0.09</v>
      </c>
      <c r="AT898" s="272"/>
      <c r="BC898" s="272" t="s">
        <v>521</v>
      </c>
      <c r="BD898" s="348">
        <v>1035</v>
      </c>
      <c r="BE898" s="347" t="s">
        <v>704</v>
      </c>
    </row>
    <row r="899" s="52" customFormat="1" ht="15.75" customHeight="1" spans="1:57">
      <c r="A899" s="227"/>
      <c r="B899" s="332"/>
      <c r="C899" s="228"/>
      <c r="D899" s="333"/>
      <c r="E899" s="334"/>
      <c r="F899" s="229"/>
      <c r="G899" s="333"/>
      <c r="H899" s="335"/>
      <c r="I899" s="229"/>
      <c r="J899" s="229"/>
      <c r="K899" s="336"/>
      <c r="L899" s="337"/>
      <c r="M899" s="337"/>
      <c r="N899" s="337"/>
      <c r="O899" s="337"/>
      <c r="P899" s="337"/>
      <c r="Q899" s="338">
        <v>1360</v>
      </c>
      <c r="R899" s="271">
        <f t="shared" si="64"/>
        <v>0</v>
      </c>
      <c r="S899" s="339">
        <f t="shared" ref="S899:S967" si="66">$S$5</f>
        <v>0</v>
      </c>
      <c r="T899" s="340"/>
      <c r="U899" s="341">
        <f>FA!M$47</f>
        <v>0</v>
      </c>
      <c r="V899" s="274"/>
      <c r="W899" s="342"/>
      <c r="X899" s="343"/>
      <c r="Y899" s="6" t="s">
        <v>529</v>
      </c>
      <c r="Z899" s="344"/>
      <c r="AA899" s="240"/>
      <c r="AB899" s="345">
        <v>1</v>
      </c>
      <c r="AC899" s="271"/>
      <c r="AD899" s="272"/>
      <c r="AE899" s="273"/>
      <c r="AF899" s="273"/>
      <c r="AG899" s="274"/>
      <c r="AH899" s="275"/>
      <c r="AI899" s="272"/>
      <c r="AJ899" s="276"/>
      <c r="AK899" s="277"/>
      <c r="AL899" s="278"/>
      <c r="AM899" s="277"/>
      <c r="AN899" s="279"/>
      <c r="AO899" s="279"/>
      <c r="AP899" s="279"/>
      <c r="AQ899" s="279"/>
      <c r="AR899" s="305">
        <f>'预算书-初步'!$F$10</f>
        <v>0.09</v>
      </c>
      <c r="AT899" s="272"/>
      <c r="BC899" s="272" t="s">
        <v>521</v>
      </c>
      <c r="BD899" s="348">
        <v>1036</v>
      </c>
      <c r="BE899" s="347" t="s">
        <v>704</v>
      </c>
    </row>
    <row r="900" s="52" customFormat="1" ht="15.75" customHeight="1" spans="1:57">
      <c r="A900" s="227"/>
      <c r="B900" s="332"/>
      <c r="C900" s="228"/>
      <c r="D900" s="333"/>
      <c r="E900" s="334"/>
      <c r="F900" s="229"/>
      <c r="G900" s="333"/>
      <c r="H900" s="335"/>
      <c r="I900" s="229"/>
      <c r="J900" s="229"/>
      <c r="K900" s="336"/>
      <c r="L900" s="337"/>
      <c r="M900" s="337"/>
      <c r="N900" s="337"/>
      <c r="O900" s="337"/>
      <c r="P900" s="337"/>
      <c r="Q900" s="338">
        <v>1410</v>
      </c>
      <c r="R900" s="271">
        <f t="shared" si="64"/>
        <v>0</v>
      </c>
      <c r="S900" s="339">
        <f t="shared" si="66"/>
        <v>0</v>
      </c>
      <c r="T900" s="340"/>
      <c r="U900" s="341">
        <f>FA!M$49</f>
        <v>0</v>
      </c>
      <c r="V900" s="274"/>
      <c r="W900" s="342"/>
      <c r="X900" s="343"/>
      <c r="Y900" s="6" t="s">
        <v>530</v>
      </c>
      <c r="Z900" s="344"/>
      <c r="AA900" s="240"/>
      <c r="AB900" s="345">
        <v>1</v>
      </c>
      <c r="AC900" s="271"/>
      <c r="AD900" s="272"/>
      <c r="AE900" s="273"/>
      <c r="AF900" s="273"/>
      <c r="AG900" s="274"/>
      <c r="AH900" s="275"/>
      <c r="AI900" s="272"/>
      <c r="AJ900" s="276"/>
      <c r="AK900" s="277"/>
      <c r="AL900" s="278"/>
      <c r="AM900" s="277"/>
      <c r="AN900" s="279"/>
      <c r="AO900" s="279"/>
      <c r="AP900" s="279"/>
      <c r="AQ900" s="279"/>
      <c r="AR900" s="305">
        <f>'预算书-初步'!$F$10</f>
        <v>0.09</v>
      </c>
      <c r="AT900" s="272"/>
      <c r="BC900" s="272" t="s">
        <v>521</v>
      </c>
      <c r="BD900" s="348">
        <v>1038</v>
      </c>
      <c r="BE900" s="347" t="s">
        <v>704</v>
      </c>
    </row>
    <row r="901" s="52" customFormat="1" ht="15.75" customHeight="1" spans="1:57">
      <c r="A901" s="227"/>
      <c r="B901" s="332"/>
      <c r="C901" s="228"/>
      <c r="D901" s="333"/>
      <c r="E901" s="334"/>
      <c r="F901" s="229"/>
      <c r="G901" s="333"/>
      <c r="H901" s="335"/>
      <c r="I901" s="229"/>
      <c r="J901" s="229"/>
      <c r="K901" s="336"/>
      <c r="L901" s="337"/>
      <c r="M901" s="337"/>
      <c r="N901" s="337"/>
      <c r="O901" s="337"/>
      <c r="P901" s="337"/>
      <c r="Q901" s="338">
        <v>1420</v>
      </c>
      <c r="R901" s="271">
        <f t="shared" si="64"/>
        <v>0</v>
      </c>
      <c r="S901" s="339">
        <f t="shared" si="66"/>
        <v>0</v>
      </c>
      <c r="T901" s="340"/>
      <c r="U901" s="341">
        <f>FA!M$50</f>
        <v>0</v>
      </c>
      <c r="V901" s="274"/>
      <c r="W901" s="342"/>
      <c r="X901" s="343"/>
      <c r="Y901" s="6" t="s">
        <v>531</v>
      </c>
      <c r="Z901" s="344"/>
      <c r="AA901" s="240"/>
      <c r="AB901" s="345">
        <v>1</v>
      </c>
      <c r="AC901" s="271"/>
      <c r="AD901" s="272"/>
      <c r="AE901" s="273"/>
      <c r="AF901" s="273"/>
      <c r="AG901" s="274"/>
      <c r="AH901" s="275"/>
      <c r="AI901" s="272"/>
      <c r="AJ901" s="276"/>
      <c r="AK901" s="277"/>
      <c r="AL901" s="278"/>
      <c r="AM901" s="277"/>
      <c r="AN901" s="279"/>
      <c r="AO901" s="279"/>
      <c r="AP901" s="279"/>
      <c r="AQ901" s="279"/>
      <c r="AR901" s="305">
        <f>'预算书-初步'!$F$10</f>
        <v>0.09</v>
      </c>
      <c r="AT901" s="272"/>
      <c r="BC901" s="272" t="s">
        <v>521</v>
      </c>
      <c r="BD901" s="348">
        <v>1039</v>
      </c>
      <c r="BE901" s="347" t="s">
        <v>704</v>
      </c>
    </row>
    <row r="902" s="52" customFormat="1" ht="15.75" customHeight="1" spans="1:57">
      <c r="A902" s="227"/>
      <c r="B902" s="332"/>
      <c r="C902" s="228"/>
      <c r="D902" s="333"/>
      <c r="E902" s="334"/>
      <c r="F902" s="229"/>
      <c r="G902" s="333"/>
      <c r="H902" s="335"/>
      <c r="I902" s="229"/>
      <c r="J902" s="229"/>
      <c r="K902" s="336"/>
      <c r="L902" s="337"/>
      <c r="M902" s="337"/>
      <c r="N902" s="337"/>
      <c r="O902" s="337"/>
      <c r="P902" s="337"/>
      <c r="Q902" s="338">
        <v>1510</v>
      </c>
      <c r="R902" s="271">
        <f t="shared" ref="R902:R965" si="67">ROUND(U902*(1+AR902),0)</f>
        <v>0</v>
      </c>
      <c r="S902" s="339">
        <f t="shared" si="66"/>
        <v>0</v>
      </c>
      <c r="T902" s="340"/>
      <c r="U902" s="341">
        <f>FA!M$53</f>
        <v>0</v>
      </c>
      <c r="V902" s="274"/>
      <c r="W902" s="342"/>
      <c r="X902" s="343"/>
      <c r="Y902" s="6" t="s">
        <v>532</v>
      </c>
      <c r="Z902" s="344"/>
      <c r="AA902" s="240"/>
      <c r="AB902" s="345">
        <v>1</v>
      </c>
      <c r="AC902" s="271"/>
      <c r="AD902" s="272"/>
      <c r="AE902" s="273"/>
      <c r="AF902" s="273"/>
      <c r="AG902" s="274"/>
      <c r="AH902" s="275"/>
      <c r="AI902" s="272"/>
      <c r="AJ902" s="276"/>
      <c r="AK902" s="277"/>
      <c r="AL902" s="278"/>
      <c r="AM902" s="277"/>
      <c r="AN902" s="279" t="str">
        <f t="shared" ref="AN902:AN914" si="68">IF(AK902&lt;&gt;0,"N","")</f>
        <v/>
      </c>
      <c r="AO902" s="279"/>
      <c r="AP902" s="279" t="str">
        <f t="shared" ref="AP902:AP914" si="69">IF(F902&lt;&gt;0,"Y","")</f>
        <v/>
      </c>
      <c r="AQ902" s="279"/>
      <c r="AR902" s="305">
        <f>'预算书-初步'!$F$10</f>
        <v>0.09</v>
      </c>
      <c r="AT902" s="272"/>
      <c r="BC902" s="272" t="s">
        <v>521</v>
      </c>
      <c r="BD902" s="348">
        <v>1042</v>
      </c>
      <c r="BE902" s="347" t="s">
        <v>704</v>
      </c>
    </row>
    <row r="903" s="52" customFormat="1" ht="15.75" customHeight="1" spans="1:57">
      <c r="A903" s="227"/>
      <c r="B903" s="332"/>
      <c r="C903" s="228"/>
      <c r="D903" s="333"/>
      <c r="E903" s="334"/>
      <c r="F903" s="229"/>
      <c r="G903" s="333"/>
      <c r="H903" s="335"/>
      <c r="I903" s="229"/>
      <c r="J903" s="229"/>
      <c r="K903" s="336"/>
      <c r="L903" s="337"/>
      <c r="M903" s="337"/>
      <c r="N903" s="337"/>
      <c r="O903" s="337"/>
      <c r="P903" s="337"/>
      <c r="Q903" s="338">
        <v>1520</v>
      </c>
      <c r="R903" s="271">
        <f t="shared" si="67"/>
        <v>0</v>
      </c>
      <c r="S903" s="339">
        <f t="shared" si="66"/>
        <v>0</v>
      </c>
      <c r="T903" s="340"/>
      <c r="U903" s="341">
        <f>FA!M$54</f>
        <v>0</v>
      </c>
      <c r="V903" s="274"/>
      <c r="W903" s="342"/>
      <c r="X903" s="343"/>
      <c r="Y903" s="6" t="s">
        <v>533</v>
      </c>
      <c r="Z903" s="344"/>
      <c r="AA903" s="240"/>
      <c r="AB903" s="345">
        <v>1</v>
      </c>
      <c r="AC903" s="271"/>
      <c r="AD903" s="272"/>
      <c r="AE903" s="273"/>
      <c r="AF903" s="273"/>
      <c r="AG903" s="274"/>
      <c r="AH903" s="275"/>
      <c r="AI903" s="272"/>
      <c r="AJ903" s="276"/>
      <c r="AK903" s="277"/>
      <c r="AL903" s="278"/>
      <c r="AM903" s="277"/>
      <c r="AN903" s="279" t="str">
        <f t="shared" si="68"/>
        <v/>
      </c>
      <c r="AO903" s="279"/>
      <c r="AP903" s="279" t="str">
        <f t="shared" si="69"/>
        <v/>
      </c>
      <c r="AQ903" s="279"/>
      <c r="AR903" s="305">
        <f>'预算书-初步'!$F$10</f>
        <v>0.09</v>
      </c>
      <c r="AT903" s="272"/>
      <c r="BC903" s="272" t="s">
        <v>521</v>
      </c>
      <c r="BD903" s="348">
        <v>1043</v>
      </c>
      <c r="BE903" s="347" t="s">
        <v>704</v>
      </c>
    </row>
    <row r="904" s="52" customFormat="1" ht="15.75" customHeight="1" spans="1:57">
      <c r="A904" s="227"/>
      <c r="B904" s="332"/>
      <c r="C904" s="228"/>
      <c r="D904" s="333"/>
      <c r="E904" s="334"/>
      <c r="F904" s="229"/>
      <c r="G904" s="333"/>
      <c r="H904" s="335"/>
      <c r="I904" s="229"/>
      <c r="J904" s="229"/>
      <c r="K904" s="336"/>
      <c r="L904" s="337"/>
      <c r="M904" s="337"/>
      <c r="N904" s="337"/>
      <c r="O904" s="337"/>
      <c r="P904" s="337"/>
      <c r="Q904" s="338">
        <v>1530</v>
      </c>
      <c r="R904" s="271">
        <f t="shared" si="67"/>
        <v>0</v>
      </c>
      <c r="S904" s="339">
        <f t="shared" si="66"/>
        <v>0</v>
      </c>
      <c r="T904" s="340"/>
      <c r="U904" s="341">
        <f>FA!M$55</f>
        <v>0</v>
      </c>
      <c r="V904" s="274"/>
      <c r="W904" s="342"/>
      <c r="X904" s="343"/>
      <c r="Y904" s="6" t="s">
        <v>534</v>
      </c>
      <c r="Z904" s="344"/>
      <c r="AA904" s="240"/>
      <c r="AB904" s="345">
        <v>1</v>
      </c>
      <c r="AC904" s="271"/>
      <c r="AD904" s="272"/>
      <c r="AE904" s="273"/>
      <c r="AF904" s="273"/>
      <c r="AG904" s="274"/>
      <c r="AH904" s="275"/>
      <c r="AI904" s="272"/>
      <c r="AJ904" s="276"/>
      <c r="AK904" s="277"/>
      <c r="AL904" s="278"/>
      <c r="AM904" s="277"/>
      <c r="AN904" s="279" t="str">
        <f t="shared" si="68"/>
        <v/>
      </c>
      <c r="AO904" s="279"/>
      <c r="AP904" s="279" t="str">
        <f t="shared" si="69"/>
        <v/>
      </c>
      <c r="AQ904" s="279"/>
      <c r="AR904" s="305">
        <f>'预算书-初步'!$F$10</f>
        <v>0.09</v>
      </c>
      <c r="AT904" s="272"/>
      <c r="BC904" s="272" t="s">
        <v>521</v>
      </c>
      <c r="BD904" s="348">
        <v>1044</v>
      </c>
      <c r="BE904" s="347" t="s">
        <v>704</v>
      </c>
    </row>
    <row r="905" s="52" customFormat="1" ht="15.75" customHeight="1" spans="1:57">
      <c r="A905" s="227"/>
      <c r="B905" s="332"/>
      <c r="C905" s="228"/>
      <c r="D905" s="333"/>
      <c r="E905" s="334"/>
      <c r="F905" s="229"/>
      <c r="G905" s="333"/>
      <c r="H905" s="335"/>
      <c r="I905" s="229"/>
      <c r="J905" s="229"/>
      <c r="K905" s="336"/>
      <c r="L905" s="337"/>
      <c r="M905" s="337"/>
      <c r="N905" s="337"/>
      <c r="O905" s="337"/>
      <c r="P905" s="337"/>
      <c r="Q905" s="338">
        <v>1531</v>
      </c>
      <c r="R905" s="271">
        <f t="shared" si="67"/>
        <v>0</v>
      </c>
      <c r="S905" s="339">
        <f t="shared" si="66"/>
        <v>0</v>
      </c>
      <c r="T905" s="340"/>
      <c r="U905" s="341">
        <f>FA!M$56</f>
        <v>0</v>
      </c>
      <c r="V905" s="274"/>
      <c r="W905" s="342"/>
      <c r="X905" s="343"/>
      <c r="Y905" s="6" t="s">
        <v>535</v>
      </c>
      <c r="Z905" s="344"/>
      <c r="AA905" s="240"/>
      <c r="AB905" s="345">
        <v>1</v>
      </c>
      <c r="AC905" s="271"/>
      <c r="AD905" s="272"/>
      <c r="AE905" s="273"/>
      <c r="AF905" s="273"/>
      <c r="AG905" s="274"/>
      <c r="AH905" s="275"/>
      <c r="AI905" s="272"/>
      <c r="AJ905" s="276"/>
      <c r="AK905" s="277"/>
      <c r="AL905" s="278"/>
      <c r="AM905" s="277"/>
      <c r="AN905" s="279" t="str">
        <f t="shared" si="68"/>
        <v/>
      </c>
      <c r="AO905" s="279"/>
      <c r="AP905" s="279" t="str">
        <f t="shared" si="69"/>
        <v/>
      </c>
      <c r="AQ905" s="279"/>
      <c r="AR905" s="305">
        <f>'预算书-初步'!$F$10</f>
        <v>0.09</v>
      </c>
      <c r="AT905" s="272"/>
      <c r="BC905" s="272" t="s">
        <v>521</v>
      </c>
      <c r="BD905" s="348">
        <v>1045</v>
      </c>
      <c r="BE905" s="347" t="s">
        <v>704</v>
      </c>
    </row>
    <row r="906" s="52" customFormat="1" ht="15.75" customHeight="1" spans="1:57">
      <c r="A906" s="227"/>
      <c r="B906" s="332"/>
      <c r="C906" s="228"/>
      <c r="D906" s="333"/>
      <c r="E906" s="334"/>
      <c r="F906" s="229"/>
      <c r="G906" s="333"/>
      <c r="H906" s="335"/>
      <c r="I906" s="229"/>
      <c r="J906" s="229"/>
      <c r="K906" s="336"/>
      <c r="L906" s="337"/>
      <c r="M906" s="337"/>
      <c r="N906" s="337"/>
      <c r="O906" s="337"/>
      <c r="P906" s="337"/>
      <c r="Q906" s="338">
        <v>1532</v>
      </c>
      <c r="R906" s="271">
        <f t="shared" si="67"/>
        <v>0</v>
      </c>
      <c r="S906" s="339">
        <f t="shared" si="66"/>
        <v>0</v>
      </c>
      <c r="T906" s="340"/>
      <c r="U906" s="341">
        <f>FA!M$57</f>
        <v>0</v>
      </c>
      <c r="V906" s="274"/>
      <c r="W906" s="342"/>
      <c r="X906" s="343"/>
      <c r="Y906" s="6" t="s">
        <v>536</v>
      </c>
      <c r="Z906" s="344"/>
      <c r="AA906" s="240"/>
      <c r="AB906" s="345">
        <v>1</v>
      </c>
      <c r="AC906" s="271"/>
      <c r="AD906" s="272"/>
      <c r="AE906" s="273"/>
      <c r="AF906" s="273"/>
      <c r="AG906" s="274"/>
      <c r="AH906" s="275"/>
      <c r="AI906" s="272"/>
      <c r="AJ906" s="276"/>
      <c r="AK906" s="277"/>
      <c r="AL906" s="278"/>
      <c r="AM906" s="277"/>
      <c r="AN906" s="279" t="str">
        <f t="shared" si="68"/>
        <v/>
      </c>
      <c r="AO906" s="279"/>
      <c r="AP906" s="279" t="str">
        <f t="shared" si="69"/>
        <v/>
      </c>
      <c r="AQ906" s="279"/>
      <c r="AR906" s="305">
        <f>'预算书-初步'!$F$10</f>
        <v>0.09</v>
      </c>
      <c r="AT906" s="272"/>
      <c r="BC906" s="272" t="s">
        <v>521</v>
      </c>
      <c r="BD906" s="348">
        <v>1046</v>
      </c>
      <c r="BE906" s="347" t="s">
        <v>704</v>
      </c>
    </row>
    <row r="907" s="52" customFormat="1" ht="15.75" customHeight="1" spans="1:57">
      <c r="A907" s="227"/>
      <c r="B907" s="332"/>
      <c r="C907" s="228"/>
      <c r="D907" s="333"/>
      <c r="E907" s="334"/>
      <c r="F907" s="229"/>
      <c r="G907" s="333"/>
      <c r="H907" s="335"/>
      <c r="I907" s="229"/>
      <c r="J907" s="229"/>
      <c r="K907" s="336"/>
      <c r="L907" s="337"/>
      <c r="M907" s="337"/>
      <c r="N907" s="337"/>
      <c r="O907" s="337"/>
      <c r="P907" s="337"/>
      <c r="Q907" s="338">
        <v>1533</v>
      </c>
      <c r="R907" s="271">
        <f t="shared" si="67"/>
        <v>0</v>
      </c>
      <c r="S907" s="339">
        <f t="shared" si="66"/>
        <v>0</v>
      </c>
      <c r="T907" s="340"/>
      <c r="U907" s="341">
        <f>FA!M$58</f>
        <v>0</v>
      </c>
      <c r="V907" s="274"/>
      <c r="W907" s="342"/>
      <c r="X907" s="343"/>
      <c r="Y907" s="6" t="s">
        <v>537</v>
      </c>
      <c r="Z907" s="344"/>
      <c r="AA907" s="240"/>
      <c r="AB907" s="345">
        <v>1</v>
      </c>
      <c r="AC907" s="271"/>
      <c r="AD907" s="272"/>
      <c r="AE907" s="273"/>
      <c r="AF907" s="273"/>
      <c r="AG907" s="274"/>
      <c r="AH907" s="275"/>
      <c r="AI907" s="272"/>
      <c r="AJ907" s="276"/>
      <c r="AK907" s="277"/>
      <c r="AL907" s="278"/>
      <c r="AM907" s="277"/>
      <c r="AN907" s="279" t="str">
        <f t="shared" si="68"/>
        <v/>
      </c>
      <c r="AO907" s="279"/>
      <c r="AP907" s="279" t="str">
        <f t="shared" si="69"/>
        <v/>
      </c>
      <c r="AQ907" s="279"/>
      <c r="AR907" s="305">
        <f>'预算书-初步'!$F$10</f>
        <v>0.09</v>
      </c>
      <c r="AT907" s="272"/>
      <c r="BC907" s="272" t="s">
        <v>521</v>
      </c>
      <c r="BD907" s="348">
        <v>1047</v>
      </c>
      <c r="BE907" s="347" t="s">
        <v>704</v>
      </c>
    </row>
    <row r="908" s="52" customFormat="1" ht="15.75" customHeight="1" spans="1:57">
      <c r="A908" s="227"/>
      <c r="B908" s="332"/>
      <c r="C908" s="228"/>
      <c r="D908" s="333"/>
      <c r="E908" s="334"/>
      <c r="F908" s="229"/>
      <c r="G908" s="333"/>
      <c r="H908" s="335"/>
      <c r="I908" s="229"/>
      <c r="J908" s="229"/>
      <c r="K908" s="336"/>
      <c r="L908" s="337"/>
      <c r="M908" s="337"/>
      <c r="N908" s="337"/>
      <c r="O908" s="337"/>
      <c r="P908" s="337"/>
      <c r="Q908" s="338">
        <v>1534</v>
      </c>
      <c r="R908" s="271">
        <f t="shared" si="67"/>
        <v>0</v>
      </c>
      <c r="S908" s="339">
        <f t="shared" si="66"/>
        <v>0</v>
      </c>
      <c r="T908" s="340"/>
      <c r="U908" s="341">
        <f>FA!M$59</f>
        <v>0</v>
      </c>
      <c r="V908" s="274"/>
      <c r="W908" s="342"/>
      <c r="X908" s="343"/>
      <c r="Y908" s="6" t="s">
        <v>538</v>
      </c>
      <c r="Z908" s="344"/>
      <c r="AA908" s="240"/>
      <c r="AB908" s="345">
        <v>1</v>
      </c>
      <c r="AC908" s="271"/>
      <c r="AD908" s="272"/>
      <c r="AE908" s="273"/>
      <c r="AF908" s="273"/>
      <c r="AG908" s="274"/>
      <c r="AH908" s="275"/>
      <c r="AI908" s="272"/>
      <c r="AJ908" s="276"/>
      <c r="AK908" s="277"/>
      <c r="AL908" s="278"/>
      <c r="AM908" s="277"/>
      <c r="AN908" s="279" t="str">
        <f t="shared" si="68"/>
        <v/>
      </c>
      <c r="AO908" s="279"/>
      <c r="AP908" s="279" t="str">
        <f t="shared" si="69"/>
        <v/>
      </c>
      <c r="AQ908" s="279"/>
      <c r="AR908" s="305">
        <f>'预算书-初步'!$F$10</f>
        <v>0.09</v>
      </c>
      <c r="AT908" s="272"/>
      <c r="BC908" s="272" t="s">
        <v>521</v>
      </c>
      <c r="BD908" s="348">
        <v>1048</v>
      </c>
      <c r="BE908" s="347" t="s">
        <v>704</v>
      </c>
    </row>
    <row r="909" s="52" customFormat="1" ht="15.75" customHeight="1" spans="1:57">
      <c r="A909" s="227"/>
      <c r="B909" s="332"/>
      <c r="C909" s="228"/>
      <c r="D909" s="333"/>
      <c r="E909" s="334"/>
      <c r="F909" s="229"/>
      <c r="G909" s="333"/>
      <c r="H909" s="335"/>
      <c r="I909" s="229"/>
      <c r="J909" s="229"/>
      <c r="K909" s="336"/>
      <c r="L909" s="337"/>
      <c r="M909" s="337"/>
      <c r="N909" s="337"/>
      <c r="O909" s="337"/>
      <c r="P909" s="337"/>
      <c r="Q909" s="338">
        <v>1540</v>
      </c>
      <c r="R909" s="271">
        <f t="shared" si="67"/>
        <v>0</v>
      </c>
      <c r="S909" s="339">
        <f t="shared" si="66"/>
        <v>0</v>
      </c>
      <c r="T909" s="340"/>
      <c r="U909" s="341">
        <f>FA!M$60</f>
        <v>0</v>
      </c>
      <c r="V909" s="274"/>
      <c r="W909" s="342"/>
      <c r="X909" s="343"/>
      <c r="Y909" s="6" t="s">
        <v>539</v>
      </c>
      <c r="Z909" s="344"/>
      <c r="AA909" s="240"/>
      <c r="AB909" s="345">
        <v>1</v>
      </c>
      <c r="AC909" s="271"/>
      <c r="AD909" s="272"/>
      <c r="AE909" s="273"/>
      <c r="AF909" s="273"/>
      <c r="AG909" s="274"/>
      <c r="AH909" s="275"/>
      <c r="AI909" s="272"/>
      <c r="AJ909" s="276"/>
      <c r="AK909" s="277"/>
      <c r="AL909" s="278"/>
      <c r="AM909" s="277"/>
      <c r="AN909" s="279" t="str">
        <f t="shared" si="68"/>
        <v/>
      </c>
      <c r="AO909" s="279"/>
      <c r="AP909" s="279" t="str">
        <f t="shared" si="69"/>
        <v/>
      </c>
      <c r="AQ909" s="279"/>
      <c r="AR909" s="305">
        <f>'预算书-初步'!$F$10</f>
        <v>0.09</v>
      </c>
      <c r="AT909" s="272"/>
      <c r="BC909" s="272" t="s">
        <v>521</v>
      </c>
      <c r="BD909" s="348">
        <v>1049</v>
      </c>
      <c r="BE909" s="347" t="s">
        <v>704</v>
      </c>
    </row>
    <row r="910" s="52" customFormat="1" ht="15.75" customHeight="1" spans="1:57">
      <c r="A910" s="227"/>
      <c r="B910" s="332"/>
      <c r="C910" s="228"/>
      <c r="D910" s="333"/>
      <c r="E910" s="334"/>
      <c r="F910" s="229"/>
      <c r="G910" s="333"/>
      <c r="H910" s="335"/>
      <c r="I910" s="229"/>
      <c r="J910" s="229"/>
      <c r="K910" s="336"/>
      <c r="L910" s="337"/>
      <c r="M910" s="337"/>
      <c r="N910" s="337"/>
      <c r="O910" s="337"/>
      <c r="P910" s="337"/>
      <c r="Q910" s="338">
        <v>1611</v>
      </c>
      <c r="R910" s="271">
        <f t="shared" si="67"/>
        <v>0</v>
      </c>
      <c r="S910" s="339">
        <f t="shared" si="66"/>
        <v>0</v>
      </c>
      <c r="T910" s="340"/>
      <c r="U910" s="341">
        <f>FA!M$64</f>
        <v>0</v>
      </c>
      <c r="V910" s="274"/>
      <c r="W910" s="342"/>
      <c r="X910" s="343"/>
      <c r="Y910" s="6" t="s">
        <v>540</v>
      </c>
      <c r="Z910" s="344"/>
      <c r="AA910" s="240"/>
      <c r="AB910" s="345">
        <v>1</v>
      </c>
      <c r="AC910" s="271"/>
      <c r="AD910" s="272"/>
      <c r="AE910" s="273"/>
      <c r="AF910" s="273"/>
      <c r="AG910" s="274"/>
      <c r="AH910" s="275"/>
      <c r="AI910" s="272"/>
      <c r="AJ910" s="276"/>
      <c r="AK910" s="277"/>
      <c r="AL910" s="278"/>
      <c r="AM910" s="277"/>
      <c r="AN910" s="279" t="str">
        <f t="shared" si="68"/>
        <v/>
      </c>
      <c r="AO910" s="279"/>
      <c r="AP910" s="279" t="str">
        <f t="shared" si="69"/>
        <v/>
      </c>
      <c r="AQ910" s="279"/>
      <c r="AR910" s="305">
        <f>'预算书-初步'!$F$10</f>
        <v>0.09</v>
      </c>
      <c r="AT910" s="272"/>
      <c r="BC910" s="272" t="s">
        <v>521</v>
      </c>
      <c r="BD910" s="348">
        <v>1053</v>
      </c>
      <c r="BE910" s="347" t="s">
        <v>704</v>
      </c>
    </row>
    <row r="911" s="52" customFormat="1" ht="15.75" customHeight="1" spans="1:57">
      <c r="A911" s="227"/>
      <c r="B911" s="332"/>
      <c r="C911" s="228"/>
      <c r="D911" s="333"/>
      <c r="E911" s="334"/>
      <c r="F911" s="229"/>
      <c r="G911" s="333"/>
      <c r="H911" s="335"/>
      <c r="I911" s="229"/>
      <c r="J911" s="229"/>
      <c r="K911" s="336"/>
      <c r="L911" s="337"/>
      <c r="M911" s="337"/>
      <c r="N911" s="337"/>
      <c r="O911" s="337"/>
      <c r="P911" s="337"/>
      <c r="Q911" s="338">
        <v>1611</v>
      </c>
      <c r="R911" s="271">
        <f t="shared" si="67"/>
        <v>0</v>
      </c>
      <c r="S911" s="339">
        <f t="shared" si="66"/>
        <v>0</v>
      </c>
      <c r="T911" s="340"/>
      <c r="U911" s="341">
        <f>FA!M$65</f>
        <v>0</v>
      </c>
      <c r="V911" s="274"/>
      <c r="W911" s="342"/>
      <c r="X911" s="343"/>
      <c r="Y911" s="6" t="s">
        <v>541</v>
      </c>
      <c r="Z911" s="344"/>
      <c r="AA911" s="240"/>
      <c r="AB911" s="345">
        <v>1</v>
      </c>
      <c r="AC911" s="271"/>
      <c r="AD911" s="272"/>
      <c r="AE911" s="273"/>
      <c r="AF911" s="273"/>
      <c r="AG911" s="274"/>
      <c r="AH911" s="275"/>
      <c r="AI911" s="272"/>
      <c r="AJ911" s="276"/>
      <c r="AK911" s="277"/>
      <c r="AL911" s="278"/>
      <c r="AM911" s="277"/>
      <c r="AN911" s="279" t="str">
        <f t="shared" si="68"/>
        <v/>
      </c>
      <c r="AO911" s="279"/>
      <c r="AP911" s="279" t="str">
        <f t="shared" si="69"/>
        <v/>
      </c>
      <c r="AQ911" s="279"/>
      <c r="AR911" s="305">
        <f>'预算书-初步'!$F$10</f>
        <v>0.09</v>
      </c>
      <c r="AT911" s="272"/>
      <c r="BC911" s="272" t="s">
        <v>521</v>
      </c>
      <c r="BD911" s="348">
        <v>1054</v>
      </c>
      <c r="BE911" s="347" t="s">
        <v>704</v>
      </c>
    </row>
    <row r="912" s="52" customFormat="1" ht="15.75" customHeight="1" spans="1:57">
      <c r="A912" s="227"/>
      <c r="B912" s="332"/>
      <c r="C912" s="228"/>
      <c r="D912" s="333"/>
      <c r="E912" s="334"/>
      <c r="F912" s="229"/>
      <c r="G912" s="333"/>
      <c r="H912" s="335"/>
      <c r="I912" s="229"/>
      <c r="J912" s="229"/>
      <c r="K912" s="336"/>
      <c r="L912" s="337"/>
      <c r="M912" s="337"/>
      <c r="N912" s="337"/>
      <c r="O912" s="337"/>
      <c r="P912" s="337"/>
      <c r="Q912" s="338">
        <v>1611</v>
      </c>
      <c r="R912" s="271">
        <f t="shared" si="67"/>
        <v>0</v>
      </c>
      <c r="S912" s="339">
        <f t="shared" si="66"/>
        <v>0</v>
      </c>
      <c r="T912" s="340"/>
      <c r="U912" s="341">
        <f>FA!M$66</f>
        <v>0</v>
      </c>
      <c r="V912" s="274"/>
      <c r="W912" s="342"/>
      <c r="X912" s="343"/>
      <c r="Y912" s="6" t="s">
        <v>542</v>
      </c>
      <c r="Z912" s="344"/>
      <c r="AA912" s="240"/>
      <c r="AB912" s="345">
        <v>1</v>
      </c>
      <c r="AC912" s="271"/>
      <c r="AD912" s="272"/>
      <c r="AE912" s="273"/>
      <c r="AF912" s="273"/>
      <c r="AG912" s="274"/>
      <c r="AH912" s="275"/>
      <c r="AI912" s="272"/>
      <c r="AJ912" s="276"/>
      <c r="AK912" s="277"/>
      <c r="AL912" s="278"/>
      <c r="AM912" s="277"/>
      <c r="AN912" s="279" t="str">
        <f t="shared" si="68"/>
        <v/>
      </c>
      <c r="AO912" s="279"/>
      <c r="AP912" s="279" t="str">
        <f t="shared" si="69"/>
        <v/>
      </c>
      <c r="AQ912" s="279"/>
      <c r="AR912" s="305">
        <f>'预算书-初步'!$F$10</f>
        <v>0.09</v>
      </c>
      <c r="AT912" s="272"/>
      <c r="BC912" s="272" t="s">
        <v>521</v>
      </c>
      <c r="BD912" s="348">
        <v>1055</v>
      </c>
      <c r="BE912" s="347" t="s">
        <v>704</v>
      </c>
    </row>
    <row r="913" s="52" customFormat="1" ht="15.75" customHeight="1" spans="1:57">
      <c r="A913" s="227"/>
      <c r="B913" s="332"/>
      <c r="C913" s="228"/>
      <c r="D913" s="333"/>
      <c r="E913" s="334"/>
      <c r="F913" s="229"/>
      <c r="G913" s="333"/>
      <c r="H913" s="335"/>
      <c r="I913" s="229"/>
      <c r="J913" s="229"/>
      <c r="K913" s="336"/>
      <c r="L913" s="337"/>
      <c r="M913" s="337"/>
      <c r="N913" s="337"/>
      <c r="O913" s="337"/>
      <c r="P913" s="337"/>
      <c r="Q913" s="338">
        <v>1611</v>
      </c>
      <c r="R913" s="271">
        <f t="shared" si="67"/>
        <v>0</v>
      </c>
      <c r="S913" s="339">
        <f t="shared" si="66"/>
        <v>0</v>
      </c>
      <c r="T913" s="340"/>
      <c r="U913" s="341">
        <f>FA!M$67</f>
        <v>0</v>
      </c>
      <c r="V913" s="274"/>
      <c r="W913" s="342"/>
      <c r="X913" s="343"/>
      <c r="Y913" s="6" t="s">
        <v>543</v>
      </c>
      <c r="Z913" s="344"/>
      <c r="AA913" s="240"/>
      <c r="AB913" s="345">
        <v>1</v>
      </c>
      <c r="AC913" s="271"/>
      <c r="AD913" s="272"/>
      <c r="AE913" s="273"/>
      <c r="AF913" s="273"/>
      <c r="AG913" s="274"/>
      <c r="AH913" s="275"/>
      <c r="AI913" s="272"/>
      <c r="AJ913" s="276"/>
      <c r="AK913" s="277"/>
      <c r="AL913" s="278"/>
      <c r="AM913" s="277"/>
      <c r="AN913" s="279" t="str">
        <f t="shared" si="68"/>
        <v/>
      </c>
      <c r="AO913" s="279"/>
      <c r="AP913" s="279" t="str">
        <f t="shared" si="69"/>
        <v/>
      </c>
      <c r="AQ913" s="279"/>
      <c r="AR913" s="305">
        <f>'预算书-初步'!$F$10</f>
        <v>0.09</v>
      </c>
      <c r="AT913" s="272"/>
      <c r="BC913" s="272" t="s">
        <v>521</v>
      </c>
      <c r="BD913" s="348">
        <v>1056</v>
      </c>
      <c r="BE913" s="347" t="s">
        <v>704</v>
      </c>
    </row>
    <row r="914" s="52" customFormat="1" ht="15.75" customHeight="1" spans="1:57">
      <c r="A914" s="227"/>
      <c r="B914" s="332"/>
      <c r="C914" s="228"/>
      <c r="D914" s="333"/>
      <c r="E914" s="334"/>
      <c r="F914" s="229"/>
      <c r="G914" s="333"/>
      <c r="H914" s="335"/>
      <c r="I914" s="229"/>
      <c r="J914" s="229"/>
      <c r="K914" s="336"/>
      <c r="L914" s="337"/>
      <c r="M914" s="337"/>
      <c r="N914" s="337"/>
      <c r="O914" s="337"/>
      <c r="P914" s="337"/>
      <c r="Q914" s="338">
        <v>1611</v>
      </c>
      <c r="R914" s="271">
        <f t="shared" si="67"/>
        <v>0</v>
      </c>
      <c r="S914" s="339">
        <f t="shared" si="66"/>
        <v>0</v>
      </c>
      <c r="T914" s="340"/>
      <c r="U914" s="341">
        <f>FA!M$68</f>
        <v>0</v>
      </c>
      <c r="V914" s="274"/>
      <c r="W914" s="342"/>
      <c r="X914" s="343"/>
      <c r="Y914" s="6" t="s">
        <v>544</v>
      </c>
      <c r="Z914" s="344"/>
      <c r="AA914" s="240"/>
      <c r="AB914" s="345">
        <v>1</v>
      </c>
      <c r="AC914" s="271"/>
      <c r="AD914" s="272"/>
      <c r="AE914" s="273"/>
      <c r="AF914" s="273"/>
      <c r="AG914" s="274"/>
      <c r="AH914" s="275"/>
      <c r="AI914" s="272"/>
      <c r="AJ914" s="276"/>
      <c r="AK914" s="277"/>
      <c r="AL914" s="278"/>
      <c r="AM914" s="277"/>
      <c r="AN914" s="279" t="str">
        <f t="shared" si="68"/>
        <v/>
      </c>
      <c r="AO914" s="279"/>
      <c r="AP914" s="279" t="str">
        <f t="shared" si="69"/>
        <v/>
      </c>
      <c r="AQ914" s="279"/>
      <c r="AR914" s="305">
        <f>'预算书-初步'!$F$10</f>
        <v>0.09</v>
      </c>
      <c r="AT914" s="272"/>
      <c r="BC914" s="272" t="s">
        <v>521</v>
      </c>
      <c r="BD914" s="348">
        <v>1057</v>
      </c>
      <c r="BE914" s="347" t="s">
        <v>704</v>
      </c>
    </row>
    <row r="915" s="52" customFormat="1" ht="15.75" customHeight="1" spans="1:57">
      <c r="A915" s="227"/>
      <c r="B915" s="332"/>
      <c r="C915" s="228"/>
      <c r="D915" s="333"/>
      <c r="E915" s="334"/>
      <c r="F915" s="229"/>
      <c r="G915" s="333"/>
      <c r="H915" s="335"/>
      <c r="I915" s="229"/>
      <c r="J915" s="229"/>
      <c r="K915" s="336"/>
      <c r="L915" s="337"/>
      <c r="M915" s="337"/>
      <c r="N915" s="337"/>
      <c r="O915" s="337"/>
      <c r="P915" s="337"/>
      <c r="Q915" s="338">
        <v>1611</v>
      </c>
      <c r="R915" s="271">
        <f t="shared" si="67"/>
        <v>0</v>
      </c>
      <c r="S915" s="339">
        <f t="shared" si="66"/>
        <v>0</v>
      </c>
      <c r="T915" s="340"/>
      <c r="U915" s="341">
        <f>FA!M$69</f>
        <v>0</v>
      </c>
      <c r="V915" s="274"/>
      <c r="W915" s="342"/>
      <c r="X915" s="343"/>
      <c r="Y915" s="6" t="s">
        <v>545</v>
      </c>
      <c r="Z915" s="344"/>
      <c r="AA915" s="240"/>
      <c r="AB915" s="345">
        <v>1</v>
      </c>
      <c r="AC915" s="271"/>
      <c r="AD915" s="272"/>
      <c r="AE915" s="273"/>
      <c r="AF915" s="273"/>
      <c r="AG915" s="274"/>
      <c r="AH915" s="275"/>
      <c r="AI915" s="272"/>
      <c r="AJ915" s="276"/>
      <c r="AK915" s="277"/>
      <c r="AL915" s="278"/>
      <c r="AM915" s="277"/>
      <c r="AN915" s="279"/>
      <c r="AO915" s="279"/>
      <c r="AP915" s="279"/>
      <c r="AQ915" s="279"/>
      <c r="AR915" s="305">
        <f>'预算书-初步'!$F$10</f>
        <v>0.09</v>
      </c>
      <c r="AT915" s="272"/>
      <c r="BC915" s="272" t="s">
        <v>521</v>
      </c>
      <c r="BD915" s="348">
        <v>1058</v>
      </c>
      <c r="BE915" s="347" t="s">
        <v>704</v>
      </c>
    </row>
    <row r="916" s="52" customFormat="1" ht="15.75" customHeight="1" spans="1:57">
      <c r="A916" s="227"/>
      <c r="B916" s="332"/>
      <c r="C916" s="228"/>
      <c r="D916" s="333"/>
      <c r="E916" s="334"/>
      <c r="F916" s="229"/>
      <c r="G916" s="333"/>
      <c r="H916" s="335"/>
      <c r="I916" s="229"/>
      <c r="J916" s="229"/>
      <c r="K916" s="336"/>
      <c r="L916" s="337"/>
      <c r="M916" s="337"/>
      <c r="N916" s="337"/>
      <c r="O916" s="337"/>
      <c r="P916" s="337"/>
      <c r="Q916" s="338">
        <v>1611</v>
      </c>
      <c r="R916" s="271">
        <f t="shared" si="67"/>
        <v>0</v>
      </c>
      <c r="S916" s="339">
        <f t="shared" si="66"/>
        <v>0</v>
      </c>
      <c r="T916" s="340"/>
      <c r="U916" s="341">
        <f>FA!M$70</f>
        <v>0</v>
      </c>
      <c r="V916" s="274"/>
      <c r="W916" s="342"/>
      <c r="X916" s="343"/>
      <c r="Y916" s="349" t="s">
        <v>546</v>
      </c>
      <c r="Z916" s="344"/>
      <c r="AA916" s="240"/>
      <c r="AB916" s="345">
        <v>1</v>
      </c>
      <c r="AC916" s="271"/>
      <c r="AD916" s="272"/>
      <c r="AE916" s="273"/>
      <c r="AF916" s="273"/>
      <c r="AG916" s="274"/>
      <c r="AH916" s="275"/>
      <c r="AI916" s="272"/>
      <c r="AJ916" s="276"/>
      <c r="AK916" s="277"/>
      <c r="AL916" s="278"/>
      <c r="AM916" s="277"/>
      <c r="AN916" s="279"/>
      <c r="AO916" s="279"/>
      <c r="AP916" s="279"/>
      <c r="AQ916" s="279"/>
      <c r="AR916" s="305">
        <f>'预算书-初步'!$F$10</f>
        <v>0.09</v>
      </c>
      <c r="AT916" s="272"/>
      <c r="BC916" s="272" t="s">
        <v>521</v>
      </c>
      <c r="BD916" s="348">
        <v>1059</v>
      </c>
      <c r="BE916" s="347" t="s">
        <v>704</v>
      </c>
    </row>
    <row r="917" s="52" customFormat="1" ht="15.75" customHeight="1" spans="1:57">
      <c r="A917" s="227"/>
      <c r="B917" s="332"/>
      <c r="C917" s="228"/>
      <c r="D917" s="333"/>
      <c r="E917" s="334"/>
      <c r="F917" s="229"/>
      <c r="G917" s="333"/>
      <c r="H917" s="335"/>
      <c r="I917" s="229"/>
      <c r="J917" s="229"/>
      <c r="K917" s="336"/>
      <c r="L917" s="337"/>
      <c r="M917" s="337"/>
      <c r="N917" s="337"/>
      <c r="O917" s="337"/>
      <c r="P917" s="337"/>
      <c r="Q917" s="338">
        <v>1611</v>
      </c>
      <c r="R917" s="271">
        <f t="shared" si="67"/>
        <v>0</v>
      </c>
      <c r="S917" s="339">
        <f t="shared" si="66"/>
        <v>0</v>
      </c>
      <c r="T917" s="340"/>
      <c r="U917" s="341">
        <f>FA!M$71</f>
        <v>0</v>
      </c>
      <c r="V917" s="274"/>
      <c r="W917" s="342"/>
      <c r="X917" s="343"/>
      <c r="Y917" s="349" t="s">
        <v>547</v>
      </c>
      <c r="Z917" s="344"/>
      <c r="AA917" s="240"/>
      <c r="AB917" s="345">
        <v>1</v>
      </c>
      <c r="AC917" s="271"/>
      <c r="AD917" s="272"/>
      <c r="AE917" s="273"/>
      <c r="AF917" s="273"/>
      <c r="AG917" s="274"/>
      <c r="AH917" s="275"/>
      <c r="AI917" s="272"/>
      <c r="AJ917" s="276"/>
      <c r="AK917" s="277"/>
      <c r="AL917" s="278"/>
      <c r="AM917" s="277"/>
      <c r="AN917" s="279"/>
      <c r="AO917" s="279"/>
      <c r="AP917" s="279"/>
      <c r="AQ917" s="279"/>
      <c r="AR917" s="305">
        <f>'预算书-初步'!$F$10</f>
        <v>0.09</v>
      </c>
      <c r="AT917" s="272"/>
      <c r="BC917" s="272" t="s">
        <v>521</v>
      </c>
      <c r="BD917" s="348">
        <v>1060</v>
      </c>
      <c r="BE917" s="347" t="s">
        <v>704</v>
      </c>
    </row>
    <row r="918" s="52" customFormat="1" ht="15.75" customHeight="1" spans="1:57">
      <c r="A918" s="227"/>
      <c r="B918" s="332"/>
      <c r="C918" s="228"/>
      <c r="D918" s="333"/>
      <c r="E918" s="334"/>
      <c r="F918" s="229"/>
      <c r="G918" s="333"/>
      <c r="H918" s="335"/>
      <c r="I918" s="229"/>
      <c r="J918" s="229"/>
      <c r="K918" s="336"/>
      <c r="L918" s="337"/>
      <c r="M918" s="337"/>
      <c r="N918" s="337"/>
      <c r="O918" s="337"/>
      <c r="P918" s="337"/>
      <c r="Q918" s="338">
        <v>1611</v>
      </c>
      <c r="R918" s="271">
        <f t="shared" si="67"/>
        <v>0</v>
      </c>
      <c r="S918" s="339">
        <f t="shared" si="66"/>
        <v>0</v>
      </c>
      <c r="T918" s="340"/>
      <c r="U918" s="341">
        <f>FA!M$72</f>
        <v>0</v>
      </c>
      <c r="V918" s="274"/>
      <c r="W918" s="342"/>
      <c r="X918" s="343"/>
      <c r="Y918" s="349" t="s">
        <v>548</v>
      </c>
      <c r="Z918" s="344"/>
      <c r="AA918" s="240"/>
      <c r="AB918" s="345">
        <v>1</v>
      </c>
      <c r="AC918" s="271"/>
      <c r="AD918" s="272"/>
      <c r="AE918" s="273"/>
      <c r="AF918" s="273"/>
      <c r="AG918" s="274"/>
      <c r="AH918" s="275"/>
      <c r="AI918" s="272"/>
      <c r="AJ918" s="276"/>
      <c r="AK918" s="277"/>
      <c r="AL918" s="278"/>
      <c r="AM918" s="277"/>
      <c r="AN918" s="279" t="str">
        <f>IF(AK918&lt;&gt;0,"N","")</f>
        <v/>
      </c>
      <c r="AO918" s="279"/>
      <c r="AP918" s="279" t="str">
        <f>IF(F918&lt;&gt;0,"Y","")</f>
        <v/>
      </c>
      <c r="AQ918" s="279"/>
      <c r="AR918" s="305">
        <f>'预算书-初步'!$F$10</f>
        <v>0.09</v>
      </c>
      <c r="AT918" s="272"/>
      <c r="BC918" s="272" t="s">
        <v>521</v>
      </c>
      <c r="BD918" s="348">
        <v>1061</v>
      </c>
      <c r="BE918" s="347" t="s">
        <v>704</v>
      </c>
    </row>
    <row r="919" s="52" customFormat="1" ht="15.75" customHeight="1" spans="1:57">
      <c r="A919" s="227"/>
      <c r="B919" s="332"/>
      <c r="C919" s="228"/>
      <c r="D919" s="333"/>
      <c r="E919" s="334"/>
      <c r="F919" s="229"/>
      <c r="G919" s="333"/>
      <c r="H919" s="335"/>
      <c r="I919" s="229"/>
      <c r="J919" s="229"/>
      <c r="K919" s="336"/>
      <c r="L919" s="337"/>
      <c r="M919" s="337"/>
      <c r="N919" s="337"/>
      <c r="O919" s="337"/>
      <c r="P919" s="337"/>
      <c r="Q919" s="338">
        <v>1611</v>
      </c>
      <c r="R919" s="271">
        <f t="shared" si="67"/>
        <v>0</v>
      </c>
      <c r="S919" s="339">
        <f t="shared" si="66"/>
        <v>0</v>
      </c>
      <c r="T919" s="340"/>
      <c r="U919" s="341">
        <f>FA!M$73</f>
        <v>0</v>
      </c>
      <c r="V919" s="274"/>
      <c r="W919" s="342"/>
      <c r="X919" s="343"/>
      <c r="Y919" s="349" t="s">
        <v>549</v>
      </c>
      <c r="Z919" s="344"/>
      <c r="AA919" s="240"/>
      <c r="AB919" s="345">
        <v>1</v>
      </c>
      <c r="AC919" s="271"/>
      <c r="AD919" s="272"/>
      <c r="AE919" s="273"/>
      <c r="AF919" s="273"/>
      <c r="AG919" s="274"/>
      <c r="AH919" s="275"/>
      <c r="AI919" s="272"/>
      <c r="AJ919" s="276"/>
      <c r="AK919" s="277"/>
      <c r="AL919" s="278"/>
      <c r="AM919" s="277"/>
      <c r="AN919" s="279"/>
      <c r="AO919" s="279"/>
      <c r="AP919" s="279"/>
      <c r="AQ919" s="279"/>
      <c r="AR919" s="305">
        <f>'预算书-初步'!$F$10</f>
        <v>0.09</v>
      </c>
      <c r="AT919" s="272"/>
      <c r="BC919" s="272" t="s">
        <v>521</v>
      </c>
      <c r="BD919" s="348">
        <v>1062</v>
      </c>
      <c r="BE919" s="347" t="s">
        <v>704</v>
      </c>
    </row>
    <row r="920" s="52" customFormat="1" ht="15.75" customHeight="1" spans="1:57">
      <c r="A920" s="227"/>
      <c r="B920" s="332"/>
      <c r="C920" s="228"/>
      <c r="D920" s="333"/>
      <c r="E920" s="334"/>
      <c r="F920" s="229"/>
      <c r="G920" s="333"/>
      <c r="H920" s="335"/>
      <c r="I920" s="229"/>
      <c r="J920" s="229"/>
      <c r="K920" s="336"/>
      <c r="L920" s="337"/>
      <c r="M920" s="337"/>
      <c r="N920" s="337"/>
      <c r="O920" s="337"/>
      <c r="P920" s="337"/>
      <c r="Q920" s="338">
        <v>1643</v>
      </c>
      <c r="R920" s="271">
        <f t="shared" si="67"/>
        <v>0</v>
      </c>
      <c r="S920" s="339">
        <f t="shared" si="66"/>
        <v>0</v>
      </c>
      <c r="T920" s="340"/>
      <c r="U920" s="341">
        <f>FA!M$74</f>
        <v>0</v>
      </c>
      <c r="V920" s="274"/>
      <c r="W920" s="342"/>
      <c r="X920" s="343"/>
      <c r="Y920" s="349" t="s">
        <v>550</v>
      </c>
      <c r="Z920" s="344"/>
      <c r="AA920" s="240"/>
      <c r="AB920" s="345">
        <v>1</v>
      </c>
      <c r="AC920" s="271"/>
      <c r="AD920" s="272"/>
      <c r="AE920" s="273"/>
      <c r="AF920" s="273"/>
      <c r="AG920" s="274"/>
      <c r="AH920" s="275"/>
      <c r="AI920" s="272"/>
      <c r="AJ920" s="276"/>
      <c r="AK920" s="277"/>
      <c r="AL920" s="278"/>
      <c r="AM920" s="277"/>
      <c r="AN920" s="279" t="str">
        <f t="shared" ref="AN920:AN933" si="70">IF(AK920&lt;&gt;0,"N","")</f>
        <v/>
      </c>
      <c r="AO920" s="279"/>
      <c r="AP920" s="279" t="str">
        <f t="shared" ref="AP920:AP929" si="71">IF(F920&lt;&gt;0,"Y","")</f>
        <v/>
      </c>
      <c r="AQ920" s="279"/>
      <c r="AR920" s="305">
        <f>'预算书-初步'!$F$10</f>
        <v>0.09</v>
      </c>
      <c r="AT920" s="272"/>
      <c r="BC920" s="272" t="s">
        <v>521</v>
      </c>
      <c r="BD920" s="348">
        <v>1063</v>
      </c>
      <c r="BE920" s="347" t="s">
        <v>704</v>
      </c>
    </row>
    <row r="921" s="52" customFormat="1" ht="15.75" customHeight="1" spans="1:57">
      <c r="A921" s="227"/>
      <c r="B921" s="332"/>
      <c r="C921" s="228"/>
      <c r="D921" s="333"/>
      <c r="E921" s="334"/>
      <c r="F921" s="229"/>
      <c r="G921" s="333"/>
      <c r="H921" s="335"/>
      <c r="I921" s="229"/>
      <c r="J921" s="229"/>
      <c r="K921" s="336"/>
      <c r="L921" s="337"/>
      <c r="M921" s="337"/>
      <c r="N921" s="337"/>
      <c r="O921" s="337"/>
      <c r="P921" s="337"/>
      <c r="Q921" s="350">
        <v>1644</v>
      </c>
      <c r="R921" s="271">
        <f t="shared" si="67"/>
        <v>0</v>
      </c>
      <c r="S921" s="339">
        <f t="shared" si="66"/>
        <v>0</v>
      </c>
      <c r="T921" s="340"/>
      <c r="U921" s="341">
        <f>FA!M$75</f>
        <v>0</v>
      </c>
      <c r="V921" s="274"/>
      <c r="W921" s="342"/>
      <c r="X921" s="343"/>
      <c r="Y921" s="349" t="s">
        <v>551</v>
      </c>
      <c r="Z921" s="344"/>
      <c r="AA921" s="240"/>
      <c r="AB921" s="345">
        <v>1</v>
      </c>
      <c r="AC921" s="271"/>
      <c r="AD921" s="272"/>
      <c r="AE921" s="273"/>
      <c r="AF921" s="273"/>
      <c r="AG921" s="274"/>
      <c r="AH921" s="275"/>
      <c r="AI921" s="272"/>
      <c r="AJ921" s="276"/>
      <c r="AK921" s="277"/>
      <c r="AL921" s="278"/>
      <c r="AM921" s="277"/>
      <c r="AN921" s="279" t="str">
        <f t="shared" si="70"/>
        <v/>
      </c>
      <c r="AO921" s="279"/>
      <c r="AP921" s="279" t="str">
        <f t="shared" si="71"/>
        <v/>
      </c>
      <c r="AQ921" s="279"/>
      <c r="AR921" s="305">
        <f>'预算书-初步'!$F$10</f>
        <v>0.09</v>
      </c>
      <c r="AT921" s="272"/>
      <c r="BC921" s="272" t="s">
        <v>521</v>
      </c>
      <c r="BD921" s="348">
        <v>1064</v>
      </c>
      <c r="BE921" s="347" t="s">
        <v>704</v>
      </c>
    </row>
    <row r="922" s="52" customFormat="1" ht="15.75" customHeight="1" spans="1:57">
      <c r="A922" s="227"/>
      <c r="B922" s="332"/>
      <c r="C922" s="228"/>
      <c r="D922" s="333"/>
      <c r="E922" s="334"/>
      <c r="F922" s="229"/>
      <c r="G922" s="333"/>
      <c r="H922" s="335"/>
      <c r="I922" s="229"/>
      <c r="J922" s="229"/>
      <c r="K922" s="336"/>
      <c r="L922" s="337"/>
      <c r="M922" s="337"/>
      <c r="N922" s="337"/>
      <c r="O922" s="337"/>
      <c r="P922" s="337"/>
      <c r="Q922" s="338">
        <v>1645</v>
      </c>
      <c r="R922" s="271">
        <f t="shared" si="67"/>
        <v>0</v>
      </c>
      <c r="S922" s="339">
        <f t="shared" si="66"/>
        <v>0</v>
      </c>
      <c r="T922" s="340"/>
      <c r="U922" s="341">
        <f>FA!M$76</f>
        <v>0</v>
      </c>
      <c r="V922" s="274"/>
      <c r="W922" s="342"/>
      <c r="X922" s="343"/>
      <c r="Y922" s="349" t="s">
        <v>552</v>
      </c>
      <c r="Z922" s="344"/>
      <c r="AA922" s="240"/>
      <c r="AB922" s="345">
        <v>1</v>
      </c>
      <c r="AC922" s="271"/>
      <c r="AD922" s="272"/>
      <c r="AE922" s="273"/>
      <c r="AF922" s="273"/>
      <c r="AG922" s="274"/>
      <c r="AH922" s="275"/>
      <c r="AI922" s="272"/>
      <c r="AJ922" s="276"/>
      <c r="AK922" s="277"/>
      <c r="AL922" s="278"/>
      <c r="AM922" s="277"/>
      <c r="AN922" s="279" t="str">
        <f t="shared" si="70"/>
        <v/>
      </c>
      <c r="AO922" s="279"/>
      <c r="AP922" s="279" t="str">
        <f t="shared" si="71"/>
        <v/>
      </c>
      <c r="AQ922" s="279"/>
      <c r="AR922" s="305">
        <f>'预算书-初步'!$F$10</f>
        <v>0.09</v>
      </c>
      <c r="AT922" s="272"/>
      <c r="BC922" s="272" t="s">
        <v>521</v>
      </c>
      <c r="BD922" s="348">
        <v>1065</v>
      </c>
      <c r="BE922" s="347" t="s">
        <v>704</v>
      </c>
    </row>
    <row r="923" s="52" customFormat="1" ht="15.75" customHeight="1" spans="1:57">
      <c r="A923" s="227"/>
      <c r="B923" s="332"/>
      <c r="C923" s="228"/>
      <c r="D923" s="333"/>
      <c r="E923" s="334"/>
      <c r="F923" s="229"/>
      <c r="G923" s="333"/>
      <c r="H923" s="335"/>
      <c r="I923" s="229"/>
      <c r="J923" s="229"/>
      <c r="K923" s="336"/>
      <c r="L923" s="337"/>
      <c r="M923" s="337"/>
      <c r="N923" s="337"/>
      <c r="O923" s="337"/>
      <c r="P923" s="337"/>
      <c r="Q923" s="338">
        <v>1612</v>
      </c>
      <c r="R923" s="271">
        <f t="shared" si="67"/>
        <v>0</v>
      </c>
      <c r="S923" s="339">
        <f t="shared" si="66"/>
        <v>0</v>
      </c>
      <c r="T923" s="340"/>
      <c r="U923" s="341">
        <f>FA!M$77</f>
        <v>0</v>
      </c>
      <c r="V923" s="274"/>
      <c r="W923" s="342"/>
      <c r="X923" s="343"/>
      <c r="Y923" s="6" t="s">
        <v>553</v>
      </c>
      <c r="Z923" s="344"/>
      <c r="AA923" s="240"/>
      <c r="AB923" s="345">
        <v>1</v>
      </c>
      <c r="AC923" s="271"/>
      <c r="AD923" s="272"/>
      <c r="AE923" s="273"/>
      <c r="AF923" s="273"/>
      <c r="AG923" s="274"/>
      <c r="AH923" s="275"/>
      <c r="AI923" s="272"/>
      <c r="AJ923" s="276"/>
      <c r="AK923" s="277"/>
      <c r="AL923" s="278"/>
      <c r="AM923" s="277"/>
      <c r="AN923" s="279" t="str">
        <f t="shared" si="70"/>
        <v/>
      </c>
      <c r="AO923" s="279"/>
      <c r="AP923" s="279" t="str">
        <f t="shared" si="71"/>
        <v/>
      </c>
      <c r="AQ923" s="279"/>
      <c r="AR923" s="305">
        <f>'预算书-初步'!$F$10</f>
        <v>0.09</v>
      </c>
      <c r="AT923" s="272"/>
      <c r="BC923" s="272" t="s">
        <v>521</v>
      </c>
      <c r="BD923" s="348">
        <v>1066</v>
      </c>
      <c r="BE923" s="347" t="s">
        <v>704</v>
      </c>
    </row>
    <row r="924" s="52" customFormat="1" ht="15.75" customHeight="1" spans="1:57">
      <c r="A924" s="227"/>
      <c r="B924" s="332"/>
      <c r="C924" s="228"/>
      <c r="D924" s="333"/>
      <c r="E924" s="334"/>
      <c r="F924" s="229"/>
      <c r="G924" s="333"/>
      <c r="H924" s="335"/>
      <c r="I924" s="229"/>
      <c r="J924" s="229"/>
      <c r="K924" s="336"/>
      <c r="L924" s="337"/>
      <c r="M924" s="337"/>
      <c r="N924" s="337"/>
      <c r="O924" s="337"/>
      <c r="P924" s="337"/>
      <c r="Q924" s="338">
        <v>1646</v>
      </c>
      <c r="R924" s="271">
        <f t="shared" si="67"/>
        <v>0</v>
      </c>
      <c r="S924" s="339">
        <f t="shared" si="66"/>
        <v>0</v>
      </c>
      <c r="T924" s="340"/>
      <c r="U924" s="341">
        <f>FA!M$79</f>
        <v>0</v>
      </c>
      <c r="V924" s="274"/>
      <c r="W924" s="342"/>
      <c r="X924" s="343"/>
      <c r="Y924" s="349" t="s">
        <v>554</v>
      </c>
      <c r="Z924" s="344"/>
      <c r="AA924" s="240"/>
      <c r="AB924" s="345">
        <v>1</v>
      </c>
      <c r="AC924" s="271"/>
      <c r="AD924" s="272"/>
      <c r="AE924" s="273"/>
      <c r="AF924" s="273"/>
      <c r="AG924" s="274"/>
      <c r="AH924" s="275"/>
      <c r="AI924" s="272"/>
      <c r="AJ924" s="276"/>
      <c r="AK924" s="277"/>
      <c r="AL924" s="278"/>
      <c r="AM924" s="277"/>
      <c r="AN924" s="279" t="str">
        <f t="shared" si="70"/>
        <v/>
      </c>
      <c r="AO924" s="279"/>
      <c r="AP924" s="279" t="str">
        <f t="shared" si="71"/>
        <v/>
      </c>
      <c r="AQ924" s="279"/>
      <c r="AR924" s="305">
        <f>'预算书-初步'!$F$10</f>
        <v>0.09</v>
      </c>
      <c r="AT924" s="272"/>
      <c r="BC924" s="272" t="s">
        <v>521</v>
      </c>
      <c r="BD924" s="348">
        <v>1068</v>
      </c>
      <c r="BE924" s="347" t="s">
        <v>704</v>
      </c>
    </row>
    <row r="925" s="52" customFormat="1" ht="15.75" customHeight="1" spans="1:57">
      <c r="A925" s="227"/>
      <c r="B925" s="332"/>
      <c r="C925" s="228"/>
      <c r="D925" s="333"/>
      <c r="E925" s="334"/>
      <c r="F925" s="229"/>
      <c r="G925" s="333"/>
      <c r="H925" s="335"/>
      <c r="I925" s="229"/>
      <c r="J925" s="229"/>
      <c r="K925" s="336"/>
      <c r="L925" s="337"/>
      <c r="M925" s="337"/>
      <c r="N925" s="337"/>
      <c r="O925" s="337"/>
      <c r="P925" s="337"/>
      <c r="Q925" s="338">
        <v>1646</v>
      </c>
      <c r="R925" s="271">
        <f t="shared" si="67"/>
        <v>0</v>
      </c>
      <c r="S925" s="339">
        <f t="shared" si="66"/>
        <v>0</v>
      </c>
      <c r="T925" s="340"/>
      <c r="U925" s="341">
        <f>FA!M$80</f>
        <v>0</v>
      </c>
      <c r="V925" s="274"/>
      <c r="W925" s="342"/>
      <c r="X925" s="343"/>
      <c r="Y925" s="6" t="s">
        <v>555</v>
      </c>
      <c r="Z925" s="344"/>
      <c r="AA925" s="240"/>
      <c r="AB925" s="345">
        <v>1</v>
      </c>
      <c r="AC925" s="271"/>
      <c r="AD925" s="272"/>
      <c r="AE925" s="273"/>
      <c r="AF925" s="273"/>
      <c r="AG925" s="274"/>
      <c r="AH925" s="275"/>
      <c r="AI925" s="272"/>
      <c r="AJ925" s="276"/>
      <c r="AK925" s="277"/>
      <c r="AL925" s="278"/>
      <c r="AM925" s="277"/>
      <c r="AN925" s="279" t="str">
        <f t="shared" si="70"/>
        <v/>
      </c>
      <c r="AO925" s="279"/>
      <c r="AP925" s="279" t="str">
        <f t="shared" si="71"/>
        <v/>
      </c>
      <c r="AQ925" s="279"/>
      <c r="AR925" s="305">
        <f>'预算书-初步'!$F$10</f>
        <v>0.09</v>
      </c>
      <c r="AT925" s="272"/>
      <c r="BC925" s="272" t="s">
        <v>521</v>
      </c>
      <c r="BD925" s="348">
        <v>1069</v>
      </c>
      <c r="BE925" s="347" t="s">
        <v>704</v>
      </c>
    </row>
    <row r="926" s="52" customFormat="1" ht="15.75" customHeight="1" spans="1:57">
      <c r="A926" s="227"/>
      <c r="B926" s="332"/>
      <c r="C926" s="228"/>
      <c r="D926" s="333"/>
      <c r="E926" s="334"/>
      <c r="F926" s="229"/>
      <c r="G926" s="333"/>
      <c r="H926" s="335"/>
      <c r="I926" s="229"/>
      <c r="J926" s="229"/>
      <c r="K926" s="336"/>
      <c r="L926" s="337"/>
      <c r="M926" s="337"/>
      <c r="N926" s="337"/>
      <c r="O926" s="337"/>
      <c r="P926" s="337"/>
      <c r="Q926" s="338">
        <v>1613</v>
      </c>
      <c r="R926" s="271">
        <f t="shared" si="67"/>
        <v>0</v>
      </c>
      <c r="S926" s="339">
        <f t="shared" si="66"/>
        <v>0</v>
      </c>
      <c r="T926" s="340"/>
      <c r="U926" s="341">
        <f>FA!M$81</f>
        <v>0</v>
      </c>
      <c r="V926" s="274"/>
      <c r="W926" s="342"/>
      <c r="X926" s="343"/>
      <c r="Y926" s="349" t="s">
        <v>556</v>
      </c>
      <c r="Z926" s="344"/>
      <c r="AA926" s="240"/>
      <c r="AB926" s="345">
        <v>1</v>
      </c>
      <c r="AC926" s="271"/>
      <c r="AD926" s="272"/>
      <c r="AE926" s="273"/>
      <c r="AF926" s="273"/>
      <c r="AG926" s="274"/>
      <c r="AH926" s="275"/>
      <c r="AI926" s="272"/>
      <c r="AJ926" s="276"/>
      <c r="AK926" s="277"/>
      <c r="AL926" s="278"/>
      <c r="AM926" s="277"/>
      <c r="AN926" s="279" t="str">
        <f t="shared" si="70"/>
        <v/>
      </c>
      <c r="AO926" s="279"/>
      <c r="AP926" s="279" t="str">
        <f t="shared" si="71"/>
        <v/>
      </c>
      <c r="AQ926" s="279"/>
      <c r="AR926" s="305">
        <f>'预算书-初步'!$F$10</f>
        <v>0.09</v>
      </c>
      <c r="AT926" s="272"/>
      <c r="BC926" s="272" t="s">
        <v>521</v>
      </c>
      <c r="BD926" s="348">
        <v>1070</v>
      </c>
      <c r="BE926" s="347" t="s">
        <v>704</v>
      </c>
    </row>
    <row r="927" s="52" customFormat="1" ht="15.75" customHeight="1" spans="1:57">
      <c r="A927" s="227"/>
      <c r="B927" s="332"/>
      <c r="C927" s="228"/>
      <c r="D927" s="333"/>
      <c r="E927" s="334"/>
      <c r="F927" s="229"/>
      <c r="G927" s="333"/>
      <c r="H927" s="335"/>
      <c r="I927" s="229"/>
      <c r="J927" s="229"/>
      <c r="K927" s="336"/>
      <c r="L927" s="337"/>
      <c r="M927" s="337"/>
      <c r="N927" s="337"/>
      <c r="O927" s="337"/>
      <c r="P927" s="337"/>
      <c r="Q927" s="338">
        <v>1614</v>
      </c>
      <c r="R927" s="271">
        <f t="shared" si="67"/>
        <v>0</v>
      </c>
      <c r="S927" s="339">
        <f t="shared" si="66"/>
        <v>0</v>
      </c>
      <c r="T927" s="340"/>
      <c r="U927" s="341">
        <f>FA!M$82</f>
        <v>0</v>
      </c>
      <c r="V927" s="274"/>
      <c r="W927" s="342"/>
      <c r="X927" s="343"/>
      <c r="Y927" s="349" t="s">
        <v>557</v>
      </c>
      <c r="Z927" s="344"/>
      <c r="AA927" s="240"/>
      <c r="AB927" s="345">
        <v>1</v>
      </c>
      <c r="AC927" s="271"/>
      <c r="AD927" s="272"/>
      <c r="AE927" s="273"/>
      <c r="AF927" s="273"/>
      <c r="AG927" s="274"/>
      <c r="AH927" s="275"/>
      <c r="AI927" s="272"/>
      <c r="AJ927" s="276"/>
      <c r="AK927" s="277"/>
      <c r="AL927" s="278"/>
      <c r="AM927" s="277"/>
      <c r="AN927" s="279" t="str">
        <f t="shared" si="70"/>
        <v/>
      </c>
      <c r="AO927" s="279"/>
      <c r="AP927" s="279" t="str">
        <f t="shared" si="71"/>
        <v/>
      </c>
      <c r="AQ927" s="279"/>
      <c r="AR927" s="305">
        <f>'预算书-初步'!$F$10</f>
        <v>0.09</v>
      </c>
      <c r="AT927" s="272"/>
      <c r="BC927" s="272" t="s">
        <v>521</v>
      </c>
      <c r="BD927" s="348">
        <v>1071</v>
      </c>
      <c r="BE927" s="347" t="s">
        <v>704</v>
      </c>
    </row>
    <row r="928" s="52" customFormat="1" ht="15.75" customHeight="1" spans="1:57">
      <c r="A928" s="227"/>
      <c r="B928" s="332"/>
      <c r="C928" s="228"/>
      <c r="D928" s="333"/>
      <c r="E928" s="334"/>
      <c r="F928" s="229"/>
      <c r="G928" s="333"/>
      <c r="H928" s="335"/>
      <c r="I928" s="229"/>
      <c r="J928" s="229"/>
      <c r="K928" s="336"/>
      <c r="L928" s="337"/>
      <c r="M928" s="337"/>
      <c r="N928" s="337"/>
      <c r="O928" s="337"/>
      <c r="P928" s="337"/>
      <c r="Q928" s="338">
        <v>1621</v>
      </c>
      <c r="R928" s="271">
        <f t="shared" si="67"/>
        <v>0</v>
      </c>
      <c r="S928" s="339">
        <f t="shared" si="66"/>
        <v>0</v>
      </c>
      <c r="T928" s="340"/>
      <c r="U928" s="341">
        <f>FA!M$84</f>
        <v>0</v>
      </c>
      <c r="V928" s="274"/>
      <c r="W928" s="342"/>
      <c r="X928" s="343"/>
      <c r="Y928" s="349" t="s">
        <v>558</v>
      </c>
      <c r="Z928" s="344"/>
      <c r="AA928" s="240"/>
      <c r="AB928" s="345">
        <v>1</v>
      </c>
      <c r="AC928" s="271"/>
      <c r="AD928" s="272"/>
      <c r="AE928" s="273"/>
      <c r="AF928" s="273"/>
      <c r="AG928" s="274"/>
      <c r="AH928" s="275"/>
      <c r="AI928" s="272"/>
      <c r="AJ928" s="276"/>
      <c r="AK928" s="277"/>
      <c r="AL928" s="278"/>
      <c r="AM928" s="277"/>
      <c r="AN928" s="279" t="str">
        <f t="shared" si="70"/>
        <v/>
      </c>
      <c r="AO928" s="279"/>
      <c r="AP928" s="279" t="str">
        <f t="shared" si="71"/>
        <v/>
      </c>
      <c r="AQ928" s="279"/>
      <c r="AR928" s="305">
        <f>'预算书-初步'!$F$10</f>
        <v>0.09</v>
      </c>
      <c r="AT928" s="272"/>
      <c r="BC928" s="272" t="s">
        <v>521</v>
      </c>
      <c r="BD928" s="348">
        <v>1073</v>
      </c>
      <c r="BE928" s="347" t="s">
        <v>704</v>
      </c>
    </row>
    <row r="929" s="52" customFormat="1" ht="15.75" customHeight="1" spans="1:57">
      <c r="A929" s="227"/>
      <c r="B929" s="332"/>
      <c r="C929" s="228"/>
      <c r="D929" s="333"/>
      <c r="E929" s="334"/>
      <c r="F929" s="229"/>
      <c r="G929" s="333"/>
      <c r="H929" s="335"/>
      <c r="I929" s="229"/>
      <c r="J929" s="229"/>
      <c r="K929" s="336"/>
      <c r="L929" s="337"/>
      <c r="M929" s="337"/>
      <c r="N929" s="337"/>
      <c r="O929" s="337"/>
      <c r="P929" s="337"/>
      <c r="Q929" s="338">
        <v>1622</v>
      </c>
      <c r="R929" s="271">
        <f t="shared" si="67"/>
        <v>0</v>
      </c>
      <c r="S929" s="339">
        <f t="shared" si="66"/>
        <v>0</v>
      </c>
      <c r="T929" s="340"/>
      <c r="U929" s="341">
        <f>FA!M$85</f>
        <v>0</v>
      </c>
      <c r="V929" s="274"/>
      <c r="W929" s="342"/>
      <c r="X929" s="343"/>
      <c r="Y929" s="349" t="s">
        <v>559</v>
      </c>
      <c r="Z929" s="344"/>
      <c r="AA929" s="240"/>
      <c r="AB929" s="345">
        <v>1</v>
      </c>
      <c r="AC929" s="271"/>
      <c r="AD929" s="272"/>
      <c r="AE929" s="273"/>
      <c r="AF929" s="273"/>
      <c r="AG929" s="274"/>
      <c r="AH929" s="275"/>
      <c r="AI929" s="272"/>
      <c r="AJ929" s="276"/>
      <c r="AK929" s="277"/>
      <c r="AL929" s="278"/>
      <c r="AM929" s="277"/>
      <c r="AN929" s="279" t="str">
        <f t="shared" si="70"/>
        <v/>
      </c>
      <c r="AO929" s="279"/>
      <c r="AP929" s="279" t="str">
        <f t="shared" si="71"/>
        <v/>
      </c>
      <c r="AQ929" s="279"/>
      <c r="AR929" s="305">
        <f>'预算书-初步'!$F$10</f>
        <v>0.09</v>
      </c>
      <c r="AT929" s="272"/>
      <c r="BC929" s="272" t="s">
        <v>521</v>
      </c>
      <c r="BD929" s="348">
        <v>1074</v>
      </c>
      <c r="BE929" s="347" t="s">
        <v>704</v>
      </c>
    </row>
    <row r="930" s="52" customFormat="1" ht="15.75" customHeight="1" spans="1:57">
      <c r="A930" s="227"/>
      <c r="B930" s="332"/>
      <c r="C930" s="228"/>
      <c r="D930" s="333"/>
      <c r="E930" s="334"/>
      <c r="F930" s="229"/>
      <c r="G930" s="333"/>
      <c r="H930" s="335"/>
      <c r="I930" s="229"/>
      <c r="J930" s="229"/>
      <c r="K930" s="336"/>
      <c r="L930" s="337"/>
      <c r="M930" s="337"/>
      <c r="N930" s="337"/>
      <c r="O930" s="337"/>
      <c r="P930" s="337"/>
      <c r="Q930" s="338">
        <v>1623</v>
      </c>
      <c r="R930" s="271">
        <f t="shared" si="67"/>
        <v>0</v>
      </c>
      <c r="S930" s="339">
        <f t="shared" si="66"/>
        <v>0</v>
      </c>
      <c r="T930" s="340"/>
      <c r="U930" s="341">
        <f>FA!M$86</f>
        <v>0</v>
      </c>
      <c r="V930" s="274"/>
      <c r="W930" s="342"/>
      <c r="X930" s="343"/>
      <c r="Y930" s="349" t="s">
        <v>560</v>
      </c>
      <c r="Z930" s="344"/>
      <c r="AA930" s="240"/>
      <c r="AB930" s="345">
        <v>1</v>
      </c>
      <c r="AC930" s="271"/>
      <c r="AD930" s="272"/>
      <c r="AE930" s="273"/>
      <c r="AF930" s="273"/>
      <c r="AG930" s="274"/>
      <c r="AH930" s="275"/>
      <c r="AI930" s="272"/>
      <c r="AJ930" s="276"/>
      <c r="AK930" s="277"/>
      <c r="AL930" s="278"/>
      <c r="AM930" s="277"/>
      <c r="AN930" s="279"/>
      <c r="AO930" s="279"/>
      <c r="AP930" s="279"/>
      <c r="AQ930" s="279"/>
      <c r="AR930" s="305">
        <f>'预算书-初步'!$F$10</f>
        <v>0.09</v>
      </c>
      <c r="AT930" s="272"/>
      <c r="BC930" s="272" t="s">
        <v>521</v>
      </c>
      <c r="BD930" s="348">
        <v>1075</v>
      </c>
      <c r="BE930" s="347" t="s">
        <v>704</v>
      </c>
    </row>
    <row r="931" s="52" customFormat="1" ht="15.75" customHeight="1" spans="1:57">
      <c r="A931" s="227"/>
      <c r="B931" s="332"/>
      <c r="C931" s="228"/>
      <c r="D931" s="333"/>
      <c r="E931" s="334"/>
      <c r="F931" s="229"/>
      <c r="G931" s="333"/>
      <c r="H931" s="335"/>
      <c r="I931" s="229"/>
      <c r="J931" s="229"/>
      <c r="K931" s="336"/>
      <c r="L931" s="337"/>
      <c r="M931" s="337"/>
      <c r="N931" s="337"/>
      <c r="O931" s="337"/>
      <c r="P931" s="337"/>
      <c r="Q931" s="338">
        <v>1630</v>
      </c>
      <c r="R931" s="271">
        <f t="shared" si="67"/>
        <v>0</v>
      </c>
      <c r="S931" s="339">
        <f t="shared" si="66"/>
        <v>0</v>
      </c>
      <c r="T931" s="340"/>
      <c r="U931" s="341">
        <f>FA!M$88</f>
        <v>0</v>
      </c>
      <c r="V931" s="274"/>
      <c r="W931" s="342"/>
      <c r="X931" s="343"/>
      <c r="Y931" s="6" t="s">
        <v>561</v>
      </c>
      <c r="Z931" s="344"/>
      <c r="AA931" s="240"/>
      <c r="AB931" s="345">
        <v>1</v>
      </c>
      <c r="AC931" s="271"/>
      <c r="AD931" s="272"/>
      <c r="AE931" s="273"/>
      <c r="AF931" s="273"/>
      <c r="AG931" s="274"/>
      <c r="AH931" s="275"/>
      <c r="AI931" s="272"/>
      <c r="AJ931" s="276"/>
      <c r="AK931" s="277"/>
      <c r="AL931" s="278"/>
      <c r="AM931" s="277"/>
      <c r="AN931" s="279" t="str">
        <f t="shared" si="70"/>
        <v/>
      </c>
      <c r="AO931" s="279"/>
      <c r="AP931" s="279" t="str">
        <f>IF(F931&lt;&gt;0,"Y","")</f>
        <v/>
      </c>
      <c r="AQ931" s="279"/>
      <c r="AR931" s="305">
        <f>'预算书-初步'!$F$10</f>
        <v>0.09</v>
      </c>
      <c r="AT931" s="272"/>
      <c r="BC931" s="272" t="s">
        <v>521</v>
      </c>
      <c r="BD931" s="348">
        <v>1077</v>
      </c>
      <c r="BE931" s="347" t="s">
        <v>704</v>
      </c>
    </row>
    <row r="932" s="52" customFormat="1" ht="15.75" customHeight="1" spans="1:57">
      <c r="A932" s="227"/>
      <c r="B932" s="332"/>
      <c r="C932" s="228"/>
      <c r="D932" s="333"/>
      <c r="E932" s="334"/>
      <c r="F932" s="229"/>
      <c r="G932" s="333"/>
      <c r="H932" s="335"/>
      <c r="I932" s="229"/>
      <c r="J932" s="229"/>
      <c r="K932" s="336"/>
      <c r="L932" s="337"/>
      <c r="M932" s="337"/>
      <c r="N932" s="337"/>
      <c r="O932" s="337"/>
      <c r="P932" s="337"/>
      <c r="Q932" s="338">
        <v>3791</v>
      </c>
      <c r="R932" s="271">
        <f t="shared" si="67"/>
        <v>0</v>
      </c>
      <c r="S932" s="339">
        <f t="shared" si="66"/>
        <v>0</v>
      </c>
      <c r="T932" s="340"/>
      <c r="U932" s="341">
        <f>FA!M$95</f>
        <v>0</v>
      </c>
      <c r="V932" s="274"/>
      <c r="W932" s="342"/>
      <c r="X932" s="343"/>
      <c r="Y932" s="6" t="s">
        <v>562</v>
      </c>
      <c r="Z932" s="344"/>
      <c r="AA932" s="240"/>
      <c r="AB932" s="345">
        <v>1</v>
      </c>
      <c r="AC932" s="271"/>
      <c r="AD932" s="272"/>
      <c r="AE932" s="273"/>
      <c r="AF932" s="273"/>
      <c r="AG932" s="274"/>
      <c r="AH932" s="275"/>
      <c r="AI932" s="272"/>
      <c r="AJ932" s="276"/>
      <c r="AK932" s="277"/>
      <c r="AL932" s="278"/>
      <c r="AM932" s="277"/>
      <c r="AN932" s="279" t="str">
        <f t="shared" si="70"/>
        <v/>
      </c>
      <c r="AO932" s="279"/>
      <c r="AP932" s="279" t="str">
        <f>IF(F932&lt;&gt;0,"Y","")</f>
        <v/>
      </c>
      <c r="AQ932" s="279"/>
      <c r="AR932" s="305">
        <f>'预算书-初步'!$F$10</f>
        <v>0.09</v>
      </c>
      <c r="AT932" s="272"/>
      <c r="BC932" s="272" t="s">
        <v>521</v>
      </c>
      <c r="BD932" s="348">
        <v>1084</v>
      </c>
      <c r="BE932" s="347" t="s">
        <v>704</v>
      </c>
    </row>
    <row r="933" s="52" customFormat="1" ht="15.75" customHeight="1" spans="1:57">
      <c r="A933" s="227"/>
      <c r="B933" s="332"/>
      <c r="C933" s="228"/>
      <c r="D933" s="333"/>
      <c r="E933" s="334"/>
      <c r="F933" s="229"/>
      <c r="G933" s="333"/>
      <c r="H933" s="335"/>
      <c r="I933" s="229"/>
      <c r="J933" s="229"/>
      <c r="K933" s="336"/>
      <c r="L933" s="337"/>
      <c r="M933" s="337"/>
      <c r="N933" s="337"/>
      <c r="O933" s="337"/>
      <c r="P933" s="337"/>
      <c r="Q933" s="338">
        <v>8410</v>
      </c>
      <c r="R933" s="271">
        <f t="shared" si="67"/>
        <v>0</v>
      </c>
      <c r="S933" s="339">
        <f t="shared" si="66"/>
        <v>0</v>
      </c>
      <c r="T933" s="340"/>
      <c r="U933" s="341">
        <f>FA!M$140</f>
        <v>0</v>
      </c>
      <c r="V933" s="274"/>
      <c r="W933" s="342"/>
      <c r="X933" s="343"/>
      <c r="Y933" s="349" t="s">
        <v>563</v>
      </c>
      <c r="Z933" s="344"/>
      <c r="AA933" s="240"/>
      <c r="AB933" s="351">
        <f>SUMIFS(其他!P:P,其他!A:A,Q933,其他!B:B,资产分摊表!BD933)+SUMIFS('预算书-初步'!K13:K1530,'预算书-初步'!A13:A1530,"大甜131")</f>
        <v>0</v>
      </c>
      <c r="AC933" s="271"/>
      <c r="AD933" s="272"/>
      <c r="AE933" s="273"/>
      <c r="AF933" s="273"/>
      <c r="AG933" s="274"/>
      <c r="AH933" s="275"/>
      <c r="AI933" s="272"/>
      <c r="AJ933" s="276"/>
      <c r="AK933" s="277"/>
      <c r="AL933" s="278"/>
      <c r="AM933" s="277"/>
      <c r="AN933" s="279" t="str">
        <f t="shared" si="70"/>
        <v/>
      </c>
      <c r="AO933" s="279"/>
      <c r="AP933" s="279" t="str">
        <f>IF(F933&lt;&gt;0,"Y","")</f>
        <v/>
      </c>
      <c r="AQ933" s="279"/>
      <c r="AR933" s="305">
        <f>'预算书-初步'!$F$10</f>
        <v>0.09</v>
      </c>
      <c r="AT933" s="272"/>
      <c r="BC933" s="272" t="s">
        <v>521</v>
      </c>
      <c r="BD933" s="348">
        <v>1129</v>
      </c>
      <c r="BE933" s="347" t="s">
        <v>704</v>
      </c>
    </row>
    <row r="934" s="52" customFormat="1" spans="1:57">
      <c r="A934" s="227"/>
      <c r="B934" s="332"/>
      <c r="C934" s="228"/>
      <c r="D934" s="333"/>
      <c r="E934" s="334"/>
      <c r="F934" s="229"/>
      <c r="G934" s="333"/>
      <c r="H934" s="335"/>
      <c r="I934" s="229"/>
      <c r="J934" s="229"/>
      <c r="K934" s="336"/>
      <c r="L934" s="337"/>
      <c r="M934" s="337"/>
      <c r="N934" s="337"/>
      <c r="O934" s="337"/>
      <c r="P934" s="337"/>
      <c r="Q934" s="352">
        <v>8421</v>
      </c>
      <c r="R934" s="271">
        <f t="shared" si="67"/>
        <v>0</v>
      </c>
      <c r="S934" s="339">
        <f t="shared" si="66"/>
        <v>0</v>
      </c>
      <c r="T934" s="354"/>
      <c r="U934" s="355">
        <f>SUMIF(其他!$A$9:$A$65,Q934,其他!$O$9:$O$66)</f>
        <v>0</v>
      </c>
      <c r="V934" s="274"/>
      <c r="W934" s="356"/>
      <c r="X934" s="357"/>
      <c r="Y934" s="6" t="s">
        <v>564</v>
      </c>
      <c r="Z934" s="344"/>
      <c r="AA934" s="240"/>
      <c r="AB934" s="351">
        <f>SUMIFS(其他!P:P,其他!A:A,Q934,其他!B:B,资产分摊表!BD934)+SUMIFS('预算书-初步'!K13:K1530,'预算书-初步'!A13:A1530,"大甜132",'预算书-初步'!D13:D1530,8421)</f>
        <v>0</v>
      </c>
      <c r="AC934" s="271"/>
      <c r="AD934" s="272"/>
      <c r="AE934" s="273"/>
      <c r="AF934" s="273"/>
      <c r="AG934" s="274"/>
      <c r="AH934" s="275"/>
      <c r="AI934" s="272"/>
      <c r="AJ934" s="276"/>
      <c r="AK934" s="277"/>
      <c r="AL934" s="278"/>
      <c r="AM934" s="277"/>
      <c r="AN934" s="279"/>
      <c r="AO934" s="279"/>
      <c r="AP934" s="279"/>
      <c r="AQ934" s="279"/>
      <c r="AR934" s="305">
        <f>'预算书-初步'!$F$10</f>
        <v>0.09</v>
      </c>
      <c r="AT934" s="272"/>
      <c r="BC934" s="272" t="s">
        <v>521</v>
      </c>
      <c r="BD934" s="359">
        <v>1130</v>
      </c>
      <c r="BE934" s="347" t="s">
        <v>704</v>
      </c>
    </row>
    <row r="935" s="52" customFormat="1" spans="1:57">
      <c r="A935" s="227"/>
      <c r="B935" s="332"/>
      <c r="C935" s="228"/>
      <c r="D935" s="333"/>
      <c r="E935" s="334"/>
      <c r="F935" s="229"/>
      <c r="G935" s="333"/>
      <c r="H935" s="335"/>
      <c r="I935" s="229"/>
      <c r="J935" s="229"/>
      <c r="K935" s="336"/>
      <c r="L935" s="337"/>
      <c r="M935" s="337"/>
      <c r="N935" s="337"/>
      <c r="O935" s="337"/>
      <c r="P935" s="337"/>
      <c r="Q935" s="352">
        <v>8422</v>
      </c>
      <c r="R935" s="271">
        <f t="shared" si="67"/>
        <v>0</v>
      </c>
      <c r="S935" s="339">
        <f t="shared" si="66"/>
        <v>0</v>
      </c>
      <c r="T935" s="354"/>
      <c r="U935" s="360">
        <f>+SUMIFS('预算书-初步'!P14:P71,'预算书-初步'!A14:A71,"大甜132",'预算书-初步'!C14:C71,8422)+SUMIF(其他!$A$9:$A$65,Q935,其他!$O$9:$O$66)</f>
        <v>0</v>
      </c>
      <c r="V935" s="274"/>
      <c r="W935" s="356"/>
      <c r="X935" s="357"/>
      <c r="Y935" s="349" t="s">
        <v>565</v>
      </c>
      <c r="Z935" s="344"/>
      <c r="AA935" s="240"/>
      <c r="AB935" s="351">
        <f>SUMIFS(其他!P:P,其他!A:A,Q935,其他!B:B,资产分摊表!BD935)+SUMIFS('预算书-初步'!K13:K1530,'预算书-初步'!A13:A1530,"大甜132",'预算书-初步'!D13:D1530,8422)</f>
        <v>0</v>
      </c>
      <c r="AC935" s="271"/>
      <c r="AD935" s="272"/>
      <c r="AE935" s="273"/>
      <c r="AF935" s="273"/>
      <c r="AG935" s="274"/>
      <c r="AH935" s="275"/>
      <c r="AI935" s="272"/>
      <c r="AJ935" s="276"/>
      <c r="AK935" s="277"/>
      <c r="AL935" s="278"/>
      <c r="AM935" s="277"/>
      <c r="AN935" s="279"/>
      <c r="AO935" s="279"/>
      <c r="AP935" s="279"/>
      <c r="AQ935" s="279"/>
      <c r="AR935" s="305">
        <f>'预算书-初步'!$F$10</f>
        <v>0.09</v>
      </c>
      <c r="AT935" s="272"/>
      <c r="BC935" s="272" t="s">
        <v>521</v>
      </c>
      <c r="BD935" s="359">
        <v>1130</v>
      </c>
      <c r="BE935" s="347" t="s">
        <v>704</v>
      </c>
    </row>
    <row r="936" s="52" customFormat="1" spans="1:57">
      <c r="A936" s="227"/>
      <c r="B936" s="332"/>
      <c r="C936" s="228"/>
      <c r="D936" s="333"/>
      <c r="E936" s="334"/>
      <c r="F936" s="229"/>
      <c r="G936" s="333"/>
      <c r="H936" s="335"/>
      <c r="I936" s="229"/>
      <c r="J936" s="229"/>
      <c r="K936" s="336"/>
      <c r="L936" s="337"/>
      <c r="M936" s="337"/>
      <c r="N936" s="337"/>
      <c r="O936" s="337"/>
      <c r="P936" s="337"/>
      <c r="Q936" s="352">
        <v>8423</v>
      </c>
      <c r="R936" s="271">
        <f t="shared" si="67"/>
        <v>0</v>
      </c>
      <c r="S936" s="339">
        <f t="shared" si="66"/>
        <v>0</v>
      </c>
      <c r="T936" s="354"/>
      <c r="U936" s="360">
        <f>+SUMIFS('预算书-初步'!P14:P71,'预算书-初步'!A14:A71,"大甜132",'预算书-初步'!C14:C71,8423)+SUMIF(其他!$A$9:$A$65,Q936,其他!$O$9:$O$66)</f>
        <v>0</v>
      </c>
      <c r="V936" s="274"/>
      <c r="W936" s="356"/>
      <c r="X936" s="357"/>
      <c r="Y936" s="6" t="s">
        <v>566</v>
      </c>
      <c r="Z936" s="344"/>
      <c r="AA936" s="240"/>
      <c r="AB936" s="351">
        <f>SUMIFS(其他!P:P,其他!A:A,Q936,其他!B:B,资产分摊表!BD936)+SUMIFS('预算书-初步'!K13:K1530,'预算书-初步'!A13:A1530,"大甜132",'预算书-初步'!D13:D1530,8423)</f>
        <v>0</v>
      </c>
      <c r="AC936" s="271"/>
      <c r="AD936" s="272"/>
      <c r="AE936" s="273"/>
      <c r="AF936" s="273"/>
      <c r="AG936" s="274"/>
      <c r="AH936" s="275"/>
      <c r="AI936" s="272"/>
      <c r="AJ936" s="276"/>
      <c r="AK936" s="277"/>
      <c r="AL936" s="278"/>
      <c r="AM936" s="277"/>
      <c r="AN936" s="279"/>
      <c r="AO936" s="279"/>
      <c r="AP936" s="279"/>
      <c r="AQ936" s="279"/>
      <c r="AR936" s="305">
        <f>'预算书-初步'!$F$10</f>
        <v>0.09</v>
      </c>
      <c r="AT936" s="272"/>
      <c r="BC936" s="272" t="s">
        <v>521</v>
      </c>
      <c r="BD936" s="359">
        <v>1130</v>
      </c>
      <c r="BE936" s="347" t="s">
        <v>704</v>
      </c>
    </row>
    <row r="937" s="52" customFormat="1" ht="15.75" customHeight="1" spans="1:57">
      <c r="A937" s="227"/>
      <c r="B937" s="332"/>
      <c r="C937" s="228"/>
      <c r="D937" s="333"/>
      <c r="E937" s="334"/>
      <c r="F937" s="229"/>
      <c r="G937" s="333"/>
      <c r="H937" s="335"/>
      <c r="I937" s="229"/>
      <c r="J937" s="229"/>
      <c r="K937" s="336"/>
      <c r="L937" s="337"/>
      <c r="M937" s="337"/>
      <c r="N937" s="337"/>
      <c r="O937" s="337"/>
      <c r="P937" s="337"/>
      <c r="Q937" s="338">
        <v>8424</v>
      </c>
      <c r="R937" s="271">
        <f t="shared" si="67"/>
        <v>0</v>
      </c>
      <c r="S937" s="339">
        <f t="shared" si="66"/>
        <v>0</v>
      </c>
      <c r="T937" s="340"/>
      <c r="U937" s="341">
        <f>FA!M$142</f>
        <v>0</v>
      </c>
      <c r="V937" s="274"/>
      <c r="W937" s="342"/>
      <c r="X937" s="343"/>
      <c r="Y937" s="6" t="s">
        <v>567</v>
      </c>
      <c r="Z937" s="344"/>
      <c r="AA937" s="240"/>
      <c r="AB937" s="361">
        <v>1</v>
      </c>
      <c r="AC937" s="271"/>
      <c r="AD937" s="272"/>
      <c r="AE937" s="273"/>
      <c r="AF937" s="273"/>
      <c r="AG937" s="274"/>
      <c r="AH937" s="275"/>
      <c r="AI937" s="272"/>
      <c r="AJ937" s="276"/>
      <c r="AK937" s="277"/>
      <c r="AL937" s="278"/>
      <c r="AM937" s="277"/>
      <c r="AN937" s="279" t="str">
        <f t="shared" ref="AN937:AN955" si="72">IF(AK937&lt;&gt;0,"N","")</f>
        <v/>
      </c>
      <c r="AO937" s="279"/>
      <c r="AP937" s="279" t="str">
        <f t="shared" ref="AP937:AP981" si="73">IF(F937&lt;&gt;0,"Y","")</f>
        <v/>
      </c>
      <c r="AQ937" s="279"/>
      <c r="AR937" s="305">
        <f>'预算书-初步'!$F$10</f>
        <v>0.09</v>
      </c>
      <c r="AT937" s="272"/>
      <c r="BC937" s="272" t="s">
        <v>521</v>
      </c>
      <c r="BD937" s="348">
        <v>1131</v>
      </c>
      <c r="BE937" s="347" t="s">
        <v>704</v>
      </c>
    </row>
    <row r="938" s="52" customFormat="1" ht="15.75" customHeight="1" spans="1:57">
      <c r="A938" s="227"/>
      <c r="B938" s="332"/>
      <c r="C938" s="228"/>
      <c r="D938" s="333"/>
      <c r="E938" s="334"/>
      <c r="F938" s="229"/>
      <c r="G938" s="333"/>
      <c r="H938" s="335"/>
      <c r="I938" s="229"/>
      <c r="J938" s="229"/>
      <c r="K938" s="336"/>
      <c r="L938" s="337"/>
      <c r="M938" s="337"/>
      <c r="N938" s="337"/>
      <c r="O938" s="337"/>
      <c r="P938" s="337"/>
      <c r="Q938" s="338">
        <v>8426</v>
      </c>
      <c r="R938" s="271">
        <f t="shared" si="67"/>
        <v>0</v>
      </c>
      <c r="S938" s="339">
        <f t="shared" si="66"/>
        <v>0</v>
      </c>
      <c r="T938" s="340"/>
      <c r="U938" s="341">
        <f>FA!M$143</f>
        <v>0</v>
      </c>
      <c r="V938" s="274"/>
      <c r="W938" s="342"/>
      <c r="X938" s="343"/>
      <c r="Y938" s="6" t="s">
        <v>568</v>
      </c>
      <c r="Z938" s="344"/>
      <c r="AA938" s="240"/>
      <c r="AB938" s="351">
        <f>SUMIFS(其他!P:P,其他!A:A,Q938,其他!B:B,资产分摊表!BD938)+SUMIFS('预算书-初步'!K13:K1530,'预算书-初步'!A13:A1530,"大甜134",'预算书-初步'!D13:D1530,8426)</f>
        <v>0</v>
      </c>
      <c r="AC938" s="271"/>
      <c r="AD938" s="272"/>
      <c r="AE938" s="273"/>
      <c r="AF938" s="273"/>
      <c r="AG938" s="274"/>
      <c r="AH938" s="275"/>
      <c r="AI938" s="272"/>
      <c r="AJ938" s="276"/>
      <c r="AK938" s="277"/>
      <c r="AL938" s="278"/>
      <c r="AM938" s="277"/>
      <c r="AN938" s="279" t="str">
        <f t="shared" si="72"/>
        <v/>
      </c>
      <c r="AO938" s="279"/>
      <c r="AP938" s="279" t="str">
        <f t="shared" si="73"/>
        <v/>
      </c>
      <c r="AQ938" s="279"/>
      <c r="AR938" s="305">
        <f>'预算书-初步'!$F$10</f>
        <v>0.09</v>
      </c>
      <c r="AT938" s="272"/>
      <c r="BC938" s="272" t="s">
        <v>521</v>
      </c>
      <c r="BD938" s="348">
        <v>1132</v>
      </c>
      <c r="BE938" s="347" t="s">
        <v>704</v>
      </c>
    </row>
    <row r="939" s="52" customFormat="1" ht="15.75" customHeight="1" spans="1:57">
      <c r="A939" s="227"/>
      <c r="B939" s="332"/>
      <c r="C939" s="228"/>
      <c r="D939" s="333"/>
      <c r="E939" s="334"/>
      <c r="F939" s="229"/>
      <c r="G939" s="333"/>
      <c r="H939" s="335"/>
      <c r="I939" s="229"/>
      <c r="J939" s="229"/>
      <c r="K939" s="336"/>
      <c r="L939" s="337"/>
      <c r="M939" s="337"/>
      <c r="N939" s="337"/>
      <c r="O939" s="337"/>
      <c r="P939" s="337"/>
      <c r="Q939" s="338">
        <v>8451</v>
      </c>
      <c r="R939" s="271">
        <f t="shared" si="67"/>
        <v>0</v>
      </c>
      <c r="S939" s="339">
        <v>0</v>
      </c>
      <c r="T939" s="340"/>
      <c r="U939" s="360">
        <f>SUMIF(其他!$A$9:$A$65,$Q939,其他!$O$9:$O$65)+SUMIFS('预算书-初步'!P14:P71,'预算书-初步'!A14:A71,"大甜138",'预算书-初步'!C14:C71,8451)</f>
        <v>0</v>
      </c>
      <c r="V939" s="274"/>
      <c r="W939" s="342"/>
      <c r="X939" s="343"/>
      <c r="Y939" s="20" t="s">
        <v>570</v>
      </c>
      <c r="Z939" s="344"/>
      <c r="AA939" s="240"/>
      <c r="AB939" s="345">
        <v>1</v>
      </c>
      <c r="AC939" s="271"/>
      <c r="AD939" s="272"/>
      <c r="AE939" s="273"/>
      <c r="AF939" s="273"/>
      <c r="AG939" s="274"/>
      <c r="AH939" s="275"/>
      <c r="AI939" s="272"/>
      <c r="AJ939" s="276"/>
      <c r="AK939" s="277"/>
      <c r="AL939" s="278"/>
      <c r="AM939" s="277"/>
      <c r="AN939" s="279"/>
      <c r="AO939" s="279"/>
      <c r="AP939" s="279"/>
      <c r="AQ939" s="279"/>
      <c r="AR939" s="305">
        <f>'预算书-初步'!$F$10</f>
        <v>0.09</v>
      </c>
      <c r="AT939" s="272"/>
      <c r="BC939" s="272" t="s">
        <v>521</v>
      </c>
      <c r="BD939" s="348">
        <v>1136</v>
      </c>
      <c r="BE939" s="347" t="s">
        <v>704</v>
      </c>
    </row>
    <row r="940" s="52" customFormat="1" ht="15.75" customHeight="1" spans="1:57">
      <c r="A940" s="227"/>
      <c r="B940" s="332"/>
      <c r="C940" s="228"/>
      <c r="D940" s="333"/>
      <c r="E940" s="334"/>
      <c r="F940" s="229"/>
      <c r="G940" s="333"/>
      <c r="H940" s="335"/>
      <c r="I940" s="229"/>
      <c r="J940" s="229"/>
      <c r="K940" s="336"/>
      <c r="L940" s="337"/>
      <c r="M940" s="337"/>
      <c r="N940" s="337"/>
      <c r="O940" s="337"/>
      <c r="P940" s="337"/>
      <c r="Q940" s="338">
        <v>8452</v>
      </c>
      <c r="R940" s="271">
        <f t="shared" si="67"/>
        <v>0</v>
      </c>
      <c r="S940" s="339">
        <v>0</v>
      </c>
      <c r="T940" s="340"/>
      <c r="U940" s="364">
        <f>SUMIF(其他!$A$9:$A$65,$Q940,其他!$O$9:$O$65)</f>
        <v>0</v>
      </c>
      <c r="V940" s="274"/>
      <c r="W940" s="342"/>
      <c r="X940" s="343"/>
      <c r="Y940" s="20" t="s">
        <v>570</v>
      </c>
      <c r="Z940" s="344"/>
      <c r="AA940" s="240"/>
      <c r="AB940" s="345">
        <v>1</v>
      </c>
      <c r="AC940" s="271"/>
      <c r="AD940" s="272"/>
      <c r="AE940" s="273"/>
      <c r="AF940" s="273"/>
      <c r="AG940" s="274"/>
      <c r="AH940" s="275"/>
      <c r="AI940" s="272"/>
      <c r="AJ940" s="276"/>
      <c r="AK940" s="277"/>
      <c r="AL940" s="278"/>
      <c r="AM940" s="277"/>
      <c r="AN940" s="279"/>
      <c r="AO940" s="279"/>
      <c r="AP940" s="279"/>
      <c r="AQ940" s="279"/>
      <c r="AR940" s="305">
        <f>'预算书-初步'!$F$10</f>
        <v>0.09</v>
      </c>
      <c r="AT940" s="272"/>
      <c r="BC940" s="272" t="s">
        <v>521</v>
      </c>
      <c r="BD940" s="348">
        <v>1136</v>
      </c>
      <c r="BE940" s="347" t="s">
        <v>704</v>
      </c>
    </row>
    <row r="941" s="52" customFormat="1" ht="15.75" customHeight="1" spans="1:57">
      <c r="A941" s="227"/>
      <c r="B941" s="332"/>
      <c r="C941" s="228"/>
      <c r="D941" s="333"/>
      <c r="E941" s="334"/>
      <c r="F941" s="229"/>
      <c r="G941" s="333"/>
      <c r="H941" s="335"/>
      <c r="I941" s="229"/>
      <c r="J941" s="229"/>
      <c r="K941" s="336"/>
      <c r="L941" s="337"/>
      <c r="M941" s="337"/>
      <c r="N941" s="337"/>
      <c r="O941" s="337"/>
      <c r="P941" s="337"/>
      <c r="Q941" s="338">
        <v>8453</v>
      </c>
      <c r="R941" s="271">
        <f t="shared" si="67"/>
        <v>0</v>
      </c>
      <c r="S941" s="339">
        <v>0</v>
      </c>
      <c r="T941" s="340"/>
      <c r="U941" s="364">
        <f>SUMIF(其他!$A$9:$A$65,$Q941,其他!$O$9:$O$65)</f>
        <v>0</v>
      </c>
      <c r="V941" s="274"/>
      <c r="W941" s="342"/>
      <c r="X941" s="343"/>
      <c r="Y941" s="365" t="s">
        <v>571</v>
      </c>
      <c r="Z941" s="344"/>
      <c r="AA941" s="240"/>
      <c r="AB941" s="345">
        <v>1</v>
      </c>
      <c r="AC941" s="271"/>
      <c r="AD941" s="272"/>
      <c r="AE941" s="273"/>
      <c r="AF941" s="273"/>
      <c r="AG941" s="274"/>
      <c r="AH941" s="275"/>
      <c r="AI941" s="272"/>
      <c r="AJ941" s="276"/>
      <c r="AK941" s="277"/>
      <c r="AL941" s="278"/>
      <c r="AM941" s="277"/>
      <c r="AN941" s="279"/>
      <c r="AO941" s="279"/>
      <c r="AP941" s="279"/>
      <c r="AQ941" s="279"/>
      <c r="AR941" s="305">
        <f>'预算书-初步'!$F$10</f>
        <v>0.09</v>
      </c>
      <c r="AT941" s="272"/>
      <c r="BC941" s="272" t="s">
        <v>521</v>
      </c>
      <c r="BD941" s="348">
        <v>1136</v>
      </c>
      <c r="BE941" s="347" t="s">
        <v>704</v>
      </c>
    </row>
    <row r="942" s="52" customFormat="1" ht="15.75" customHeight="1" spans="1:57">
      <c r="A942" s="227"/>
      <c r="B942" s="332"/>
      <c r="C942" s="228"/>
      <c r="D942" s="333"/>
      <c r="E942" s="334"/>
      <c r="F942" s="229"/>
      <c r="G942" s="333"/>
      <c r="H942" s="335"/>
      <c r="I942" s="229"/>
      <c r="J942" s="229"/>
      <c r="K942" s="336"/>
      <c r="L942" s="337"/>
      <c r="M942" s="337"/>
      <c r="N942" s="337"/>
      <c r="O942" s="337"/>
      <c r="P942" s="337"/>
      <c r="Q942" s="338">
        <v>8455</v>
      </c>
      <c r="R942" s="271">
        <f t="shared" si="67"/>
        <v>0</v>
      </c>
      <c r="S942" s="339">
        <v>0</v>
      </c>
      <c r="T942" s="340"/>
      <c r="U942" s="364">
        <f>SUMIF(其他!$A$9:$A$65,$Q942,其他!$O$9:$O$65)</f>
        <v>0</v>
      </c>
      <c r="V942" s="274"/>
      <c r="W942" s="342"/>
      <c r="X942" s="343"/>
      <c r="Y942" s="20" t="s">
        <v>572</v>
      </c>
      <c r="Z942" s="344"/>
      <c r="AA942" s="240"/>
      <c r="AB942" s="345">
        <v>1</v>
      </c>
      <c r="AC942" s="271"/>
      <c r="AD942" s="272"/>
      <c r="AE942" s="273"/>
      <c r="AF942" s="273"/>
      <c r="AG942" s="274"/>
      <c r="AH942" s="275"/>
      <c r="AI942" s="272"/>
      <c r="AJ942" s="276"/>
      <c r="AK942" s="277"/>
      <c r="AL942" s="278"/>
      <c r="AM942" s="277"/>
      <c r="AN942" s="279"/>
      <c r="AO942" s="279"/>
      <c r="AP942" s="279"/>
      <c r="AQ942" s="279"/>
      <c r="AR942" s="305">
        <f>'预算书-初步'!$F$10</f>
        <v>0.09</v>
      </c>
      <c r="AT942" s="272"/>
      <c r="BC942" s="272" t="s">
        <v>521</v>
      </c>
      <c r="BD942" s="348">
        <v>1136</v>
      </c>
      <c r="BE942" s="347" t="s">
        <v>704</v>
      </c>
    </row>
    <row r="943" s="52" customFormat="1" ht="15.75" customHeight="1" spans="1:57">
      <c r="A943" s="227"/>
      <c r="B943" s="332"/>
      <c r="C943" s="228"/>
      <c r="D943" s="333"/>
      <c r="E943" s="334"/>
      <c r="F943" s="229"/>
      <c r="G943" s="333"/>
      <c r="H943" s="335"/>
      <c r="I943" s="229"/>
      <c r="J943" s="229"/>
      <c r="K943" s="336"/>
      <c r="L943" s="337"/>
      <c r="M943" s="337"/>
      <c r="N943" s="337"/>
      <c r="O943" s="337"/>
      <c r="P943" s="337"/>
      <c r="Q943" s="366" t="s">
        <v>573</v>
      </c>
      <c r="R943" s="271">
        <f t="shared" si="67"/>
        <v>0</v>
      </c>
      <c r="S943" s="339">
        <f t="shared" si="66"/>
        <v>0</v>
      </c>
      <c r="T943" s="368"/>
      <c r="U943" s="360">
        <f>+SUMIFS('预算书-初步'!P14:P2600,'预算书-初步'!A14:A2600,"大甜138",'预算书-初步'!C14:C2600,8454)+SUMIF(其他!$A$9:$A$65,$Q943,其他!$O$9:$O$65)</f>
        <v>0</v>
      </c>
      <c r="V943" s="274"/>
      <c r="W943" s="356"/>
      <c r="X943" s="357"/>
      <c r="Y943" s="6" t="s">
        <v>574</v>
      </c>
      <c r="Z943" s="344"/>
      <c r="AA943" s="240"/>
      <c r="AB943" s="351">
        <f>SUMIFS(其他!P:P,其他!A:A,Q943,其他!B:B,资产分摊表!BD943)+SUMIFS('预算书-初步'!K13:K1530,'预算书-初步'!A13:A1530,"大甜138",'预算书-初步'!D13:D1530,8454)</f>
        <v>0</v>
      </c>
      <c r="AC943" s="271"/>
      <c r="AD943" s="272"/>
      <c r="AE943" s="273"/>
      <c r="AF943" s="273"/>
      <c r="AG943" s="274"/>
      <c r="AH943" s="275"/>
      <c r="AI943" s="272"/>
      <c r="AJ943" s="276"/>
      <c r="AK943" s="277"/>
      <c r="AL943" s="278"/>
      <c r="AM943" s="277"/>
      <c r="AN943" s="279" t="str">
        <f>IF(AK943&lt;&gt;0,"N","")</f>
        <v/>
      </c>
      <c r="AO943" s="279"/>
      <c r="AP943" s="279" t="str">
        <f>IF(F943&lt;&gt;0,"Y","")</f>
        <v/>
      </c>
      <c r="AQ943" s="279"/>
      <c r="AR943" s="305">
        <f>'预算书-初步'!$F$10</f>
        <v>0.09</v>
      </c>
      <c r="AT943" s="272"/>
      <c r="BC943" s="272" t="s">
        <v>521</v>
      </c>
      <c r="BD943" s="359">
        <v>1136</v>
      </c>
      <c r="BE943" s="347" t="s">
        <v>704</v>
      </c>
    </row>
    <row r="944" s="52" customFormat="1" ht="15.75" customHeight="1" spans="1:57">
      <c r="A944" s="227"/>
      <c r="B944" s="332"/>
      <c r="C944" s="228"/>
      <c r="D944" s="333"/>
      <c r="E944" s="334"/>
      <c r="F944" s="229"/>
      <c r="G944" s="333"/>
      <c r="H944" s="335"/>
      <c r="I944" s="229"/>
      <c r="J944" s="229"/>
      <c r="K944" s="336"/>
      <c r="L944" s="337"/>
      <c r="M944" s="337"/>
      <c r="N944" s="337"/>
      <c r="O944" s="337"/>
      <c r="P944" s="337"/>
      <c r="Q944" s="366">
        <v>8456</v>
      </c>
      <c r="R944" s="271">
        <f t="shared" si="67"/>
        <v>0</v>
      </c>
      <c r="S944" s="339">
        <f t="shared" si="66"/>
        <v>0</v>
      </c>
      <c r="T944" s="368"/>
      <c r="U944" s="360">
        <f>+SUMIFS('预算书-初步'!P14:P2600,'预算书-初步'!A14:A2600,"大甜138",'预算书-初步'!C14:C2600,8456)+SUMIF(其他!$A$9:$A$65,$Q944,其他!$O$9:$O$65)</f>
        <v>0</v>
      </c>
      <c r="V944" s="274"/>
      <c r="W944" s="356"/>
      <c r="X944" s="357"/>
      <c r="Y944" s="6" t="s">
        <v>575</v>
      </c>
      <c r="Z944" s="344"/>
      <c r="AA944" s="240"/>
      <c r="AB944" s="351">
        <f>SUMIFS(其他!P:P,其他!A:A,Q944,其他!B:B,资产分摊表!BD944)+SUMIFS('预算书-初步'!K13:K1530,'预算书-初步'!A13:A1530,"大甜138",'预算书-初步'!D13:D1530,8456)</f>
        <v>0</v>
      </c>
      <c r="AC944" s="271"/>
      <c r="AD944" s="272"/>
      <c r="AE944" s="273"/>
      <c r="AF944" s="273"/>
      <c r="AG944" s="274"/>
      <c r="AH944" s="275"/>
      <c r="AI944" s="272"/>
      <c r="AJ944" s="276"/>
      <c r="AK944" s="277"/>
      <c r="AL944" s="278"/>
      <c r="AM944" s="277"/>
      <c r="AN944" s="279" t="str">
        <f t="shared" si="72"/>
        <v/>
      </c>
      <c r="AO944" s="279"/>
      <c r="AP944" s="279" t="str">
        <f t="shared" si="73"/>
        <v/>
      </c>
      <c r="AQ944" s="279"/>
      <c r="AR944" s="305">
        <f>'预算书-初步'!$F$10</f>
        <v>0.09</v>
      </c>
      <c r="AT944" s="272"/>
      <c r="BC944" s="272" t="s">
        <v>521</v>
      </c>
      <c r="BD944" s="359">
        <v>1136</v>
      </c>
      <c r="BE944" s="347" t="s">
        <v>704</v>
      </c>
    </row>
    <row r="945" s="52" customFormat="1" ht="15.75" customHeight="1" spans="1:57">
      <c r="A945" s="227"/>
      <c r="B945" s="332"/>
      <c r="C945" s="228"/>
      <c r="D945" s="333"/>
      <c r="E945" s="334"/>
      <c r="F945" s="229"/>
      <c r="G945" s="333"/>
      <c r="H945" s="335"/>
      <c r="I945" s="229"/>
      <c r="J945" s="229"/>
      <c r="K945" s="336"/>
      <c r="L945" s="337"/>
      <c r="M945" s="337"/>
      <c r="N945" s="337"/>
      <c r="O945" s="337"/>
      <c r="P945" s="337"/>
      <c r="Q945" s="338">
        <v>8425</v>
      </c>
      <c r="R945" s="271">
        <f t="shared" si="67"/>
        <v>0</v>
      </c>
      <c r="S945" s="339">
        <f t="shared" si="66"/>
        <v>0</v>
      </c>
      <c r="T945" s="340"/>
      <c r="U945" s="341">
        <f>FA!M$151</f>
        <v>0</v>
      </c>
      <c r="V945" s="274"/>
      <c r="W945" s="342"/>
      <c r="X945" s="343"/>
      <c r="Y945" s="365" t="s">
        <v>576</v>
      </c>
      <c r="Z945" s="344"/>
      <c r="AA945" s="240"/>
      <c r="AB945" s="351">
        <f>SUMIFS(其他!P:P,其他!A:A,Q945,其他!B:B,资产分摊表!BD945)+SUMIFS('预算书-初步'!K13:K1530,'预算书-初步'!A13:A1530,"大甜142",'预算书-初步'!D13:D1530,8425)</f>
        <v>0</v>
      </c>
      <c r="AC945" s="271"/>
      <c r="AD945" s="272"/>
      <c r="AE945" s="273"/>
      <c r="AF945" s="273"/>
      <c r="AG945" s="274"/>
      <c r="AH945" s="275"/>
      <c r="AI945" s="272"/>
      <c r="AJ945" s="276"/>
      <c r="AK945" s="277"/>
      <c r="AL945" s="278"/>
      <c r="AM945" s="277"/>
      <c r="AN945" s="279" t="str">
        <f t="shared" si="72"/>
        <v/>
      </c>
      <c r="AO945" s="279"/>
      <c r="AP945" s="279" t="str">
        <f t="shared" si="73"/>
        <v/>
      </c>
      <c r="AQ945" s="279"/>
      <c r="AR945" s="305">
        <f>'预算书-初步'!$F$10</f>
        <v>0.09</v>
      </c>
      <c r="AT945" s="272"/>
      <c r="BC945" s="272" t="s">
        <v>521</v>
      </c>
      <c r="BD945" s="348">
        <v>1140</v>
      </c>
      <c r="BE945" s="347" t="s">
        <v>704</v>
      </c>
    </row>
    <row r="946" s="52" customFormat="1" ht="15.75" customHeight="1" spans="1:57">
      <c r="A946" s="227"/>
      <c r="B946" s="332"/>
      <c r="C946" s="228"/>
      <c r="D946" s="333"/>
      <c r="E946" s="334"/>
      <c r="F946" s="229"/>
      <c r="G946" s="333"/>
      <c r="H946" s="335"/>
      <c r="I946" s="229"/>
      <c r="J946" s="229"/>
      <c r="K946" s="336"/>
      <c r="L946" s="337"/>
      <c r="M946" s="337"/>
      <c r="N946" s="337"/>
      <c r="O946" s="337"/>
      <c r="P946" s="337"/>
      <c r="Q946" s="338">
        <v>8491</v>
      </c>
      <c r="R946" s="271">
        <f t="shared" si="67"/>
        <v>0</v>
      </c>
      <c r="S946" s="339">
        <f t="shared" si="66"/>
        <v>0</v>
      </c>
      <c r="T946" s="340"/>
      <c r="U946" s="341">
        <f>FA!M$153</f>
        <v>0</v>
      </c>
      <c r="V946" s="274"/>
      <c r="W946" s="342"/>
      <c r="X946" s="343"/>
      <c r="Y946" s="6" t="s">
        <v>577</v>
      </c>
      <c r="Z946" s="344"/>
      <c r="AA946" s="240"/>
      <c r="AB946" s="361">
        <v>1</v>
      </c>
      <c r="AC946" s="271"/>
      <c r="AD946" s="272"/>
      <c r="AE946" s="273"/>
      <c r="AF946" s="273"/>
      <c r="AG946" s="274"/>
      <c r="AH946" s="275"/>
      <c r="AI946" s="272"/>
      <c r="AJ946" s="276"/>
      <c r="AK946" s="277"/>
      <c r="AL946" s="278"/>
      <c r="AM946" s="277"/>
      <c r="AN946" s="279" t="str">
        <f t="shared" si="72"/>
        <v/>
      </c>
      <c r="AO946" s="279"/>
      <c r="AP946" s="279" t="str">
        <f t="shared" si="73"/>
        <v/>
      </c>
      <c r="AQ946" s="279"/>
      <c r="AR946" s="305">
        <f>'预算书-初步'!$F$10</f>
        <v>0.09</v>
      </c>
      <c r="AT946" s="272"/>
      <c r="BC946" s="272" t="s">
        <v>521</v>
      </c>
      <c r="BD946" s="348">
        <v>1150</v>
      </c>
      <c r="BE946" s="347" t="s">
        <v>704</v>
      </c>
    </row>
    <row r="947" s="52" customFormat="1" ht="15.75" customHeight="1" spans="1:57">
      <c r="A947" s="227"/>
      <c r="B947" s="332"/>
      <c r="C947" s="228"/>
      <c r="D947" s="333"/>
      <c r="E947" s="334"/>
      <c r="F947" s="229"/>
      <c r="G947" s="333"/>
      <c r="H947" s="335"/>
      <c r="I947" s="229"/>
      <c r="J947" s="229"/>
      <c r="K947" s="336"/>
      <c r="L947" s="337"/>
      <c r="M947" s="337"/>
      <c r="N947" s="337"/>
      <c r="O947" s="337"/>
      <c r="P947" s="337"/>
      <c r="Q947" s="338">
        <v>8492</v>
      </c>
      <c r="R947" s="271">
        <f t="shared" si="67"/>
        <v>0</v>
      </c>
      <c r="S947" s="339">
        <f t="shared" si="66"/>
        <v>0</v>
      </c>
      <c r="T947" s="340"/>
      <c r="U947" s="341">
        <f>FA!M$154</f>
        <v>0</v>
      </c>
      <c r="V947" s="274"/>
      <c r="W947" s="342"/>
      <c r="X947" s="343"/>
      <c r="Y947" s="365" t="s">
        <v>578</v>
      </c>
      <c r="Z947" s="344"/>
      <c r="AA947" s="240"/>
      <c r="AB947" s="351">
        <f>SUMIFS(其他!P:P,其他!A:A,Q947,其他!B:B,资产分摊表!BD947)+SUMIFS('预算书-初步'!K13:K1530,'预算书-初步'!A13:A1530,"大甜145",'预算书-初步'!D13:D1530,8492)</f>
        <v>0</v>
      </c>
      <c r="AC947" s="271"/>
      <c r="AD947" s="272"/>
      <c r="AE947" s="273"/>
      <c r="AF947" s="273"/>
      <c r="AG947" s="274"/>
      <c r="AH947" s="275"/>
      <c r="AI947" s="272"/>
      <c r="AJ947" s="276"/>
      <c r="AK947" s="277"/>
      <c r="AL947" s="278"/>
      <c r="AM947" s="277"/>
      <c r="AN947" s="279" t="str">
        <f t="shared" si="72"/>
        <v/>
      </c>
      <c r="AO947" s="279"/>
      <c r="AP947" s="279" t="str">
        <f t="shared" si="73"/>
        <v/>
      </c>
      <c r="AQ947" s="279"/>
      <c r="AR947" s="305">
        <f>'预算书-初步'!$F$10</f>
        <v>0.09</v>
      </c>
      <c r="AT947" s="272"/>
      <c r="BC947" s="272" t="s">
        <v>521</v>
      </c>
      <c r="BD947" s="348">
        <v>1151</v>
      </c>
      <c r="BE947" s="347" t="s">
        <v>704</v>
      </c>
    </row>
    <row r="948" s="52" customFormat="1" ht="15.75" customHeight="1" spans="1:57">
      <c r="A948" s="227"/>
      <c r="B948" s="332"/>
      <c r="C948" s="228"/>
      <c r="D948" s="333"/>
      <c r="E948" s="334"/>
      <c r="F948" s="229"/>
      <c r="G948" s="333"/>
      <c r="H948" s="335"/>
      <c r="I948" s="229"/>
      <c r="J948" s="229"/>
      <c r="K948" s="336"/>
      <c r="L948" s="337"/>
      <c r="M948" s="337"/>
      <c r="N948" s="337"/>
      <c r="O948" s="337"/>
      <c r="P948" s="337"/>
      <c r="Q948" s="338">
        <v>8485</v>
      </c>
      <c r="R948" s="271">
        <f t="shared" si="67"/>
        <v>0</v>
      </c>
      <c r="S948" s="339">
        <f t="shared" si="66"/>
        <v>0</v>
      </c>
      <c r="T948" s="340"/>
      <c r="U948" s="341">
        <f>FA!M$157</f>
        <v>0</v>
      </c>
      <c r="V948" s="274"/>
      <c r="W948" s="342"/>
      <c r="X948" s="343"/>
      <c r="Y948" s="349" t="s">
        <v>579</v>
      </c>
      <c r="Z948" s="344"/>
      <c r="AA948" s="240"/>
      <c r="AB948" s="351">
        <f>SUMIFS(其他!P:P,其他!A:A,Q948,其他!B:B,资产分摊表!BD948)+SUMIFS('预算书-初步'!K13:K1530,'预算书-初步'!A13:A1530,"大甜148",'预算书-初步'!D13:D1530,8485)</f>
        <v>0</v>
      </c>
      <c r="AC948" s="271"/>
      <c r="AD948" s="272"/>
      <c r="AE948" s="273"/>
      <c r="AF948" s="273"/>
      <c r="AG948" s="274"/>
      <c r="AH948" s="275"/>
      <c r="AI948" s="272"/>
      <c r="AJ948" s="276"/>
      <c r="AK948" s="277"/>
      <c r="AL948" s="278"/>
      <c r="AM948" s="277"/>
      <c r="AN948" s="279" t="str">
        <f t="shared" si="72"/>
        <v/>
      </c>
      <c r="AO948" s="279"/>
      <c r="AP948" s="279" t="str">
        <f t="shared" si="73"/>
        <v/>
      </c>
      <c r="AQ948" s="279"/>
      <c r="AR948" s="305">
        <f>'预算书-初步'!$F$10</f>
        <v>0.09</v>
      </c>
      <c r="AT948" s="272"/>
      <c r="BC948" s="272" t="s">
        <v>521</v>
      </c>
      <c r="BD948" s="348">
        <v>1154</v>
      </c>
      <c r="BE948" s="347" t="s">
        <v>704</v>
      </c>
    </row>
    <row r="949" s="52" customFormat="1" ht="15.75" customHeight="1" spans="1:57">
      <c r="A949" s="227"/>
      <c r="B949" s="332"/>
      <c r="C949" s="228"/>
      <c r="D949" s="333"/>
      <c r="E949" s="334"/>
      <c r="F949" s="229"/>
      <c r="G949" s="333"/>
      <c r="H949" s="335"/>
      <c r="I949" s="229"/>
      <c r="J949" s="229"/>
      <c r="K949" s="336"/>
      <c r="L949" s="337"/>
      <c r="M949" s="337"/>
      <c r="N949" s="337"/>
      <c r="O949" s="337"/>
      <c r="P949" s="337"/>
      <c r="Q949" s="338">
        <v>8496</v>
      </c>
      <c r="R949" s="271">
        <f t="shared" si="67"/>
        <v>0</v>
      </c>
      <c r="S949" s="339">
        <f t="shared" si="66"/>
        <v>0</v>
      </c>
      <c r="T949" s="340"/>
      <c r="U949" s="341">
        <f>FA!M$158</f>
        <v>0</v>
      </c>
      <c r="V949" s="274"/>
      <c r="W949" s="342"/>
      <c r="X949" s="343"/>
      <c r="Y949" s="6" t="s">
        <v>580</v>
      </c>
      <c r="Z949" s="344"/>
      <c r="AA949" s="240"/>
      <c r="AB949" s="351">
        <f>SUMIFS(其他!P:P,其他!A:A,Q949,其他!B:B,资产分摊表!BD949)+SUMIFS('预算书-初步'!K13:K1530,'预算书-初步'!A13:A1530,"大甜149",'预算书-初步'!D13:D1530,8496)</f>
        <v>0</v>
      </c>
      <c r="AC949" s="271"/>
      <c r="AD949" s="272"/>
      <c r="AE949" s="273"/>
      <c r="AF949" s="273"/>
      <c r="AG949" s="274"/>
      <c r="AH949" s="275"/>
      <c r="AI949" s="272"/>
      <c r="AJ949" s="276"/>
      <c r="AK949" s="277"/>
      <c r="AL949" s="278"/>
      <c r="AM949" s="277"/>
      <c r="AN949" s="279" t="str">
        <f t="shared" si="72"/>
        <v/>
      </c>
      <c r="AO949" s="279"/>
      <c r="AP949" s="279" t="str">
        <f t="shared" si="73"/>
        <v/>
      </c>
      <c r="AQ949" s="279"/>
      <c r="AR949" s="305">
        <f>'预算书-初步'!$F$10</f>
        <v>0.09</v>
      </c>
      <c r="AT949" s="272"/>
      <c r="BC949" s="272" t="s">
        <v>521</v>
      </c>
      <c r="BD949" s="348">
        <v>1155</v>
      </c>
      <c r="BE949" s="347" t="s">
        <v>704</v>
      </c>
    </row>
    <row r="950" s="52" customFormat="1" ht="15.75" customHeight="1" spans="1:57">
      <c r="A950" s="227"/>
      <c r="B950" s="332"/>
      <c r="C950" s="228"/>
      <c r="D950" s="333"/>
      <c r="E950" s="334"/>
      <c r="F950" s="229"/>
      <c r="G950" s="333"/>
      <c r="H950" s="335"/>
      <c r="I950" s="229"/>
      <c r="J950" s="229"/>
      <c r="K950" s="336"/>
      <c r="L950" s="337"/>
      <c r="M950" s="337"/>
      <c r="N950" s="337"/>
      <c r="O950" s="337"/>
      <c r="P950" s="337"/>
      <c r="Q950" s="338">
        <v>8497</v>
      </c>
      <c r="R950" s="271">
        <f t="shared" si="67"/>
        <v>0</v>
      </c>
      <c r="S950" s="339">
        <f t="shared" si="66"/>
        <v>0</v>
      </c>
      <c r="T950" s="340"/>
      <c r="U950" s="341">
        <f>FA!M$159</f>
        <v>0</v>
      </c>
      <c r="V950" s="274"/>
      <c r="W950" s="342"/>
      <c r="X950" s="343"/>
      <c r="Y950" s="349" t="s">
        <v>581</v>
      </c>
      <c r="Z950" s="344"/>
      <c r="AA950" s="240"/>
      <c r="AB950" s="361">
        <v>1</v>
      </c>
      <c r="AC950" s="271"/>
      <c r="AD950" s="272"/>
      <c r="AE950" s="273"/>
      <c r="AF950" s="273"/>
      <c r="AG950" s="274"/>
      <c r="AH950" s="275"/>
      <c r="AI950" s="272"/>
      <c r="AJ950" s="276"/>
      <c r="AK950" s="277"/>
      <c r="AL950" s="278"/>
      <c r="AM950" s="277"/>
      <c r="AN950" s="279" t="str">
        <f t="shared" si="72"/>
        <v/>
      </c>
      <c r="AO950" s="279"/>
      <c r="AP950" s="279" t="str">
        <f t="shared" si="73"/>
        <v/>
      </c>
      <c r="AQ950" s="279"/>
      <c r="AR950" s="305">
        <f>'预算书-初步'!$F$10</f>
        <v>0.09</v>
      </c>
      <c r="AT950" s="272"/>
      <c r="BC950" s="272" t="s">
        <v>521</v>
      </c>
      <c r="BD950" s="348">
        <v>1156</v>
      </c>
      <c r="BE950" s="347" t="s">
        <v>704</v>
      </c>
    </row>
    <row r="951" s="52" customFormat="1" ht="15.75" customHeight="1" spans="1:57">
      <c r="A951" s="227"/>
      <c r="B951" s="332"/>
      <c r="C951" s="228"/>
      <c r="D951" s="333"/>
      <c r="E951" s="334"/>
      <c r="F951" s="229"/>
      <c r="G951" s="333"/>
      <c r="H951" s="335"/>
      <c r="I951" s="229"/>
      <c r="J951" s="229"/>
      <c r="K951" s="336"/>
      <c r="L951" s="337"/>
      <c r="M951" s="337"/>
      <c r="N951" s="337"/>
      <c r="O951" s="337"/>
      <c r="P951" s="337"/>
      <c r="Q951" s="338">
        <v>8900</v>
      </c>
      <c r="R951" s="271">
        <f t="shared" si="67"/>
        <v>0</v>
      </c>
      <c r="S951" s="339">
        <f t="shared" si="66"/>
        <v>0</v>
      </c>
      <c r="T951" s="340"/>
      <c r="U951" s="341">
        <f>FA!M$161</f>
        <v>0</v>
      </c>
      <c r="V951" s="274"/>
      <c r="W951" s="342"/>
      <c r="X951" s="343"/>
      <c r="Y951" s="6" t="s">
        <v>582</v>
      </c>
      <c r="Z951" s="344"/>
      <c r="AA951" s="240"/>
      <c r="AB951" s="361">
        <v>1</v>
      </c>
      <c r="AC951" s="271"/>
      <c r="AD951" s="272"/>
      <c r="AE951" s="273"/>
      <c r="AF951" s="273"/>
      <c r="AG951" s="274"/>
      <c r="AH951" s="275"/>
      <c r="AI951" s="272"/>
      <c r="AJ951" s="276"/>
      <c r="AK951" s="277"/>
      <c r="AL951" s="278"/>
      <c r="AM951" s="277"/>
      <c r="AN951" s="279" t="str">
        <f t="shared" si="72"/>
        <v/>
      </c>
      <c r="AO951" s="279"/>
      <c r="AP951" s="279" t="str">
        <f t="shared" si="73"/>
        <v/>
      </c>
      <c r="AQ951" s="279"/>
      <c r="AR951" s="305">
        <f>'预算书-初步'!$F$10</f>
        <v>0.09</v>
      </c>
      <c r="AT951" s="272"/>
      <c r="BC951" s="272" t="s">
        <v>521</v>
      </c>
      <c r="BD951" s="348">
        <v>1158</v>
      </c>
      <c r="BE951" s="347" t="s">
        <v>704</v>
      </c>
    </row>
    <row r="952" s="52" customFormat="1" ht="15.75" customHeight="1" spans="1:57">
      <c r="A952" s="227"/>
      <c r="B952" s="332"/>
      <c r="C952" s="228"/>
      <c r="D952" s="333"/>
      <c r="E952" s="334"/>
      <c r="F952" s="229"/>
      <c r="G952" s="333"/>
      <c r="H952" s="335"/>
      <c r="I952" s="229"/>
      <c r="J952" s="229"/>
      <c r="K952" s="336"/>
      <c r="L952" s="337"/>
      <c r="M952" s="337"/>
      <c r="N952" s="337"/>
      <c r="O952" s="337"/>
      <c r="P952" s="337"/>
      <c r="Q952" s="338">
        <v>2991</v>
      </c>
      <c r="R952" s="271">
        <f t="shared" si="67"/>
        <v>0</v>
      </c>
      <c r="S952" s="339">
        <f t="shared" si="66"/>
        <v>0</v>
      </c>
      <c r="T952" s="340"/>
      <c r="U952" s="341">
        <f>FA!M$165</f>
        <v>0</v>
      </c>
      <c r="V952" s="274"/>
      <c r="W952" s="342"/>
      <c r="X952" s="343"/>
      <c r="Y952" s="6" t="s">
        <v>583</v>
      </c>
      <c r="Z952" s="344"/>
      <c r="AA952" s="240"/>
      <c r="AB952" s="361">
        <v>1</v>
      </c>
      <c r="AC952" s="271"/>
      <c r="AD952" s="272"/>
      <c r="AE952" s="273"/>
      <c r="AF952" s="273"/>
      <c r="AG952" s="274"/>
      <c r="AH952" s="275"/>
      <c r="AI952" s="272"/>
      <c r="AJ952" s="276"/>
      <c r="AK952" s="277"/>
      <c r="AL952" s="278"/>
      <c r="AM952" s="277"/>
      <c r="AN952" s="279" t="str">
        <f t="shared" si="72"/>
        <v/>
      </c>
      <c r="AO952" s="279"/>
      <c r="AP952" s="279" t="str">
        <f t="shared" si="73"/>
        <v/>
      </c>
      <c r="AQ952" s="279"/>
      <c r="AR952" s="305">
        <f>'预算书-初步'!$F$10</f>
        <v>0.09</v>
      </c>
      <c r="AT952" s="272"/>
      <c r="BC952" s="272" t="s">
        <v>521</v>
      </c>
      <c r="BD952" s="359">
        <v>1162</v>
      </c>
      <c r="BE952" s="347" t="s">
        <v>704</v>
      </c>
    </row>
    <row r="953" s="52" customFormat="1" ht="15.75" customHeight="1" spans="1:57">
      <c r="A953" s="227"/>
      <c r="B953" s="332"/>
      <c r="C953" s="228"/>
      <c r="D953" s="333"/>
      <c r="E953" s="334"/>
      <c r="F953" s="229"/>
      <c r="G953" s="333"/>
      <c r="H953" s="335"/>
      <c r="I953" s="229"/>
      <c r="J953" s="229"/>
      <c r="K953" s="336"/>
      <c r="L953" s="337"/>
      <c r="M953" s="337"/>
      <c r="N953" s="337"/>
      <c r="O953" s="337"/>
      <c r="P953" s="337"/>
      <c r="Q953" s="338">
        <v>4007</v>
      </c>
      <c r="R953" s="271">
        <f t="shared" si="67"/>
        <v>0</v>
      </c>
      <c r="S953" s="339">
        <f t="shared" si="66"/>
        <v>0</v>
      </c>
      <c r="T953" s="340"/>
      <c r="U953" s="341">
        <f>FA!M$174</f>
        <v>0</v>
      </c>
      <c r="V953" s="274"/>
      <c r="W953" s="342"/>
      <c r="X953" s="343"/>
      <c r="Y953" s="6" t="s">
        <v>584</v>
      </c>
      <c r="Z953" s="344"/>
      <c r="AA953" s="240"/>
      <c r="AB953" s="361">
        <v>1</v>
      </c>
      <c r="AC953" s="271"/>
      <c r="AD953" s="272"/>
      <c r="AE953" s="273"/>
      <c r="AF953" s="273"/>
      <c r="AG953" s="274"/>
      <c r="AH953" s="275"/>
      <c r="AI953" s="272"/>
      <c r="AJ953" s="276"/>
      <c r="AK953" s="277"/>
      <c r="AL953" s="278"/>
      <c r="AM953" s="277"/>
      <c r="AN953" s="279" t="str">
        <f t="shared" si="72"/>
        <v/>
      </c>
      <c r="AO953" s="279"/>
      <c r="AP953" s="279" t="str">
        <f t="shared" si="73"/>
        <v/>
      </c>
      <c r="AQ953" s="279"/>
      <c r="AR953" s="305">
        <f>'预算书-初步'!$F$10</f>
        <v>0.09</v>
      </c>
      <c r="AT953" s="272"/>
      <c r="BC953" s="272" t="s">
        <v>521</v>
      </c>
      <c r="BD953" s="348">
        <v>1171</v>
      </c>
      <c r="BE953" s="347" t="s">
        <v>704</v>
      </c>
    </row>
    <row r="954" s="52" customFormat="1" ht="15.75" customHeight="1" spans="1:57">
      <c r="A954" s="227"/>
      <c r="B954" s="332"/>
      <c r="C954" s="228"/>
      <c r="D954" s="333"/>
      <c r="E954" s="334"/>
      <c r="F954" s="229"/>
      <c r="G954" s="333"/>
      <c r="H954" s="335"/>
      <c r="I954" s="229"/>
      <c r="J954" s="229"/>
      <c r="K954" s="336"/>
      <c r="L954" s="337"/>
      <c r="M954" s="337"/>
      <c r="N954" s="337"/>
      <c r="O954" s="337"/>
      <c r="P954" s="337"/>
      <c r="Q954" s="338">
        <v>4081</v>
      </c>
      <c r="R954" s="271">
        <f t="shared" si="67"/>
        <v>0</v>
      </c>
      <c r="S954" s="339">
        <f t="shared" si="66"/>
        <v>0</v>
      </c>
      <c r="T954" s="340"/>
      <c r="U954" s="341">
        <f>FA!M$175</f>
        <v>0</v>
      </c>
      <c r="V954" s="274"/>
      <c r="W954" s="342"/>
      <c r="X954" s="343"/>
      <c r="Y954" s="349" t="s">
        <v>585</v>
      </c>
      <c r="Z954" s="344"/>
      <c r="AA954" s="240"/>
      <c r="AB954" s="361">
        <v>1</v>
      </c>
      <c r="AC954" s="271"/>
      <c r="AD954" s="272"/>
      <c r="AE954" s="273"/>
      <c r="AF954" s="273"/>
      <c r="AG954" s="274"/>
      <c r="AH954" s="275"/>
      <c r="AI954" s="272"/>
      <c r="AJ954" s="276"/>
      <c r="AK954" s="277"/>
      <c r="AL954" s="278"/>
      <c r="AM954" s="277"/>
      <c r="AN954" s="279" t="str">
        <f t="shared" si="72"/>
        <v/>
      </c>
      <c r="AO954" s="279"/>
      <c r="AP954" s="279" t="str">
        <f t="shared" si="73"/>
        <v/>
      </c>
      <c r="AQ954" s="279"/>
      <c r="AR954" s="305">
        <f>'预算书-初步'!$F$10</f>
        <v>0.09</v>
      </c>
      <c r="AT954" s="272"/>
      <c r="BC954" s="272" t="s">
        <v>521</v>
      </c>
      <c r="BD954" s="348">
        <v>1172</v>
      </c>
      <c r="BE954" s="347" t="s">
        <v>704</v>
      </c>
    </row>
    <row r="955" s="52" customFormat="1" ht="15.75" customHeight="1" spans="1:57">
      <c r="A955" s="227"/>
      <c r="B955" s="332"/>
      <c r="C955" s="228"/>
      <c r="D955" s="333"/>
      <c r="E955" s="334"/>
      <c r="F955" s="229"/>
      <c r="G955" s="333"/>
      <c r="H955" s="335"/>
      <c r="I955" s="229"/>
      <c r="J955" s="229"/>
      <c r="K955" s="336"/>
      <c r="L955" s="337"/>
      <c r="M955" s="337"/>
      <c r="N955" s="337"/>
      <c r="O955" s="337"/>
      <c r="P955" s="337"/>
      <c r="Q955" s="338">
        <v>4991</v>
      </c>
      <c r="R955" s="271">
        <f t="shared" si="67"/>
        <v>0</v>
      </c>
      <c r="S955" s="339">
        <f t="shared" si="66"/>
        <v>0</v>
      </c>
      <c r="T955" s="340"/>
      <c r="U955" s="341">
        <f>FA!M$176</f>
        <v>0</v>
      </c>
      <c r="V955" s="274"/>
      <c r="W955" s="342"/>
      <c r="X955" s="343"/>
      <c r="Y955" s="6" t="s">
        <v>586</v>
      </c>
      <c r="Z955" s="344"/>
      <c r="AA955" s="240"/>
      <c r="AB955" s="361">
        <v>1</v>
      </c>
      <c r="AC955" s="271"/>
      <c r="AD955" s="272"/>
      <c r="AE955" s="273"/>
      <c r="AF955" s="273"/>
      <c r="AG955" s="274"/>
      <c r="AH955" s="275"/>
      <c r="AI955" s="272"/>
      <c r="AJ955" s="276"/>
      <c r="AK955" s="277"/>
      <c r="AL955" s="278"/>
      <c r="AM955" s="277"/>
      <c r="AN955" s="279" t="str">
        <f t="shared" si="72"/>
        <v/>
      </c>
      <c r="AO955" s="279"/>
      <c r="AP955" s="279" t="str">
        <f t="shared" si="73"/>
        <v/>
      </c>
      <c r="AQ955" s="279"/>
      <c r="AR955" s="305">
        <f>'预算书-初步'!$F$10</f>
        <v>0.09</v>
      </c>
      <c r="AT955" s="272"/>
      <c r="BC955" s="272" t="s">
        <v>521</v>
      </c>
      <c r="BD955" s="348">
        <v>1173</v>
      </c>
      <c r="BE955" s="347" t="s">
        <v>704</v>
      </c>
    </row>
    <row r="956" s="52" customFormat="1" ht="15.75" customHeight="1" spans="1:57">
      <c r="A956" s="227"/>
      <c r="B956" s="332"/>
      <c r="C956" s="228"/>
      <c r="D956" s="333"/>
      <c r="E956" s="334"/>
      <c r="F956" s="229"/>
      <c r="G956" s="333"/>
      <c r="H956" s="335"/>
      <c r="I956" s="229"/>
      <c r="J956" s="229"/>
      <c r="K956" s="336"/>
      <c r="L956" s="337"/>
      <c r="M956" s="337"/>
      <c r="N956" s="337"/>
      <c r="O956" s="337"/>
      <c r="P956" s="337"/>
      <c r="Q956" s="372">
        <v>1120</v>
      </c>
      <c r="R956" s="271">
        <f t="shared" si="67"/>
        <v>0</v>
      </c>
      <c r="S956" s="339">
        <f t="shared" si="66"/>
        <v>0</v>
      </c>
      <c r="T956" s="373"/>
      <c r="U956" s="373">
        <f>FA!M$32</f>
        <v>0</v>
      </c>
      <c r="V956" s="274"/>
      <c r="W956" s="374"/>
      <c r="X956" s="375"/>
      <c r="Y956" s="30" t="s">
        <v>588</v>
      </c>
      <c r="Z956" s="376"/>
      <c r="AA956" s="240"/>
      <c r="AB956" s="345">
        <v>1</v>
      </c>
      <c r="AC956" s="271"/>
      <c r="AD956" s="272"/>
      <c r="AE956" s="273"/>
      <c r="AF956" s="273"/>
      <c r="AG956" s="274"/>
      <c r="AH956" s="275"/>
      <c r="AI956" s="272"/>
      <c r="AJ956" s="276"/>
      <c r="AK956" s="277"/>
      <c r="AL956" s="278"/>
      <c r="AM956" s="277"/>
      <c r="AN956" s="279" t="str">
        <f t="shared" ref="AN956:AN981" si="74">IF(AK956&lt;&gt;0,"N","")</f>
        <v/>
      </c>
      <c r="AO956" s="279"/>
      <c r="AP956" s="279" t="str">
        <f t="shared" si="73"/>
        <v/>
      </c>
      <c r="AQ956" s="279"/>
      <c r="AR956" s="305">
        <f>'预算书-初步'!$F$10</f>
        <v>0.09</v>
      </c>
      <c r="AT956" s="272"/>
      <c r="BC956" s="272" t="s">
        <v>521</v>
      </c>
      <c r="BD956" s="346">
        <v>1021</v>
      </c>
      <c r="BE956" s="347" t="s">
        <v>704</v>
      </c>
    </row>
    <row r="957" s="52" customFormat="1" ht="15.75" customHeight="1" spans="1:57">
      <c r="A957" s="227"/>
      <c r="B957" s="332"/>
      <c r="C957" s="228"/>
      <c r="D957" s="333"/>
      <c r="E957" s="334"/>
      <c r="F957" s="229"/>
      <c r="G957" s="333"/>
      <c r="H957" s="335"/>
      <c r="I957" s="229"/>
      <c r="J957" s="229"/>
      <c r="K957" s="336"/>
      <c r="L957" s="337"/>
      <c r="M957" s="337"/>
      <c r="N957" s="337"/>
      <c r="O957" s="337"/>
      <c r="P957" s="337"/>
      <c r="Q957" s="372">
        <v>1130</v>
      </c>
      <c r="R957" s="271">
        <f t="shared" si="67"/>
        <v>0</v>
      </c>
      <c r="S957" s="339">
        <f t="shared" si="66"/>
        <v>0</v>
      </c>
      <c r="T957" s="373"/>
      <c r="U957" s="373">
        <f>FA!M$33</f>
        <v>0</v>
      </c>
      <c r="V957" s="274"/>
      <c r="W957" s="374"/>
      <c r="X957" s="375"/>
      <c r="Y957" s="30" t="s">
        <v>589</v>
      </c>
      <c r="Z957" s="376"/>
      <c r="AA957" s="240"/>
      <c r="AB957" s="345">
        <v>1</v>
      </c>
      <c r="AC957" s="271"/>
      <c r="AD957" s="272"/>
      <c r="AE957" s="273"/>
      <c r="AF957" s="273"/>
      <c r="AG957" s="274"/>
      <c r="AH957" s="275"/>
      <c r="AI957" s="272"/>
      <c r="AJ957" s="276"/>
      <c r="AK957" s="277"/>
      <c r="AL957" s="278"/>
      <c r="AM957" s="277"/>
      <c r="AN957" s="279" t="str">
        <f t="shared" si="74"/>
        <v/>
      </c>
      <c r="AO957" s="279"/>
      <c r="AP957" s="279" t="str">
        <f t="shared" si="73"/>
        <v/>
      </c>
      <c r="AQ957" s="279"/>
      <c r="AR957" s="305">
        <f>'预算书-初步'!$F$10</f>
        <v>0.09</v>
      </c>
      <c r="AT957" s="272"/>
      <c r="BC957" s="272" t="s">
        <v>521</v>
      </c>
      <c r="BD957" s="346">
        <v>1022</v>
      </c>
      <c r="BE957" s="347" t="s">
        <v>704</v>
      </c>
    </row>
    <row r="958" s="52" customFormat="1" ht="15.75" customHeight="1" spans="1:57">
      <c r="A958" s="227"/>
      <c r="B958" s="332"/>
      <c r="C958" s="228"/>
      <c r="D958" s="333"/>
      <c r="E958" s="334"/>
      <c r="F958" s="229"/>
      <c r="G958" s="333"/>
      <c r="H958" s="335"/>
      <c r="I958" s="229"/>
      <c r="J958" s="229"/>
      <c r="K958" s="336"/>
      <c r="L958" s="337"/>
      <c r="M958" s="337"/>
      <c r="N958" s="337"/>
      <c r="O958" s="337"/>
      <c r="P958" s="337"/>
      <c r="Q958" s="372">
        <v>1210</v>
      </c>
      <c r="R958" s="271">
        <f t="shared" si="67"/>
        <v>0</v>
      </c>
      <c r="S958" s="339">
        <f t="shared" si="66"/>
        <v>0</v>
      </c>
      <c r="T958" s="373"/>
      <c r="U958" s="373">
        <f>FA!M$35</f>
        <v>0</v>
      </c>
      <c r="V958" s="274"/>
      <c r="W958" s="374"/>
      <c r="X958" s="375"/>
      <c r="Y958" s="30" t="s">
        <v>590</v>
      </c>
      <c r="Z958" s="376"/>
      <c r="AA958" s="240"/>
      <c r="AB958" s="345">
        <v>1</v>
      </c>
      <c r="AC958" s="271"/>
      <c r="AD958" s="272"/>
      <c r="AE958" s="273"/>
      <c r="AF958" s="273"/>
      <c r="AG958" s="274"/>
      <c r="AH958" s="275"/>
      <c r="AI958" s="272"/>
      <c r="AJ958" s="276"/>
      <c r="AK958" s="277"/>
      <c r="AL958" s="278"/>
      <c r="AM958" s="277"/>
      <c r="AN958" s="279" t="str">
        <f t="shared" si="74"/>
        <v/>
      </c>
      <c r="AO958" s="279"/>
      <c r="AP958" s="279" t="str">
        <f t="shared" si="73"/>
        <v/>
      </c>
      <c r="AQ958" s="279"/>
      <c r="AR958" s="305">
        <f>'预算书-初步'!$F$10</f>
        <v>0.09</v>
      </c>
      <c r="AT958" s="272"/>
      <c r="BC958" s="272" t="s">
        <v>521</v>
      </c>
      <c r="BD958" s="346">
        <v>1024</v>
      </c>
      <c r="BE958" s="347" t="s">
        <v>704</v>
      </c>
    </row>
    <row r="959" s="52" customFormat="1" ht="15.75" customHeight="1" spans="1:57">
      <c r="A959" s="227"/>
      <c r="B959" s="332"/>
      <c r="C959" s="228"/>
      <c r="D959" s="333"/>
      <c r="E959" s="334"/>
      <c r="F959" s="229"/>
      <c r="G959" s="333"/>
      <c r="H959" s="335"/>
      <c r="I959" s="229"/>
      <c r="J959" s="229"/>
      <c r="K959" s="336"/>
      <c r="L959" s="337"/>
      <c r="M959" s="337"/>
      <c r="N959" s="337"/>
      <c r="O959" s="337"/>
      <c r="P959" s="337"/>
      <c r="Q959" s="372">
        <v>1311</v>
      </c>
      <c r="R959" s="271">
        <f t="shared" si="67"/>
        <v>0</v>
      </c>
      <c r="S959" s="339">
        <f t="shared" si="66"/>
        <v>0</v>
      </c>
      <c r="T959" s="373"/>
      <c r="U959" s="373">
        <f>FA!M$39</f>
        <v>0</v>
      </c>
      <c r="V959" s="274"/>
      <c r="W959" s="374"/>
      <c r="X959" s="375"/>
      <c r="Y959" s="30" t="s">
        <v>591</v>
      </c>
      <c r="Z959" s="376"/>
      <c r="AA959" s="240"/>
      <c r="AB959" s="345">
        <v>1</v>
      </c>
      <c r="AC959" s="271"/>
      <c r="AD959" s="272"/>
      <c r="AE959" s="273"/>
      <c r="AF959" s="273"/>
      <c r="AG959" s="274"/>
      <c r="AH959" s="275"/>
      <c r="AI959" s="272"/>
      <c r="AJ959" s="276"/>
      <c r="AK959" s="277"/>
      <c r="AL959" s="278"/>
      <c r="AM959" s="277"/>
      <c r="AN959" s="279" t="str">
        <f t="shared" si="74"/>
        <v/>
      </c>
      <c r="AO959" s="279"/>
      <c r="AP959" s="279" t="str">
        <f t="shared" si="73"/>
        <v/>
      </c>
      <c r="AQ959" s="279"/>
      <c r="AR959" s="305">
        <f>'预算书-初步'!$F$10</f>
        <v>0.09</v>
      </c>
      <c r="AT959" s="272"/>
      <c r="BC959" s="272" t="s">
        <v>521</v>
      </c>
      <c r="BD959" s="346">
        <v>1028</v>
      </c>
      <c r="BE959" s="347" t="s">
        <v>704</v>
      </c>
    </row>
    <row r="960" s="52" customFormat="1" ht="15.75" customHeight="1" spans="1:57">
      <c r="A960" s="227"/>
      <c r="B960" s="332"/>
      <c r="C960" s="228"/>
      <c r="D960" s="333"/>
      <c r="E960" s="334"/>
      <c r="F960" s="229"/>
      <c r="G960" s="333"/>
      <c r="H960" s="335"/>
      <c r="I960" s="229"/>
      <c r="J960" s="229"/>
      <c r="K960" s="336"/>
      <c r="L960" s="337"/>
      <c r="M960" s="337"/>
      <c r="N960" s="337"/>
      <c r="O960" s="337"/>
      <c r="P960" s="337"/>
      <c r="Q960" s="372">
        <v>1312</v>
      </c>
      <c r="R960" s="271">
        <f t="shared" si="67"/>
        <v>0</v>
      </c>
      <c r="S960" s="339">
        <f t="shared" si="66"/>
        <v>0</v>
      </c>
      <c r="T960" s="373"/>
      <c r="U960" s="373">
        <f>FA!M$40</f>
        <v>0</v>
      </c>
      <c r="V960" s="274"/>
      <c r="W960" s="374"/>
      <c r="X960" s="375"/>
      <c r="Y960" s="30" t="s">
        <v>592</v>
      </c>
      <c r="Z960" s="376"/>
      <c r="AA960" s="240"/>
      <c r="AB960" s="345">
        <v>1</v>
      </c>
      <c r="AC960" s="271"/>
      <c r="AD960" s="272"/>
      <c r="AE960" s="273"/>
      <c r="AF960" s="273"/>
      <c r="AG960" s="274"/>
      <c r="AH960" s="275"/>
      <c r="AI960" s="272"/>
      <c r="AJ960" s="276"/>
      <c r="AK960" s="277"/>
      <c r="AL960" s="278"/>
      <c r="AM960" s="277"/>
      <c r="AN960" s="279" t="str">
        <f t="shared" si="74"/>
        <v/>
      </c>
      <c r="AO960" s="279"/>
      <c r="AP960" s="279" t="str">
        <f t="shared" si="73"/>
        <v/>
      </c>
      <c r="AQ960" s="279"/>
      <c r="AR960" s="305">
        <f>'预算书-初步'!$F$10</f>
        <v>0.09</v>
      </c>
      <c r="AT960" s="272"/>
      <c r="BC960" s="272" t="s">
        <v>521</v>
      </c>
      <c r="BD960" s="346">
        <v>1029</v>
      </c>
      <c r="BE960" s="347" t="s">
        <v>704</v>
      </c>
    </row>
    <row r="961" s="52" customFormat="1" ht="15.75" customHeight="1" spans="1:57">
      <c r="A961" s="227"/>
      <c r="B961" s="332"/>
      <c r="C961" s="228"/>
      <c r="D961" s="333"/>
      <c r="E961" s="334"/>
      <c r="F961" s="229"/>
      <c r="G961" s="333"/>
      <c r="H961" s="335"/>
      <c r="I961" s="229"/>
      <c r="J961" s="229"/>
      <c r="K961" s="336"/>
      <c r="L961" s="337"/>
      <c r="M961" s="337"/>
      <c r="N961" s="337"/>
      <c r="O961" s="337"/>
      <c r="P961" s="337"/>
      <c r="Q961" s="372">
        <v>1313</v>
      </c>
      <c r="R961" s="271">
        <f t="shared" si="67"/>
        <v>0</v>
      </c>
      <c r="S961" s="339">
        <f t="shared" si="66"/>
        <v>0</v>
      </c>
      <c r="T961" s="373"/>
      <c r="U961" s="373">
        <f>FA!M$41</f>
        <v>0</v>
      </c>
      <c r="V961" s="274"/>
      <c r="W961" s="374"/>
      <c r="X961" s="375"/>
      <c r="Y961" s="30" t="s">
        <v>593</v>
      </c>
      <c r="Z961" s="376"/>
      <c r="AA961" s="240"/>
      <c r="AB961" s="345">
        <v>1</v>
      </c>
      <c r="AC961" s="271"/>
      <c r="AD961" s="272"/>
      <c r="AE961" s="273"/>
      <c r="AF961" s="273"/>
      <c r="AG961" s="274"/>
      <c r="AH961" s="275"/>
      <c r="AI961" s="272"/>
      <c r="AJ961" s="276"/>
      <c r="AK961" s="277"/>
      <c r="AL961" s="278"/>
      <c r="AM961" s="277"/>
      <c r="AN961" s="279" t="str">
        <f t="shared" si="74"/>
        <v/>
      </c>
      <c r="AO961" s="279"/>
      <c r="AP961" s="279" t="str">
        <f t="shared" si="73"/>
        <v/>
      </c>
      <c r="AQ961" s="279"/>
      <c r="AR961" s="305">
        <f>'预算书-初步'!$F$10</f>
        <v>0.09</v>
      </c>
      <c r="AT961" s="272"/>
      <c r="BC961" s="272" t="s">
        <v>521</v>
      </c>
      <c r="BD961" s="346">
        <v>1030</v>
      </c>
      <c r="BE961" s="347" t="s">
        <v>704</v>
      </c>
    </row>
    <row r="962" s="52" customFormat="1" ht="15.75" customHeight="1" spans="1:57">
      <c r="A962" s="227"/>
      <c r="B962" s="332"/>
      <c r="C962" s="228"/>
      <c r="D962" s="333"/>
      <c r="E962" s="334"/>
      <c r="F962" s="229"/>
      <c r="G962" s="333"/>
      <c r="H962" s="335"/>
      <c r="I962" s="229"/>
      <c r="J962" s="229"/>
      <c r="K962" s="336"/>
      <c r="L962" s="337"/>
      <c r="M962" s="337"/>
      <c r="N962" s="337"/>
      <c r="O962" s="337"/>
      <c r="P962" s="337"/>
      <c r="Q962" s="372">
        <v>1330</v>
      </c>
      <c r="R962" s="271">
        <f t="shared" si="67"/>
        <v>0</v>
      </c>
      <c r="S962" s="339">
        <f t="shared" si="66"/>
        <v>0</v>
      </c>
      <c r="T962" s="373"/>
      <c r="U962" s="373">
        <f>FA!M$44</f>
        <v>0</v>
      </c>
      <c r="V962" s="274"/>
      <c r="W962" s="374"/>
      <c r="X962" s="375"/>
      <c r="Y962" s="30" t="s">
        <v>594</v>
      </c>
      <c r="Z962" s="376"/>
      <c r="AA962" s="240"/>
      <c r="AB962" s="345">
        <v>1</v>
      </c>
      <c r="AC962" s="271"/>
      <c r="AD962" s="272"/>
      <c r="AE962" s="273"/>
      <c r="AF962" s="273"/>
      <c r="AG962" s="274"/>
      <c r="AH962" s="275"/>
      <c r="AI962" s="272"/>
      <c r="AJ962" s="276"/>
      <c r="AK962" s="277"/>
      <c r="AL962" s="278"/>
      <c r="AM962" s="277"/>
      <c r="AN962" s="279" t="str">
        <f t="shared" si="74"/>
        <v/>
      </c>
      <c r="AO962" s="279"/>
      <c r="AP962" s="279" t="str">
        <f t="shared" si="73"/>
        <v/>
      </c>
      <c r="AQ962" s="279"/>
      <c r="AR962" s="305">
        <f>'预算书-初步'!$F$10</f>
        <v>0.09</v>
      </c>
      <c r="AT962" s="272"/>
      <c r="BC962" s="272" t="s">
        <v>521</v>
      </c>
      <c r="BD962" s="346">
        <v>1033</v>
      </c>
      <c r="BE962" s="347" t="s">
        <v>704</v>
      </c>
    </row>
    <row r="963" s="52" customFormat="1" ht="15.75" customHeight="1" spans="1:57">
      <c r="A963" s="227"/>
      <c r="B963" s="332"/>
      <c r="C963" s="228"/>
      <c r="D963" s="333"/>
      <c r="E963" s="334"/>
      <c r="F963" s="229"/>
      <c r="G963" s="333"/>
      <c r="H963" s="335"/>
      <c r="I963" s="229"/>
      <c r="J963" s="229"/>
      <c r="K963" s="336"/>
      <c r="L963" s="337"/>
      <c r="M963" s="337"/>
      <c r="N963" s="337"/>
      <c r="O963" s="337"/>
      <c r="P963" s="337"/>
      <c r="Q963" s="372">
        <v>1340</v>
      </c>
      <c r="R963" s="271">
        <f t="shared" si="67"/>
        <v>0</v>
      </c>
      <c r="S963" s="339">
        <f t="shared" si="66"/>
        <v>0</v>
      </c>
      <c r="T963" s="373"/>
      <c r="U963" s="373">
        <f>FA!M$45</f>
        <v>0</v>
      </c>
      <c r="V963" s="274"/>
      <c r="W963" s="374"/>
      <c r="X963" s="375"/>
      <c r="Y963" s="30" t="s">
        <v>595</v>
      </c>
      <c r="Z963" s="376"/>
      <c r="AA963" s="240"/>
      <c r="AB963" s="345">
        <v>1</v>
      </c>
      <c r="AC963" s="271"/>
      <c r="AD963" s="272"/>
      <c r="AE963" s="273"/>
      <c r="AF963" s="273"/>
      <c r="AG963" s="274"/>
      <c r="AH963" s="275"/>
      <c r="AI963" s="272"/>
      <c r="AJ963" s="276"/>
      <c r="AK963" s="277"/>
      <c r="AL963" s="278"/>
      <c r="AM963" s="277"/>
      <c r="AN963" s="279" t="str">
        <f t="shared" si="74"/>
        <v/>
      </c>
      <c r="AO963" s="279"/>
      <c r="AP963" s="279" t="str">
        <f t="shared" si="73"/>
        <v/>
      </c>
      <c r="AQ963" s="279"/>
      <c r="AR963" s="305">
        <f>'预算书-初步'!$F$10</f>
        <v>0.09</v>
      </c>
      <c r="AT963" s="272"/>
      <c r="BC963" s="272" t="s">
        <v>521</v>
      </c>
      <c r="BD963" s="346">
        <v>1034</v>
      </c>
      <c r="BE963" s="347" t="s">
        <v>704</v>
      </c>
    </row>
    <row r="964" s="52" customFormat="1" ht="15.75" customHeight="1" spans="1:57">
      <c r="A964" s="227"/>
      <c r="B964" s="332"/>
      <c r="C964" s="228"/>
      <c r="D964" s="333"/>
      <c r="E964" s="334"/>
      <c r="F964" s="229"/>
      <c r="G964" s="333"/>
      <c r="H964" s="335"/>
      <c r="I964" s="229"/>
      <c r="J964" s="229"/>
      <c r="K964" s="336"/>
      <c r="L964" s="337"/>
      <c r="M964" s="337"/>
      <c r="N964" s="337"/>
      <c r="O964" s="337"/>
      <c r="P964" s="337"/>
      <c r="Q964" s="372">
        <v>1430</v>
      </c>
      <c r="R964" s="271">
        <f t="shared" si="67"/>
        <v>0</v>
      </c>
      <c r="S964" s="339">
        <f t="shared" si="66"/>
        <v>0</v>
      </c>
      <c r="T964" s="373"/>
      <c r="U964" s="373">
        <f>FA!M$51</f>
        <v>0</v>
      </c>
      <c r="V964" s="274"/>
      <c r="W964" s="374"/>
      <c r="X964" s="375"/>
      <c r="Y964" s="30" t="s">
        <v>596</v>
      </c>
      <c r="Z964" s="376"/>
      <c r="AA964" s="240"/>
      <c r="AB964" s="345">
        <v>1</v>
      </c>
      <c r="AC964" s="271"/>
      <c r="AD964" s="272"/>
      <c r="AE964" s="273"/>
      <c r="AF964" s="273"/>
      <c r="AG964" s="274"/>
      <c r="AH964" s="275"/>
      <c r="AI964" s="272"/>
      <c r="AJ964" s="276"/>
      <c r="AK964" s="277"/>
      <c r="AL964" s="278"/>
      <c r="AM964" s="277"/>
      <c r="AN964" s="279" t="str">
        <f t="shared" si="74"/>
        <v/>
      </c>
      <c r="AO964" s="279"/>
      <c r="AP964" s="279" t="str">
        <f t="shared" si="73"/>
        <v/>
      </c>
      <c r="AQ964" s="279"/>
      <c r="AR964" s="305">
        <f>'预算书-初步'!$F$10</f>
        <v>0.09</v>
      </c>
      <c r="AT964" s="272"/>
      <c r="BC964" s="272" t="s">
        <v>521</v>
      </c>
      <c r="BD964" s="346">
        <v>1040</v>
      </c>
      <c r="BE964" s="347" t="s">
        <v>704</v>
      </c>
    </row>
    <row r="965" s="52" customFormat="1" ht="15.75" customHeight="1" spans="1:57">
      <c r="A965" s="227"/>
      <c r="B965" s="332"/>
      <c r="C965" s="228"/>
      <c r="D965" s="333"/>
      <c r="E965" s="334"/>
      <c r="F965" s="229"/>
      <c r="G965" s="333"/>
      <c r="H965" s="335"/>
      <c r="I965" s="229"/>
      <c r="J965" s="229"/>
      <c r="K965" s="336"/>
      <c r="L965" s="337"/>
      <c r="M965" s="337"/>
      <c r="N965" s="337"/>
      <c r="O965" s="337"/>
      <c r="P965" s="337"/>
      <c r="Q965" s="372">
        <v>1624</v>
      </c>
      <c r="R965" s="271">
        <f t="shared" si="67"/>
        <v>0</v>
      </c>
      <c r="S965" s="339">
        <f t="shared" si="66"/>
        <v>0</v>
      </c>
      <c r="T965" s="373"/>
      <c r="U965" s="373">
        <f>FA!M$87</f>
        <v>0</v>
      </c>
      <c r="V965" s="274"/>
      <c r="W965" s="374"/>
      <c r="X965" s="375"/>
      <c r="Y965" s="30" t="s">
        <v>597</v>
      </c>
      <c r="Z965" s="376"/>
      <c r="AA965" s="240"/>
      <c r="AB965" s="345">
        <v>1</v>
      </c>
      <c r="AC965" s="271"/>
      <c r="AD965" s="272"/>
      <c r="AE965" s="273"/>
      <c r="AF965" s="273"/>
      <c r="AG965" s="274"/>
      <c r="AH965" s="275"/>
      <c r="AI965" s="272"/>
      <c r="AJ965" s="276"/>
      <c r="AK965" s="277"/>
      <c r="AL965" s="278"/>
      <c r="AM965" s="277"/>
      <c r="AN965" s="279" t="str">
        <f t="shared" si="74"/>
        <v/>
      </c>
      <c r="AO965" s="279"/>
      <c r="AP965" s="279" t="str">
        <f t="shared" si="73"/>
        <v/>
      </c>
      <c r="AQ965" s="279"/>
      <c r="AR965" s="305">
        <f>'预算书-初步'!$F$10</f>
        <v>0.09</v>
      </c>
      <c r="AT965" s="272"/>
      <c r="BC965" s="272" t="s">
        <v>521</v>
      </c>
      <c r="BD965" s="346">
        <v>1076</v>
      </c>
      <c r="BE965" s="347" t="s">
        <v>704</v>
      </c>
    </row>
    <row r="966" s="52" customFormat="1" ht="15.75" customHeight="1" spans="1:57">
      <c r="A966" s="227"/>
      <c r="B966" s="332"/>
      <c r="C966" s="228"/>
      <c r="D966" s="333"/>
      <c r="E966" s="334"/>
      <c r="F966" s="229"/>
      <c r="G966" s="333"/>
      <c r="H966" s="335"/>
      <c r="I966" s="229"/>
      <c r="J966" s="229"/>
      <c r="K966" s="336"/>
      <c r="L966" s="337"/>
      <c r="M966" s="337"/>
      <c r="N966" s="337"/>
      <c r="O966" s="337"/>
      <c r="P966" s="337"/>
      <c r="Q966" s="377">
        <v>2960</v>
      </c>
      <c r="R966" s="271">
        <f t="shared" ref="R966:R1029" si="75">ROUND(U966*(1+AR966),0)</f>
        <v>0</v>
      </c>
      <c r="S966" s="339">
        <f t="shared" si="66"/>
        <v>0</v>
      </c>
      <c r="T966" s="373"/>
      <c r="U966" s="373">
        <f>FA!M$164</f>
        <v>0</v>
      </c>
      <c r="V966" s="274"/>
      <c r="W966" s="374"/>
      <c r="X966" s="375"/>
      <c r="Y966" s="36" t="s">
        <v>598</v>
      </c>
      <c r="Z966" s="376"/>
      <c r="AA966" s="240"/>
      <c r="AB966" s="345">
        <v>1</v>
      </c>
      <c r="AC966" s="271"/>
      <c r="AD966" s="272"/>
      <c r="AE966" s="273"/>
      <c r="AF966" s="273"/>
      <c r="AG966" s="274"/>
      <c r="AH966" s="275"/>
      <c r="AI966" s="272"/>
      <c r="AJ966" s="276"/>
      <c r="AK966" s="277"/>
      <c r="AL966" s="278"/>
      <c r="AM966" s="277"/>
      <c r="AN966" s="279" t="str">
        <f t="shared" si="74"/>
        <v/>
      </c>
      <c r="AO966" s="279"/>
      <c r="AP966" s="279" t="str">
        <f t="shared" si="73"/>
        <v/>
      </c>
      <c r="AQ966" s="279"/>
      <c r="AR966" s="305">
        <f>'预算书-初步'!$F$10</f>
        <v>0.09</v>
      </c>
      <c r="AT966" s="272"/>
      <c r="BC966" s="272" t="s">
        <v>521</v>
      </c>
      <c r="BD966" s="346">
        <v>1161</v>
      </c>
      <c r="BE966" s="347" t="s">
        <v>704</v>
      </c>
    </row>
    <row r="967" s="52" customFormat="1" ht="15.75" customHeight="1" spans="1:57">
      <c r="A967" s="227"/>
      <c r="B967" s="332"/>
      <c r="C967" s="228"/>
      <c r="D967" s="333"/>
      <c r="E967" s="334"/>
      <c r="F967" s="229"/>
      <c r="G967" s="333"/>
      <c r="H967" s="335"/>
      <c r="I967" s="229"/>
      <c r="J967" s="229"/>
      <c r="K967" s="336"/>
      <c r="L967" s="337"/>
      <c r="M967" s="337"/>
      <c r="N967" s="337"/>
      <c r="O967" s="337"/>
      <c r="P967" s="337"/>
      <c r="Q967" s="372">
        <v>3718</v>
      </c>
      <c r="R967" s="271">
        <f t="shared" si="75"/>
        <v>0</v>
      </c>
      <c r="S967" s="339">
        <f t="shared" si="66"/>
        <v>0</v>
      </c>
      <c r="T967" s="373"/>
      <c r="U967" s="373">
        <f>FA!M$94</f>
        <v>0</v>
      </c>
      <c r="V967" s="274"/>
      <c r="W967" s="374"/>
      <c r="X967" s="375"/>
      <c r="Y967" s="36" t="s">
        <v>599</v>
      </c>
      <c r="Z967" s="376"/>
      <c r="AA967" s="240"/>
      <c r="AB967" s="345">
        <v>1</v>
      </c>
      <c r="AC967" s="271"/>
      <c r="AD967" s="272"/>
      <c r="AE967" s="273"/>
      <c r="AF967" s="273"/>
      <c r="AG967" s="274"/>
      <c r="AH967" s="275"/>
      <c r="AI967" s="272"/>
      <c r="AJ967" s="276"/>
      <c r="AK967" s="277"/>
      <c r="AL967" s="278"/>
      <c r="AM967" s="277"/>
      <c r="AN967" s="279" t="str">
        <f t="shared" si="74"/>
        <v/>
      </c>
      <c r="AO967" s="279"/>
      <c r="AP967" s="279" t="str">
        <f t="shared" si="73"/>
        <v/>
      </c>
      <c r="AQ967" s="279"/>
      <c r="AR967" s="305">
        <f>'预算书-初步'!$F$10</f>
        <v>0.09</v>
      </c>
      <c r="AT967" s="272"/>
      <c r="BC967" s="272" t="s">
        <v>521</v>
      </c>
      <c r="BD967" s="346">
        <v>1083</v>
      </c>
      <c r="BE967" s="347" t="s">
        <v>704</v>
      </c>
    </row>
    <row r="968" s="52" customFormat="1" ht="15.75" customHeight="1" spans="1:57">
      <c r="A968" s="227"/>
      <c r="B968" s="332"/>
      <c r="C968" s="228"/>
      <c r="D968" s="333"/>
      <c r="E968" s="334"/>
      <c r="F968" s="229"/>
      <c r="G968" s="333"/>
      <c r="H968" s="335"/>
      <c r="I968" s="229"/>
      <c r="J968" s="229"/>
      <c r="K968" s="336"/>
      <c r="L968" s="337"/>
      <c r="M968" s="337"/>
      <c r="N968" s="337"/>
      <c r="O968" s="337"/>
      <c r="P968" s="337"/>
      <c r="Q968" s="372">
        <v>4001</v>
      </c>
      <c r="R968" s="271">
        <f t="shared" si="75"/>
        <v>0</v>
      </c>
      <c r="S968" s="339">
        <f t="shared" ref="S968:S1013" si="76">$S$5</f>
        <v>0</v>
      </c>
      <c r="T968" s="373"/>
      <c r="U968" s="373">
        <f>FA!M$168</f>
        <v>0</v>
      </c>
      <c r="V968" s="274"/>
      <c r="W968" s="374"/>
      <c r="X968" s="375"/>
      <c r="Y968" s="36" t="s">
        <v>600</v>
      </c>
      <c r="Z968" s="376"/>
      <c r="AA968" s="240"/>
      <c r="AB968" s="345">
        <v>1</v>
      </c>
      <c r="AC968" s="271"/>
      <c r="AD968" s="272"/>
      <c r="AE968" s="273"/>
      <c r="AF968" s="273"/>
      <c r="AG968" s="274"/>
      <c r="AH968" s="275"/>
      <c r="AI968" s="272"/>
      <c r="AJ968" s="276"/>
      <c r="AK968" s="277"/>
      <c r="AL968" s="278"/>
      <c r="AM968" s="277"/>
      <c r="AN968" s="279" t="str">
        <f t="shared" si="74"/>
        <v/>
      </c>
      <c r="AO968" s="279"/>
      <c r="AP968" s="279" t="str">
        <f t="shared" si="73"/>
        <v/>
      </c>
      <c r="AQ968" s="279"/>
      <c r="AR968" s="305">
        <f>'预算书-初步'!$F$10</f>
        <v>0.09</v>
      </c>
      <c r="AT968" s="272"/>
      <c r="BC968" s="272" t="s">
        <v>521</v>
      </c>
      <c r="BD968" s="346">
        <v>1165</v>
      </c>
      <c r="BE968" s="347" t="s">
        <v>704</v>
      </c>
    </row>
    <row r="969" s="52" customFormat="1" ht="15.75" customHeight="1" spans="1:57">
      <c r="A969" s="227"/>
      <c r="B969" s="332"/>
      <c r="C969" s="228"/>
      <c r="D969" s="333"/>
      <c r="E969" s="334"/>
      <c r="F969" s="229"/>
      <c r="G969" s="333"/>
      <c r="H969" s="335"/>
      <c r="I969" s="229"/>
      <c r="J969" s="229"/>
      <c r="K969" s="336"/>
      <c r="L969" s="337"/>
      <c r="M969" s="337"/>
      <c r="N969" s="337"/>
      <c r="O969" s="337"/>
      <c r="P969" s="337"/>
      <c r="Q969" s="377">
        <v>4002</v>
      </c>
      <c r="R969" s="271">
        <f t="shared" si="75"/>
        <v>0</v>
      </c>
      <c r="S969" s="339">
        <f t="shared" si="76"/>
        <v>0</v>
      </c>
      <c r="T969" s="373"/>
      <c r="U969" s="373">
        <f>FA!M$169</f>
        <v>0</v>
      </c>
      <c r="V969" s="274"/>
      <c r="W969" s="374"/>
      <c r="X969" s="375"/>
      <c r="Y969" s="36" t="s">
        <v>601</v>
      </c>
      <c r="Z969" s="376"/>
      <c r="AA969" s="240"/>
      <c r="AB969" s="345">
        <v>1</v>
      </c>
      <c r="AC969" s="271"/>
      <c r="AD969" s="272"/>
      <c r="AE969" s="273"/>
      <c r="AF969" s="273"/>
      <c r="AG969" s="274"/>
      <c r="AH969" s="275"/>
      <c r="AI969" s="272"/>
      <c r="AJ969" s="276"/>
      <c r="AK969" s="277"/>
      <c r="AL969" s="278"/>
      <c r="AM969" s="277"/>
      <c r="AN969" s="279" t="str">
        <f t="shared" si="74"/>
        <v/>
      </c>
      <c r="AO969" s="279"/>
      <c r="AP969" s="279" t="str">
        <f t="shared" si="73"/>
        <v/>
      </c>
      <c r="AQ969" s="279"/>
      <c r="AR969" s="305">
        <f>'预算书-初步'!$F$10</f>
        <v>0.09</v>
      </c>
      <c r="AT969" s="272"/>
      <c r="BC969" s="272" t="s">
        <v>521</v>
      </c>
      <c r="BD969" s="346">
        <v>1166</v>
      </c>
      <c r="BE969" s="347" t="s">
        <v>704</v>
      </c>
    </row>
    <row r="970" s="52" customFormat="1" ht="15.75" customHeight="1" spans="1:57">
      <c r="A970" s="227"/>
      <c r="B970" s="332"/>
      <c r="C970" s="228"/>
      <c r="D970" s="333"/>
      <c r="E970" s="334"/>
      <c r="F970" s="229"/>
      <c r="G970" s="333"/>
      <c r="H970" s="335"/>
      <c r="I970" s="229"/>
      <c r="J970" s="229"/>
      <c r="K970" s="336"/>
      <c r="L970" s="337"/>
      <c r="M970" s="337"/>
      <c r="N970" s="337"/>
      <c r="O970" s="337"/>
      <c r="P970" s="337"/>
      <c r="Q970" s="377">
        <v>4003</v>
      </c>
      <c r="R970" s="271">
        <f t="shared" si="75"/>
        <v>0</v>
      </c>
      <c r="S970" s="339">
        <f t="shared" si="76"/>
        <v>0</v>
      </c>
      <c r="T970" s="373"/>
      <c r="U970" s="373">
        <f>FA!M$170</f>
        <v>0</v>
      </c>
      <c r="V970" s="274"/>
      <c r="W970" s="374"/>
      <c r="X970" s="375"/>
      <c r="Y970" s="36" t="s">
        <v>602</v>
      </c>
      <c r="Z970" s="376"/>
      <c r="AA970" s="240"/>
      <c r="AB970" s="345">
        <v>1</v>
      </c>
      <c r="AC970" s="271"/>
      <c r="AD970" s="272"/>
      <c r="AE970" s="273"/>
      <c r="AF970" s="273"/>
      <c r="AG970" s="274"/>
      <c r="AH970" s="275"/>
      <c r="AI970" s="272"/>
      <c r="AJ970" s="276"/>
      <c r="AK970" s="277"/>
      <c r="AL970" s="278"/>
      <c r="AM970" s="277"/>
      <c r="AN970" s="279" t="str">
        <f t="shared" si="74"/>
        <v/>
      </c>
      <c r="AO970" s="279"/>
      <c r="AP970" s="279" t="str">
        <f t="shared" si="73"/>
        <v/>
      </c>
      <c r="AQ970" s="279"/>
      <c r="AR970" s="305">
        <f>'预算书-初步'!$F$10</f>
        <v>0.09</v>
      </c>
      <c r="AT970" s="272"/>
      <c r="BC970" s="272" t="s">
        <v>521</v>
      </c>
      <c r="BD970" s="346">
        <v>1167</v>
      </c>
      <c r="BE970" s="347" t="s">
        <v>704</v>
      </c>
    </row>
    <row r="971" s="52" customFormat="1" ht="15.75" customHeight="1" spans="1:57">
      <c r="A971" s="227"/>
      <c r="B971" s="332"/>
      <c r="C971" s="228"/>
      <c r="D971" s="333"/>
      <c r="E971" s="334"/>
      <c r="F971" s="229"/>
      <c r="G971" s="333"/>
      <c r="H971" s="335"/>
      <c r="I971" s="229"/>
      <c r="J971" s="229"/>
      <c r="K971" s="336"/>
      <c r="L971" s="337"/>
      <c r="M971" s="337"/>
      <c r="N971" s="337"/>
      <c r="O971" s="337"/>
      <c r="P971" s="337"/>
      <c r="Q971" s="372">
        <v>4004</v>
      </c>
      <c r="R971" s="271">
        <f t="shared" si="75"/>
        <v>0</v>
      </c>
      <c r="S971" s="339">
        <f t="shared" si="76"/>
        <v>0</v>
      </c>
      <c r="T971" s="373"/>
      <c r="U971" s="373">
        <f>FA!M$171</f>
        <v>0</v>
      </c>
      <c r="V971" s="274"/>
      <c r="W971" s="374"/>
      <c r="X971" s="375"/>
      <c r="Y971" s="30" t="s">
        <v>603</v>
      </c>
      <c r="Z971" s="376"/>
      <c r="AA971" s="240"/>
      <c r="AB971" s="345">
        <v>1</v>
      </c>
      <c r="AC971" s="271"/>
      <c r="AD971" s="272"/>
      <c r="AE971" s="273"/>
      <c r="AF971" s="273"/>
      <c r="AG971" s="274"/>
      <c r="AH971" s="275"/>
      <c r="AI971" s="272"/>
      <c r="AJ971" s="276"/>
      <c r="AK971" s="277"/>
      <c r="AL971" s="278"/>
      <c r="AM971" s="277"/>
      <c r="AN971" s="279" t="str">
        <f t="shared" si="74"/>
        <v/>
      </c>
      <c r="AO971" s="279"/>
      <c r="AP971" s="279" t="str">
        <f t="shared" si="73"/>
        <v/>
      </c>
      <c r="AQ971" s="279"/>
      <c r="AR971" s="305">
        <f>'预算书-初步'!$F$10</f>
        <v>0.09</v>
      </c>
      <c r="AT971" s="272"/>
      <c r="BC971" s="272" t="s">
        <v>521</v>
      </c>
      <c r="BD971" s="346">
        <v>1168</v>
      </c>
      <c r="BE971" s="347" t="s">
        <v>704</v>
      </c>
    </row>
    <row r="972" s="52" customFormat="1" ht="15.75" customHeight="1" spans="1:57">
      <c r="A972" s="227"/>
      <c r="B972" s="332"/>
      <c r="C972" s="228"/>
      <c r="D972" s="333"/>
      <c r="E972" s="334"/>
      <c r="F972" s="229"/>
      <c r="G972" s="333"/>
      <c r="H972" s="335"/>
      <c r="I972" s="229"/>
      <c r="J972" s="229"/>
      <c r="K972" s="336"/>
      <c r="L972" s="337"/>
      <c r="M972" s="337"/>
      <c r="N972" s="337"/>
      <c r="O972" s="337"/>
      <c r="P972" s="337"/>
      <c r="Q972" s="372">
        <v>4005</v>
      </c>
      <c r="R972" s="271">
        <f t="shared" si="75"/>
        <v>0</v>
      </c>
      <c r="S972" s="339">
        <f t="shared" si="76"/>
        <v>0</v>
      </c>
      <c r="T972" s="373"/>
      <c r="U972" s="373">
        <f>FA!M$172</f>
        <v>0</v>
      </c>
      <c r="V972" s="274"/>
      <c r="W972" s="374"/>
      <c r="X972" s="375"/>
      <c r="Y972" s="30" t="s">
        <v>604</v>
      </c>
      <c r="Z972" s="376"/>
      <c r="AA972" s="240"/>
      <c r="AB972" s="345">
        <v>1</v>
      </c>
      <c r="AC972" s="271"/>
      <c r="AD972" s="272"/>
      <c r="AE972" s="273"/>
      <c r="AF972" s="273"/>
      <c r="AG972" s="274"/>
      <c r="AH972" s="275"/>
      <c r="AI972" s="272"/>
      <c r="AJ972" s="276"/>
      <c r="AK972" s="277"/>
      <c r="AL972" s="278"/>
      <c r="AM972" s="277"/>
      <c r="AN972" s="279" t="str">
        <f t="shared" si="74"/>
        <v/>
      </c>
      <c r="AO972" s="279"/>
      <c r="AP972" s="279" t="str">
        <f t="shared" si="73"/>
        <v/>
      </c>
      <c r="AQ972" s="279"/>
      <c r="AR972" s="305">
        <f>'预算书-初步'!$F$10</f>
        <v>0.09</v>
      </c>
      <c r="AT972" s="272"/>
      <c r="BC972" s="272" t="s">
        <v>521</v>
      </c>
      <c r="BD972" s="346">
        <v>1169</v>
      </c>
      <c r="BE972" s="347" t="s">
        <v>704</v>
      </c>
    </row>
    <row r="973" s="52" customFormat="1" spans="1:57">
      <c r="A973" s="227"/>
      <c r="B973" s="332"/>
      <c r="C973" s="228"/>
      <c r="D973" s="333"/>
      <c r="E973" s="334"/>
      <c r="F973" s="229"/>
      <c r="G973" s="333"/>
      <c r="H973" s="335"/>
      <c r="I973" s="229"/>
      <c r="J973" s="229"/>
      <c r="K973" s="336"/>
      <c r="L973" s="337"/>
      <c r="M973" s="337"/>
      <c r="N973" s="337"/>
      <c r="O973" s="337"/>
      <c r="P973" s="337"/>
      <c r="Q973" s="372">
        <v>4006</v>
      </c>
      <c r="R973" s="271">
        <f t="shared" si="75"/>
        <v>0</v>
      </c>
      <c r="S973" s="339">
        <f t="shared" si="76"/>
        <v>0</v>
      </c>
      <c r="T973" s="373"/>
      <c r="U973" s="373">
        <f>FA!M$173</f>
        <v>0</v>
      </c>
      <c r="V973" s="274"/>
      <c r="W973" s="374"/>
      <c r="X973" s="375"/>
      <c r="Y973" s="36" t="s">
        <v>605</v>
      </c>
      <c r="Z973" s="376"/>
      <c r="AA973" s="240"/>
      <c r="AB973" s="345">
        <v>1</v>
      </c>
      <c r="AC973" s="271"/>
      <c r="AD973" s="272"/>
      <c r="AE973" s="273"/>
      <c r="AF973" s="273"/>
      <c r="AG973" s="274"/>
      <c r="AH973" s="275"/>
      <c r="AI973" s="272"/>
      <c r="AJ973" s="276"/>
      <c r="AK973" s="277"/>
      <c r="AL973" s="278"/>
      <c r="AM973" s="277"/>
      <c r="AN973" s="279" t="str">
        <f t="shared" si="74"/>
        <v/>
      </c>
      <c r="AO973" s="279"/>
      <c r="AP973" s="279" t="str">
        <f t="shared" si="73"/>
        <v/>
      </c>
      <c r="AQ973" s="279"/>
      <c r="AR973" s="305">
        <f>'预算书-初步'!$F$10</f>
        <v>0.09</v>
      </c>
      <c r="AT973" s="272"/>
      <c r="BC973" s="272" t="s">
        <v>521</v>
      </c>
      <c r="BD973" s="346">
        <v>1170</v>
      </c>
      <c r="BE973" s="347" t="s">
        <v>704</v>
      </c>
    </row>
    <row r="974" s="52" customFormat="1" spans="1:57">
      <c r="A974" s="227"/>
      <c r="B974" s="332"/>
      <c r="C974" s="228"/>
      <c r="D974" s="333"/>
      <c r="E974" s="334"/>
      <c r="F974" s="229"/>
      <c r="G974" s="333"/>
      <c r="H974" s="335"/>
      <c r="I974" s="229"/>
      <c r="J974" s="229"/>
      <c r="K974" s="336"/>
      <c r="L974" s="337"/>
      <c r="M974" s="337"/>
      <c r="N974" s="337"/>
      <c r="O974" s="337"/>
      <c r="P974" s="337"/>
      <c r="Q974" s="377">
        <v>6003</v>
      </c>
      <c r="R974" s="271">
        <f t="shared" si="75"/>
        <v>0</v>
      </c>
      <c r="S974" s="339">
        <f t="shared" si="76"/>
        <v>0</v>
      </c>
      <c r="T974" s="373"/>
      <c r="U974" s="373">
        <f>FA!M$19</f>
        <v>0</v>
      </c>
      <c r="V974" s="274"/>
      <c r="W974" s="374"/>
      <c r="X974" s="375"/>
      <c r="Y974" s="36" t="s">
        <v>606</v>
      </c>
      <c r="Z974" s="376"/>
      <c r="AA974" s="240"/>
      <c r="AB974" s="345">
        <v>1</v>
      </c>
      <c r="AC974" s="271"/>
      <c r="AD974" s="272"/>
      <c r="AE974" s="273"/>
      <c r="AF974" s="273"/>
      <c r="AG974" s="274"/>
      <c r="AH974" s="275"/>
      <c r="AI974" s="272"/>
      <c r="AJ974" s="276"/>
      <c r="AK974" s="277"/>
      <c r="AL974" s="278"/>
      <c r="AM974" s="277"/>
      <c r="AN974" s="279" t="str">
        <f t="shared" si="74"/>
        <v/>
      </c>
      <c r="AO974" s="279"/>
      <c r="AP974" s="279" t="str">
        <f t="shared" si="73"/>
        <v/>
      </c>
      <c r="AQ974" s="279"/>
      <c r="AR974" s="305">
        <f>'预算书-初步'!$F$10</f>
        <v>0.09</v>
      </c>
      <c r="AT974" s="272"/>
      <c r="BC974" s="272" t="s">
        <v>521</v>
      </c>
      <c r="BD974" s="346">
        <v>1008</v>
      </c>
      <c r="BE974" s="347" t="s">
        <v>704</v>
      </c>
    </row>
    <row r="975" s="52" customFormat="1" spans="1:57">
      <c r="A975" s="227"/>
      <c r="B975" s="332"/>
      <c r="C975" s="228"/>
      <c r="D975" s="333"/>
      <c r="E975" s="334"/>
      <c r="F975" s="229"/>
      <c r="G975" s="333"/>
      <c r="H975" s="335"/>
      <c r="I975" s="229"/>
      <c r="J975" s="229"/>
      <c r="K975" s="336"/>
      <c r="L975" s="337"/>
      <c r="M975" s="337"/>
      <c r="N975" s="337"/>
      <c r="O975" s="337"/>
      <c r="P975" s="337"/>
      <c r="Q975" s="377">
        <v>6004</v>
      </c>
      <c r="R975" s="271">
        <f t="shared" si="75"/>
        <v>0</v>
      </c>
      <c r="S975" s="339">
        <f t="shared" si="76"/>
        <v>0</v>
      </c>
      <c r="T975" s="373"/>
      <c r="U975" s="373">
        <f>FA!M$20</f>
        <v>0</v>
      </c>
      <c r="V975" s="274"/>
      <c r="W975" s="374"/>
      <c r="X975" s="375"/>
      <c r="Y975" s="36" t="s">
        <v>607</v>
      </c>
      <c r="Z975" s="376"/>
      <c r="AA975" s="240"/>
      <c r="AB975" s="345">
        <v>1</v>
      </c>
      <c r="AC975" s="271"/>
      <c r="AD975" s="272"/>
      <c r="AE975" s="273"/>
      <c r="AF975" s="273"/>
      <c r="AG975" s="274"/>
      <c r="AH975" s="275"/>
      <c r="AI975" s="272"/>
      <c r="AJ975" s="276"/>
      <c r="AK975" s="277"/>
      <c r="AL975" s="278"/>
      <c r="AM975" s="277"/>
      <c r="AN975" s="279" t="str">
        <f t="shared" si="74"/>
        <v/>
      </c>
      <c r="AO975" s="279"/>
      <c r="AP975" s="279" t="str">
        <f t="shared" si="73"/>
        <v/>
      </c>
      <c r="AQ975" s="279"/>
      <c r="AR975" s="305">
        <f>'预算书-初步'!$F$10</f>
        <v>0.09</v>
      </c>
      <c r="AT975" s="272"/>
      <c r="BC975" s="272" t="s">
        <v>521</v>
      </c>
      <c r="BD975" s="346">
        <v>1009</v>
      </c>
      <c r="BE975" s="347" t="s">
        <v>704</v>
      </c>
    </row>
    <row r="976" s="52" customFormat="1" spans="1:57">
      <c r="A976" s="227"/>
      <c r="B976" s="332"/>
      <c r="C976" s="228"/>
      <c r="D976" s="333"/>
      <c r="E976" s="334"/>
      <c r="F976" s="229"/>
      <c r="G976" s="333"/>
      <c r="H976" s="335"/>
      <c r="I976" s="229"/>
      <c r="J976" s="229"/>
      <c r="K976" s="336"/>
      <c r="L976" s="337"/>
      <c r="M976" s="337"/>
      <c r="N976" s="337"/>
      <c r="O976" s="337"/>
      <c r="P976" s="337"/>
      <c r="Q976" s="377">
        <v>6005</v>
      </c>
      <c r="R976" s="271">
        <f t="shared" si="75"/>
        <v>0</v>
      </c>
      <c r="S976" s="339">
        <f t="shared" si="76"/>
        <v>0</v>
      </c>
      <c r="T976" s="373"/>
      <c r="U976" s="373">
        <f>FA!M$21</f>
        <v>0</v>
      </c>
      <c r="V976" s="274"/>
      <c r="W976" s="374"/>
      <c r="X976" s="375"/>
      <c r="Y976" s="36" t="s">
        <v>608</v>
      </c>
      <c r="Z976" s="376"/>
      <c r="AA976" s="240"/>
      <c r="AB976" s="345">
        <v>1</v>
      </c>
      <c r="AC976" s="271"/>
      <c r="AD976" s="272"/>
      <c r="AE976" s="273"/>
      <c r="AF976" s="273"/>
      <c r="AG976" s="274"/>
      <c r="AH976" s="275"/>
      <c r="AI976" s="272"/>
      <c r="AJ976" s="276"/>
      <c r="AK976" s="277"/>
      <c r="AL976" s="278"/>
      <c r="AM976" s="277"/>
      <c r="AN976" s="279" t="str">
        <f t="shared" si="74"/>
        <v/>
      </c>
      <c r="AO976" s="279"/>
      <c r="AP976" s="279" t="str">
        <f t="shared" si="73"/>
        <v/>
      </c>
      <c r="AQ976" s="279"/>
      <c r="AR976" s="305">
        <f>'预算书-初步'!$F$10</f>
        <v>0.09</v>
      </c>
      <c r="AT976" s="272"/>
      <c r="BC976" s="272" t="s">
        <v>521</v>
      </c>
      <c r="BD976" s="346">
        <v>1010</v>
      </c>
      <c r="BE976" s="347" t="s">
        <v>704</v>
      </c>
    </row>
    <row r="977" s="52" customFormat="1" spans="1:57">
      <c r="A977" s="227"/>
      <c r="B977" s="332"/>
      <c r="C977" s="228"/>
      <c r="D977" s="333"/>
      <c r="E977" s="334"/>
      <c r="F977" s="229"/>
      <c r="G977" s="333"/>
      <c r="H977" s="335"/>
      <c r="I977" s="229"/>
      <c r="J977" s="229"/>
      <c r="K977" s="336"/>
      <c r="L977" s="337"/>
      <c r="M977" s="337"/>
      <c r="N977" s="337"/>
      <c r="O977" s="337"/>
      <c r="P977" s="337"/>
      <c r="Q977" s="372">
        <v>6006</v>
      </c>
      <c r="R977" s="271">
        <f t="shared" si="75"/>
        <v>0</v>
      </c>
      <c r="S977" s="339">
        <f t="shared" si="76"/>
        <v>0</v>
      </c>
      <c r="T977" s="373"/>
      <c r="U977" s="373">
        <f>FA!M$22</f>
        <v>0</v>
      </c>
      <c r="V977" s="274"/>
      <c r="W977" s="374"/>
      <c r="X977" s="375"/>
      <c r="Y977" s="30" t="s">
        <v>609</v>
      </c>
      <c r="Z977" s="376"/>
      <c r="AA977" s="240"/>
      <c r="AB977" s="345">
        <v>1</v>
      </c>
      <c r="AC977" s="271"/>
      <c r="AD977" s="272"/>
      <c r="AE977" s="273"/>
      <c r="AF977" s="273"/>
      <c r="AG977" s="274"/>
      <c r="AH977" s="275"/>
      <c r="AI977" s="272"/>
      <c r="AJ977" s="276"/>
      <c r="AK977" s="277"/>
      <c r="AL977" s="278"/>
      <c r="AM977" s="277"/>
      <c r="AN977" s="279" t="str">
        <f t="shared" si="74"/>
        <v/>
      </c>
      <c r="AO977" s="279"/>
      <c r="AP977" s="279" t="str">
        <f t="shared" si="73"/>
        <v/>
      </c>
      <c r="AQ977" s="279"/>
      <c r="AR977" s="305">
        <f>'预算书-初步'!$F$10</f>
        <v>0.09</v>
      </c>
      <c r="AT977" s="272"/>
      <c r="BC977" s="272" t="s">
        <v>521</v>
      </c>
      <c r="BD977" s="346">
        <v>1011</v>
      </c>
      <c r="BE977" s="347" t="s">
        <v>704</v>
      </c>
    </row>
    <row r="978" s="52" customFormat="1" spans="1:57">
      <c r="A978" s="227"/>
      <c r="B978" s="332"/>
      <c r="C978" s="228"/>
      <c r="D978" s="333"/>
      <c r="E978" s="334"/>
      <c r="F978" s="229"/>
      <c r="G978" s="333"/>
      <c r="H978" s="335"/>
      <c r="I978" s="229"/>
      <c r="J978" s="229"/>
      <c r="K978" s="336"/>
      <c r="L978" s="337"/>
      <c r="M978" s="337"/>
      <c r="N978" s="337"/>
      <c r="O978" s="337"/>
      <c r="P978" s="337"/>
      <c r="Q978" s="372">
        <v>6007</v>
      </c>
      <c r="R978" s="271">
        <f t="shared" si="75"/>
        <v>0</v>
      </c>
      <c r="S978" s="339">
        <f t="shared" si="76"/>
        <v>0</v>
      </c>
      <c r="T978" s="373"/>
      <c r="U978" s="373">
        <f>FA!M$23</f>
        <v>0</v>
      </c>
      <c r="V978" s="274"/>
      <c r="W978" s="374"/>
      <c r="X978" s="375"/>
      <c r="Y978" s="30" t="s">
        <v>610</v>
      </c>
      <c r="Z978" s="376"/>
      <c r="AA978" s="240"/>
      <c r="AB978" s="345">
        <v>1</v>
      </c>
      <c r="AC978" s="271"/>
      <c r="AD978" s="272"/>
      <c r="AE978" s="273"/>
      <c r="AF978" s="273"/>
      <c r="AG978" s="274"/>
      <c r="AH978" s="275"/>
      <c r="AI978" s="272"/>
      <c r="AJ978" s="276"/>
      <c r="AK978" s="277"/>
      <c r="AL978" s="278"/>
      <c r="AM978" s="277"/>
      <c r="AN978" s="279" t="str">
        <f t="shared" si="74"/>
        <v/>
      </c>
      <c r="AO978" s="279"/>
      <c r="AP978" s="279" t="str">
        <f t="shared" si="73"/>
        <v/>
      </c>
      <c r="AQ978" s="279"/>
      <c r="AR978" s="305">
        <f>'预算书-初步'!$F$10</f>
        <v>0.09</v>
      </c>
      <c r="AT978" s="272"/>
      <c r="BC978" s="272" t="s">
        <v>521</v>
      </c>
      <c r="BD978" s="346">
        <v>1012</v>
      </c>
      <c r="BE978" s="347" t="s">
        <v>704</v>
      </c>
    </row>
    <row r="979" s="52" customFormat="1" spans="1:57">
      <c r="A979" s="227"/>
      <c r="B979" s="332"/>
      <c r="C979" s="228"/>
      <c r="D979" s="333"/>
      <c r="E979" s="334"/>
      <c r="F979" s="229"/>
      <c r="G979" s="333"/>
      <c r="H979" s="335"/>
      <c r="I979" s="229"/>
      <c r="J979" s="229"/>
      <c r="K979" s="336"/>
      <c r="L979" s="337"/>
      <c r="M979" s="337"/>
      <c r="N979" s="337"/>
      <c r="O979" s="337"/>
      <c r="P979" s="337"/>
      <c r="Q979" s="372">
        <v>8310</v>
      </c>
      <c r="R979" s="271">
        <f t="shared" si="75"/>
        <v>0</v>
      </c>
      <c r="S979" s="339">
        <f t="shared" si="76"/>
        <v>0</v>
      </c>
      <c r="T979" s="373"/>
      <c r="U979" s="373">
        <f>FA!M$116</f>
        <v>0</v>
      </c>
      <c r="V979" s="274"/>
      <c r="W979" s="374"/>
      <c r="X979" s="375"/>
      <c r="Y979" s="30" t="s">
        <v>611</v>
      </c>
      <c r="Z979" s="376"/>
      <c r="AA979" s="240"/>
      <c r="AB979" s="345">
        <v>1</v>
      </c>
      <c r="AC979" s="271"/>
      <c r="AD979" s="272"/>
      <c r="AE979" s="273"/>
      <c r="AF979" s="273"/>
      <c r="AG979" s="274"/>
      <c r="AH979" s="275"/>
      <c r="AI979" s="272"/>
      <c r="AJ979" s="276"/>
      <c r="AK979" s="277"/>
      <c r="AL979" s="278"/>
      <c r="AM979" s="277"/>
      <c r="AN979" s="279" t="str">
        <f t="shared" si="74"/>
        <v/>
      </c>
      <c r="AO979" s="279"/>
      <c r="AP979" s="279" t="str">
        <f t="shared" si="73"/>
        <v/>
      </c>
      <c r="AQ979" s="279"/>
      <c r="AR979" s="305">
        <f>'预算书-初步'!$F$10</f>
        <v>0.09</v>
      </c>
      <c r="AT979" s="272"/>
      <c r="BC979" s="272" t="s">
        <v>521</v>
      </c>
      <c r="BD979" s="346">
        <v>1105</v>
      </c>
      <c r="BE979" s="347" t="s">
        <v>704</v>
      </c>
    </row>
    <row r="980" s="52" customFormat="1" ht="15.75" customHeight="1" spans="1:57">
      <c r="A980" s="227"/>
      <c r="B980" s="332"/>
      <c r="C980" s="228"/>
      <c r="D980" s="333"/>
      <c r="E980" s="334"/>
      <c r="F980" s="229"/>
      <c r="G980" s="333"/>
      <c r="H980" s="335"/>
      <c r="I980" s="229"/>
      <c r="J980" s="229"/>
      <c r="K980" s="336"/>
      <c r="L980" s="337"/>
      <c r="M980" s="337"/>
      <c r="N980" s="337"/>
      <c r="O980" s="337"/>
      <c r="P980" s="337"/>
      <c r="Q980" s="372">
        <v>8457</v>
      </c>
      <c r="R980" s="271">
        <f t="shared" si="75"/>
        <v>0</v>
      </c>
      <c r="S980" s="339">
        <f t="shared" si="76"/>
        <v>0</v>
      </c>
      <c r="T980" s="373"/>
      <c r="U980" s="373">
        <f>FA!M$150</f>
        <v>0</v>
      </c>
      <c r="V980" s="274"/>
      <c r="W980" s="374"/>
      <c r="X980" s="375"/>
      <c r="Y980" s="30" t="s">
        <v>612</v>
      </c>
      <c r="Z980" s="376"/>
      <c r="AA980" s="240"/>
      <c r="AB980" s="345">
        <v>1</v>
      </c>
      <c r="AC980" s="271"/>
      <c r="AD980" s="272"/>
      <c r="AE980" s="273"/>
      <c r="AF980" s="273"/>
      <c r="AG980" s="274"/>
      <c r="AH980" s="275"/>
      <c r="AI980" s="272"/>
      <c r="AJ980" s="276"/>
      <c r="AK980" s="277"/>
      <c r="AL980" s="278"/>
      <c r="AM980" s="277"/>
      <c r="AN980" s="279" t="str">
        <f t="shared" si="74"/>
        <v/>
      </c>
      <c r="AO980" s="279"/>
      <c r="AP980" s="279" t="str">
        <f t="shared" si="73"/>
        <v/>
      </c>
      <c r="AQ980" s="279"/>
      <c r="AR980" s="305">
        <f>'预算书-初步'!$F$10</f>
        <v>0.09</v>
      </c>
      <c r="AT980" s="272"/>
      <c r="BC980" s="272" t="s">
        <v>521</v>
      </c>
      <c r="BD980" s="346">
        <v>1139</v>
      </c>
      <c r="BE980" s="347" t="s">
        <v>704</v>
      </c>
    </row>
    <row r="981" s="52" customFormat="1" spans="1:57">
      <c r="A981" s="227"/>
      <c r="B981" s="332"/>
      <c r="C981" s="228"/>
      <c r="D981" s="333"/>
      <c r="E981" s="334"/>
      <c r="Q981" s="372">
        <v>8500</v>
      </c>
      <c r="R981" s="271">
        <f t="shared" si="75"/>
        <v>0</v>
      </c>
      <c r="S981" s="339">
        <f t="shared" si="76"/>
        <v>0</v>
      </c>
      <c r="T981" s="373"/>
      <c r="U981" s="373">
        <f>FA!M$160</f>
        <v>0</v>
      </c>
      <c r="V981" s="274"/>
      <c r="W981" s="374"/>
      <c r="X981" s="375"/>
      <c r="Y981" s="30" t="s">
        <v>613</v>
      </c>
      <c r="Z981" s="376"/>
      <c r="AA981" s="240"/>
      <c r="AB981" s="345">
        <v>1</v>
      </c>
      <c r="AC981" s="271"/>
      <c r="AD981" s="272"/>
      <c r="AE981" s="273"/>
      <c r="AF981" s="273"/>
      <c r="AG981" s="274"/>
      <c r="AH981" s="275"/>
      <c r="AI981" s="272"/>
      <c r="AJ981" s="276"/>
      <c r="AK981" s="277"/>
      <c r="AL981" s="278"/>
      <c r="AM981" s="277"/>
      <c r="AN981" s="279" t="str">
        <f t="shared" si="74"/>
        <v/>
      </c>
      <c r="AO981" s="279"/>
      <c r="AP981" s="279" t="str">
        <f t="shared" si="73"/>
        <v/>
      </c>
      <c r="AQ981" s="378"/>
      <c r="AR981" s="305">
        <f>'预算书-初步'!$F$10</f>
        <v>0.09</v>
      </c>
      <c r="AT981" s="272"/>
      <c r="BC981" s="272" t="s">
        <v>521</v>
      </c>
      <c r="BD981" s="346">
        <v>1157</v>
      </c>
      <c r="BE981" s="347" t="s">
        <v>704</v>
      </c>
    </row>
    <row r="982" s="52" customFormat="1" spans="1:57">
      <c r="A982" s="227"/>
      <c r="B982" s="332"/>
      <c r="C982" s="228"/>
      <c r="D982" s="333"/>
      <c r="E982" s="334"/>
      <c r="F982" s="229"/>
      <c r="G982" s="333"/>
      <c r="H982" s="335"/>
      <c r="I982" s="229"/>
      <c r="J982" s="229"/>
      <c r="K982" s="336"/>
      <c r="L982" s="337"/>
      <c r="M982" s="337"/>
      <c r="N982" s="337"/>
      <c r="O982" s="337"/>
      <c r="P982" s="337"/>
      <c r="Q982" s="379">
        <v>9999</v>
      </c>
      <c r="R982" s="271">
        <f t="shared" si="75"/>
        <v>0</v>
      </c>
      <c r="S982" s="339">
        <f t="shared" si="76"/>
        <v>0</v>
      </c>
      <c r="T982" s="373"/>
      <c r="U982" s="373">
        <f>FA!M$24</f>
        <v>0</v>
      </c>
      <c r="V982" s="274"/>
      <c r="W982" s="374"/>
      <c r="X982" s="375"/>
      <c r="Y982" s="44" t="s">
        <v>40</v>
      </c>
      <c r="Z982" s="376"/>
      <c r="AA982" s="240"/>
      <c r="AB982" s="345">
        <v>1</v>
      </c>
      <c r="AC982" s="271"/>
      <c r="AD982" s="272"/>
      <c r="AE982" s="273"/>
      <c r="AF982" s="273"/>
      <c r="AG982" s="274"/>
      <c r="AH982" s="275"/>
      <c r="AI982" s="272"/>
      <c r="AJ982" s="276"/>
      <c r="AK982" s="277"/>
      <c r="AL982" s="278"/>
      <c r="AM982" s="277"/>
      <c r="AN982" s="279"/>
      <c r="AO982" s="279"/>
      <c r="AP982" s="279"/>
      <c r="AQ982" s="378"/>
      <c r="AR982" s="305">
        <f>'预算书-初步'!$F$10</f>
        <v>0.09</v>
      </c>
      <c r="AT982" s="272"/>
      <c r="BC982" s="272" t="s">
        <v>521</v>
      </c>
      <c r="BD982" s="380">
        <v>1013</v>
      </c>
      <c r="BE982" s="347" t="s">
        <v>704</v>
      </c>
    </row>
    <row r="983" s="52" customFormat="1" spans="1:57">
      <c r="A983" s="227"/>
      <c r="B983" s="332"/>
      <c r="C983" s="228"/>
      <c r="D983" s="333"/>
      <c r="E983" s="334"/>
      <c r="F983" s="229"/>
      <c r="G983" s="333"/>
      <c r="H983" s="335"/>
      <c r="I983" s="229"/>
      <c r="J983" s="229"/>
      <c r="K983" s="336"/>
      <c r="L983" s="337"/>
      <c r="M983" s="337"/>
      <c r="N983" s="337"/>
      <c r="O983" s="337"/>
      <c r="P983" s="337"/>
      <c r="Q983" s="379">
        <v>7001</v>
      </c>
      <c r="R983" s="271">
        <f t="shared" si="75"/>
        <v>0</v>
      </c>
      <c r="S983" s="339">
        <f t="shared" si="76"/>
        <v>0</v>
      </c>
      <c r="T983" s="373"/>
      <c r="U983" s="373">
        <f>FA!M$25</f>
        <v>0</v>
      </c>
      <c r="V983" s="274"/>
      <c r="W983" s="374"/>
      <c r="X983" s="375"/>
      <c r="Y983" s="44" t="s">
        <v>614</v>
      </c>
      <c r="Z983" s="376"/>
      <c r="AA983" s="240"/>
      <c r="AB983" s="345">
        <v>1</v>
      </c>
      <c r="AC983" s="271"/>
      <c r="AD983" s="272"/>
      <c r="AE983" s="273"/>
      <c r="AF983" s="273"/>
      <c r="AG983" s="274"/>
      <c r="AH983" s="275"/>
      <c r="AI983" s="272"/>
      <c r="AJ983" s="276"/>
      <c r="AK983" s="277"/>
      <c r="AL983" s="278"/>
      <c r="AM983" s="277"/>
      <c r="AN983" s="279"/>
      <c r="AO983" s="279"/>
      <c r="AP983" s="279"/>
      <c r="AQ983" s="378"/>
      <c r="AR983" s="305">
        <f>'预算书-初步'!$F$10</f>
        <v>0.09</v>
      </c>
      <c r="AT983" s="272"/>
      <c r="BC983" s="272" t="s">
        <v>521</v>
      </c>
      <c r="BD983" s="380">
        <v>1014</v>
      </c>
      <c r="BE983" s="347" t="s">
        <v>704</v>
      </c>
    </row>
    <row r="984" s="52" customFormat="1" spans="1:57">
      <c r="A984" s="227"/>
      <c r="B984" s="332"/>
      <c r="C984" s="228"/>
      <c r="D984" s="333"/>
      <c r="E984" s="334"/>
      <c r="F984" s="229"/>
      <c r="G984" s="333"/>
      <c r="H984" s="335"/>
      <c r="I984" s="229"/>
      <c r="J984" s="229"/>
      <c r="K984" s="336"/>
      <c r="L984" s="337"/>
      <c r="M984" s="337"/>
      <c r="N984" s="337"/>
      <c r="O984" s="337"/>
      <c r="P984" s="337"/>
      <c r="Q984" s="379">
        <v>7012</v>
      </c>
      <c r="R984" s="271">
        <f t="shared" si="75"/>
        <v>0</v>
      </c>
      <c r="S984" s="339">
        <f t="shared" si="76"/>
        <v>0</v>
      </c>
      <c r="T984" s="373"/>
      <c r="U984" s="373">
        <f>FA!M$26</f>
        <v>0</v>
      </c>
      <c r="V984" s="274"/>
      <c r="W984" s="374"/>
      <c r="X984" s="375"/>
      <c r="Y984" s="45" t="s">
        <v>615</v>
      </c>
      <c r="Z984" s="376"/>
      <c r="AA984" s="240"/>
      <c r="AB984" s="345">
        <v>1</v>
      </c>
      <c r="AC984" s="271"/>
      <c r="AD984" s="272"/>
      <c r="AE984" s="273"/>
      <c r="AF984" s="273"/>
      <c r="AG984" s="274"/>
      <c r="AH984" s="275"/>
      <c r="AI984" s="272"/>
      <c r="AJ984" s="276"/>
      <c r="AK984" s="277"/>
      <c r="AL984" s="278"/>
      <c r="AM984" s="277"/>
      <c r="AN984" s="279"/>
      <c r="AO984" s="279"/>
      <c r="AP984" s="279"/>
      <c r="AQ984" s="378"/>
      <c r="AR984" s="305">
        <f>'预算书-初步'!$F$10</f>
        <v>0.09</v>
      </c>
      <c r="AT984" s="272"/>
      <c r="BC984" s="272" t="s">
        <v>521</v>
      </c>
      <c r="BD984" s="380">
        <v>1015</v>
      </c>
      <c r="BE984" s="347" t="s">
        <v>704</v>
      </c>
    </row>
    <row r="985" s="52" customFormat="1" ht="15.75" customHeight="1" spans="1:57">
      <c r="A985" s="227"/>
      <c r="B985" s="332"/>
      <c r="C985" s="228"/>
      <c r="D985" s="333"/>
      <c r="E985" s="334"/>
      <c r="F985" s="229"/>
      <c r="G985" s="333"/>
      <c r="H985" s="335"/>
      <c r="I985" s="229"/>
      <c r="J985" s="229"/>
      <c r="K985" s="336"/>
      <c r="L985" s="337"/>
      <c r="M985" s="337"/>
      <c r="N985" s="337"/>
      <c r="O985" s="337"/>
      <c r="P985" s="337"/>
      <c r="Q985" s="381">
        <v>1650</v>
      </c>
      <c r="R985" s="271">
        <f t="shared" si="75"/>
        <v>0</v>
      </c>
      <c r="S985" s="339">
        <f t="shared" si="76"/>
        <v>0</v>
      </c>
      <c r="T985" s="373"/>
      <c r="U985" s="373">
        <f>FA!M$89</f>
        <v>0</v>
      </c>
      <c r="V985" s="274"/>
      <c r="W985" s="374"/>
      <c r="X985" s="375"/>
      <c r="Y985" s="45" t="s">
        <v>616</v>
      </c>
      <c r="Z985" s="376"/>
      <c r="AA985" s="240"/>
      <c r="AB985" s="345">
        <v>1</v>
      </c>
      <c r="AC985" s="271"/>
      <c r="AD985" s="272"/>
      <c r="AE985" s="273"/>
      <c r="AF985" s="273"/>
      <c r="AG985" s="274"/>
      <c r="AH985" s="275"/>
      <c r="AI985" s="272"/>
      <c r="AJ985" s="276"/>
      <c r="AK985" s="277"/>
      <c r="AL985" s="278"/>
      <c r="AM985" s="277"/>
      <c r="AN985" s="279"/>
      <c r="AO985" s="279"/>
      <c r="AP985" s="279"/>
      <c r="AQ985" s="378"/>
      <c r="AR985" s="305">
        <f>'预算书-初步'!$F$10</f>
        <v>0.09</v>
      </c>
      <c r="AT985" s="272"/>
      <c r="BC985" s="272" t="s">
        <v>521</v>
      </c>
      <c r="BD985" s="380">
        <v>1078</v>
      </c>
      <c r="BE985" s="347" t="s">
        <v>704</v>
      </c>
    </row>
    <row r="986" s="52" customFormat="1" ht="15.75" customHeight="1" spans="1:57">
      <c r="A986" s="227"/>
      <c r="B986" s="332"/>
      <c r="C986" s="228"/>
      <c r="D986" s="333"/>
      <c r="E986" s="334"/>
      <c r="F986" s="229"/>
      <c r="G986" s="333"/>
      <c r="H986" s="335"/>
      <c r="I986" s="229"/>
      <c r="J986" s="229"/>
      <c r="K986" s="336"/>
      <c r="L986" s="337"/>
      <c r="M986" s="337"/>
      <c r="N986" s="337"/>
      <c r="O986" s="337"/>
      <c r="P986" s="337"/>
      <c r="Q986" s="384">
        <v>3711</v>
      </c>
      <c r="R986" s="271">
        <f t="shared" si="75"/>
        <v>0</v>
      </c>
      <c r="S986" s="339">
        <f t="shared" si="76"/>
        <v>0</v>
      </c>
      <c r="T986" s="373"/>
      <c r="U986" s="373">
        <f>SUMIF(其他!$A$9:$A$65,"3711",其他!$O$9:O$65)</f>
        <v>0</v>
      </c>
      <c r="V986" s="274"/>
      <c r="W986" s="374"/>
      <c r="X986" s="375"/>
      <c r="Y986" s="45" t="s">
        <v>617</v>
      </c>
      <c r="Z986" s="376"/>
      <c r="AA986" s="240"/>
      <c r="AB986" s="345">
        <v>1</v>
      </c>
      <c r="AC986" s="271"/>
      <c r="AD986" s="272"/>
      <c r="AE986" s="273"/>
      <c r="AF986" s="273"/>
      <c r="AG986" s="274"/>
      <c r="AH986" s="275"/>
      <c r="AI986" s="272"/>
      <c r="AJ986" s="276"/>
      <c r="AK986" s="277"/>
      <c r="AL986" s="278"/>
      <c r="AM986" s="277"/>
      <c r="AN986" s="279"/>
      <c r="AO986" s="279"/>
      <c r="AP986" s="279"/>
      <c r="AQ986" s="378"/>
      <c r="AR986" s="305">
        <f>'预算书-初步'!$F$10</f>
        <v>0.09</v>
      </c>
      <c r="AT986" s="272"/>
      <c r="BC986" s="272" t="s">
        <v>521</v>
      </c>
      <c r="BD986" s="380">
        <v>1082</v>
      </c>
      <c r="BE986" s="347" t="s">
        <v>704</v>
      </c>
    </row>
    <row r="987" s="52" customFormat="1" ht="15.75" customHeight="1" spans="1:57">
      <c r="A987" s="227"/>
      <c r="B987" s="332"/>
      <c r="C987" s="228"/>
      <c r="D987" s="333"/>
      <c r="E987" s="334"/>
      <c r="F987" s="229"/>
      <c r="G987" s="333"/>
      <c r="H987" s="335"/>
      <c r="I987" s="229"/>
      <c r="J987" s="229"/>
      <c r="K987" s="336"/>
      <c r="L987" s="337"/>
      <c r="M987" s="337"/>
      <c r="N987" s="337"/>
      <c r="O987" s="337"/>
      <c r="P987" s="337"/>
      <c r="Q987" s="384">
        <v>3712</v>
      </c>
      <c r="R987" s="271">
        <f t="shared" si="75"/>
        <v>0</v>
      </c>
      <c r="S987" s="339">
        <f t="shared" si="76"/>
        <v>0</v>
      </c>
      <c r="T987" s="373"/>
      <c r="U987" s="373">
        <f>SUMIF(其他!$A$9:$A$65,"3712",其他!$O$9:O$65)</f>
        <v>0</v>
      </c>
      <c r="V987" s="274"/>
      <c r="W987" s="374"/>
      <c r="X987" s="375"/>
      <c r="Y987" s="45" t="s">
        <v>618</v>
      </c>
      <c r="Z987" s="376"/>
      <c r="AA987" s="240"/>
      <c r="AB987" s="345">
        <v>1</v>
      </c>
      <c r="AC987" s="271"/>
      <c r="AD987" s="272"/>
      <c r="AE987" s="273"/>
      <c r="AF987" s="273"/>
      <c r="AG987" s="274"/>
      <c r="AH987" s="275"/>
      <c r="AI987" s="272"/>
      <c r="AJ987" s="276"/>
      <c r="AK987" s="277"/>
      <c r="AL987" s="278"/>
      <c r="AM987" s="277"/>
      <c r="AN987" s="279"/>
      <c r="AO987" s="279"/>
      <c r="AP987" s="279"/>
      <c r="AQ987" s="378"/>
      <c r="AR987" s="305">
        <f>'预算书-初步'!$F$10</f>
        <v>0.09</v>
      </c>
      <c r="AT987" s="272"/>
      <c r="BC987" s="272" t="s">
        <v>521</v>
      </c>
      <c r="BD987" s="380">
        <v>1082</v>
      </c>
      <c r="BE987" s="347" t="s">
        <v>704</v>
      </c>
    </row>
    <row r="988" s="52" customFormat="1" ht="15.75" customHeight="1" spans="1:57">
      <c r="A988" s="227"/>
      <c r="B988" s="332"/>
      <c r="C988" s="228"/>
      <c r="D988" s="333"/>
      <c r="E988" s="334"/>
      <c r="F988" s="229"/>
      <c r="G988" s="333"/>
      <c r="H988" s="335"/>
      <c r="I988" s="229"/>
      <c r="J988" s="229"/>
      <c r="K988" s="336"/>
      <c r="L988" s="337"/>
      <c r="M988" s="337"/>
      <c r="N988" s="337"/>
      <c r="O988" s="337"/>
      <c r="P988" s="337"/>
      <c r="Q988" s="384">
        <v>3713</v>
      </c>
      <c r="R988" s="271">
        <f t="shared" si="75"/>
        <v>0</v>
      </c>
      <c r="S988" s="339">
        <f t="shared" si="76"/>
        <v>0</v>
      </c>
      <c r="T988" s="373"/>
      <c r="U988" s="373">
        <f>SUMIF(其他!$A$9:$A$65,"3713",其他!$O$9:O$65)</f>
        <v>0</v>
      </c>
      <c r="V988" s="274"/>
      <c r="W988" s="374"/>
      <c r="X988" s="375"/>
      <c r="Y988" s="45" t="s">
        <v>619</v>
      </c>
      <c r="Z988" s="376"/>
      <c r="AA988" s="240"/>
      <c r="AB988" s="345">
        <v>1</v>
      </c>
      <c r="AC988" s="271"/>
      <c r="AD988" s="272"/>
      <c r="AE988" s="273"/>
      <c r="AF988" s="273"/>
      <c r="AG988" s="274"/>
      <c r="AH988" s="275"/>
      <c r="AI988" s="272"/>
      <c r="AJ988" s="276"/>
      <c r="AK988" s="277"/>
      <c r="AL988" s="278"/>
      <c r="AM988" s="277"/>
      <c r="AN988" s="279"/>
      <c r="AO988" s="279"/>
      <c r="AP988" s="279"/>
      <c r="AQ988" s="378"/>
      <c r="AR988" s="305">
        <f>'预算书-初步'!$F$10</f>
        <v>0.09</v>
      </c>
      <c r="AT988" s="272"/>
      <c r="BC988" s="272" t="s">
        <v>521</v>
      </c>
      <c r="BD988" s="380">
        <v>1082</v>
      </c>
      <c r="BE988" s="347" t="s">
        <v>704</v>
      </c>
    </row>
    <row r="989" s="52" customFormat="1" ht="15.75" customHeight="1" spans="1:57">
      <c r="A989" s="227"/>
      <c r="B989" s="332"/>
      <c r="C989" s="228"/>
      <c r="D989" s="333"/>
      <c r="E989" s="334"/>
      <c r="F989" s="229"/>
      <c r="G989" s="333"/>
      <c r="H989" s="335"/>
      <c r="I989" s="229"/>
      <c r="J989" s="229"/>
      <c r="K989" s="336"/>
      <c r="L989" s="337"/>
      <c r="M989" s="337"/>
      <c r="N989" s="337"/>
      <c r="O989" s="337"/>
      <c r="P989" s="337"/>
      <c r="Q989" s="384">
        <v>3714</v>
      </c>
      <c r="R989" s="271">
        <f t="shared" si="75"/>
        <v>0</v>
      </c>
      <c r="S989" s="339">
        <f t="shared" si="76"/>
        <v>0</v>
      </c>
      <c r="T989" s="373"/>
      <c r="U989" s="373">
        <f>SUMIF(其他!$A$9:$A$65,"3714",其他!$O$9:O$65)</f>
        <v>0</v>
      </c>
      <c r="V989" s="274"/>
      <c r="W989" s="374"/>
      <c r="X989" s="375"/>
      <c r="Y989" s="45" t="s">
        <v>620</v>
      </c>
      <c r="Z989" s="376"/>
      <c r="AA989" s="240"/>
      <c r="AB989" s="345">
        <v>1</v>
      </c>
      <c r="AC989" s="271"/>
      <c r="AD989" s="272"/>
      <c r="AE989" s="273"/>
      <c r="AF989" s="273"/>
      <c r="AG989" s="274"/>
      <c r="AH989" s="275"/>
      <c r="AI989" s="272"/>
      <c r="AJ989" s="276"/>
      <c r="AK989" s="277"/>
      <c r="AL989" s="278"/>
      <c r="AM989" s="277"/>
      <c r="AN989" s="279"/>
      <c r="AO989" s="279"/>
      <c r="AP989" s="279"/>
      <c r="AQ989" s="378"/>
      <c r="AR989" s="305">
        <f>'预算书-初步'!$F$10</f>
        <v>0.09</v>
      </c>
      <c r="AT989" s="272"/>
      <c r="BC989" s="272" t="s">
        <v>521</v>
      </c>
      <c r="BD989" s="380">
        <v>1082</v>
      </c>
      <c r="BE989" s="347" t="s">
        <v>704</v>
      </c>
    </row>
    <row r="990" s="52" customFormat="1" ht="15.75" customHeight="1" spans="1:57">
      <c r="A990" s="227"/>
      <c r="B990" s="332"/>
      <c r="C990" s="228"/>
      <c r="D990" s="333"/>
      <c r="E990" s="334"/>
      <c r="F990" s="229"/>
      <c r="G990" s="333"/>
      <c r="H990" s="335"/>
      <c r="I990" s="229"/>
      <c r="J990" s="229"/>
      <c r="K990" s="336"/>
      <c r="L990" s="337"/>
      <c r="M990" s="337"/>
      <c r="N990" s="337"/>
      <c r="O990" s="337"/>
      <c r="P990" s="337"/>
      <c r="Q990" s="384">
        <v>3792</v>
      </c>
      <c r="R990" s="271">
        <f t="shared" si="75"/>
        <v>0</v>
      </c>
      <c r="S990" s="339">
        <f t="shared" si="76"/>
        <v>0</v>
      </c>
      <c r="T990" s="373"/>
      <c r="U990" s="373">
        <f>SUMIF(其他!$A$9:$A$65,"3792",其他!$O$9:O$65)</f>
        <v>0</v>
      </c>
      <c r="V990" s="274"/>
      <c r="W990" s="374"/>
      <c r="X990" s="375"/>
      <c r="Y990" s="45" t="s">
        <v>621</v>
      </c>
      <c r="Z990" s="376"/>
      <c r="AA990" s="240"/>
      <c r="AB990" s="345">
        <v>1</v>
      </c>
      <c r="AC990" s="271"/>
      <c r="AD990" s="272"/>
      <c r="AE990" s="273"/>
      <c r="AF990" s="273"/>
      <c r="AG990" s="274"/>
      <c r="AH990" s="275"/>
      <c r="AI990" s="272"/>
      <c r="AJ990" s="276"/>
      <c r="AK990" s="277"/>
      <c r="AL990" s="278"/>
      <c r="AM990" s="277"/>
      <c r="AN990" s="279"/>
      <c r="AO990" s="279"/>
      <c r="AP990" s="279"/>
      <c r="AQ990" s="378"/>
      <c r="AR990" s="305">
        <f>'预算书-初步'!$F$10</f>
        <v>0.09</v>
      </c>
      <c r="AT990" s="272"/>
      <c r="BC990" s="272" t="s">
        <v>521</v>
      </c>
      <c r="BD990" s="380">
        <v>1085</v>
      </c>
      <c r="BE990" s="347" t="s">
        <v>704</v>
      </c>
    </row>
    <row r="991" s="52" customFormat="1" ht="15.75" customHeight="1" spans="1:57">
      <c r="A991" s="227"/>
      <c r="B991" s="332"/>
      <c r="C991" s="228"/>
      <c r="D991" s="333"/>
      <c r="E991" s="334"/>
      <c r="F991" s="229"/>
      <c r="G991" s="333"/>
      <c r="H991" s="335"/>
      <c r="I991" s="229"/>
      <c r="J991" s="229"/>
      <c r="K991" s="336"/>
      <c r="L991" s="337"/>
      <c r="M991" s="337"/>
      <c r="N991" s="337"/>
      <c r="O991" s="337"/>
      <c r="P991" s="337"/>
      <c r="Q991" s="384">
        <v>3793</v>
      </c>
      <c r="R991" s="271">
        <f t="shared" si="75"/>
        <v>0</v>
      </c>
      <c r="S991" s="339">
        <f t="shared" si="76"/>
        <v>0</v>
      </c>
      <c r="T991" s="373"/>
      <c r="U991" s="373">
        <f>SUMIF(其他!$A$9:$A$65,"3793",其他!$O$9:O$65)</f>
        <v>0</v>
      </c>
      <c r="V991" s="274"/>
      <c r="W991" s="374"/>
      <c r="X991" s="375"/>
      <c r="Y991" s="45" t="s">
        <v>622</v>
      </c>
      <c r="Z991" s="376"/>
      <c r="AA991" s="240"/>
      <c r="AB991" s="345">
        <v>1</v>
      </c>
      <c r="AC991" s="271"/>
      <c r="AD991" s="272"/>
      <c r="AE991" s="273"/>
      <c r="AF991" s="273"/>
      <c r="AG991" s="274"/>
      <c r="AH991" s="275"/>
      <c r="AI991" s="272"/>
      <c r="AJ991" s="276"/>
      <c r="AK991" s="277"/>
      <c r="AL991" s="278"/>
      <c r="AM991" s="277"/>
      <c r="AN991" s="279"/>
      <c r="AO991" s="279"/>
      <c r="AP991" s="279"/>
      <c r="AQ991" s="378"/>
      <c r="AR991" s="305">
        <f>'预算书-初步'!$F$10</f>
        <v>0.09</v>
      </c>
      <c r="AT991" s="272"/>
      <c r="BC991" s="272" t="s">
        <v>521</v>
      </c>
      <c r="BD991" s="380">
        <v>1085</v>
      </c>
      <c r="BE991" s="347" t="s">
        <v>704</v>
      </c>
    </row>
    <row r="992" s="52" customFormat="1" ht="15.75" customHeight="1" spans="1:57">
      <c r="A992" s="227"/>
      <c r="B992" s="332"/>
      <c r="C992" s="228"/>
      <c r="D992" s="333"/>
      <c r="E992" s="334"/>
      <c r="F992" s="229"/>
      <c r="G992" s="333"/>
      <c r="H992" s="335"/>
      <c r="I992" s="229"/>
      <c r="J992" s="229"/>
      <c r="K992" s="336"/>
      <c r="L992" s="337"/>
      <c r="M992" s="337"/>
      <c r="N992" s="337"/>
      <c r="O992" s="337"/>
      <c r="P992" s="337"/>
      <c r="Q992" s="384">
        <v>3794</v>
      </c>
      <c r="R992" s="271">
        <f t="shared" si="75"/>
        <v>0</v>
      </c>
      <c r="S992" s="339">
        <f t="shared" si="76"/>
        <v>0</v>
      </c>
      <c r="T992" s="373"/>
      <c r="U992" s="373">
        <f>SUMIF(其他!$A$9:$A$65,"3794",其他!$O$9:O$65)</f>
        <v>0</v>
      </c>
      <c r="V992" s="274"/>
      <c r="W992" s="374"/>
      <c r="X992" s="375"/>
      <c r="Y992" s="45" t="s">
        <v>623</v>
      </c>
      <c r="Z992" s="376"/>
      <c r="AA992" s="240"/>
      <c r="AB992" s="345">
        <v>1</v>
      </c>
      <c r="AC992" s="271"/>
      <c r="AD992" s="272"/>
      <c r="AE992" s="273"/>
      <c r="AF992" s="273"/>
      <c r="AG992" s="274"/>
      <c r="AH992" s="275"/>
      <c r="AI992" s="272"/>
      <c r="AJ992" s="276"/>
      <c r="AK992" s="277"/>
      <c r="AL992" s="278"/>
      <c r="AM992" s="277"/>
      <c r="AN992" s="279"/>
      <c r="AO992" s="279"/>
      <c r="AP992" s="279"/>
      <c r="AQ992" s="378"/>
      <c r="AR992" s="305">
        <f>'预算书-初步'!$F$10</f>
        <v>0.09</v>
      </c>
      <c r="AT992" s="272"/>
      <c r="BC992" s="272" t="s">
        <v>521</v>
      </c>
      <c r="BD992" s="380">
        <v>1085</v>
      </c>
      <c r="BE992" s="347" t="s">
        <v>704</v>
      </c>
    </row>
    <row r="993" s="52" customFormat="1" ht="15.75" customHeight="1" spans="1:57">
      <c r="A993" s="227"/>
      <c r="B993" s="332"/>
      <c r="C993" s="228"/>
      <c r="D993" s="333"/>
      <c r="E993" s="334"/>
      <c r="F993" s="229"/>
      <c r="G993" s="333"/>
      <c r="H993" s="335"/>
      <c r="I993" s="229"/>
      <c r="J993" s="229"/>
      <c r="K993" s="336"/>
      <c r="L993" s="337"/>
      <c r="M993" s="337"/>
      <c r="N993" s="337"/>
      <c r="O993" s="337"/>
      <c r="P993" s="337"/>
      <c r="Q993" s="384">
        <v>8110</v>
      </c>
      <c r="R993" s="271">
        <f t="shared" si="75"/>
        <v>0</v>
      </c>
      <c r="S993" s="339">
        <f t="shared" si="76"/>
        <v>0</v>
      </c>
      <c r="T993" s="373"/>
      <c r="U993" s="373">
        <f>FA!M$99</f>
        <v>0</v>
      </c>
      <c r="V993" s="274"/>
      <c r="W993" s="374"/>
      <c r="X993" s="375"/>
      <c r="Y993" s="45" t="s">
        <v>624</v>
      </c>
      <c r="Z993" s="376"/>
      <c r="AA993" s="240"/>
      <c r="AB993" s="345">
        <v>1</v>
      </c>
      <c r="AC993" s="271"/>
      <c r="AD993" s="272"/>
      <c r="AE993" s="273"/>
      <c r="AF993" s="273"/>
      <c r="AG993" s="274"/>
      <c r="AH993" s="275"/>
      <c r="AI993" s="272"/>
      <c r="AJ993" s="276"/>
      <c r="AK993" s="277"/>
      <c r="AL993" s="278"/>
      <c r="AM993" s="277"/>
      <c r="AN993" s="279"/>
      <c r="AO993" s="279"/>
      <c r="AP993" s="279"/>
      <c r="AQ993" s="378"/>
      <c r="AR993" s="305">
        <f>'预算书-初步'!$F$10</f>
        <v>0.09</v>
      </c>
      <c r="AT993" s="272"/>
      <c r="BC993" s="272" t="s">
        <v>521</v>
      </c>
      <c r="BD993" s="380">
        <v>1088</v>
      </c>
      <c r="BE993" s="347" t="s">
        <v>704</v>
      </c>
    </row>
    <row r="994" s="52" customFormat="1" ht="15.75" customHeight="1" spans="1:57">
      <c r="A994" s="227"/>
      <c r="B994" s="332"/>
      <c r="C994" s="228"/>
      <c r="D994" s="333"/>
      <c r="E994" s="334"/>
      <c r="F994" s="229"/>
      <c r="G994" s="333"/>
      <c r="H994" s="335"/>
      <c r="I994" s="229"/>
      <c r="J994" s="229"/>
      <c r="K994" s="336"/>
      <c r="L994" s="337"/>
      <c r="M994" s="337"/>
      <c r="N994" s="337"/>
      <c r="O994" s="337"/>
      <c r="P994" s="337"/>
      <c r="Q994" s="384">
        <v>8120</v>
      </c>
      <c r="R994" s="271">
        <f t="shared" si="75"/>
        <v>0</v>
      </c>
      <c r="S994" s="339">
        <f t="shared" si="76"/>
        <v>0</v>
      </c>
      <c r="T994" s="373"/>
      <c r="U994" s="373">
        <f>FA!M$100</f>
        <v>0</v>
      </c>
      <c r="V994" s="274"/>
      <c r="W994" s="374"/>
      <c r="X994" s="375"/>
      <c r="Y994" s="385" t="s">
        <v>625</v>
      </c>
      <c r="Z994" s="376"/>
      <c r="AA994" s="240"/>
      <c r="AB994" s="345">
        <v>1</v>
      </c>
      <c r="AC994" s="271"/>
      <c r="AD994" s="272"/>
      <c r="AE994" s="273"/>
      <c r="AF994" s="273"/>
      <c r="AG994" s="274"/>
      <c r="AH994" s="275"/>
      <c r="AI994" s="272"/>
      <c r="AJ994" s="276"/>
      <c r="AK994" s="277"/>
      <c r="AL994" s="278"/>
      <c r="AM994" s="277"/>
      <c r="AN994" s="279"/>
      <c r="AO994" s="279"/>
      <c r="AP994" s="279"/>
      <c r="AQ994" s="378"/>
      <c r="AR994" s="305">
        <f>'预算书-初步'!$F$10</f>
        <v>0.09</v>
      </c>
      <c r="AT994" s="272"/>
      <c r="BC994" s="272" t="s">
        <v>521</v>
      </c>
      <c r="BD994" s="380">
        <v>1089</v>
      </c>
      <c r="BE994" s="347" t="s">
        <v>704</v>
      </c>
    </row>
    <row r="995" s="52" customFormat="1" ht="15.75" customHeight="1" spans="1:57">
      <c r="A995" s="227"/>
      <c r="B995" s="332"/>
      <c r="C995" s="228"/>
      <c r="D995" s="333"/>
      <c r="E995" s="334"/>
      <c r="F995" s="229"/>
      <c r="G995" s="333"/>
      <c r="H995" s="335"/>
      <c r="I995" s="229"/>
      <c r="J995" s="229"/>
      <c r="K995" s="336"/>
      <c r="L995" s="337"/>
      <c r="M995" s="337"/>
      <c r="N995" s="337"/>
      <c r="O995" s="337"/>
      <c r="P995" s="337"/>
      <c r="Q995" s="384">
        <v>8130</v>
      </c>
      <c r="R995" s="271">
        <f t="shared" si="75"/>
        <v>0</v>
      </c>
      <c r="S995" s="339">
        <f t="shared" si="76"/>
        <v>0</v>
      </c>
      <c r="T995" s="373"/>
      <c r="U995" s="373">
        <f>FA!M$101</f>
        <v>0</v>
      </c>
      <c r="V995" s="274"/>
      <c r="W995" s="374"/>
      <c r="X995" s="375"/>
      <c r="Y995" s="365" t="s">
        <v>626</v>
      </c>
      <c r="Z995" s="376"/>
      <c r="AA995" s="240"/>
      <c r="AB995" s="345">
        <v>1</v>
      </c>
      <c r="AC995" s="271"/>
      <c r="AD995" s="272"/>
      <c r="AE995" s="273"/>
      <c r="AF995" s="273"/>
      <c r="AG995" s="274"/>
      <c r="AH995" s="275"/>
      <c r="AI995" s="272"/>
      <c r="AJ995" s="276"/>
      <c r="AK995" s="277"/>
      <c r="AL995" s="278"/>
      <c r="AM995" s="277"/>
      <c r="AN995" s="279"/>
      <c r="AO995" s="279"/>
      <c r="AP995" s="279"/>
      <c r="AQ995" s="378"/>
      <c r="AR995" s="305">
        <f>'预算书-初步'!$F$10</f>
        <v>0.09</v>
      </c>
      <c r="AT995" s="272"/>
      <c r="BC995" s="272" t="s">
        <v>521</v>
      </c>
      <c r="BD995" s="380">
        <v>1090</v>
      </c>
      <c r="BE995" s="347" t="s">
        <v>704</v>
      </c>
    </row>
    <row r="996" s="52" customFormat="1" ht="15.75" customHeight="1" spans="1:57">
      <c r="A996" s="227"/>
      <c r="B996" s="332"/>
      <c r="C996" s="228"/>
      <c r="D996" s="333"/>
      <c r="E996" s="334"/>
      <c r="F996" s="229"/>
      <c r="G996" s="333"/>
      <c r="H996" s="335"/>
      <c r="I996" s="229"/>
      <c r="J996" s="229"/>
      <c r="K996" s="336"/>
      <c r="L996" s="337"/>
      <c r="M996" s="337"/>
      <c r="N996" s="337"/>
      <c r="O996" s="337"/>
      <c r="P996" s="337"/>
      <c r="Q996" s="384">
        <v>8140</v>
      </c>
      <c r="R996" s="271">
        <f t="shared" si="75"/>
        <v>0</v>
      </c>
      <c r="S996" s="339">
        <f t="shared" si="76"/>
        <v>0</v>
      </c>
      <c r="T996" s="373"/>
      <c r="U996" s="373">
        <f>FA!M$102</f>
        <v>0</v>
      </c>
      <c r="V996" s="274"/>
      <c r="W996" s="374"/>
      <c r="X996" s="375"/>
      <c r="Y996" s="385" t="s">
        <v>627</v>
      </c>
      <c r="Z996" s="376"/>
      <c r="AA996" s="240"/>
      <c r="AB996" s="345">
        <v>1</v>
      </c>
      <c r="AC996" s="271"/>
      <c r="AD996" s="272"/>
      <c r="AE996" s="273"/>
      <c r="AF996" s="273"/>
      <c r="AG996" s="274"/>
      <c r="AH996" s="275"/>
      <c r="AI996" s="272"/>
      <c r="AJ996" s="276"/>
      <c r="AK996" s="277"/>
      <c r="AL996" s="278"/>
      <c r="AM996" s="277"/>
      <c r="AN996" s="279"/>
      <c r="AO996" s="279"/>
      <c r="AP996" s="279"/>
      <c r="AQ996" s="378"/>
      <c r="AR996" s="305">
        <f>'预算书-初步'!$F$10</f>
        <v>0.09</v>
      </c>
      <c r="AT996" s="272"/>
      <c r="BC996" s="272" t="s">
        <v>521</v>
      </c>
      <c r="BD996" s="380">
        <v>1091</v>
      </c>
      <c r="BE996" s="347" t="s">
        <v>704</v>
      </c>
    </row>
    <row r="997" s="52" customFormat="1" ht="15.75" customHeight="1" spans="1:57">
      <c r="A997" s="227"/>
      <c r="B997" s="332"/>
      <c r="C997" s="228"/>
      <c r="D997" s="333"/>
      <c r="E997" s="334"/>
      <c r="F997" s="229"/>
      <c r="G997" s="333"/>
      <c r="H997" s="335"/>
      <c r="I997" s="229"/>
      <c r="J997" s="229"/>
      <c r="K997" s="336"/>
      <c r="L997" s="337"/>
      <c r="M997" s="337"/>
      <c r="N997" s="337"/>
      <c r="O997" s="337"/>
      <c r="P997" s="337"/>
      <c r="Q997" s="384">
        <v>8150</v>
      </c>
      <c r="R997" s="271">
        <f t="shared" si="75"/>
        <v>0</v>
      </c>
      <c r="S997" s="339">
        <f t="shared" si="76"/>
        <v>0</v>
      </c>
      <c r="T997" s="373"/>
      <c r="U997" s="373">
        <f>FA!M$103</f>
        <v>0</v>
      </c>
      <c r="V997" s="274"/>
      <c r="W997" s="374"/>
      <c r="X997" s="375"/>
      <c r="Y997" s="365" t="s">
        <v>628</v>
      </c>
      <c r="Z997" s="376"/>
      <c r="AA997" s="240"/>
      <c r="AB997" s="345">
        <v>1</v>
      </c>
      <c r="AC997" s="271"/>
      <c r="AD997" s="272"/>
      <c r="AE997" s="273"/>
      <c r="AF997" s="273"/>
      <c r="AG997" s="274"/>
      <c r="AH997" s="275"/>
      <c r="AI997" s="272"/>
      <c r="AJ997" s="276"/>
      <c r="AK997" s="277"/>
      <c r="AL997" s="278"/>
      <c r="AM997" s="277"/>
      <c r="AN997" s="279"/>
      <c r="AO997" s="279"/>
      <c r="AP997" s="279"/>
      <c r="AQ997" s="378"/>
      <c r="AR997" s="305">
        <f>'预算书-初步'!$F$10</f>
        <v>0.09</v>
      </c>
      <c r="AT997" s="272"/>
      <c r="BC997" s="272" t="s">
        <v>521</v>
      </c>
      <c r="BD997" s="380">
        <v>1092</v>
      </c>
      <c r="BE997" s="347" t="s">
        <v>704</v>
      </c>
    </row>
    <row r="998" s="52" customFormat="1" ht="15.75" customHeight="1" spans="1:57">
      <c r="A998" s="227"/>
      <c r="B998" s="332"/>
      <c r="C998" s="228"/>
      <c r="D998" s="333"/>
      <c r="E998" s="334"/>
      <c r="F998" s="229"/>
      <c r="G998" s="333"/>
      <c r="H998" s="335"/>
      <c r="I998" s="229"/>
      <c r="J998" s="229"/>
      <c r="K998" s="336"/>
      <c r="L998" s="337"/>
      <c r="M998" s="337"/>
      <c r="N998" s="337"/>
      <c r="O998" s="337"/>
      <c r="P998" s="337"/>
      <c r="Q998" s="384">
        <v>8160</v>
      </c>
      <c r="R998" s="271">
        <f t="shared" si="75"/>
        <v>0</v>
      </c>
      <c r="S998" s="339">
        <f t="shared" si="76"/>
        <v>0</v>
      </c>
      <c r="T998" s="373"/>
      <c r="U998" s="373">
        <f>FA!M$104</f>
        <v>0</v>
      </c>
      <c r="V998" s="274"/>
      <c r="W998" s="374"/>
      <c r="X998" s="375"/>
      <c r="Y998" s="365" t="s">
        <v>629</v>
      </c>
      <c r="Z998" s="376"/>
      <c r="AA998" s="240"/>
      <c r="AB998" s="345">
        <v>1</v>
      </c>
      <c r="AC998" s="271"/>
      <c r="AD998" s="272"/>
      <c r="AE998" s="273"/>
      <c r="AF998" s="273"/>
      <c r="AG998" s="274"/>
      <c r="AH998" s="275"/>
      <c r="AI998" s="272"/>
      <c r="AJ998" s="276"/>
      <c r="AK998" s="277"/>
      <c r="AL998" s="278"/>
      <c r="AM998" s="277"/>
      <c r="AN998" s="279"/>
      <c r="AO998" s="279"/>
      <c r="AP998" s="279"/>
      <c r="AQ998" s="378"/>
      <c r="AR998" s="305">
        <f>'预算书-初步'!$F$10</f>
        <v>0.09</v>
      </c>
      <c r="AT998" s="272"/>
      <c r="BC998" s="272" t="s">
        <v>521</v>
      </c>
      <c r="BD998" s="380">
        <v>1093</v>
      </c>
      <c r="BE998" s="347" t="s">
        <v>704</v>
      </c>
    </row>
    <row r="999" s="52" customFormat="1" ht="15.75" customHeight="1" spans="1:57">
      <c r="A999" s="227"/>
      <c r="B999" s="332"/>
      <c r="C999" s="228"/>
      <c r="D999" s="333"/>
      <c r="E999" s="334"/>
      <c r="F999" s="229"/>
      <c r="G999" s="333"/>
      <c r="H999" s="335"/>
      <c r="I999" s="229"/>
      <c r="J999" s="229"/>
      <c r="K999" s="336"/>
      <c r="L999" s="337"/>
      <c r="M999" s="337"/>
      <c r="N999" s="337"/>
      <c r="O999" s="337"/>
      <c r="P999" s="337"/>
      <c r="Q999" s="384">
        <v>8170</v>
      </c>
      <c r="R999" s="271">
        <f t="shared" si="75"/>
        <v>0</v>
      </c>
      <c r="S999" s="339">
        <f t="shared" si="76"/>
        <v>0</v>
      </c>
      <c r="T999" s="373"/>
      <c r="U999" s="373">
        <f>FA!M$105</f>
        <v>0</v>
      </c>
      <c r="V999" s="274"/>
      <c r="W999" s="374"/>
      <c r="X999" s="375"/>
      <c r="Y999" s="365" t="s">
        <v>630</v>
      </c>
      <c r="Z999" s="376"/>
      <c r="AA999" s="240"/>
      <c r="AB999" s="345">
        <v>1</v>
      </c>
      <c r="AC999" s="271"/>
      <c r="AD999" s="272"/>
      <c r="AE999" s="273"/>
      <c r="AF999" s="273"/>
      <c r="AG999" s="274"/>
      <c r="AH999" s="275"/>
      <c r="AI999" s="272"/>
      <c r="AJ999" s="276"/>
      <c r="AK999" s="277"/>
      <c r="AL999" s="278"/>
      <c r="AM999" s="277"/>
      <c r="AN999" s="279"/>
      <c r="AO999" s="279"/>
      <c r="AP999" s="279"/>
      <c r="AQ999" s="378"/>
      <c r="AR999" s="305">
        <f>'预算书-初步'!$F$10</f>
        <v>0.09</v>
      </c>
      <c r="AT999" s="272"/>
      <c r="BC999" s="272" t="s">
        <v>521</v>
      </c>
      <c r="BD999" s="380">
        <v>1094</v>
      </c>
      <c r="BE999" s="347" t="s">
        <v>704</v>
      </c>
    </row>
    <row r="1000" s="52" customFormat="1" ht="15.75" customHeight="1" spans="1:57">
      <c r="A1000" s="227"/>
      <c r="B1000" s="332"/>
      <c r="C1000" s="228"/>
      <c r="D1000" s="333"/>
      <c r="E1000" s="334"/>
      <c r="F1000" s="229"/>
      <c r="G1000" s="333"/>
      <c r="H1000" s="335"/>
      <c r="I1000" s="229"/>
      <c r="J1000" s="229"/>
      <c r="K1000" s="336"/>
      <c r="L1000" s="337"/>
      <c r="M1000" s="337"/>
      <c r="N1000" s="337"/>
      <c r="O1000" s="337"/>
      <c r="P1000" s="337"/>
      <c r="Q1000" s="384">
        <v>8180</v>
      </c>
      <c r="R1000" s="271">
        <f t="shared" si="75"/>
        <v>0</v>
      </c>
      <c r="S1000" s="339">
        <f t="shared" si="76"/>
        <v>0</v>
      </c>
      <c r="T1000" s="373"/>
      <c r="U1000" s="373">
        <f>FA!M$106</f>
        <v>0</v>
      </c>
      <c r="V1000" s="274"/>
      <c r="W1000" s="374"/>
      <c r="X1000" s="375"/>
      <c r="Y1000" s="386" t="s">
        <v>631</v>
      </c>
      <c r="Z1000" s="376"/>
      <c r="AA1000" s="240"/>
      <c r="AB1000" s="345">
        <v>1</v>
      </c>
      <c r="AC1000" s="271"/>
      <c r="AD1000" s="272"/>
      <c r="AE1000" s="273"/>
      <c r="AF1000" s="273"/>
      <c r="AG1000" s="274"/>
      <c r="AH1000" s="275"/>
      <c r="AI1000" s="272"/>
      <c r="AJ1000" s="276"/>
      <c r="AK1000" s="277"/>
      <c r="AL1000" s="278"/>
      <c r="AM1000" s="277"/>
      <c r="AN1000" s="279"/>
      <c r="AO1000" s="279"/>
      <c r="AP1000" s="279"/>
      <c r="AQ1000" s="378"/>
      <c r="AR1000" s="305">
        <f>'预算书-初步'!$F$10</f>
        <v>0.09</v>
      </c>
      <c r="AT1000" s="272"/>
      <c r="BC1000" s="272" t="s">
        <v>521</v>
      </c>
      <c r="BD1000" s="380">
        <v>1095</v>
      </c>
      <c r="BE1000" s="347" t="s">
        <v>704</v>
      </c>
    </row>
    <row r="1001" s="52" customFormat="1" ht="15.75" customHeight="1" spans="1:57">
      <c r="A1001" s="227"/>
      <c r="B1001" s="332"/>
      <c r="C1001" s="228"/>
      <c r="D1001" s="333"/>
      <c r="E1001" s="334"/>
      <c r="F1001" s="229"/>
      <c r="G1001" s="333"/>
      <c r="H1001" s="335"/>
      <c r="I1001" s="229"/>
      <c r="J1001" s="229"/>
      <c r="K1001" s="336"/>
      <c r="L1001" s="337"/>
      <c r="M1001" s="337"/>
      <c r="N1001" s="337"/>
      <c r="O1001" s="337"/>
      <c r="P1001" s="337"/>
      <c r="Q1001" s="384">
        <v>8190</v>
      </c>
      <c r="R1001" s="271">
        <f t="shared" si="75"/>
        <v>0</v>
      </c>
      <c r="S1001" s="339">
        <f t="shared" si="76"/>
        <v>0</v>
      </c>
      <c r="T1001" s="373"/>
      <c r="U1001" s="373">
        <f>FA!M$107</f>
        <v>0</v>
      </c>
      <c r="V1001" s="274"/>
      <c r="W1001" s="374"/>
      <c r="X1001" s="375"/>
      <c r="Y1001" s="45" t="s">
        <v>632</v>
      </c>
      <c r="Z1001" s="376"/>
      <c r="AA1001" s="240"/>
      <c r="AB1001" s="345">
        <v>1</v>
      </c>
      <c r="AC1001" s="271"/>
      <c r="AD1001" s="272"/>
      <c r="AE1001" s="273"/>
      <c r="AF1001" s="273"/>
      <c r="AG1001" s="274"/>
      <c r="AH1001" s="275"/>
      <c r="AI1001" s="272"/>
      <c r="AJ1001" s="276"/>
      <c r="AK1001" s="277"/>
      <c r="AL1001" s="278"/>
      <c r="AM1001" s="277"/>
      <c r="AN1001" s="279"/>
      <c r="AO1001" s="279"/>
      <c r="AP1001" s="279"/>
      <c r="AQ1001" s="378"/>
      <c r="AR1001" s="305">
        <f>'预算书-初步'!$F$10</f>
        <v>0.09</v>
      </c>
      <c r="AT1001" s="272"/>
      <c r="BC1001" s="272" t="s">
        <v>521</v>
      </c>
      <c r="BD1001" s="380">
        <v>1096</v>
      </c>
      <c r="BE1001" s="347" t="s">
        <v>704</v>
      </c>
    </row>
    <row r="1002" s="52" customFormat="1" ht="15.75" customHeight="1" spans="1:57">
      <c r="A1002" s="227"/>
      <c r="B1002" s="332"/>
      <c r="C1002" s="228"/>
      <c r="D1002" s="333"/>
      <c r="E1002" s="334"/>
      <c r="F1002" s="229"/>
      <c r="G1002" s="333"/>
      <c r="H1002" s="335"/>
      <c r="I1002" s="229"/>
      <c r="J1002" s="229"/>
      <c r="K1002" s="336"/>
      <c r="L1002" s="337"/>
      <c r="M1002" s="337"/>
      <c r="N1002" s="337"/>
      <c r="O1002" s="337"/>
      <c r="P1002" s="337"/>
      <c r="Q1002" s="381">
        <v>8210</v>
      </c>
      <c r="R1002" s="271">
        <f t="shared" si="75"/>
        <v>0</v>
      </c>
      <c r="S1002" s="339">
        <f t="shared" si="76"/>
        <v>0</v>
      </c>
      <c r="T1002" s="373"/>
      <c r="U1002" s="373">
        <f>SUMIF(其他!$A$9:$A$65,"8210",其他!$O$9:O$65)</f>
        <v>0</v>
      </c>
      <c r="V1002" s="274"/>
      <c r="W1002" s="374"/>
      <c r="X1002" s="375"/>
      <c r="Y1002" s="45" t="s">
        <v>633</v>
      </c>
      <c r="Z1002" s="376"/>
      <c r="AA1002" s="240"/>
      <c r="AB1002" s="345">
        <v>1</v>
      </c>
      <c r="AC1002" s="271"/>
      <c r="AD1002" s="272"/>
      <c r="AE1002" s="273"/>
      <c r="AF1002" s="273"/>
      <c r="AG1002" s="274"/>
      <c r="AH1002" s="275"/>
      <c r="AI1002" s="272"/>
      <c r="AJ1002" s="276"/>
      <c r="AK1002" s="277"/>
      <c r="AL1002" s="278"/>
      <c r="AM1002" s="277"/>
      <c r="AN1002" s="279"/>
      <c r="AO1002" s="279"/>
      <c r="AP1002" s="279"/>
      <c r="AQ1002" s="378"/>
      <c r="AR1002" s="305">
        <f>'预算书-初步'!$F$10</f>
        <v>0.09</v>
      </c>
      <c r="AT1002" s="272"/>
      <c r="BC1002" s="272" t="s">
        <v>521</v>
      </c>
      <c r="BD1002" s="380">
        <v>1098</v>
      </c>
      <c r="BE1002" s="347" t="s">
        <v>704</v>
      </c>
    </row>
    <row r="1003" s="52" customFormat="1" ht="15.75" customHeight="1" spans="1:57">
      <c r="A1003" s="227"/>
      <c r="B1003" s="332"/>
      <c r="C1003" s="228"/>
      <c r="D1003" s="333"/>
      <c r="E1003" s="334"/>
      <c r="F1003" s="229"/>
      <c r="G1003" s="333"/>
      <c r="H1003" s="335"/>
      <c r="I1003" s="229"/>
      <c r="J1003" s="229"/>
      <c r="K1003" s="336"/>
      <c r="L1003" s="337"/>
      <c r="M1003" s="337"/>
      <c r="N1003" s="337"/>
      <c r="O1003" s="337"/>
      <c r="P1003" s="337"/>
      <c r="Q1003" s="381">
        <v>8220</v>
      </c>
      <c r="R1003" s="271">
        <f t="shared" si="75"/>
        <v>0</v>
      </c>
      <c r="S1003" s="339">
        <f t="shared" si="76"/>
        <v>0</v>
      </c>
      <c r="T1003" s="373"/>
      <c r="U1003" s="373">
        <f>SUMIF(其他!$A$9:$A$65,"8220",其他!$O$9:O$65)</f>
        <v>0</v>
      </c>
      <c r="V1003" s="274"/>
      <c r="W1003" s="374"/>
      <c r="X1003" s="375"/>
      <c r="Y1003" s="45" t="s">
        <v>634</v>
      </c>
      <c r="Z1003" s="376"/>
      <c r="AA1003" s="240"/>
      <c r="AB1003" s="345">
        <v>1</v>
      </c>
      <c r="AC1003" s="271"/>
      <c r="AD1003" s="272"/>
      <c r="AE1003" s="273"/>
      <c r="AF1003" s="273"/>
      <c r="AG1003" s="274"/>
      <c r="AH1003" s="275"/>
      <c r="AI1003" s="272"/>
      <c r="AJ1003" s="276"/>
      <c r="AK1003" s="277"/>
      <c r="AL1003" s="278"/>
      <c r="AM1003" s="277"/>
      <c r="AN1003" s="279"/>
      <c r="AO1003" s="279"/>
      <c r="AP1003" s="279"/>
      <c r="AQ1003" s="378"/>
      <c r="AR1003" s="305">
        <f>'预算书-初步'!$F$10</f>
        <v>0.09</v>
      </c>
      <c r="AT1003" s="272"/>
      <c r="BC1003" s="272" t="s">
        <v>521</v>
      </c>
      <c r="BD1003" s="380">
        <v>1098</v>
      </c>
      <c r="BE1003" s="347" t="s">
        <v>704</v>
      </c>
    </row>
    <row r="1004" s="52" customFormat="1" ht="15.75" customHeight="1" spans="1:57">
      <c r="A1004" s="227"/>
      <c r="B1004" s="332"/>
      <c r="C1004" s="228"/>
      <c r="D1004" s="333"/>
      <c r="E1004" s="334"/>
      <c r="F1004" s="229"/>
      <c r="G1004" s="333"/>
      <c r="H1004" s="335"/>
      <c r="I1004" s="229"/>
      <c r="J1004" s="229"/>
      <c r="K1004" s="336"/>
      <c r="L1004" s="337"/>
      <c r="M1004" s="337"/>
      <c r="N1004" s="337"/>
      <c r="O1004" s="337"/>
      <c r="P1004" s="337"/>
      <c r="Q1004" s="381">
        <v>8230</v>
      </c>
      <c r="R1004" s="271">
        <f t="shared" si="75"/>
        <v>0</v>
      </c>
      <c r="S1004" s="339">
        <f t="shared" si="76"/>
        <v>0</v>
      </c>
      <c r="T1004" s="373"/>
      <c r="U1004" s="373">
        <f>SUMIF(其他!$A$9:$A$65,"8230",其他!$O$9:O$65)</f>
        <v>0</v>
      </c>
      <c r="V1004" s="274"/>
      <c r="W1004" s="374"/>
      <c r="X1004" s="375"/>
      <c r="Y1004" s="45" t="s">
        <v>635</v>
      </c>
      <c r="Z1004" s="376"/>
      <c r="AA1004" s="240"/>
      <c r="AB1004" s="345">
        <v>1</v>
      </c>
      <c r="AC1004" s="271"/>
      <c r="AD1004" s="272"/>
      <c r="AE1004" s="273"/>
      <c r="AF1004" s="273"/>
      <c r="AG1004" s="274"/>
      <c r="AH1004" s="275"/>
      <c r="AI1004" s="272"/>
      <c r="AJ1004" s="276"/>
      <c r="AK1004" s="277"/>
      <c r="AL1004" s="278"/>
      <c r="AM1004" s="277"/>
      <c r="AN1004" s="279"/>
      <c r="AO1004" s="279"/>
      <c r="AP1004" s="279"/>
      <c r="AQ1004" s="378"/>
      <c r="AR1004" s="305">
        <f>'预算书-初步'!$F$10</f>
        <v>0.09</v>
      </c>
      <c r="AT1004" s="272"/>
      <c r="BC1004" s="272" t="s">
        <v>521</v>
      </c>
      <c r="BD1004" s="380">
        <v>1098</v>
      </c>
      <c r="BE1004" s="347" t="s">
        <v>704</v>
      </c>
    </row>
    <row r="1005" s="52" customFormat="1" ht="15.75" customHeight="1" spans="1:57">
      <c r="A1005" s="227"/>
      <c r="B1005" s="332"/>
      <c r="C1005" s="228"/>
      <c r="D1005" s="333"/>
      <c r="E1005" s="334"/>
      <c r="F1005" s="229"/>
      <c r="G1005" s="333"/>
      <c r="H1005" s="335"/>
      <c r="I1005" s="229"/>
      <c r="J1005" s="229"/>
      <c r="K1005" s="336"/>
      <c r="L1005" s="337"/>
      <c r="M1005" s="337"/>
      <c r="N1005" s="337"/>
      <c r="O1005" s="337"/>
      <c r="P1005" s="337"/>
      <c r="Q1005" s="381">
        <v>8240</v>
      </c>
      <c r="R1005" s="271">
        <f t="shared" si="75"/>
        <v>0</v>
      </c>
      <c r="S1005" s="339">
        <f t="shared" si="76"/>
        <v>0</v>
      </c>
      <c r="T1005" s="373"/>
      <c r="U1005" s="373">
        <f>FA!M$110</f>
        <v>0</v>
      </c>
      <c r="V1005" s="274"/>
      <c r="W1005" s="374"/>
      <c r="X1005" s="375"/>
      <c r="Y1005" s="45" t="s">
        <v>636</v>
      </c>
      <c r="Z1005" s="376"/>
      <c r="AA1005" s="240"/>
      <c r="AB1005" s="345">
        <v>1</v>
      </c>
      <c r="AC1005" s="271"/>
      <c r="AD1005" s="272"/>
      <c r="AE1005" s="273"/>
      <c r="AF1005" s="273"/>
      <c r="AG1005" s="274"/>
      <c r="AH1005" s="275"/>
      <c r="AI1005" s="272"/>
      <c r="AJ1005" s="276"/>
      <c r="AK1005" s="277"/>
      <c r="AL1005" s="278"/>
      <c r="AM1005" s="277"/>
      <c r="AN1005" s="279"/>
      <c r="AO1005" s="279"/>
      <c r="AP1005" s="279"/>
      <c r="AQ1005" s="378"/>
      <c r="AR1005" s="305">
        <f>'预算书-初步'!$F$10</f>
        <v>0.09</v>
      </c>
      <c r="AT1005" s="272"/>
      <c r="BC1005" s="272" t="s">
        <v>521</v>
      </c>
      <c r="BD1005" s="380">
        <v>1099</v>
      </c>
      <c r="BE1005" s="347" t="s">
        <v>704</v>
      </c>
    </row>
    <row r="1006" s="52" customFormat="1" ht="15.75" customHeight="1" spans="1:57">
      <c r="A1006" s="227"/>
      <c r="B1006" s="332"/>
      <c r="C1006" s="228"/>
      <c r="D1006" s="333"/>
      <c r="E1006" s="334"/>
      <c r="F1006" s="229"/>
      <c r="G1006" s="333"/>
      <c r="H1006" s="335"/>
      <c r="I1006" s="229"/>
      <c r="J1006" s="229"/>
      <c r="K1006" s="336"/>
      <c r="L1006" s="337"/>
      <c r="M1006" s="337"/>
      <c r="N1006" s="337"/>
      <c r="O1006" s="337"/>
      <c r="P1006" s="337"/>
      <c r="Q1006" s="381">
        <v>8250</v>
      </c>
      <c r="R1006" s="271">
        <f t="shared" si="75"/>
        <v>0</v>
      </c>
      <c r="S1006" s="339">
        <f t="shared" si="76"/>
        <v>0</v>
      </c>
      <c r="T1006" s="373"/>
      <c r="U1006" s="373">
        <f>FA!M$111</f>
        <v>0</v>
      </c>
      <c r="V1006" s="274"/>
      <c r="W1006" s="374"/>
      <c r="X1006" s="375"/>
      <c r="Y1006" s="45" t="s">
        <v>637</v>
      </c>
      <c r="Z1006" s="376"/>
      <c r="AA1006" s="240"/>
      <c r="AB1006" s="345">
        <v>1</v>
      </c>
      <c r="AC1006" s="271"/>
      <c r="AD1006" s="272"/>
      <c r="AE1006" s="273"/>
      <c r="AF1006" s="273"/>
      <c r="AG1006" s="274"/>
      <c r="AH1006" s="275"/>
      <c r="AI1006" s="272"/>
      <c r="AJ1006" s="276"/>
      <c r="AK1006" s="277"/>
      <c r="AL1006" s="278"/>
      <c r="AM1006" s="277"/>
      <c r="AN1006" s="279"/>
      <c r="AO1006" s="279"/>
      <c r="AP1006" s="279"/>
      <c r="AQ1006" s="378"/>
      <c r="AR1006" s="305">
        <f>'预算书-初步'!$F$10</f>
        <v>0.09</v>
      </c>
      <c r="AT1006" s="272"/>
      <c r="BC1006" s="272" t="s">
        <v>521</v>
      </c>
      <c r="BD1006" s="380">
        <v>1100</v>
      </c>
      <c r="BE1006" s="347" t="s">
        <v>704</v>
      </c>
    </row>
    <row r="1007" s="52" customFormat="1" ht="15.75" customHeight="1" spans="1:57">
      <c r="A1007" s="227"/>
      <c r="B1007" s="332"/>
      <c r="C1007" s="228"/>
      <c r="D1007" s="333"/>
      <c r="E1007" s="334"/>
      <c r="F1007" s="229"/>
      <c r="G1007" s="333"/>
      <c r="H1007" s="335"/>
      <c r="I1007" s="229"/>
      <c r="J1007" s="229"/>
      <c r="K1007" s="336"/>
      <c r="L1007" s="337"/>
      <c r="M1007" s="337"/>
      <c r="N1007" s="337"/>
      <c r="O1007" s="337"/>
      <c r="P1007" s="337"/>
      <c r="Q1007" s="384">
        <v>8260</v>
      </c>
      <c r="R1007" s="271">
        <f t="shared" si="75"/>
        <v>0</v>
      </c>
      <c r="S1007" s="339">
        <f t="shared" si="76"/>
        <v>0</v>
      </c>
      <c r="T1007" s="373"/>
      <c r="U1007" s="373">
        <f>FA!M$112</f>
        <v>0</v>
      </c>
      <c r="V1007" s="274"/>
      <c r="W1007" s="374"/>
      <c r="X1007" s="375"/>
      <c r="Y1007" s="45" t="s">
        <v>638</v>
      </c>
      <c r="Z1007" s="376"/>
      <c r="AA1007" s="240"/>
      <c r="AB1007" s="345">
        <v>1</v>
      </c>
      <c r="AC1007" s="271"/>
      <c r="AD1007" s="272"/>
      <c r="AE1007" s="273"/>
      <c r="AF1007" s="273"/>
      <c r="AG1007" s="274"/>
      <c r="AH1007" s="275"/>
      <c r="AI1007" s="272"/>
      <c r="AJ1007" s="276"/>
      <c r="AK1007" s="277"/>
      <c r="AL1007" s="278"/>
      <c r="AM1007" s="277"/>
      <c r="AN1007" s="279"/>
      <c r="AO1007" s="279"/>
      <c r="AP1007" s="279"/>
      <c r="AQ1007" s="378"/>
      <c r="AR1007" s="305">
        <f>'预算书-初步'!$F$10</f>
        <v>0.09</v>
      </c>
      <c r="AT1007" s="272"/>
      <c r="BC1007" s="272" t="s">
        <v>521</v>
      </c>
      <c r="BD1007" s="380">
        <v>1101</v>
      </c>
      <c r="BE1007" s="347" t="s">
        <v>704</v>
      </c>
    </row>
    <row r="1008" s="52" customFormat="1" ht="15.75" customHeight="1" spans="1:57">
      <c r="A1008" s="227"/>
      <c r="B1008" s="332"/>
      <c r="C1008" s="228"/>
      <c r="D1008" s="333"/>
      <c r="E1008" s="334"/>
      <c r="F1008" s="229"/>
      <c r="G1008" s="333"/>
      <c r="H1008" s="335"/>
      <c r="I1008" s="229"/>
      <c r="J1008" s="229"/>
      <c r="K1008" s="336"/>
      <c r="L1008" s="337"/>
      <c r="M1008" s="337"/>
      <c r="N1008" s="337"/>
      <c r="O1008" s="337"/>
      <c r="P1008" s="337"/>
      <c r="Q1008" s="384">
        <v>8431</v>
      </c>
      <c r="R1008" s="271">
        <f t="shared" si="75"/>
        <v>0</v>
      </c>
      <c r="S1008" s="339">
        <f t="shared" si="76"/>
        <v>0</v>
      </c>
      <c r="T1008" s="373"/>
      <c r="U1008" s="373">
        <f>SUMIF(其他!$A$9:$A$65,"8431",其他!$O$9:O$65)</f>
        <v>0</v>
      </c>
      <c r="V1008" s="274"/>
      <c r="W1008" s="374"/>
      <c r="X1008" s="375"/>
      <c r="Y1008" s="45" t="s">
        <v>639</v>
      </c>
      <c r="Z1008" s="376"/>
      <c r="AA1008" s="240"/>
      <c r="AB1008" s="345">
        <v>1</v>
      </c>
      <c r="AC1008" s="271"/>
      <c r="AD1008" s="272"/>
      <c r="AE1008" s="273"/>
      <c r="AF1008" s="273"/>
      <c r="AG1008" s="274"/>
      <c r="AH1008" s="275"/>
      <c r="AI1008" s="272"/>
      <c r="AJ1008" s="276"/>
      <c r="AK1008" s="277"/>
      <c r="AL1008" s="278"/>
      <c r="AM1008" s="277"/>
      <c r="AN1008" s="279"/>
      <c r="AO1008" s="279"/>
      <c r="AP1008" s="279"/>
      <c r="AQ1008" s="378"/>
      <c r="AR1008" s="305">
        <f>'预算书-初步'!$F$10</f>
        <v>0.09</v>
      </c>
      <c r="AT1008" s="272"/>
      <c r="BC1008" s="272" t="s">
        <v>521</v>
      </c>
      <c r="BD1008" s="380">
        <v>1102</v>
      </c>
      <c r="BE1008" s="347" t="s">
        <v>704</v>
      </c>
    </row>
    <row r="1009" s="52" customFormat="1" ht="15.75" customHeight="1" spans="1:57">
      <c r="A1009" s="227"/>
      <c r="B1009" s="332"/>
      <c r="C1009" s="228"/>
      <c r="D1009" s="333"/>
      <c r="E1009" s="334"/>
      <c r="F1009" s="229"/>
      <c r="G1009" s="333"/>
      <c r="H1009" s="335"/>
      <c r="I1009" s="229"/>
      <c r="J1009" s="229"/>
      <c r="K1009" s="336"/>
      <c r="L1009" s="337"/>
      <c r="M1009" s="337"/>
      <c r="N1009" s="337"/>
      <c r="O1009" s="337"/>
      <c r="P1009" s="337"/>
      <c r="Q1009" s="384">
        <v>8432</v>
      </c>
      <c r="R1009" s="271">
        <f t="shared" si="75"/>
        <v>0</v>
      </c>
      <c r="S1009" s="339">
        <f t="shared" si="76"/>
        <v>0</v>
      </c>
      <c r="T1009" s="373"/>
      <c r="U1009" s="373">
        <f>SUMIF(其他!$A$9:$A$65,"8432",其他!$O$9:O$65)</f>
        <v>0</v>
      </c>
      <c r="V1009" s="274"/>
      <c r="W1009" s="374"/>
      <c r="X1009" s="375"/>
      <c r="Y1009" s="45" t="s">
        <v>640</v>
      </c>
      <c r="Z1009" s="376"/>
      <c r="AA1009" s="240"/>
      <c r="AB1009" s="345">
        <v>1</v>
      </c>
      <c r="AC1009" s="271"/>
      <c r="AD1009" s="272"/>
      <c r="AE1009" s="273"/>
      <c r="AF1009" s="273"/>
      <c r="AG1009" s="274"/>
      <c r="AH1009" s="275"/>
      <c r="AI1009" s="272"/>
      <c r="AJ1009" s="276"/>
      <c r="AK1009" s="277"/>
      <c r="AL1009" s="278"/>
      <c r="AM1009" s="277"/>
      <c r="AN1009" s="279"/>
      <c r="AO1009" s="279"/>
      <c r="AP1009" s="279"/>
      <c r="AQ1009" s="378"/>
      <c r="AR1009" s="305">
        <f>'预算书-初步'!$F$10</f>
        <v>0.09</v>
      </c>
      <c r="AT1009" s="272"/>
      <c r="BC1009" s="272" t="s">
        <v>521</v>
      </c>
      <c r="BD1009" s="380">
        <v>1102</v>
      </c>
      <c r="BE1009" s="347" t="s">
        <v>704</v>
      </c>
    </row>
    <row r="1010" s="52" customFormat="1" ht="15.75" customHeight="1" spans="1:57">
      <c r="A1010" s="227"/>
      <c r="B1010" s="332"/>
      <c r="C1010" s="228"/>
      <c r="D1010" s="333"/>
      <c r="E1010" s="334"/>
      <c r="F1010" s="229"/>
      <c r="G1010" s="333"/>
      <c r="H1010" s="335"/>
      <c r="I1010" s="229"/>
      <c r="J1010" s="229"/>
      <c r="K1010" s="336"/>
      <c r="L1010" s="337"/>
      <c r="M1010" s="337"/>
      <c r="N1010" s="337"/>
      <c r="O1010" s="337"/>
      <c r="P1010" s="337"/>
      <c r="Q1010" s="384">
        <v>8433</v>
      </c>
      <c r="R1010" s="271">
        <f t="shared" si="75"/>
        <v>0</v>
      </c>
      <c r="S1010" s="339">
        <f t="shared" si="76"/>
        <v>0</v>
      </c>
      <c r="T1010" s="373"/>
      <c r="U1010" s="373">
        <f>SUMIF(其他!$A$9:$A$65,"8433",其他!$O$9:O$65)</f>
        <v>0</v>
      </c>
      <c r="V1010" s="274"/>
      <c r="W1010" s="374"/>
      <c r="X1010" s="375"/>
      <c r="Y1010" s="45" t="s">
        <v>641</v>
      </c>
      <c r="Z1010" s="376"/>
      <c r="AA1010" s="240"/>
      <c r="AB1010" s="345">
        <v>1</v>
      </c>
      <c r="AC1010" s="271"/>
      <c r="AD1010" s="272"/>
      <c r="AE1010" s="273"/>
      <c r="AF1010" s="273"/>
      <c r="AG1010" s="274"/>
      <c r="AH1010" s="275"/>
      <c r="AI1010" s="272"/>
      <c r="AJ1010" s="276"/>
      <c r="AK1010" s="277"/>
      <c r="AL1010" s="278"/>
      <c r="AM1010" s="277"/>
      <c r="AN1010" s="279"/>
      <c r="AO1010" s="279"/>
      <c r="AP1010" s="279"/>
      <c r="AQ1010" s="378"/>
      <c r="AR1010" s="305">
        <f>'预算书-初步'!$F$10</f>
        <v>0.09</v>
      </c>
      <c r="AT1010" s="272"/>
      <c r="BC1010" s="272" t="s">
        <v>521</v>
      </c>
      <c r="BD1010" s="380">
        <v>1102</v>
      </c>
      <c r="BE1010" s="347" t="s">
        <v>704</v>
      </c>
    </row>
    <row r="1011" s="52" customFormat="1" ht="15.75" customHeight="1" spans="1:57">
      <c r="A1011" s="227"/>
      <c r="B1011" s="332"/>
      <c r="C1011" s="228"/>
      <c r="D1011" s="333"/>
      <c r="E1011" s="334"/>
      <c r="F1011" s="229"/>
      <c r="G1011" s="333"/>
      <c r="H1011" s="335"/>
      <c r="I1011" s="229"/>
      <c r="J1011" s="229"/>
      <c r="K1011" s="336"/>
      <c r="L1011" s="337"/>
      <c r="M1011" s="337"/>
      <c r="N1011" s="337"/>
      <c r="O1011" s="337"/>
      <c r="P1011" s="337"/>
      <c r="Q1011" s="384">
        <v>8434</v>
      </c>
      <c r="R1011" s="271">
        <f t="shared" si="75"/>
        <v>0</v>
      </c>
      <c r="S1011" s="339">
        <f t="shared" si="76"/>
        <v>0</v>
      </c>
      <c r="T1011" s="373"/>
      <c r="U1011" s="373">
        <f>SUMIF(其他!$A$9:$A$65,"8434",其他!$O$9:O$65)</f>
        <v>0</v>
      </c>
      <c r="V1011" s="274"/>
      <c r="W1011" s="374"/>
      <c r="X1011" s="375"/>
      <c r="Y1011" s="386" t="s">
        <v>642</v>
      </c>
      <c r="Z1011" s="376"/>
      <c r="AA1011" s="240"/>
      <c r="AB1011" s="345">
        <v>1</v>
      </c>
      <c r="AC1011" s="271"/>
      <c r="AD1011" s="272"/>
      <c r="AE1011" s="273"/>
      <c r="AF1011" s="273"/>
      <c r="AG1011" s="274"/>
      <c r="AH1011" s="275"/>
      <c r="AI1011" s="272"/>
      <c r="AJ1011" s="276"/>
      <c r="AK1011" s="277"/>
      <c r="AL1011" s="278"/>
      <c r="AM1011" s="277"/>
      <c r="AN1011" s="279"/>
      <c r="AO1011" s="279"/>
      <c r="AP1011" s="279"/>
      <c r="AQ1011" s="378"/>
      <c r="AR1011" s="305">
        <f>'预算书-初步'!$F$10</f>
        <v>0.09</v>
      </c>
      <c r="AT1011" s="272"/>
      <c r="BC1011" s="272" t="s">
        <v>521</v>
      </c>
      <c r="BD1011" s="380">
        <v>1102</v>
      </c>
      <c r="BE1011" s="347" t="s">
        <v>704</v>
      </c>
    </row>
    <row r="1012" s="52" customFormat="1" ht="15.75" customHeight="1" spans="1:57">
      <c r="A1012" s="227"/>
      <c r="B1012" s="332"/>
      <c r="C1012" s="228"/>
      <c r="D1012" s="333"/>
      <c r="E1012" s="334"/>
      <c r="F1012" s="229"/>
      <c r="G1012" s="333"/>
      <c r="H1012" s="335"/>
      <c r="I1012" s="229"/>
      <c r="J1012" s="229"/>
      <c r="K1012" s="336"/>
      <c r="L1012" s="337"/>
      <c r="M1012" s="337"/>
      <c r="N1012" s="337"/>
      <c r="O1012" s="337"/>
      <c r="P1012" s="337"/>
      <c r="Q1012" s="384">
        <v>8435</v>
      </c>
      <c r="R1012" s="271">
        <f t="shared" si="75"/>
        <v>0</v>
      </c>
      <c r="S1012" s="339">
        <f t="shared" si="76"/>
        <v>0</v>
      </c>
      <c r="T1012" s="373"/>
      <c r="U1012" s="373">
        <f>SUMIF(其他!$A$9:$A$65,"8435",其他!$O$9:O$65)</f>
        <v>0</v>
      </c>
      <c r="V1012" s="274"/>
      <c r="W1012" s="374"/>
      <c r="X1012" s="375"/>
      <c r="Y1012" s="385" t="s">
        <v>643</v>
      </c>
      <c r="Z1012" s="376"/>
      <c r="AA1012" s="240"/>
      <c r="AB1012" s="345">
        <v>1</v>
      </c>
      <c r="AC1012" s="271"/>
      <c r="AD1012" s="272"/>
      <c r="AE1012" s="273"/>
      <c r="AF1012" s="273"/>
      <c r="AG1012" s="274"/>
      <c r="AH1012" s="275"/>
      <c r="AI1012" s="272"/>
      <c r="AJ1012" s="276"/>
      <c r="AK1012" s="277"/>
      <c r="AL1012" s="278"/>
      <c r="AM1012" s="277"/>
      <c r="AN1012" s="279"/>
      <c r="AO1012" s="279"/>
      <c r="AP1012" s="279"/>
      <c r="AQ1012" s="378"/>
      <c r="AR1012" s="305">
        <f>'预算书-初步'!$F$10</f>
        <v>0.09</v>
      </c>
      <c r="AT1012" s="272"/>
      <c r="BC1012" s="272" t="s">
        <v>521</v>
      </c>
      <c r="BD1012" s="380">
        <v>1102</v>
      </c>
      <c r="BE1012" s="347" t="s">
        <v>704</v>
      </c>
    </row>
    <row r="1013" s="52" customFormat="1" ht="15.75" customHeight="1" spans="1:57">
      <c r="A1013" s="227"/>
      <c r="B1013" s="332"/>
      <c r="C1013" s="228"/>
      <c r="D1013" s="333"/>
      <c r="E1013" s="334"/>
      <c r="F1013" s="229"/>
      <c r="G1013" s="333"/>
      <c r="H1013" s="335"/>
      <c r="I1013" s="229"/>
      <c r="J1013" s="229"/>
      <c r="K1013" s="336"/>
      <c r="L1013" s="337"/>
      <c r="M1013" s="337"/>
      <c r="N1013" s="337"/>
      <c r="O1013" s="337"/>
      <c r="P1013" s="337"/>
      <c r="Q1013" s="384">
        <v>8436</v>
      </c>
      <c r="R1013" s="271">
        <f t="shared" si="75"/>
        <v>0</v>
      </c>
      <c r="S1013" s="339">
        <f t="shared" si="76"/>
        <v>0</v>
      </c>
      <c r="T1013" s="373"/>
      <c r="U1013" s="373">
        <f>SUMIF(其他!$A$9:$A$65,"8436",其他!$O$9:O$65)</f>
        <v>0</v>
      </c>
      <c r="V1013" s="274"/>
      <c r="W1013" s="374"/>
      <c r="X1013" s="375"/>
      <c r="Y1013" s="385" t="s">
        <v>644</v>
      </c>
      <c r="Z1013" s="376"/>
      <c r="AA1013" s="240"/>
      <c r="AB1013" s="345">
        <v>1</v>
      </c>
      <c r="AC1013" s="271"/>
      <c r="AD1013" s="272"/>
      <c r="AE1013" s="273"/>
      <c r="AF1013" s="273"/>
      <c r="AG1013" s="274"/>
      <c r="AH1013" s="275"/>
      <c r="AI1013" s="272"/>
      <c r="AJ1013" s="276"/>
      <c r="AK1013" s="277"/>
      <c r="AL1013" s="278"/>
      <c r="AM1013" s="277"/>
      <c r="AN1013" s="279"/>
      <c r="AO1013" s="279"/>
      <c r="AP1013" s="279"/>
      <c r="AQ1013" s="378"/>
      <c r="AR1013" s="305">
        <f>'预算书-初步'!$F$10</f>
        <v>0.09</v>
      </c>
      <c r="AT1013" s="272"/>
      <c r="BC1013" s="272" t="s">
        <v>521</v>
      </c>
      <c r="BD1013" s="380">
        <v>1102</v>
      </c>
      <c r="BE1013" s="347" t="s">
        <v>704</v>
      </c>
    </row>
    <row r="1014" s="52" customFormat="1" ht="15.75" customHeight="1" spans="1:57">
      <c r="A1014" s="227"/>
      <c r="B1014" s="332"/>
      <c r="C1014" s="228"/>
      <c r="D1014" s="333"/>
      <c r="E1014" s="334"/>
      <c r="F1014" s="229"/>
      <c r="G1014" s="333"/>
      <c r="H1014" s="335"/>
      <c r="I1014" s="229"/>
      <c r="J1014" s="229"/>
      <c r="K1014" s="336"/>
      <c r="L1014" s="337"/>
      <c r="M1014" s="337"/>
      <c r="N1014" s="337"/>
      <c r="O1014" s="337"/>
      <c r="P1014" s="337"/>
      <c r="Q1014" s="384">
        <v>8280</v>
      </c>
      <c r="R1014" s="271">
        <f t="shared" si="75"/>
        <v>0</v>
      </c>
      <c r="S1014" s="339">
        <f t="shared" ref="S1014:S1059" si="77">$S$5</f>
        <v>0</v>
      </c>
      <c r="T1014" s="373"/>
      <c r="U1014" s="373">
        <f>FA!M$114</f>
        <v>0</v>
      </c>
      <c r="V1014" s="274"/>
      <c r="W1014" s="374"/>
      <c r="X1014" s="375"/>
      <c r="Y1014" s="385" t="s">
        <v>645</v>
      </c>
      <c r="Z1014" s="376"/>
      <c r="AA1014" s="240"/>
      <c r="AB1014" s="345">
        <v>1</v>
      </c>
      <c r="AC1014" s="271"/>
      <c r="AD1014" s="272"/>
      <c r="AE1014" s="273"/>
      <c r="AF1014" s="273"/>
      <c r="AG1014" s="274"/>
      <c r="AH1014" s="275"/>
      <c r="AI1014" s="272"/>
      <c r="AJ1014" s="276"/>
      <c r="AK1014" s="277"/>
      <c r="AL1014" s="278"/>
      <c r="AM1014" s="277"/>
      <c r="AN1014" s="279"/>
      <c r="AO1014" s="279"/>
      <c r="AP1014" s="279"/>
      <c r="AQ1014" s="378"/>
      <c r="AR1014" s="305">
        <f>'预算书-初步'!$F$10</f>
        <v>0.09</v>
      </c>
      <c r="AT1014" s="272"/>
      <c r="BC1014" s="272" t="s">
        <v>521</v>
      </c>
      <c r="BD1014" s="380">
        <v>1103</v>
      </c>
      <c r="BE1014" s="347" t="s">
        <v>704</v>
      </c>
    </row>
    <row r="1015" s="52" customFormat="1" ht="15.75" customHeight="1" spans="1:57">
      <c r="A1015" s="227"/>
      <c r="B1015" s="332"/>
      <c r="C1015" s="228"/>
      <c r="D1015" s="333"/>
      <c r="E1015" s="334"/>
      <c r="F1015" s="229"/>
      <c r="G1015" s="333"/>
      <c r="H1015" s="335"/>
      <c r="I1015" s="229"/>
      <c r="J1015" s="229"/>
      <c r="K1015" s="336"/>
      <c r="L1015" s="337"/>
      <c r="M1015" s="337"/>
      <c r="N1015" s="337"/>
      <c r="O1015" s="337"/>
      <c r="P1015" s="337"/>
      <c r="Q1015" s="384">
        <v>8321</v>
      </c>
      <c r="R1015" s="271">
        <f t="shared" si="75"/>
        <v>0</v>
      </c>
      <c r="S1015" s="339">
        <f t="shared" si="77"/>
        <v>0</v>
      </c>
      <c r="T1015" s="373"/>
      <c r="U1015" s="373">
        <f>FA!M$117</f>
        <v>0</v>
      </c>
      <c r="V1015" s="274"/>
      <c r="W1015" s="374"/>
      <c r="X1015" s="375"/>
      <c r="Y1015" s="385" t="s">
        <v>646</v>
      </c>
      <c r="Z1015" s="376"/>
      <c r="AA1015" s="240"/>
      <c r="AB1015" s="345">
        <v>1</v>
      </c>
      <c r="AC1015" s="271"/>
      <c r="AD1015" s="272"/>
      <c r="AE1015" s="273"/>
      <c r="AF1015" s="273"/>
      <c r="AG1015" s="274"/>
      <c r="AH1015" s="275"/>
      <c r="AI1015" s="272"/>
      <c r="AJ1015" s="276"/>
      <c r="AK1015" s="277"/>
      <c r="AL1015" s="278"/>
      <c r="AM1015" s="277"/>
      <c r="AN1015" s="279"/>
      <c r="AO1015" s="279"/>
      <c r="AP1015" s="279"/>
      <c r="AQ1015" s="378"/>
      <c r="AR1015" s="305">
        <f>'预算书-初步'!$F$10</f>
        <v>0.09</v>
      </c>
      <c r="AT1015" s="272"/>
      <c r="BC1015" s="272" t="s">
        <v>521</v>
      </c>
      <c r="BD1015" s="380">
        <v>1106</v>
      </c>
      <c r="BE1015" s="347" t="s">
        <v>704</v>
      </c>
    </row>
    <row r="1016" s="52" customFormat="1" ht="15.75" customHeight="1" spans="1:57">
      <c r="A1016" s="227"/>
      <c r="B1016" s="332"/>
      <c r="C1016" s="228"/>
      <c r="D1016" s="333"/>
      <c r="E1016" s="334"/>
      <c r="F1016" s="229"/>
      <c r="G1016" s="333"/>
      <c r="H1016" s="335"/>
      <c r="I1016" s="229"/>
      <c r="J1016" s="229"/>
      <c r="K1016" s="336"/>
      <c r="L1016" s="337"/>
      <c r="M1016" s="337"/>
      <c r="N1016" s="337"/>
      <c r="O1016" s="337"/>
      <c r="P1016" s="337"/>
      <c r="Q1016" s="384">
        <v>8322</v>
      </c>
      <c r="R1016" s="271">
        <f t="shared" si="75"/>
        <v>0</v>
      </c>
      <c r="S1016" s="339">
        <f t="shared" si="77"/>
        <v>0</v>
      </c>
      <c r="T1016" s="373"/>
      <c r="U1016" s="373">
        <f>FA!M$118</f>
        <v>0</v>
      </c>
      <c r="V1016" s="274"/>
      <c r="W1016" s="374"/>
      <c r="X1016" s="375"/>
      <c r="Y1016" s="385" t="s">
        <v>647</v>
      </c>
      <c r="Z1016" s="376"/>
      <c r="AA1016" s="240"/>
      <c r="AB1016" s="345">
        <v>1</v>
      </c>
      <c r="AC1016" s="271"/>
      <c r="AD1016" s="272"/>
      <c r="AE1016" s="273"/>
      <c r="AF1016" s="273"/>
      <c r="AG1016" s="274"/>
      <c r="AH1016" s="275"/>
      <c r="AI1016" s="272"/>
      <c r="AJ1016" s="276"/>
      <c r="AK1016" s="277"/>
      <c r="AL1016" s="278"/>
      <c r="AM1016" s="277"/>
      <c r="AN1016" s="279"/>
      <c r="AO1016" s="279"/>
      <c r="AP1016" s="279"/>
      <c r="AQ1016" s="378"/>
      <c r="AR1016" s="305">
        <f>'预算书-初步'!$F$10</f>
        <v>0.09</v>
      </c>
      <c r="AT1016" s="272"/>
      <c r="BC1016" s="272" t="s">
        <v>521</v>
      </c>
      <c r="BD1016" s="380">
        <v>1107</v>
      </c>
      <c r="BE1016" s="347" t="s">
        <v>704</v>
      </c>
    </row>
    <row r="1017" s="52" customFormat="1" ht="15.75" customHeight="1" spans="1:57">
      <c r="A1017" s="227"/>
      <c r="B1017" s="332"/>
      <c r="C1017" s="228"/>
      <c r="D1017" s="333"/>
      <c r="E1017" s="334"/>
      <c r="F1017" s="229"/>
      <c r="G1017" s="333"/>
      <c r="H1017" s="335"/>
      <c r="I1017" s="229"/>
      <c r="J1017" s="229"/>
      <c r="K1017" s="336"/>
      <c r="L1017" s="337"/>
      <c r="M1017" s="337"/>
      <c r="N1017" s="337"/>
      <c r="O1017" s="337"/>
      <c r="P1017" s="337"/>
      <c r="Q1017" s="384">
        <v>8323</v>
      </c>
      <c r="R1017" s="271">
        <f t="shared" si="75"/>
        <v>0</v>
      </c>
      <c r="S1017" s="339">
        <f t="shared" si="77"/>
        <v>0</v>
      </c>
      <c r="T1017" s="373"/>
      <c r="U1017" s="373">
        <f>SUMIF(其他!$A$9:$A$65,"8323",其他!$O$9:O$65)</f>
        <v>0</v>
      </c>
      <c r="V1017" s="274"/>
      <c r="W1017" s="374"/>
      <c r="X1017" s="375"/>
      <c r="Y1017" s="45" t="s">
        <v>648</v>
      </c>
      <c r="Z1017" s="376"/>
      <c r="AA1017" s="240"/>
      <c r="AB1017" s="345">
        <v>1</v>
      </c>
      <c r="AC1017" s="271"/>
      <c r="AD1017" s="272"/>
      <c r="AE1017" s="273"/>
      <c r="AF1017" s="273"/>
      <c r="AG1017" s="274"/>
      <c r="AH1017" s="275"/>
      <c r="AI1017" s="272"/>
      <c r="AJ1017" s="276"/>
      <c r="AK1017" s="277"/>
      <c r="AL1017" s="278"/>
      <c r="AM1017" s="277"/>
      <c r="AN1017" s="279"/>
      <c r="AO1017" s="279"/>
      <c r="AP1017" s="279"/>
      <c r="AQ1017" s="378"/>
      <c r="AR1017" s="305">
        <f>'预算书-初步'!$F$10</f>
        <v>0.09</v>
      </c>
      <c r="AT1017" s="272"/>
      <c r="BC1017" s="272" t="s">
        <v>521</v>
      </c>
      <c r="BD1017" s="380">
        <v>1108</v>
      </c>
      <c r="BE1017" s="347" t="s">
        <v>704</v>
      </c>
    </row>
    <row r="1018" s="52" customFormat="1" ht="15.75" customHeight="1" spans="1:57">
      <c r="A1018" s="227"/>
      <c r="B1018" s="332"/>
      <c r="C1018" s="228"/>
      <c r="D1018" s="333"/>
      <c r="E1018" s="334"/>
      <c r="F1018" s="229"/>
      <c r="G1018" s="333"/>
      <c r="H1018" s="335"/>
      <c r="I1018" s="229"/>
      <c r="J1018" s="229"/>
      <c r="K1018" s="336"/>
      <c r="L1018" s="337"/>
      <c r="M1018" s="337"/>
      <c r="N1018" s="337"/>
      <c r="O1018" s="337"/>
      <c r="P1018" s="337"/>
      <c r="Q1018" s="384">
        <v>8324</v>
      </c>
      <c r="R1018" s="271">
        <f t="shared" si="75"/>
        <v>0</v>
      </c>
      <c r="S1018" s="339">
        <f t="shared" si="77"/>
        <v>0</v>
      </c>
      <c r="T1018" s="373"/>
      <c r="U1018" s="373">
        <f>SUMIF(其他!$A$9:$A$65,"8324",其他!$O$9:O$65)</f>
        <v>0</v>
      </c>
      <c r="V1018" s="274"/>
      <c r="W1018" s="374"/>
      <c r="X1018" s="375"/>
      <c r="Y1018" s="385" t="s">
        <v>649</v>
      </c>
      <c r="Z1018" s="376"/>
      <c r="AA1018" s="240"/>
      <c r="AB1018" s="345">
        <v>1</v>
      </c>
      <c r="AC1018" s="271"/>
      <c r="AD1018" s="272"/>
      <c r="AE1018" s="273"/>
      <c r="AF1018" s="273"/>
      <c r="AG1018" s="274"/>
      <c r="AH1018" s="275"/>
      <c r="AI1018" s="272"/>
      <c r="AJ1018" s="276"/>
      <c r="AK1018" s="277"/>
      <c r="AL1018" s="278"/>
      <c r="AM1018" s="277"/>
      <c r="AN1018" s="279"/>
      <c r="AO1018" s="279"/>
      <c r="AP1018" s="279"/>
      <c r="AQ1018" s="378"/>
      <c r="AR1018" s="305">
        <f>'预算书-初步'!$F$10</f>
        <v>0.09</v>
      </c>
      <c r="AT1018" s="272"/>
      <c r="BC1018" s="272" t="s">
        <v>521</v>
      </c>
      <c r="BD1018" s="380">
        <v>1108</v>
      </c>
      <c r="BE1018" s="347" t="s">
        <v>704</v>
      </c>
    </row>
    <row r="1019" s="52" customFormat="1" ht="15.75" customHeight="1" spans="1:57">
      <c r="A1019" s="227"/>
      <c r="B1019" s="332"/>
      <c r="C1019" s="228"/>
      <c r="D1019" s="333"/>
      <c r="E1019" s="334"/>
      <c r="F1019" s="229"/>
      <c r="G1019" s="333"/>
      <c r="H1019" s="335"/>
      <c r="I1019" s="229"/>
      <c r="J1019" s="229"/>
      <c r="K1019" s="336"/>
      <c r="L1019" s="337"/>
      <c r="M1019" s="337"/>
      <c r="N1019" s="337"/>
      <c r="O1019" s="337"/>
      <c r="P1019" s="337"/>
      <c r="Q1019" s="384">
        <v>8325</v>
      </c>
      <c r="R1019" s="271">
        <f t="shared" si="75"/>
        <v>0</v>
      </c>
      <c r="S1019" s="339">
        <f t="shared" si="77"/>
        <v>0</v>
      </c>
      <c r="T1019" s="373"/>
      <c r="U1019" s="373">
        <f>FA!M$120</f>
        <v>0</v>
      </c>
      <c r="V1019" s="274"/>
      <c r="W1019" s="374"/>
      <c r="X1019" s="375"/>
      <c r="Y1019" s="388" t="s">
        <v>650</v>
      </c>
      <c r="Z1019" s="376"/>
      <c r="AA1019" s="240"/>
      <c r="AB1019" s="345">
        <v>1</v>
      </c>
      <c r="AC1019" s="271"/>
      <c r="AD1019" s="272"/>
      <c r="AE1019" s="273"/>
      <c r="AF1019" s="273"/>
      <c r="AG1019" s="274"/>
      <c r="AH1019" s="275"/>
      <c r="AI1019" s="272"/>
      <c r="AJ1019" s="276"/>
      <c r="AK1019" s="277"/>
      <c r="AL1019" s="278"/>
      <c r="AM1019" s="277"/>
      <c r="AN1019" s="279"/>
      <c r="AO1019" s="279"/>
      <c r="AP1019" s="279"/>
      <c r="AQ1019" s="378"/>
      <c r="AR1019" s="305">
        <f>'预算书-初步'!$F$10</f>
        <v>0.09</v>
      </c>
      <c r="AT1019" s="272"/>
      <c r="BC1019" s="272" t="s">
        <v>521</v>
      </c>
      <c r="BD1019" s="380">
        <v>1109</v>
      </c>
      <c r="BE1019" s="347" t="s">
        <v>704</v>
      </c>
    </row>
    <row r="1020" s="52" customFormat="1" ht="15.75" customHeight="1" spans="1:57">
      <c r="A1020" s="227"/>
      <c r="B1020" s="332"/>
      <c r="C1020" s="228"/>
      <c r="D1020" s="333"/>
      <c r="E1020" s="334"/>
      <c r="F1020" s="229"/>
      <c r="G1020" s="333"/>
      <c r="H1020" s="335"/>
      <c r="I1020" s="229"/>
      <c r="J1020" s="229"/>
      <c r="K1020" s="336"/>
      <c r="L1020" s="337"/>
      <c r="M1020" s="337"/>
      <c r="N1020" s="337"/>
      <c r="O1020" s="337"/>
      <c r="P1020" s="337"/>
      <c r="Q1020" s="384">
        <v>8326</v>
      </c>
      <c r="R1020" s="271">
        <f t="shared" si="75"/>
        <v>0</v>
      </c>
      <c r="S1020" s="339">
        <f t="shared" si="77"/>
        <v>0</v>
      </c>
      <c r="T1020" s="373"/>
      <c r="U1020" s="373">
        <f>FA!M$121</f>
        <v>0</v>
      </c>
      <c r="V1020" s="274"/>
      <c r="W1020" s="374"/>
      <c r="X1020" s="375"/>
      <c r="Y1020" s="45" t="s">
        <v>651</v>
      </c>
      <c r="Z1020" s="376"/>
      <c r="AA1020" s="240"/>
      <c r="AB1020" s="345">
        <v>1</v>
      </c>
      <c r="AC1020" s="271"/>
      <c r="AD1020" s="272"/>
      <c r="AE1020" s="273"/>
      <c r="AF1020" s="273"/>
      <c r="AG1020" s="274"/>
      <c r="AH1020" s="275"/>
      <c r="AI1020" s="272"/>
      <c r="AJ1020" s="276"/>
      <c r="AK1020" s="277"/>
      <c r="AL1020" s="278"/>
      <c r="AM1020" s="277"/>
      <c r="AN1020" s="279"/>
      <c r="AO1020" s="279"/>
      <c r="AP1020" s="279"/>
      <c r="AQ1020" s="378"/>
      <c r="AR1020" s="305">
        <f>'预算书-初步'!$F$10</f>
        <v>0.09</v>
      </c>
      <c r="AT1020" s="272"/>
      <c r="BC1020" s="272" t="s">
        <v>521</v>
      </c>
      <c r="BD1020" s="380">
        <v>1110</v>
      </c>
      <c r="BE1020" s="347" t="s">
        <v>704</v>
      </c>
    </row>
    <row r="1021" s="52" customFormat="1" ht="15.75" customHeight="1" spans="1:57">
      <c r="A1021" s="227"/>
      <c r="B1021" s="332"/>
      <c r="C1021" s="228"/>
      <c r="D1021" s="333"/>
      <c r="E1021" s="334"/>
      <c r="F1021" s="229"/>
      <c r="G1021" s="333"/>
      <c r="H1021" s="335"/>
      <c r="I1021" s="229"/>
      <c r="J1021" s="229"/>
      <c r="K1021" s="336"/>
      <c r="L1021" s="337"/>
      <c r="M1021" s="337"/>
      <c r="N1021" s="337"/>
      <c r="O1021" s="337"/>
      <c r="P1021" s="337"/>
      <c r="Q1021" s="384">
        <v>8327</v>
      </c>
      <c r="R1021" s="271">
        <f t="shared" si="75"/>
        <v>0</v>
      </c>
      <c r="S1021" s="339">
        <f t="shared" si="77"/>
        <v>0</v>
      </c>
      <c r="T1021" s="373"/>
      <c r="U1021" s="373">
        <f>FA!M$122</f>
        <v>0</v>
      </c>
      <c r="V1021" s="274"/>
      <c r="W1021" s="374"/>
      <c r="X1021" s="375"/>
      <c r="Y1021" s="385" t="s">
        <v>652</v>
      </c>
      <c r="Z1021" s="376"/>
      <c r="AA1021" s="240"/>
      <c r="AB1021" s="345">
        <v>1</v>
      </c>
      <c r="AC1021" s="271"/>
      <c r="AD1021" s="272"/>
      <c r="AE1021" s="273"/>
      <c r="AF1021" s="273"/>
      <c r="AG1021" s="274"/>
      <c r="AH1021" s="275"/>
      <c r="AI1021" s="272"/>
      <c r="AJ1021" s="276"/>
      <c r="AK1021" s="277"/>
      <c r="AL1021" s="278"/>
      <c r="AM1021" s="277"/>
      <c r="AN1021" s="279"/>
      <c r="AO1021" s="279"/>
      <c r="AP1021" s="279"/>
      <c r="AQ1021" s="378"/>
      <c r="AR1021" s="305">
        <f>'预算书-初步'!$F$10</f>
        <v>0.09</v>
      </c>
      <c r="AT1021" s="272"/>
      <c r="BC1021" s="272" t="s">
        <v>521</v>
      </c>
      <c r="BD1021" s="380">
        <v>1111</v>
      </c>
      <c r="BE1021" s="347" t="s">
        <v>704</v>
      </c>
    </row>
    <row r="1022" s="52" customFormat="1" ht="15.75" customHeight="1" spans="1:57">
      <c r="A1022" s="227"/>
      <c r="B1022" s="332"/>
      <c r="C1022" s="228"/>
      <c r="D1022" s="333"/>
      <c r="E1022" s="334"/>
      <c r="F1022" s="229"/>
      <c r="G1022" s="333"/>
      <c r="H1022" s="335"/>
      <c r="I1022" s="229"/>
      <c r="J1022" s="229"/>
      <c r="K1022" s="336"/>
      <c r="L1022" s="337"/>
      <c r="M1022" s="337"/>
      <c r="N1022" s="337"/>
      <c r="O1022" s="337"/>
      <c r="P1022" s="337"/>
      <c r="Q1022" s="384">
        <v>8328</v>
      </c>
      <c r="R1022" s="271">
        <f t="shared" si="75"/>
        <v>0</v>
      </c>
      <c r="S1022" s="339">
        <f t="shared" si="77"/>
        <v>0</v>
      </c>
      <c r="T1022" s="373"/>
      <c r="U1022" s="373">
        <f>FA!M$123</f>
        <v>0</v>
      </c>
      <c r="V1022" s="274"/>
      <c r="W1022" s="374"/>
      <c r="X1022" s="375"/>
      <c r="Y1022" s="45" t="s">
        <v>653</v>
      </c>
      <c r="Z1022" s="376"/>
      <c r="AA1022" s="240"/>
      <c r="AB1022" s="345">
        <v>1</v>
      </c>
      <c r="AC1022" s="271"/>
      <c r="AD1022" s="272"/>
      <c r="AE1022" s="273"/>
      <c r="AF1022" s="273"/>
      <c r="AG1022" s="274"/>
      <c r="AH1022" s="275"/>
      <c r="AI1022" s="272"/>
      <c r="AJ1022" s="276"/>
      <c r="AK1022" s="277"/>
      <c r="AL1022" s="278"/>
      <c r="AM1022" s="277"/>
      <c r="AN1022" s="279"/>
      <c r="AO1022" s="279"/>
      <c r="AP1022" s="279"/>
      <c r="AQ1022" s="378"/>
      <c r="AR1022" s="305">
        <f>'预算书-初步'!$F$10</f>
        <v>0.09</v>
      </c>
      <c r="AT1022" s="272"/>
      <c r="BC1022" s="272" t="s">
        <v>521</v>
      </c>
      <c r="BD1022" s="380">
        <v>1112</v>
      </c>
      <c r="BE1022" s="347" t="s">
        <v>704</v>
      </c>
    </row>
    <row r="1023" s="52" customFormat="1" ht="15.75" customHeight="1" spans="1:57">
      <c r="A1023" s="227"/>
      <c r="B1023" s="332"/>
      <c r="C1023" s="228"/>
      <c r="D1023" s="333"/>
      <c r="E1023" s="334"/>
      <c r="F1023" s="229"/>
      <c r="G1023" s="333"/>
      <c r="H1023" s="335"/>
      <c r="I1023" s="229"/>
      <c r="J1023" s="229"/>
      <c r="K1023" s="336"/>
      <c r="L1023" s="337"/>
      <c r="M1023" s="337"/>
      <c r="N1023" s="337"/>
      <c r="O1023" s="337"/>
      <c r="P1023" s="337"/>
      <c r="Q1023" s="384">
        <v>8331</v>
      </c>
      <c r="R1023" s="271">
        <f t="shared" si="75"/>
        <v>0</v>
      </c>
      <c r="S1023" s="339">
        <f t="shared" si="77"/>
        <v>0</v>
      </c>
      <c r="T1023" s="373"/>
      <c r="U1023" s="373">
        <f>FA!M$124</f>
        <v>0</v>
      </c>
      <c r="V1023" s="274"/>
      <c r="W1023" s="374"/>
      <c r="X1023" s="375"/>
      <c r="Y1023" s="45" t="s">
        <v>654</v>
      </c>
      <c r="Z1023" s="376"/>
      <c r="AA1023" s="240"/>
      <c r="AB1023" s="345">
        <v>1</v>
      </c>
      <c r="AC1023" s="271"/>
      <c r="AD1023" s="272"/>
      <c r="AE1023" s="273"/>
      <c r="AF1023" s="273"/>
      <c r="AG1023" s="274"/>
      <c r="AH1023" s="275"/>
      <c r="AI1023" s="272"/>
      <c r="AJ1023" s="276"/>
      <c r="AK1023" s="277"/>
      <c r="AL1023" s="278"/>
      <c r="AM1023" s="277"/>
      <c r="AN1023" s="279"/>
      <c r="AO1023" s="279"/>
      <c r="AP1023" s="279"/>
      <c r="AQ1023" s="378"/>
      <c r="AR1023" s="305">
        <f>'预算书-初步'!$F$10</f>
        <v>0.09</v>
      </c>
      <c r="AT1023" s="272"/>
      <c r="BC1023" s="272" t="s">
        <v>521</v>
      </c>
      <c r="BD1023" s="380">
        <v>1113</v>
      </c>
      <c r="BE1023" s="347" t="s">
        <v>704</v>
      </c>
    </row>
    <row r="1024" s="52" customFormat="1" ht="15.75" customHeight="1" spans="1:57">
      <c r="A1024" s="227"/>
      <c r="B1024" s="332"/>
      <c r="C1024" s="228"/>
      <c r="D1024" s="333"/>
      <c r="E1024" s="334"/>
      <c r="F1024" s="229"/>
      <c r="G1024" s="333"/>
      <c r="H1024" s="335"/>
      <c r="I1024" s="229"/>
      <c r="J1024" s="229"/>
      <c r="K1024" s="336"/>
      <c r="L1024" s="337"/>
      <c r="M1024" s="337"/>
      <c r="N1024" s="337"/>
      <c r="O1024" s="337"/>
      <c r="P1024" s="337"/>
      <c r="Q1024" s="384">
        <v>8332</v>
      </c>
      <c r="R1024" s="271">
        <f t="shared" si="75"/>
        <v>0</v>
      </c>
      <c r="S1024" s="339">
        <f t="shared" si="77"/>
        <v>0</v>
      </c>
      <c r="T1024" s="373"/>
      <c r="U1024" s="373">
        <f>FA!M$125</f>
        <v>0</v>
      </c>
      <c r="V1024" s="274"/>
      <c r="W1024" s="374"/>
      <c r="X1024" s="375"/>
      <c r="Y1024" s="45" t="s">
        <v>655</v>
      </c>
      <c r="Z1024" s="376"/>
      <c r="AA1024" s="240"/>
      <c r="AB1024" s="345">
        <v>1</v>
      </c>
      <c r="AC1024" s="271"/>
      <c r="AD1024" s="272"/>
      <c r="AE1024" s="273"/>
      <c r="AF1024" s="273"/>
      <c r="AG1024" s="274"/>
      <c r="AH1024" s="275"/>
      <c r="AI1024" s="272"/>
      <c r="AJ1024" s="276"/>
      <c r="AK1024" s="277"/>
      <c r="AL1024" s="278"/>
      <c r="AM1024" s="277"/>
      <c r="AN1024" s="279"/>
      <c r="AO1024" s="279"/>
      <c r="AP1024" s="279"/>
      <c r="AQ1024" s="378"/>
      <c r="AR1024" s="305">
        <f>'预算书-初步'!$F$10</f>
        <v>0.09</v>
      </c>
      <c r="AT1024" s="272"/>
      <c r="BC1024" s="272" t="s">
        <v>521</v>
      </c>
      <c r="BD1024" s="380">
        <v>1114</v>
      </c>
      <c r="BE1024" s="347" t="s">
        <v>704</v>
      </c>
    </row>
    <row r="1025" s="52" customFormat="1" ht="15.75" customHeight="1" spans="1:57">
      <c r="A1025" s="227"/>
      <c r="B1025" s="332"/>
      <c r="C1025" s="228"/>
      <c r="D1025" s="333"/>
      <c r="E1025" s="334"/>
      <c r="F1025" s="229"/>
      <c r="G1025" s="333"/>
      <c r="H1025" s="335"/>
      <c r="I1025" s="229"/>
      <c r="J1025" s="229"/>
      <c r="K1025" s="336"/>
      <c r="L1025" s="337"/>
      <c r="M1025" s="337"/>
      <c r="N1025" s="337"/>
      <c r="O1025" s="337"/>
      <c r="P1025" s="337"/>
      <c r="Q1025" s="384">
        <v>8333</v>
      </c>
      <c r="R1025" s="271">
        <f t="shared" si="75"/>
        <v>0</v>
      </c>
      <c r="S1025" s="339">
        <f t="shared" si="77"/>
        <v>0</v>
      </c>
      <c r="T1025" s="373"/>
      <c r="U1025" s="373">
        <f>FA!M$126</f>
        <v>0</v>
      </c>
      <c r="V1025" s="274"/>
      <c r="W1025" s="374"/>
      <c r="X1025" s="375"/>
      <c r="Y1025" s="388" t="s">
        <v>656</v>
      </c>
      <c r="Z1025" s="376"/>
      <c r="AA1025" s="240"/>
      <c r="AB1025" s="345">
        <v>1</v>
      </c>
      <c r="AC1025" s="271"/>
      <c r="AD1025" s="272"/>
      <c r="AE1025" s="273"/>
      <c r="AF1025" s="273"/>
      <c r="AG1025" s="274"/>
      <c r="AH1025" s="275"/>
      <c r="AI1025" s="272"/>
      <c r="AJ1025" s="276"/>
      <c r="AK1025" s="277"/>
      <c r="AL1025" s="278"/>
      <c r="AM1025" s="277"/>
      <c r="AN1025" s="279"/>
      <c r="AO1025" s="279"/>
      <c r="AP1025" s="279"/>
      <c r="AQ1025" s="378"/>
      <c r="AR1025" s="305">
        <f>'预算书-初步'!$F$10</f>
        <v>0.09</v>
      </c>
      <c r="AT1025" s="272"/>
      <c r="BC1025" s="272" t="s">
        <v>521</v>
      </c>
      <c r="BD1025" s="380">
        <v>1115</v>
      </c>
      <c r="BE1025" s="347" t="s">
        <v>704</v>
      </c>
    </row>
    <row r="1026" s="52" customFormat="1" ht="15.75" customHeight="1" spans="1:57">
      <c r="A1026" s="227"/>
      <c r="B1026" s="332"/>
      <c r="C1026" s="228"/>
      <c r="D1026" s="333"/>
      <c r="E1026" s="334"/>
      <c r="F1026" s="229"/>
      <c r="G1026" s="333"/>
      <c r="H1026" s="335"/>
      <c r="I1026" s="229"/>
      <c r="J1026" s="229"/>
      <c r="K1026" s="336"/>
      <c r="L1026" s="337"/>
      <c r="M1026" s="337"/>
      <c r="N1026" s="337"/>
      <c r="O1026" s="337"/>
      <c r="P1026" s="337"/>
      <c r="Q1026" s="384">
        <v>8334</v>
      </c>
      <c r="R1026" s="271">
        <f t="shared" si="75"/>
        <v>0</v>
      </c>
      <c r="S1026" s="339">
        <f t="shared" si="77"/>
        <v>0</v>
      </c>
      <c r="T1026" s="373"/>
      <c r="U1026" s="373">
        <f>FA!M$127</f>
        <v>0</v>
      </c>
      <c r="V1026" s="274"/>
      <c r="W1026" s="374"/>
      <c r="X1026" s="375"/>
      <c r="Y1026" s="388" t="s">
        <v>657</v>
      </c>
      <c r="Z1026" s="376"/>
      <c r="AA1026" s="240"/>
      <c r="AB1026" s="345">
        <v>1</v>
      </c>
      <c r="AC1026" s="271"/>
      <c r="AD1026" s="272"/>
      <c r="AE1026" s="273"/>
      <c r="AF1026" s="273"/>
      <c r="AG1026" s="274"/>
      <c r="AH1026" s="275"/>
      <c r="AI1026" s="272"/>
      <c r="AJ1026" s="276"/>
      <c r="AK1026" s="277"/>
      <c r="AL1026" s="278"/>
      <c r="AM1026" s="277"/>
      <c r="AN1026" s="279"/>
      <c r="AO1026" s="279"/>
      <c r="AP1026" s="279"/>
      <c r="AQ1026" s="378"/>
      <c r="AR1026" s="305">
        <f>'预算书-初步'!$F$10</f>
        <v>0.09</v>
      </c>
      <c r="AT1026" s="272"/>
      <c r="BC1026" s="272" t="s">
        <v>521</v>
      </c>
      <c r="BD1026" s="380">
        <v>1116</v>
      </c>
      <c r="BE1026" s="347" t="s">
        <v>704</v>
      </c>
    </row>
    <row r="1027" s="52" customFormat="1" ht="15.75" customHeight="1" spans="1:57">
      <c r="A1027" s="227"/>
      <c r="B1027" s="332"/>
      <c r="C1027" s="228"/>
      <c r="D1027" s="333"/>
      <c r="E1027" s="334"/>
      <c r="F1027" s="229"/>
      <c r="G1027" s="333"/>
      <c r="H1027" s="335"/>
      <c r="I1027" s="229"/>
      <c r="J1027" s="229"/>
      <c r="K1027" s="336"/>
      <c r="L1027" s="337"/>
      <c r="M1027" s="337"/>
      <c r="N1027" s="337"/>
      <c r="O1027" s="337"/>
      <c r="P1027" s="337"/>
      <c r="Q1027" s="384">
        <v>8335</v>
      </c>
      <c r="R1027" s="271">
        <f t="shared" si="75"/>
        <v>0</v>
      </c>
      <c r="S1027" s="339">
        <f t="shared" si="77"/>
        <v>0</v>
      </c>
      <c r="T1027" s="373"/>
      <c r="U1027" s="373">
        <f>FA!M$128</f>
        <v>0</v>
      </c>
      <c r="V1027" s="274"/>
      <c r="W1027" s="374"/>
      <c r="X1027" s="375"/>
      <c r="Y1027" s="45" t="s">
        <v>658</v>
      </c>
      <c r="Z1027" s="376"/>
      <c r="AA1027" s="240"/>
      <c r="AB1027" s="345">
        <v>1</v>
      </c>
      <c r="AC1027" s="271"/>
      <c r="AD1027" s="272"/>
      <c r="AE1027" s="273"/>
      <c r="AF1027" s="273"/>
      <c r="AG1027" s="274"/>
      <c r="AH1027" s="275"/>
      <c r="AI1027" s="272"/>
      <c r="AJ1027" s="276"/>
      <c r="AK1027" s="277"/>
      <c r="AL1027" s="278"/>
      <c r="AM1027" s="277"/>
      <c r="AN1027" s="279"/>
      <c r="AO1027" s="279"/>
      <c r="AP1027" s="279"/>
      <c r="AQ1027" s="378"/>
      <c r="AR1027" s="305">
        <f>'预算书-初步'!$F$10</f>
        <v>0.09</v>
      </c>
      <c r="AT1027" s="272"/>
      <c r="BC1027" s="272" t="s">
        <v>521</v>
      </c>
      <c r="BD1027" s="380">
        <v>1117</v>
      </c>
      <c r="BE1027" s="347" t="s">
        <v>704</v>
      </c>
    </row>
    <row r="1028" s="52" customFormat="1" ht="15.75" customHeight="1" spans="1:57">
      <c r="A1028" s="227"/>
      <c r="B1028" s="332"/>
      <c r="C1028" s="228"/>
      <c r="D1028" s="333"/>
      <c r="E1028" s="334"/>
      <c r="F1028" s="229"/>
      <c r="G1028" s="333"/>
      <c r="H1028" s="335"/>
      <c r="I1028" s="229"/>
      <c r="J1028" s="229"/>
      <c r="K1028" s="336"/>
      <c r="L1028" s="337"/>
      <c r="M1028" s="337"/>
      <c r="N1028" s="337"/>
      <c r="O1028" s="337"/>
      <c r="P1028" s="337"/>
      <c r="Q1028" s="384">
        <v>8351</v>
      </c>
      <c r="R1028" s="271">
        <f t="shared" si="75"/>
        <v>0</v>
      </c>
      <c r="S1028" s="339">
        <f t="shared" si="77"/>
        <v>0</v>
      </c>
      <c r="T1028" s="373"/>
      <c r="U1028" s="373">
        <f>FA!M$129</f>
        <v>0</v>
      </c>
      <c r="V1028" s="274"/>
      <c r="W1028" s="374"/>
      <c r="X1028" s="375"/>
      <c r="Y1028" s="388" t="s">
        <v>659</v>
      </c>
      <c r="Z1028" s="376"/>
      <c r="AA1028" s="240"/>
      <c r="AB1028" s="345">
        <v>1</v>
      </c>
      <c r="AC1028" s="271"/>
      <c r="AD1028" s="272"/>
      <c r="AE1028" s="273"/>
      <c r="AF1028" s="273"/>
      <c r="AG1028" s="274"/>
      <c r="AH1028" s="275"/>
      <c r="AI1028" s="272"/>
      <c r="AJ1028" s="276"/>
      <c r="AK1028" s="277"/>
      <c r="AL1028" s="278"/>
      <c r="AM1028" s="277"/>
      <c r="AN1028" s="279"/>
      <c r="AO1028" s="279"/>
      <c r="AP1028" s="279"/>
      <c r="AQ1028" s="378"/>
      <c r="AR1028" s="305">
        <f>'预算书-初步'!$F$10</f>
        <v>0.09</v>
      </c>
      <c r="AT1028" s="272"/>
      <c r="BC1028" s="272" t="s">
        <v>521</v>
      </c>
      <c r="BD1028" s="380">
        <v>1118</v>
      </c>
      <c r="BE1028" s="347" t="s">
        <v>704</v>
      </c>
    </row>
    <row r="1029" s="52" customFormat="1" ht="15.75" customHeight="1" spans="1:57">
      <c r="A1029" s="227"/>
      <c r="B1029" s="332"/>
      <c r="C1029" s="228"/>
      <c r="D1029" s="333"/>
      <c r="E1029" s="334"/>
      <c r="F1029" s="229"/>
      <c r="G1029" s="333"/>
      <c r="H1029" s="335"/>
      <c r="I1029" s="229"/>
      <c r="J1029" s="229"/>
      <c r="K1029" s="336"/>
      <c r="L1029" s="337"/>
      <c r="M1029" s="337"/>
      <c r="N1029" s="337"/>
      <c r="O1029" s="337"/>
      <c r="P1029" s="337"/>
      <c r="Q1029" s="384">
        <v>8341</v>
      </c>
      <c r="R1029" s="271">
        <f t="shared" si="75"/>
        <v>0</v>
      </c>
      <c r="S1029" s="339">
        <f t="shared" si="77"/>
        <v>0</v>
      </c>
      <c r="T1029" s="373"/>
      <c r="U1029" s="373">
        <f>SUMIF(其他!$A$9:$A$65,"8341",其他!$O$9:O$65)</f>
        <v>0</v>
      </c>
      <c r="V1029" s="274"/>
      <c r="W1029" s="374"/>
      <c r="X1029" s="375"/>
      <c r="Y1029" s="388" t="s">
        <v>660</v>
      </c>
      <c r="Z1029" s="376"/>
      <c r="AA1029" s="240"/>
      <c r="AB1029" s="345">
        <v>1</v>
      </c>
      <c r="AC1029" s="271"/>
      <c r="AD1029" s="272"/>
      <c r="AE1029" s="273"/>
      <c r="AF1029" s="273"/>
      <c r="AG1029" s="274"/>
      <c r="AH1029" s="275"/>
      <c r="AI1029" s="272"/>
      <c r="AJ1029" s="276"/>
      <c r="AK1029" s="277"/>
      <c r="AL1029" s="278"/>
      <c r="AM1029" s="277"/>
      <c r="AN1029" s="279"/>
      <c r="AO1029" s="279"/>
      <c r="AP1029" s="279"/>
      <c r="AQ1029" s="378"/>
      <c r="AR1029" s="305">
        <f>'预算书-初步'!$F$10</f>
        <v>0.09</v>
      </c>
      <c r="AT1029" s="272"/>
      <c r="BC1029" s="272" t="s">
        <v>521</v>
      </c>
      <c r="BD1029" s="380">
        <v>1119</v>
      </c>
      <c r="BE1029" s="347" t="s">
        <v>704</v>
      </c>
    </row>
    <row r="1030" s="52" customFormat="1" ht="15.75" customHeight="1" spans="1:57">
      <c r="A1030" s="227"/>
      <c r="B1030" s="332"/>
      <c r="C1030" s="228"/>
      <c r="D1030" s="333"/>
      <c r="E1030" s="334"/>
      <c r="F1030" s="229"/>
      <c r="G1030" s="333"/>
      <c r="H1030" s="335"/>
      <c r="I1030" s="229"/>
      <c r="J1030" s="229"/>
      <c r="K1030" s="336"/>
      <c r="L1030" s="337"/>
      <c r="M1030" s="337"/>
      <c r="N1030" s="337"/>
      <c r="O1030" s="337"/>
      <c r="P1030" s="337"/>
      <c r="Q1030" s="384">
        <v>8342</v>
      </c>
      <c r="R1030" s="271">
        <f t="shared" ref="R1030:R1093" si="78">ROUND(U1030*(1+AR1030),0)</f>
        <v>0</v>
      </c>
      <c r="S1030" s="339">
        <f t="shared" si="77"/>
        <v>0</v>
      </c>
      <c r="T1030" s="373"/>
      <c r="U1030" s="373">
        <f>SUMIF(其他!$A$9:$A$65,"8342",其他!$O$9:O$65)</f>
        <v>0</v>
      </c>
      <c r="V1030" s="274"/>
      <c r="W1030" s="374"/>
      <c r="X1030" s="375"/>
      <c r="Y1030" s="45" t="s">
        <v>661</v>
      </c>
      <c r="Z1030" s="376"/>
      <c r="AA1030" s="240"/>
      <c r="AB1030" s="345">
        <v>1</v>
      </c>
      <c r="AC1030" s="271"/>
      <c r="AD1030" s="272"/>
      <c r="AE1030" s="273"/>
      <c r="AF1030" s="273"/>
      <c r="AG1030" s="274"/>
      <c r="AH1030" s="275"/>
      <c r="AI1030" s="272"/>
      <c r="AJ1030" s="276"/>
      <c r="AK1030" s="277"/>
      <c r="AL1030" s="278"/>
      <c r="AM1030" s="277"/>
      <c r="AN1030" s="279"/>
      <c r="AO1030" s="279"/>
      <c r="AP1030" s="279"/>
      <c r="AQ1030" s="378"/>
      <c r="AR1030" s="305">
        <f>'预算书-初步'!$F$10</f>
        <v>0.09</v>
      </c>
      <c r="AT1030" s="272"/>
      <c r="BC1030" s="272" t="s">
        <v>521</v>
      </c>
      <c r="BD1030" s="380">
        <v>1119</v>
      </c>
      <c r="BE1030" s="347" t="s">
        <v>704</v>
      </c>
    </row>
    <row r="1031" s="52" customFormat="1" ht="15.75" customHeight="1" spans="1:57">
      <c r="A1031" s="227"/>
      <c r="B1031" s="332"/>
      <c r="C1031" s="228"/>
      <c r="D1031" s="333"/>
      <c r="E1031" s="334"/>
      <c r="F1031" s="229"/>
      <c r="G1031" s="333"/>
      <c r="H1031" s="335"/>
      <c r="I1031" s="229"/>
      <c r="J1031" s="229"/>
      <c r="K1031" s="336"/>
      <c r="L1031" s="337"/>
      <c r="M1031" s="337"/>
      <c r="N1031" s="337"/>
      <c r="O1031" s="337"/>
      <c r="P1031" s="337"/>
      <c r="Q1031" s="384">
        <v>8343</v>
      </c>
      <c r="R1031" s="271">
        <f t="shared" si="78"/>
        <v>0</v>
      </c>
      <c r="S1031" s="339">
        <f t="shared" si="77"/>
        <v>0</v>
      </c>
      <c r="T1031" s="373"/>
      <c r="U1031" s="373">
        <f>SUMIF(其他!$A$9:$A$65,"8343",其他!$O$9:O$65)</f>
        <v>0</v>
      </c>
      <c r="V1031" s="274"/>
      <c r="W1031" s="374"/>
      <c r="X1031" s="375"/>
      <c r="Y1031" s="45" t="s">
        <v>662</v>
      </c>
      <c r="Z1031" s="376"/>
      <c r="AA1031" s="240"/>
      <c r="AB1031" s="345">
        <v>1</v>
      </c>
      <c r="AC1031" s="271"/>
      <c r="AD1031" s="272"/>
      <c r="AE1031" s="273"/>
      <c r="AF1031" s="273"/>
      <c r="AG1031" s="274"/>
      <c r="AH1031" s="275"/>
      <c r="AI1031" s="272"/>
      <c r="AJ1031" s="276"/>
      <c r="AK1031" s="277"/>
      <c r="AL1031" s="278"/>
      <c r="AM1031" s="277"/>
      <c r="AN1031" s="279"/>
      <c r="AO1031" s="279"/>
      <c r="AP1031" s="279"/>
      <c r="AQ1031" s="378"/>
      <c r="AR1031" s="305">
        <f>'预算书-初步'!$F$10</f>
        <v>0.09</v>
      </c>
      <c r="AT1031" s="272"/>
      <c r="BC1031" s="272" t="s">
        <v>521</v>
      </c>
      <c r="BD1031" s="380">
        <v>1119</v>
      </c>
      <c r="BE1031" s="347" t="s">
        <v>704</v>
      </c>
    </row>
    <row r="1032" s="52" customFormat="1" ht="15.75" customHeight="1" spans="1:57">
      <c r="A1032" s="227"/>
      <c r="B1032" s="332"/>
      <c r="C1032" s="228"/>
      <c r="D1032" s="333"/>
      <c r="E1032" s="334"/>
      <c r="F1032" s="229"/>
      <c r="G1032" s="333"/>
      <c r="H1032" s="335"/>
      <c r="I1032" s="229"/>
      <c r="J1032" s="229"/>
      <c r="K1032" s="336"/>
      <c r="L1032" s="337"/>
      <c r="M1032" s="337"/>
      <c r="N1032" s="337"/>
      <c r="O1032" s="337"/>
      <c r="P1032" s="337"/>
      <c r="Q1032" s="384">
        <v>8344</v>
      </c>
      <c r="R1032" s="271">
        <f t="shared" si="78"/>
        <v>0</v>
      </c>
      <c r="S1032" s="339">
        <f t="shared" si="77"/>
        <v>0</v>
      </c>
      <c r="T1032" s="373"/>
      <c r="U1032" s="373">
        <f>SUMIF(其他!$A$9:$A$65,"8344",其他!$O$9:O$65)</f>
        <v>0</v>
      </c>
      <c r="V1032" s="274"/>
      <c r="W1032" s="374"/>
      <c r="X1032" s="375"/>
      <c r="Y1032" s="385" t="s">
        <v>663</v>
      </c>
      <c r="Z1032" s="376"/>
      <c r="AA1032" s="240"/>
      <c r="AB1032" s="345">
        <v>1</v>
      </c>
      <c r="AC1032" s="271"/>
      <c r="AD1032" s="272"/>
      <c r="AE1032" s="273"/>
      <c r="AF1032" s="273"/>
      <c r="AG1032" s="274"/>
      <c r="AH1032" s="275"/>
      <c r="AI1032" s="272"/>
      <c r="AJ1032" s="276"/>
      <c r="AK1032" s="277"/>
      <c r="AL1032" s="278"/>
      <c r="AM1032" s="277"/>
      <c r="AN1032" s="279"/>
      <c r="AO1032" s="279"/>
      <c r="AP1032" s="279"/>
      <c r="AQ1032" s="378"/>
      <c r="AR1032" s="305">
        <f>'预算书-初步'!$F$10</f>
        <v>0.09</v>
      </c>
      <c r="AT1032" s="272"/>
      <c r="BC1032" s="272" t="s">
        <v>521</v>
      </c>
      <c r="BD1032" s="380">
        <v>1120</v>
      </c>
      <c r="BE1032" s="347" t="s">
        <v>704</v>
      </c>
    </row>
    <row r="1033" s="52" customFormat="1" ht="15.75" customHeight="1" spans="1:57">
      <c r="A1033" s="227"/>
      <c r="B1033" s="332"/>
      <c r="C1033" s="228"/>
      <c r="D1033" s="333"/>
      <c r="E1033" s="334"/>
      <c r="F1033" s="229"/>
      <c r="G1033" s="333"/>
      <c r="H1033" s="335"/>
      <c r="I1033" s="229"/>
      <c r="J1033" s="229"/>
      <c r="K1033" s="336"/>
      <c r="L1033" s="337"/>
      <c r="M1033" s="337"/>
      <c r="N1033" s="337"/>
      <c r="O1033" s="337"/>
      <c r="P1033" s="337"/>
      <c r="Q1033" s="384">
        <v>8345</v>
      </c>
      <c r="R1033" s="271">
        <f t="shared" si="78"/>
        <v>0</v>
      </c>
      <c r="S1033" s="339">
        <f t="shared" si="77"/>
        <v>0</v>
      </c>
      <c r="T1033" s="373"/>
      <c r="U1033" s="373">
        <f>SUMIF(其他!$A$9:$A$65,"8345",其他!$O$9:O$65)</f>
        <v>0</v>
      </c>
      <c r="V1033" s="274"/>
      <c r="W1033" s="374"/>
      <c r="X1033" s="375"/>
      <c r="Y1033" s="385" t="s">
        <v>664</v>
      </c>
      <c r="Z1033" s="376"/>
      <c r="AA1033" s="240"/>
      <c r="AB1033" s="345">
        <v>1</v>
      </c>
      <c r="AC1033" s="271"/>
      <c r="AD1033" s="272"/>
      <c r="AE1033" s="273"/>
      <c r="AF1033" s="273"/>
      <c r="AG1033" s="274"/>
      <c r="AH1033" s="275"/>
      <c r="AI1033" s="272"/>
      <c r="AJ1033" s="276"/>
      <c r="AK1033" s="277"/>
      <c r="AL1033" s="278"/>
      <c r="AM1033" s="277"/>
      <c r="AN1033" s="279"/>
      <c r="AO1033" s="279"/>
      <c r="AP1033" s="279"/>
      <c r="AQ1033" s="378"/>
      <c r="AR1033" s="305">
        <f>'预算书-初步'!$F$10</f>
        <v>0.09</v>
      </c>
      <c r="AT1033" s="272"/>
      <c r="BC1033" s="272" t="s">
        <v>521</v>
      </c>
      <c r="BD1033" s="380">
        <v>1120</v>
      </c>
      <c r="BE1033" s="347" t="s">
        <v>704</v>
      </c>
    </row>
    <row r="1034" s="52" customFormat="1" ht="15.75" customHeight="1" spans="1:57">
      <c r="A1034" s="227"/>
      <c r="B1034" s="332"/>
      <c r="C1034" s="228"/>
      <c r="D1034" s="333"/>
      <c r="E1034" s="334"/>
      <c r="F1034" s="229"/>
      <c r="G1034" s="333"/>
      <c r="H1034" s="335"/>
      <c r="I1034" s="229"/>
      <c r="J1034" s="229"/>
      <c r="K1034" s="336"/>
      <c r="L1034" s="337"/>
      <c r="M1034" s="337"/>
      <c r="N1034" s="337"/>
      <c r="O1034" s="337"/>
      <c r="P1034" s="337"/>
      <c r="Q1034" s="384">
        <v>8346</v>
      </c>
      <c r="R1034" s="271">
        <f t="shared" si="78"/>
        <v>0</v>
      </c>
      <c r="S1034" s="339">
        <f t="shared" si="77"/>
        <v>0</v>
      </c>
      <c r="T1034" s="373"/>
      <c r="U1034" s="373">
        <f>SUMIF(其他!$A$9:$A$65,"8346",其他!$O$9:O$65)</f>
        <v>0</v>
      </c>
      <c r="V1034" s="274"/>
      <c r="W1034" s="374"/>
      <c r="X1034" s="375"/>
      <c r="Y1034" s="45" t="s">
        <v>665</v>
      </c>
      <c r="Z1034" s="376"/>
      <c r="AA1034" s="240"/>
      <c r="AB1034" s="345">
        <v>1</v>
      </c>
      <c r="AC1034" s="271"/>
      <c r="AD1034" s="272"/>
      <c r="AE1034" s="273"/>
      <c r="AF1034" s="273"/>
      <c r="AG1034" s="274"/>
      <c r="AH1034" s="275"/>
      <c r="AI1034" s="272"/>
      <c r="AJ1034" s="276"/>
      <c r="AK1034" s="277"/>
      <c r="AL1034" s="278"/>
      <c r="AM1034" s="277"/>
      <c r="AN1034" s="279"/>
      <c r="AO1034" s="279"/>
      <c r="AP1034" s="279"/>
      <c r="AQ1034" s="378"/>
      <c r="AR1034" s="305">
        <f>'预算书-初步'!$F$10</f>
        <v>0.09</v>
      </c>
      <c r="AT1034" s="272"/>
      <c r="BC1034" s="272" t="s">
        <v>521</v>
      </c>
      <c r="BD1034" s="380">
        <v>1120</v>
      </c>
      <c r="BE1034" s="347" t="s">
        <v>704</v>
      </c>
    </row>
    <row r="1035" s="52" customFormat="1" ht="15.75" customHeight="1" spans="1:57">
      <c r="A1035" s="227"/>
      <c r="B1035" s="332"/>
      <c r="C1035" s="228"/>
      <c r="D1035" s="333"/>
      <c r="E1035" s="334"/>
      <c r="F1035" s="229"/>
      <c r="G1035" s="333"/>
      <c r="H1035" s="335"/>
      <c r="I1035" s="229"/>
      <c r="J1035" s="229"/>
      <c r="K1035" s="336"/>
      <c r="L1035" s="337"/>
      <c r="M1035" s="337"/>
      <c r="N1035" s="337"/>
      <c r="O1035" s="337"/>
      <c r="P1035" s="337"/>
      <c r="Q1035" s="384">
        <v>8347</v>
      </c>
      <c r="R1035" s="271">
        <f t="shared" si="78"/>
        <v>0</v>
      </c>
      <c r="S1035" s="339">
        <f t="shared" si="77"/>
        <v>0</v>
      </c>
      <c r="T1035" s="373"/>
      <c r="U1035" s="373">
        <f>SUMIF(其他!$A$9:$A$65,"8347",其他!$O$9:O$65)</f>
        <v>0</v>
      </c>
      <c r="V1035" s="274"/>
      <c r="W1035" s="374"/>
      <c r="X1035" s="375"/>
      <c r="Y1035" s="45" t="s">
        <v>666</v>
      </c>
      <c r="Z1035" s="376"/>
      <c r="AA1035" s="240"/>
      <c r="AB1035" s="345">
        <v>1</v>
      </c>
      <c r="AC1035" s="271"/>
      <c r="AD1035" s="272"/>
      <c r="AE1035" s="273"/>
      <c r="AF1035" s="273"/>
      <c r="AG1035" s="274"/>
      <c r="AH1035" s="275"/>
      <c r="AI1035" s="272"/>
      <c r="AJ1035" s="276"/>
      <c r="AK1035" s="277"/>
      <c r="AL1035" s="278"/>
      <c r="AM1035" s="277"/>
      <c r="AN1035" s="279"/>
      <c r="AO1035" s="279"/>
      <c r="AP1035" s="279"/>
      <c r="AQ1035" s="378"/>
      <c r="AR1035" s="305">
        <f>'预算书-初步'!$F$10</f>
        <v>0.09</v>
      </c>
      <c r="AT1035" s="272"/>
      <c r="BC1035" s="272" t="s">
        <v>521</v>
      </c>
      <c r="BD1035" s="380">
        <v>1120</v>
      </c>
      <c r="BE1035" s="347" t="s">
        <v>704</v>
      </c>
    </row>
    <row r="1036" s="52" customFormat="1" ht="15.75" customHeight="1" spans="1:57">
      <c r="A1036" s="227"/>
      <c r="B1036" s="332"/>
      <c r="C1036" s="228"/>
      <c r="D1036" s="333"/>
      <c r="E1036" s="334"/>
      <c r="F1036" s="229"/>
      <c r="G1036" s="333"/>
      <c r="H1036" s="335"/>
      <c r="I1036" s="229"/>
      <c r="J1036" s="229"/>
      <c r="K1036" s="336"/>
      <c r="L1036" s="337"/>
      <c r="M1036" s="337"/>
      <c r="N1036" s="337"/>
      <c r="O1036" s="337"/>
      <c r="P1036" s="337"/>
      <c r="Q1036" s="384">
        <v>8348</v>
      </c>
      <c r="R1036" s="271">
        <f t="shared" si="78"/>
        <v>0</v>
      </c>
      <c r="S1036" s="339">
        <f t="shared" si="77"/>
        <v>0</v>
      </c>
      <c r="T1036" s="373"/>
      <c r="U1036" s="373">
        <f>SUMIF(其他!$A$9:$A$65,"8348",其他!$O$9:O$65)</f>
        <v>0</v>
      </c>
      <c r="V1036" s="274"/>
      <c r="W1036" s="374"/>
      <c r="X1036" s="375"/>
      <c r="Y1036" s="45" t="s">
        <v>667</v>
      </c>
      <c r="Z1036" s="376"/>
      <c r="AA1036" s="240"/>
      <c r="AB1036" s="345">
        <v>1</v>
      </c>
      <c r="AC1036" s="271"/>
      <c r="AD1036" s="272"/>
      <c r="AE1036" s="273"/>
      <c r="AF1036" s="273"/>
      <c r="AG1036" s="274"/>
      <c r="AH1036" s="275"/>
      <c r="AI1036" s="272"/>
      <c r="AJ1036" s="276"/>
      <c r="AK1036" s="277"/>
      <c r="AL1036" s="278"/>
      <c r="AM1036" s="277"/>
      <c r="AN1036" s="279"/>
      <c r="AO1036" s="279"/>
      <c r="AP1036" s="279"/>
      <c r="AQ1036" s="378"/>
      <c r="AR1036" s="305">
        <f>'预算书-初步'!$F$10</f>
        <v>0.09</v>
      </c>
      <c r="AT1036" s="272"/>
      <c r="BC1036" s="272" t="s">
        <v>521</v>
      </c>
      <c r="BD1036" s="380">
        <v>1120</v>
      </c>
      <c r="BE1036" s="347" t="s">
        <v>704</v>
      </c>
    </row>
    <row r="1037" s="52" customFormat="1" ht="15.75" customHeight="1" spans="1:57">
      <c r="A1037" s="227"/>
      <c r="B1037" s="332"/>
      <c r="C1037" s="228"/>
      <c r="D1037" s="333"/>
      <c r="E1037" s="334"/>
      <c r="F1037" s="229"/>
      <c r="G1037" s="333"/>
      <c r="H1037" s="335"/>
      <c r="I1037" s="229"/>
      <c r="J1037" s="229"/>
      <c r="K1037" s="336"/>
      <c r="L1037" s="337"/>
      <c r="M1037" s="337"/>
      <c r="N1037" s="337"/>
      <c r="O1037" s="337"/>
      <c r="P1037" s="337"/>
      <c r="Q1037" s="384">
        <v>8349</v>
      </c>
      <c r="R1037" s="271">
        <f t="shared" si="78"/>
        <v>0</v>
      </c>
      <c r="S1037" s="339">
        <f t="shared" si="77"/>
        <v>0</v>
      </c>
      <c r="T1037" s="373"/>
      <c r="U1037" s="373">
        <f>SUMIF(其他!$A$9:$A$65,"8349",其他!$O$9:O$65)</f>
        <v>0</v>
      </c>
      <c r="V1037" s="274"/>
      <c r="W1037" s="374"/>
      <c r="X1037" s="375"/>
      <c r="Y1037" s="45" t="s">
        <v>668</v>
      </c>
      <c r="Z1037" s="376"/>
      <c r="AA1037" s="240"/>
      <c r="AB1037" s="345">
        <v>1</v>
      </c>
      <c r="AC1037" s="271"/>
      <c r="AD1037" s="272"/>
      <c r="AE1037" s="273"/>
      <c r="AF1037" s="273"/>
      <c r="AG1037" s="274"/>
      <c r="AH1037" s="275"/>
      <c r="AI1037" s="272"/>
      <c r="AJ1037" s="276"/>
      <c r="AK1037" s="277"/>
      <c r="AL1037" s="278"/>
      <c r="AM1037" s="277"/>
      <c r="AN1037" s="279"/>
      <c r="AO1037" s="279"/>
      <c r="AP1037" s="279"/>
      <c r="AQ1037" s="378"/>
      <c r="AR1037" s="305">
        <f>'预算书-初步'!$F$10</f>
        <v>0.09</v>
      </c>
      <c r="AT1037" s="272"/>
      <c r="BC1037" s="272" t="s">
        <v>521</v>
      </c>
      <c r="BD1037" s="380">
        <v>1120</v>
      </c>
      <c r="BE1037" s="347" t="s">
        <v>704</v>
      </c>
    </row>
    <row r="1038" s="52" customFormat="1" ht="15.75" customHeight="1" spans="1:57">
      <c r="A1038" s="227"/>
      <c r="B1038" s="332"/>
      <c r="C1038" s="228"/>
      <c r="D1038" s="333"/>
      <c r="E1038" s="334"/>
      <c r="F1038" s="229"/>
      <c r="G1038" s="333"/>
      <c r="H1038" s="335"/>
      <c r="I1038" s="229"/>
      <c r="J1038" s="229"/>
      <c r="K1038" s="336"/>
      <c r="L1038" s="337"/>
      <c r="M1038" s="337"/>
      <c r="N1038" s="337"/>
      <c r="O1038" s="337"/>
      <c r="P1038" s="337"/>
      <c r="Q1038" s="384">
        <v>8352</v>
      </c>
      <c r="R1038" s="271">
        <f t="shared" si="78"/>
        <v>0</v>
      </c>
      <c r="S1038" s="339">
        <f t="shared" si="77"/>
        <v>0</v>
      </c>
      <c r="T1038" s="373"/>
      <c r="U1038" s="389">
        <f>SUMIF(其他!$A$9:$A$65,"8352",其他!$O$9:O$65)+SUMIFS('预算书-初步'!P14:P2600,'预算书-初步'!A14:A2600,"大甜123",'预算书-初步'!C14:C2600,8352)</f>
        <v>0</v>
      </c>
      <c r="V1038" s="274"/>
      <c r="W1038" s="374"/>
      <c r="X1038" s="375"/>
      <c r="Y1038" s="45" t="s">
        <v>669</v>
      </c>
      <c r="Z1038" s="376"/>
      <c r="AA1038" s="240"/>
      <c r="AB1038" s="345">
        <v>1</v>
      </c>
      <c r="AC1038" s="271"/>
      <c r="AD1038" s="272"/>
      <c r="AE1038" s="273"/>
      <c r="AF1038" s="273"/>
      <c r="AG1038" s="274"/>
      <c r="AH1038" s="275"/>
      <c r="AI1038" s="272"/>
      <c r="AJ1038" s="276"/>
      <c r="AK1038" s="277"/>
      <c r="AL1038" s="278"/>
      <c r="AM1038" s="277"/>
      <c r="AN1038" s="279"/>
      <c r="AO1038" s="279"/>
      <c r="AP1038" s="279"/>
      <c r="AQ1038" s="378"/>
      <c r="AR1038" s="305">
        <f>'预算书-初步'!$F$10</f>
        <v>0.09</v>
      </c>
      <c r="AT1038" s="272"/>
      <c r="BC1038" s="272" t="s">
        <v>521</v>
      </c>
      <c r="BD1038" s="380">
        <v>1121</v>
      </c>
      <c r="BE1038" s="347" t="s">
        <v>704</v>
      </c>
    </row>
    <row r="1039" s="52" customFormat="1" ht="15.75" customHeight="1" spans="1:57">
      <c r="A1039" s="227"/>
      <c r="B1039" s="332"/>
      <c r="C1039" s="228"/>
      <c r="D1039" s="333"/>
      <c r="E1039" s="334"/>
      <c r="F1039" s="229"/>
      <c r="G1039" s="333"/>
      <c r="H1039" s="335"/>
      <c r="I1039" s="229"/>
      <c r="J1039" s="229"/>
      <c r="K1039" s="336"/>
      <c r="L1039" s="337"/>
      <c r="M1039" s="337"/>
      <c r="N1039" s="337"/>
      <c r="O1039" s="337"/>
      <c r="P1039" s="337"/>
      <c r="Q1039" s="384">
        <v>8353</v>
      </c>
      <c r="R1039" s="271">
        <f t="shared" si="78"/>
        <v>0</v>
      </c>
      <c r="S1039" s="339">
        <f t="shared" si="77"/>
        <v>0</v>
      </c>
      <c r="T1039" s="373"/>
      <c r="U1039" s="373">
        <f>SUMIF(其他!$A$9:$A$65,"8353",其他!$O$9:O$65)</f>
        <v>0</v>
      </c>
      <c r="V1039" s="274"/>
      <c r="W1039" s="374"/>
      <c r="X1039" s="375"/>
      <c r="Y1039" s="45" t="s">
        <v>670</v>
      </c>
      <c r="Z1039" s="376"/>
      <c r="AA1039" s="240"/>
      <c r="AB1039" s="345">
        <v>1</v>
      </c>
      <c r="AC1039" s="271"/>
      <c r="AD1039" s="272"/>
      <c r="AE1039" s="273"/>
      <c r="AF1039" s="273"/>
      <c r="AG1039" s="274"/>
      <c r="AH1039" s="275"/>
      <c r="AI1039" s="272"/>
      <c r="AJ1039" s="276"/>
      <c r="AK1039" s="277"/>
      <c r="AL1039" s="278"/>
      <c r="AM1039" s="277"/>
      <c r="AN1039" s="279"/>
      <c r="AO1039" s="279"/>
      <c r="AP1039" s="279"/>
      <c r="AQ1039" s="378"/>
      <c r="AR1039" s="305">
        <f>'预算书-初步'!$F$10</f>
        <v>0.09</v>
      </c>
      <c r="AT1039" s="272"/>
      <c r="BC1039" s="272" t="s">
        <v>521</v>
      </c>
      <c r="BD1039" s="380">
        <v>1121</v>
      </c>
      <c r="BE1039" s="347" t="s">
        <v>704</v>
      </c>
    </row>
    <row r="1040" s="52" customFormat="1" ht="15.75" customHeight="1" spans="1:57">
      <c r="A1040" s="227"/>
      <c r="B1040" s="332"/>
      <c r="C1040" s="228"/>
      <c r="D1040" s="333"/>
      <c r="E1040" s="334"/>
      <c r="F1040" s="229"/>
      <c r="G1040" s="333"/>
      <c r="H1040" s="335"/>
      <c r="I1040" s="229"/>
      <c r="J1040" s="229"/>
      <c r="K1040" s="336"/>
      <c r="L1040" s="337"/>
      <c r="M1040" s="337"/>
      <c r="N1040" s="337"/>
      <c r="O1040" s="337"/>
      <c r="P1040" s="337"/>
      <c r="Q1040" s="384">
        <v>8354</v>
      </c>
      <c r="R1040" s="271">
        <f t="shared" si="78"/>
        <v>0</v>
      </c>
      <c r="S1040" s="339">
        <f t="shared" si="77"/>
        <v>0</v>
      </c>
      <c r="T1040" s="373"/>
      <c r="U1040" s="373">
        <f>SUMIF(其他!$A$9:$A$65,"8354",其他!$O$9:O$65)</f>
        <v>0</v>
      </c>
      <c r="V1040" s="274"/>
      <c r="W1040" s="374"/>
      <c r="X1040" s="375"/>
      <c r="Y1040" s="45" t="s">
        <v>671</v>
      </c>
      <c r="Z1040" s="376"/>
      <c r="AA1040" s="240"/>
      <c r="AB1040" s="345">
        <v>1</v>
      </c>
      <c r="AC1040" s="271"/>
      <c r="AD1040" s="272"/>
      <c r="AE1040" s="273"/>
      <c r="AF1040" s="273"/>
      <c r="AG1040" s="274"/>
      <c r="AH1040" s="275"/>
      <c r="AI1040" s="272"/>
      <c r="AJ1040" s="276"/>
      <c r="AK1040" s="277"/>
      <c r="AL1040" s="278"/>
      <c r="AM1040" s="277"/>
      <c r="AN1040" s="279"/>
      <c r="AO1040" s="279"/>
      <c r="AP1040" s="279"/>
      <c r="AQ1040" s="378"/>
      <c r="AR1040" s="305">
        <f>'预算书-初步'!$F$10</f>
        <v>0.09</v>
      </c>
      <c r="AT1040" s="272"/>
      <c r="BC1040" s="272" t="s">
        <v>521</v>
      </c>
      <c r="BD1040" s="380">
        <v>1121</v>
      </c>
      <c r="BE1040" s="347" t="s">
        <v>704</v>
      </c>
    </row>
    <row r="1041" s="52" customFormat="1" ht="15.75" customHeight="1" spans="1:57">
      <c r="A1041" s="227"/>
      <c r="B1041" s="332"/>
      <c r="C1041" s="228"/>
      <c r="D1041" s="333"/>
      <c r="E1041" s="334"/>
      <c r="F1041" s="229"/>
      <c r="G1041" s="333"/>
      <c r="H1041" s="335"/>
      <c r="I1041" s="229"/>
      <c r="J1041" s="229"/>
      <c r="K1041" s="336"/>
      <c r="L1041" s="337"/>
      <c r="M1041" s="337"/>
      <c r="N1041" s="337"/>
      <c r="O1041" s="337"/>
      <c r="P1041" s="337"/>
      <c r="Q1041" s="384">
        <v>8355</v>
      </c>
      <c r="R1041" s="271">
        <f t="shared" si="78"/>
        <v>0</v>
      </c>
      <c r="S1041" s="339">
        <f t="shared" si="77"/>
        <v>0</v>
      </c>
      <c r="T1041" s="373"/>
      <c r="U1041" s="373">
        <f>SUMIF(其他!$A$9:$A$65,"8355",其他!$O$9:O$65)</f>
        <v>0</v>
      </c>
      <c r="V1041" s="274"/>
      <c r="W1041" s="374"/>
      <c r="X1041" s="375"/>
      <c r="Y1041" s="365" t="s">
        <v>672</v>
      </c>
      <c r="Z1041" s="376"/>
      <c r="AA1041" s="240"/>
      <c r="AB1041" s="345">
        <v>1</v>
      </c>
      <c r="AC1041" s="271"/>
      <c r="AD1041" s="272"/>
      <c r="AE1041" s="273"/>
      <c r="AF1041" s="273"/>
      <c r="AG1041" s="274"/>
      <c r="AH1041" s="275"/>
      <c r="AI1041" s="272"/>
      <c r="AJ1041" s="276"/>
      <c r="AK1041" s="277"/>
      <c r="AL1041" s="278"/>
      <c r="AM1041" s="277"/>
      <c r="AN1041" s="279"/>
      <c r="AO1041" s="279"/>
      <c r="AP1041" s="279"/>
      <c r="AQ1041" s="378"/>
      <c r="AR1041" s="305">
        <f>'预算书-初步'!$F$10</f>
        <v>0.09</v>
      </c>
      <c r="AT1041" s="272"/>
      <c r="BC1041" s="272" t="s">
        <v>521</v>
      </c>
      <c r="BD1041" s="380">
        <v>1121</v>
      </c>
      <c r="BE1041" s="347" t="s">
        <v>704</v>
      </c>
    </row>
    <row r="1042" s="52" customFormat="1" ht="15.75" customHeight="1" spans="1:57">
      <c r="A1042" s="227"/>
      <c r="B1042" s="332"/>
      <c r="C1042" s="228"/>
      <c r="D1042" s="333"/>
      <c r="E1042" s="334"/>
      <c r="F1042" s="229"/>
      <c r="G1042" s="333"/>
      <c r="H1042" s="335"/>
      <c r="I1042" s="229"/>
      <c r="J1042" s="229"/>
      <c r="K1042" s="336"/>
      <c r="L1042" s="337"/>
      <c r="M1042" s="337"/>
      <c r="N1042" s="337"/>
      <c r="O1042" s="337"/>
      <c r="P1042" s="337"/>
      <c r="Q1042" s="384">
        <v>8357</v>
      </c>
      <c r="R1042" s="271">
        <f t="shared" si="78"/>
        <v>0</v>
      </c>
      <c r="S1042" s="339">
        <f t="shared" si="77"/>
        <v>0</v>
      </c>
      <c r="T1042" s="373"/>
      <c r="U1042" s="373">
        <f>FA!M$133</f>
        <v>0</v>
      </c>
      <c r="V1042" s="274"/>
      <c r="W1042" s="374"/>
      <c r="X1042" s="375"/>
      <c r="Y1042" s="390" t="s">
        <v>673</v>
      </c>
      <c r="Z1042" s="376"/>
      <c r="AA1042" s="240"/>
      <c r="AB1042" s="345">
        <v>1</v>
      </c>
      <c r="AC1042" s="271"/>
      <c r="AD1042" s="272"/>
      <c r="AE1042" s="273"/>
      <c r="AF1042" s="273"/>
      <c r="AG1042" s="274"/>
      <c r="AH1042" s="275"/>
      <c r="AI1042" s="272"/>
      <c r="AJ1042" s="276"/>
      <c r="AK1042" s="277"/>
      <c r="AL1042" s="278"/>
      <c r="AM1042" s="277"/>
      <c r="AN1042" s="279"/>
      <c r="AO1042" s="279"/>
      <c r="AP1042" s="279"/>
      <c r="AQ1042" s="378"/>
      <c r="AR1042" s="305">
        <f>'预算书-初步'!$F$10</f>
        <v>0.09</v>
      </c>
      <c r="AT1042" s="272"/>
      <c r="BC1042" s="272" t="s">
        <v>521</v>
      </c>
      <c r="BD1042" s="380">
        <v>1122</v>
      </c>
      <c r="BE1042" s="347" t="s">
        <v>704</v>
      </c>
    </row>
    <row r="1043" s="52" customFormat="1" ht="15.75" customHeight="1" spans="1:57">
      <c r="A1043" s="227"/>
      <c r="B1043" s="332"/>
      <c r="C1043" s="228"/>
      <c r="D1043" s="333"/>
      <c r="E1043" s="334"/>
      <c r="F1043" s="229"/>
      <c r="G1043" s="333"/>
      <c r="H1043" s="335"/>
      <c r="I1043" s="229"/>
      <c r="J1043" s="229"/>
      <c r="K1043" s="336"/>
      <c r="L1043" s="337"/>
      <c r="M1043" s="337"/>
      <c r="N1043" s="337"/>
      <c r="O1043" s="337"/>
      <c r="P1043" s="337"/>
      <c r="Q1043" s="381">
        <v>8361</v>
      </c>
      <c r="R1043" s="271">
        <f t="shared" si="78"/>
        <v>0</v>
      </c>
      <c r="S1043" s="339">
        <f t="shared" si="77"/>
        <v>0</v>
      </c>
      <c r="T1043" s="373"/>
      <c r="U1043" s="373">
        <f>SUMIF(其他!$A$9:$A$65,"8361",其他!$O$9:O$65)</f>
        <v>0</v>
      </c>
      <c r="V1043" s="274"/>
      <c r="W1043" s="374"/>
      <c r="X1043" s="375"/>
      <c r="Y1043" s="45" t="s">
        <v>674</v>
      </c>
      <c r="Z1043" s="376"/>
      <c r="AA1043" s="240"/>
      <c r="AB1043" s="345">
        <v>1</v>
      </c>
      <c r="AC1043" s="271"/>
      <c r="AD1043" s="272"/>
      <c r="AE1043" s="273"/>
      <c r="AF1043" s="273"/>
      <c r="AG1043" s="274"/>
      <c r="AH1043" s="275"/>
      <c r="AI1043" s="272"/>
      <c r="AJ1043" s="276"/>
      <c r="AK1043" s="277"/>
      <c r="AL1043" s="278"/>
      <c r="AM1043" s="277"/>
      <c r="AN1043" s="279"/>
      <c r="AO1043" s="279"/>
      <c r="AP1043" s="279"/>
      <c r="AQ1043" s="378"/>
      <c r="AR1043" s="305">
        <f>'预算书-初步'!$F$10</f>
        <v>0.09</v>
      </c>
      <c r="AT1043" s="272"/>
      <c r="BC1043" s="272" t="s">
        <v>521</v>
      </c>
      <c r="BD1043" s="380">
        <v>1123</v>
      </c>
      <c r="BE1043" s="347" t="s">
        <v>704</v>
      </c>
    </row>
    <row r="1044" s="52" customFormat="1" ht="15.75" customHeight="1" spans="1:57">
      <c r="A1044" s="227"/>
      <c r="B1044" s="332"/>
      <c r="C1044" s="228"/>
      <c r="D1044" s="333"/>
      <c r="E1044" s="334"/>
      <c r="F1044" s="229"/>
      <c r="G1044" s="333"/>
      <c r="H1044" s="335"/>
      <c r="I1044" s="229"/>
      <c r="J1044" s="229"/>
      <c r="K1044" s="336"/>
      <c r="L1044" s="337"/>
      <c r="M1044" s="337"/>
      <c r="N1044" s="337"/>
      <c r="O1044" s="337"/>
      <c r="P1044" s="337"/>
      <c r="Q1044" s="381">
        <v>8362</v>
      </c>
      <c r="R1044" s="271">
        <f t="shared" si="78"/>
        <v>0</v>
      </c>
      <c r="S1044" s="339">
        <f t="shared" si="77"/>
        <v>0</v>
      </c>
      <c r="T1044" s="373"/>
      <c r="U1044" s="373">
        <f>SUMIF(其他!$A$9:$A$65,"8362",其他!$O$9:O$65)</f>
        <v>0</v>
      </c>
      <c r="V1044" s="274"/>
      <c r="W1044" s="374"/>
      <c r="X1044" s="375"/>
      <c r="Y1044" s="45" t="s">
        <v>675</v>
      </c>
      <c r="Z1044" s="376"/>
      <c r="AA1044" s="240"/>
      <c r="AB1044" s="345">
        <v>1</v>
      </c>
      <c r="AC1044" s="271"/>
      <c r="AD1044" s="272"/>
      <c r="AE1044" s="273"/>
      <c r="AF1044" s="273"/>
      <c r="AG1044" s="274"/>
      <c r="AH1044" s="275"/>
      <c r="AI1044" s="272"/>
      <c r="AJ1044" s="276"/>
      <c r="AK1044" s="277"/>
      <c r="AL1044" s="278"/>
      <c r="AM1044" s="277"/>
      <c r="AN1044" s="279"/>
      <c r="AO1044" s="279"/>
      <c r="AP1044" s="279"/>
      <c r="AQ1044" s="378"/>
      <c r="AR1044" s="305">
        <f>'预算书-初步'!$F$10</f>
        <v>0.09</v>
      </c>
      <c r="AT1044" s="272"/>
      <c r="BC1044" s="272" t="s">
        <v>521</v>
      </c>
      <c r="BD1044" s="380">
        <v>1123</v>
      </c>
      <c r="BE1044" s="347" t="s">
        <v>704</v>
      </c>
    </row>
    <row r="1045" s="52" customFormat="1" ht="15.75" customHeight="1" spans="1:57">
      <c r="A1045" s="227"/>
      <c r="B1045" s="332"/>
      <c r="C1045" s="228"/>
      <c r="D1045" s="333"/>
      <c r="E1045" s="334"/>
      <c r="F1045" s="229"/>
      <c r="G1045" s="333"/>
      <c r="H1045" s="335"/>
      <c r="I1045" s="229"/>
      <c r="J1045" s="229"/>
      <c r="K1045" s="336"/>
      <c r="L1045" s="337"/>
      <c r="M1045" s="337"/>
      <c r="N1045" s="337"/>
      <c r="O1045" s="337"/>
      <c r="P1045" s="337"/>
      <c r="Q1045" s="381">
        <v>8391</v>
      </c>
      <c r="R1045" s="271">
        <f t="shared" si="78"/>
        <v>0</v>
      </c>
      <c r="S1045" s="339">
        <f t="shared" si="77"/>
        <v>0</v>
      </c>
      <c r="T1045" s="373"/>
      <c r="U1045" s="373">
        <f>FA!M$135</f>
        <v>0</v>
      </c>
      <c r="V1045" s="274"/>
      <c r="W1045" s="374"/>
      <c r="X1045" s="375"/>
      <c r="Y1045" s="45" t="s">
        <v>676</v>
      </c>
      <c r="Z1045" s="376"/>
      <c r="AA1045" s="240"/>
      <c r="AB1045" s="345">
        <v>1</v>
      </c>
      <c r="AC1045" s="271"/>
      <c r="AD1045" s="272"/>
      <c r="AE1045" s="273"/>
      <c r="AF1045" s="273"/>
      <c r="AG1045" s="274"/>
      <c r="AH1045" s="275"/>
      <c r="AI1045" s="272"/>
      <c r="AJ1045" s="276"/>
      <c r="AK1045" s="277"/>
      <c r="AL1045" s="278"/>
      <c r="AM1045" s="277"/>
      <c r="AN1045" s="279"/>
      <c r="AO1045" s="279"/>
      <c r="AP1045" s="279"/>
      <c r="AQ1045" s="378"/>
      <c r="AR1045" s="305">
        <f>'预算书-初步'!$F$10</f>
        <v>0.09</v>
      </c>
      <c r="AT1045" s="272"/>
      <c r="BC1045" s="272" t="s">
        <v>521</v>
      </c>
      <c r="BD1045" s="380">
        <v>1124</v>
      </c>
      <c r="BE1045" s="347" t="s">
        <v>704</v>
      </c>
    </row>
    <row r="1046" s="52" customFormat="1" ht="15.75" customHeight="1" spans="1:57">
      <c r="A1046" s="227"/>
      <c r="B1046" s="332"/>
      <c r="C1046" s="228"/>
      <c r="D1046" s="333"/>
      <c r="E1046" s="334"/>
      <c r="F1046" s="229"/>
      <c r="G1046" s="333"/>
      <c r="H1046" s="335"/>
      <c r="I1046" s="229"/>
      <c r="J1046" s="229"/>
      <c r="K1046" s="336"/>
      <c r="L1046" s="337"/>
      <c r="M1046" s="337"/>
      <c r="N1046" s="337"/>
      <c r="O1046" s="337"/>
      <c r="P1046" s="337"/>
      <c r="Q1046" s="381">
        <v>8392</v>
      </c>
      <c r="R1046" s="271">
        <f t="shared" si="78"/>
        <v>0</v>
      </c>
      <c r="S1046" s="339">
        <f t="shared" si="77"/>
        <v>0</v>
      </c>
      <c r="T1046" s="373"/>
      <c r="U1046" s="373">
        <f>SUMIF(其他!$A$9:$A$65,"8392",其他!$O$9:O$65)</f>
        <v>0</v>
      </c>
      <c r="V1046" s="274"/>
      <c r="W1046" s="374"/>
      <c r="X1046" s="375"/>
      <c r="Y1046" s="45" t="s">
        <v>677</v>
      </c>
      <c r="Z1046" s="376"/>
      <c r="AA1046" s="240"/>
      <c r="AB1046" s="345">
        <v>1</v>
      </c>
      <c r="AC1046" s="271"/>
      <c r="AD1046" s="272"/>
      <c r="AE1046" s="273"/>
      <c r="AF1046" s="273"/>
      <c r="AG1046" s="274"/>
      <c r="AH1046" s="275"/>
      <c r="AI1046" s="272"/>
      <c r="AJ1046" s="276"/>
      <c r="AK1046" s="277"/>
      <c r="AL1046" s="278"/>
      <c r="AM1046" s="277"/>
      <c r="AN1046" s="279"/>
      <c r="AO1046" s="279"/>
      <c r="AP1046" s="279"/>
      <c r="AQ1046" s="378"/>
      <c r="AR1046" s="305">
        <f>'预算书-初步'!$F$10</f>
        <v>0.09</v>
      </c>
      <c r="AT1046" s="272"/>
      <c r="BC1046" s="272" t="s">
        <v>521</v>
      </c>
      <c r="BD1046" s="380">
        <v>1125</v>
      </c>
      <c r="BE1046" s="347" t="s">
        <v>704</v>
      </c>
    </row>
    <row r="1047" s="52" customFormat="1" ht="15.75" customHeight="1" spans="1:57">
      <c r="A1047" s="227"/>
      <c r="B1047" s="332"/>
      <c r="C1047" s="228"/>
      <c r="D1047" s="333"/>
      <c r="E1047" s="334"/>
      <c r="F1047" s="229"/>
      <c r="G1047" s="333"/>
      <c r="H1047" s="335"/>
      <c r="I1047" s="229"/>
      <c r="J1047" s="229"/>
      <c r="K1047" s="336"/>
      <c r="L1047" s="337"/>
      <c r="M1047" s="337"/>
      <c r="N1047" s="337"/>
      <c r="O1047" s="337"/>
      <c r="P1047" s="337"/>
      <c r="Q1047" s="381">
        <v>8393</v>
      </c>
      <c r="R1047" s="271">
        <f t="shared" si="78"/>
        <v>0</v>
      </c>
      <c r="S1047" s="339">
        <f t="shared" si="77"/>
        <v>0</v>
      </c>
      <c r="T1047" s="373"/>
      <c r="U1047" s="373">
        <f>SUMIF(其他!$A$9:$A$65,"8393",其他!$O$9:O$65)</f>
        <v>0</v>
      </c>
      <c r="V1047" s="274"/>
      <c r="W1047" s="374"/>
      <c r="X1047" s="375"/>
      <c r="Y1047" s="45" t="s">
        <v>678</v>
      </c>
      <c r="Z1047" s="376"/>
      <c r="AA1047" s="240"/>
      <c r="AB1047" s="345">
        <v>1</v>
      </c>
      <c r="AC1047" s="271"/>
      <c r="AD1047" s="272"/>
      <c r="AE1047" s="273"/>
      <c r="AF1047" s="273"/>
      <c r="AG1047" s="274"/>
      <c r="AH1047" s="275"/>
      <c r="AI1047" s="272"/>
      <c r="AJ1047" s="276"/>
      <c r="AK1047" s="277"/>
      <c r="AL1047" s="278"/>
      <c r="AM1047" s="277"/>
      <c r="AN1047" s="279"/>
      <c r="AO1047" s="279"/>
      <c r="AP1047" s="279"/>
      <c r="AQ1047" s="378"/>
      <c r="AR1047" s="305">
        <f>'预算书-初步'!$F$10</f>
        <v>0.09</v>
      </c>
      <c r="AT1047" s="272"/>
      <c r="BC1047" s="272" t="s">
        <v>521</v>
      </c>
      <c r="BD1047" s="380">
        <v>1125</v>
      </c>
      <c r="BE1047" s="347" t="s">
        <v>704</v>
      </c>
    </row>
    <row r="1048" s="52" customFormat="1" ht="15.75" customHeight="1" spans="1:57">
      <c r="A1048" s="227"/>
      <c r="B1048" s="332"/>
      <c r="C1048" s="228"/>
      <c r="D1048" s="333"/>
      <c r="E1048" s="334"/>
      <c r="F1048" s="229"/>
      <c r="G1048" s="333"/>
      <c r="H1048" s="335"/>
      <c r="I1048" s="229"/>
      <c r="J1048" s="229"/>
      <c r="K1048" s="336"/>
      <c r="L1048" s="337"/>
      <c r="M1048" s="337"/>
      <c r="N1048" s="337"/>
      <c r="O1048" s="337"/>
      <c r="P1048" s="337"/>
      <c r="Q1048" s="381">
        <v>8394</v>
      </c>
      <c r="R1048" s="271">
        <f t="shared" si="78"/>
        <v>0</v>
      </c>
      <c r="S1048" s="339">
        <f t="shared" si="77"/>
        <v>0</v>
      </c>
      <c r="T1048" s="373"/>
      <c r="U1048" s="373">
        <f>SUMIF(其他!$A$9:$A$65,"8394",其他!$O$9:O$65)</f>
        <v>0</v>
      </c>
      <c r="V1048" s="274"/>
      <c r="W1048" s="374"/>
      <c r="X1048" s="375"/>
      <c r="Y1048" s="45" t="s">
        <v>679</v>
      </c>
      <c r="Z1048" s="376"/>
      <c r="AA1048" s="240"/>
      <c r="AB1048" s="345">
        <v>1</v>
      </c>
      <c r="AC1048" s="271"/>
      <c r="AD1048" s="272"/>
      <c r="AE1048" s="273"/>
      <c r="AF1048" s="273"/>
      <c r="AG1048" s="274"/>
      <c r="AH1048" s="275"/>
      <c r="AI1048" s="272"/>
      <c r="AJ1048" s="276"/>
      <c r="AK1048" s="277"/>
      <c r="AL1048" s="278"/>
      <c r="AM1048" s="277"/>
      <c r="AN1048" s="279"/>
      <c r="AO1048" s="279"/>
      <c r="AP1048" s="279"/>
      <c r="AQ1048" s="378"/>
      <c r="AR1048" s="305">
        <f>'预算书-初步'!$F$10</f>
        <v>0.09</v>
      </c>
      <c r="AT1048" s="272"/>
      <c r="BC1048" s="272" t="s">
        <v>521</v>
      </c>
      <c r="BD1048" s="380">
        <v>1125</v>
      </c>
      <c r="BE1048" s="347" t="s">
        <v>704</v>
      </c>
    </row>
    <row r="1049" s="52" customFormat="1" ht="15.75" customHeight="1" spans="1:57">
      <c r="A1049" s="227"/>
      <c r="B1049" s="332"/>
      <c r="C1049" s="228"/>
      <c r="D1049" s="333"/>
      <c r="E1049" s="334"/>
      <c r="F1049" s="229"/>
      <c r="G1049" s="333"/>
      <c r="H1049" s="335"/>
      <c r="I1049" s="229"/>
      <c r="J1049" s="229"/>
      <c r="K1049" s="336"/>
      <c r="L1049" s="337"/>
      <c r="M1049" s="337"/>
      <c r="N1049" s="337"/>
      <c r="O1049" s="337"/>
      <c r="P1049" s="337"/>
      <c r="Q1049" s="381">
        <v>8329</v>
      </c>
      <c r="R1049" s="271">
        <f t="shared" si="78"/>
        <v>0</v>
      </c>
      <c r="S1049" s="339">
        <f t="shared" si="77"/>
        <v>0</v>
      </c>
      <c r="T1049" s="373"/>
      <c r="U1049" s="373">
        <f>FA!M$137</f>
        <v>0</v>
      </c>
      <c r="V1049" s="274"/>
      <c r="W1049" s="374"/>
      <c r="X1049" s="375"/>
      <c r="Y1049" s="388" t="s">
        <v>680</v>
      </c>
      <c r="Z1049" s="376"/>
      <c r="AA1049" s="240"/>
      <c r="AB1049" s="345">
        <v>1</v>
      </c>
      <c r="AC1049" s="271"/>
      <c r="AD1049" s="272"/>
      <c r="AE1049" s="273"/>
      <c r="AF1049" s="273"/>
      <c r="AG1049" s="274"/>
      <c r="AH1049" s="275"/>
      <c r="AI1049" s="272"/>
      <c r="AJ1049" s="276"/>
      <c r="AK1049" s="277"/>
      <c r="AL1049" s="278"/>
      <c r="AM1049" s="277"/>
      <c r="AN1049" s="279"/>
      <c r="AO1049" s="279"/>
      <c r="AP1049" s="279"/>
      <c r="AQ1049" s="378"/>
      <c r="AR1049" s="305">
        <f>'预算书-初步'!$F$10</f>
        <v>0.09</v>
      </c>
      <c r="AT1049" s="272"/>
      <c r="BC1049" s="272" t="s">
        <v>521</v>
      </c>
      <c r="BD1049" s="380">
        <v>1126</v>
      </c>
      <c r="BE1049" s="347" t="s">
        <v>704</v>
      </c>
    </row>
    <row r="1050" s="52" customFormat="1" ht="15.75" customHeight="1" spans="1:57">
      <c r="A1050" s="227"/>
      <c r="B1050" s="332"/>
      <c r="C1050" s="228"/>
      <c r="D1050" s="333"/>
      <c r="E1050" s="334"/>
      <c r="F1050" s="229"/>
      <c r="G1050" s="333"/>
      <c r="H1050" s="335"/>
      <c r="I1050" s="229"/>
      <c r="J1050" s="229"/>
      <c r="K1050" s="336"/>
      <c r="L1050" s="337"/>
      <c r="M1050" s="337"/>
      <c r="N1050" s="337"/>
      <c r="O1050" s="337"/>
      <c r="P1050" s="337"/>
      <c r="Q1050" s="381">
        <v>8330</v>
      </c>
      <c r="R1050" s="271">
        <f t="shared" si="78"/>
        <v>0</v>
      </c>
      <c r="S1050" s="339">
        <f t="shared" si="77"/>
        <v>0</v>
      </c>
      <c r="T1050" s="373"/>
      <c r="U1050" s="373">
        <f>FA!M$138</f>
        <v>0</v>
      </c>
      <c r="V1050" s="274"/>
      <c r="W1050" s="374"/>
      <c r="X1050" s="375"/>
      <c r="Y1050" s="45" t="s">
        <v>681</v>
      </c>
      <c r="Z1050" s="376"/>
      <c r="AA1050" s="240"/>
      <c r="AB1050" s="345">
        <v>1</v>
      </c>
      <c r="AC1050" s="271"/>
      <c r="AD1050" s="272"/>
      <c r="AE1050" s="273"/>
      <c r="AF1050" s="273"/>
      <c r="AG1050" s="274"/>
      <c r="AH1050" s="275"/>
      <c r="AI1050" s="272"/>
      <c r="AJ1050" s="276"/>
      <c r="AK1050" s="277"/>
      <c r="AL1050" s="278"/>
      <c r="AM1050" s="277"/>
      <c r="AN1050" s="279"/>
      <c r="AO1050" s="279"/>
      <c r="AP1050" s="279"/>
      <c r="AQ1050" s="378"/>
      <c r="AR1050" s="305">
        <f>'预算书-初步'!$F$10</f>
        <v>0.09</v>
      </c>
      <c r="AT1050" s="272"/>
      <c r="BC1050" s="272" t="s">
        <v>521</v>
      </c>
      <c r="BD1050" s="380">
        <v>1127</v>
      </c>
      <c r="BE1050" s="347" t="s">
        <v>704</v>
      </c>
    </row>
    <row r="1051" s="52" customFormat="1" ht="15.75" customHeight="1" spans="1:57">
      <c r="A1051" s="227"/>
      <c r="B1051" s="332"/>
      <c r="C1051" s="228"/>
      <c r="D1051" s="333"/>
      <c r="E1051" s="334"/>
      <c r="F1051" s="229"/>
      <c r="G1051" s="333"/>
      <c r="H1051" s="335"/>
      <c r="I1051" s="229"/>
      <c r="J1051" s="229"/>
      <c r="K1051" s="336"/>
      <c r="L1051" s="337"/>
      <c r="M1051" s="337"/>
      <c r="N1051" s="337"/>
      <c r="O1051" s="337"/>
      <c r="P1051" s="337"/>
      <c r="Q1051" s="381">
        <v>8440</v>
      </c>
      <c r="R1051" s="271">
        <f t="shared" si="78"/>
        <v>0</v>
      </c>
      <c r="S1051" s="339">
        <f t="shared" si="77"/>
        <v>0</v>
      </c>
      <c r="T1051" s="373"/>
      <c r="U1051" s="373">
        <f>FA!M$144</f>
        <v>0</v>
      </c>
      <c r="V1051" s="274"/>
      <c r="W1051" s="374"/>
      <c r="X1051" s="375"/>
      <c r="Y1051" s="385" t="s">
        <v>682</v>
      </c>
      <c r="Z1051" s="376"/>
      <c r="AA1051" s="240"/>
      <c r="AB1051" s="345">
        <v>1</v>
      </c>
      <c r="AC1051" s="271"/>
      <c r="AD1051" s="272"/>
      <c r="AE1051" s="273"/>
      <c r="AF1051" s="273"/>
      <c r="AG1051" s="274"/>
      <c r="AH1051" s="275"/>
      <c r="AI1051" s="272"/>
      <c r="AJ1051" s="276"/>
      <c r="AK1051" s="277"/>
      <c r="AL1051" s="278"/>
      <c r="AM1051" s="277"/>
      <c r="AN1051" s="279"/>
      <c r="AO1051" s="279"/>
      <c r="AP1051" s="279"/>
      <c r="AQ1051" s="378"/>
      <c r="AR1051" s="305">
        <f>'预算书-初步'!$F$10</f>
        <v>0.09</v>
      </c>
      <c r="AT1051" s="272"/>
      <c r="BC1051" s="272" t="s">
        <v>521</v>
      </c>
      <c r="BD1051" s="380">
        <v>1133</v>
      </c>
      <c r="BE1051" s="347" t="s">
        <v>704</v>
      </c>
    </row>
    <row r="1052" s="52" customFormat="1" ht="15.75" customHeight="1" spans="1:57">
      <c r="A1052" s="227"/>
      <c r="B1052" s="332"/>
      <c r="C1052" s="228"/>
      <c r="D1052" s="333"/>
      <c r="E1052" s="334"/>
      <c r="F1052" s="229"/>
      <c r="G1052" s="333"/>
      <c r="H1052" s="335"/>
      <c r="I1052" s="229"/>
      <c r="J1052" s="229"/>
      <c r="K1052" s="336"/>
      <c r="L1052" s="337"/>
      <c r="M1052" s="337"/>
      <c r="N1052" s="337"/>
      <c r="O1052" s="337"/>
      <c r="P1052" s="337"/>
      <c r="Q1052" s="381">
        <v>8437</v>
      </c>
      <c r="R1052" s="271">
        <f t="shared" si="78"/>
        <v>0</v>
      </c>
      <c r="S1052" s="339">
        <f t="shared" si="77"/>
        <v>0</v>
      </c>
      <c r="T1052" s="373"/>
      <c r="U1052" s="373">
        <f>FA!M$145</f>
        <v>0</v>
      </c>
      <c r="V1052" s="274"/>
      <c r="W1052" s="374"/>
      <c r="X1052" s="375"/>
      <c r="Y1052" s="45" t="s">
        <v>683</v>
      </c>
      <c r="Z1052" s="376"/>
      <c r="AA1052" s="240"/>
      <c r="AB1052" s="345">
        <v>1</v>
      </c>
      <c r="AC1052" s="271"/>
      <c r="AD1052" s="272"/>
      <c r="AE1052" s="273"/>
      <c r="AF1052" s="273"/>
      <c r="AG1052" s="274"/>
      <c r="AH1052" s="275"/>
      <c r="AI1052" s="272"/>
      <c r="AJ1052" s="276"/>
      <c r="AK1052" s="277"/>
      <c r="AL1052" s="278"/>
      <c r="AM1052" s="277"/>
      <c r="AN1052" s="279"/>
      <c r="AO1052" s="279"/>
      <c r="AP1052" s="279"/>
      <c r="AQ1052" s="378"/>
      <c r="AR1052" s="305">
        <f>'预算书-初步'!$F$10</f>
        <v>0.09</v>
      </c>
      <c r="AT1052" s="272"/>
      <c r="BC1052" s="272" t="s">
        <v>521</v>
      </c>
      <c r="BD1052" s="380">
        <v>1134</v>
      </c>
      <c r="BE1052" s="347" t="s">
        <v>704</v>
      </c>
    </row>
    <row r="1053" s="52" customFormat="1" ht="15.75" customHeight="1" spans="1:57">
      <c r="A1053" s="227"/>
      <c r="B1053" s="332"/>
      <c r="C1053" s="228"/>
      <c r="D1053" s="333"/>
      <c r="E1053" s="334"/>
      <c r="F1053" s="229"/>
      <c r="G1053" s="333"/>
      <c r="H1053" s="335"/>
      <c r="I1053" s="229"/>
      <c r="J1053" s="229"/>
      <c r="K1053" s="336"/>
      <c r="L1053" s="337"/>
      <c r="M1053" s="337"/>
      <c r="N1053" s="337"/>
      <c r="O1053" s="337"/>
      <c r="P1053" s="337"/>
      <c r="Q1053" s="381">
        <v>8441</v>
      </c>
      <c r="R1053" s="271">
        <f t="shared" si="78"/>
        <v>0</v>
      </c>
      <c r="S1053" s="339">
        <f t="shared" si="77"/>
        <v>0</v>
      </c>
      <c r="T1053" s="373"/>
      <c r="U1053" s="373">
        <f>FA!M$146</f>
        <v>0</v>
      </c>
      <c r="V1053" s="274"/>
      <c r="W1053" s="374"/>
      <c r="X1053" s="375"/>
      <c r="Y1053" s="388" t="s">
        <v>684</v>
      </c>
      <c r="Z1053" s="376"/>
      <c r="AA1053" s="240"/>
      <c r="AB1053" s="345">
        <v>1</v>
      </c>
      <c r="AC1053" s="271"/>
      <c r="AD1053" s="272"/>
      <c r="AE1053" s="273"/>
      <c r="AF1053" s="273"/>
      <c r="AG1053" s="274"/>
      <c r="AH1053" s="275"/>
      <c r="AI1053" s="272"/>
      <c r="AJ1053" s="276"/>
      <c r="AK1053" s="277"/>
      <c r="AL1053" s="278"/>
      <c r="AM1053" s="277"/>
      <c r="AN1053" s="279"/>
      <c r="AO1053" s="279"/>
      <c r="AP1053" s="279"/>
      <c r="AQ1053" s="378"/>
      <c r="AR1053" s="305">
        <f>'预算书-初步'!$F$10</f>
        <v>0.09</v>
      </c>
      <c r="AT1053" s="272"/>
      <c r="BC1053" s="272" t="s">
        <v>521</v>
      </c>
      <c r="BD1053" s="380">
        <v>1135</v>
      </c>
      <c r="BE1053" s="347" t="s">
        <v>704</v>
      </c>
    </row>
    <row r="1054" s="52" customFormat="1" ht="15.75" customHeight="1" spans="1:57">
      <c r="A1054" s="227"/>
      <c r="B1054" s="332"/>
      <c r="C1054" s="228"/>
      <c r="D1054" s="333"/>
      <c r="E1054" s="334"/>
      <c r="F1054" s="229"/>
      <c r="G1054" s="333"/>
      <c r="H1054" s="335"/>
      <c r="I1054" s="229"/>
      <c r="J1054" s="229"/>
      <c r="K1054" s="336"/>
      <c r="L1054" s="337"/>
      <c r="M1054" s="337"/>
      <c r="N1054" s="337"/>
      <c r="O1054" s="337"/>
      <c r="P1054" s="337"/>
      <c r="Q1054" s="381">
        <v>8420</v>
      </c>
      <c r="R1054" s="271">
        <f t="shared" si="78"/>
        <v>0</v>
      </c>
      <c r="S1054" s="339">
        <f t="shared" si="77"/>
        <v>0</v>
      </c>
      <c r="T1054" s="373"/>
      <c r="U1054" s="373">
        <f>FA!M$148</f>
        <v>0</v>
      </c>
      <c r="V1054" s="274"/>
      <c r="W1054" s="374"/>
      <c r="X1054" s="375"/>
      <c r="Y1054" s="45" t="s">
        <v>685</v>
      </c>
      <c r="Z1054" s="376"/>
      <c r="AA1054" s="240"/>
      <c r="AB1054" s="345">
        <v>1</v>
      </c>
      <c r="AC1054" s="271"/>
      <c r="AD1054" s="272"/>
      <c r="AE1054" s="273"/>
      <c r="AF1054" s="273"/>
      <c r="AG1054" s="274"/>
      <c r="AH1054" s="275"/>
      <c r="AI1054" s="272"/>
      <c r="AJ1054" s="276"/>
      <c r="AK1054" s="277"/>
      <c r="AL1054" s="278"/>
      <c r="AM1054" s="277"/>
      <c r="AN1054" s="279"/>
      <c r="AO1054" s="279"/>
      <c r="AP1054" s="279"/>
      <c r="AQ1054" s="378"/>
      <c r="AR1054" s="305">
        <f>'预算书-初步'!$F$10</f>
        <v>0.09</v>
      </c>
      <c r="AT1054" s="272"/>
      <c r="BC1054" s="272" t="s">
        <v>521</v>
      </c>
      <c r="BD1054" s="380">
        <v>1137</v>
      </c>
      <c r="BE1054" s="347" t="s">
        <v>704</v>
      </c>
    </row>
    <row r="1055" s="52" customFormat="1" ht="15.75" customHeight="1" spans="1:57">
      <c r="A1055" s="227"/>
      <c r="B1055" s="332"/>
      <c r="C1055" s="228"/>
      <c r="D1055" s="333"/>
      <c r="E1055" s="334"/>
      <c r="F1055" s="229"/>
      <c r="G1055" s="333"/>
      <c r="H1055" s="335"/>
      <c r="I1055" s="229"/>
      <c r="J1055" s="229"/>
      <c r="K1055" s="336"/>
      <c r="L1055" s="337"/>
      <c r="M1055" s="337"/>
      <c r="N1055" s="337"/>
      <c r="O1055" s="337"/>
      <c r="P1055" s="337"/>
      <c r="Q1055" s="381">
        <v>8450</v>
      </c>
      <c r="R1055" s="271">
        <f t="shared" si="78"/>
        <v>0</v>
      </c>
      <c r="S1055" s="339">
        <f t="shared" si="77"/>
        <v>0</v>
      </c>
      <c r="T1055" s="373"/>
      <c r="U1055" s="373">
        <f>FA!M$149</f>
        <v>0</v>
      </c>
      <c r="V1055" s="274"/>
      <c r="W1055" s="374"/>
      <c r="X1055" s="375"/>
      <c r="Y1055" s="388" t="s">
        <v>686</v>
      </c>
      <c r="Z1055" s="376"/>
      <c r="AA1055" s="240"/>
      <c r="AB1055" s="345">
        <v>1</v>
      </c>
      <c r="AC1055" s="271"/>
      <c r="AD1055" s="272"/>
      <c r="AE1055" s="273"/>
      <c r="AF1055" s="273"/>
      <c r="AG1055" s="274"/>
      <c r="AH1055" s="275"/>
      <c r="AI1055" s="272"/>
      <c r="AJ1055" s="276"/>
      <c r="AK1055" s="277"/>
      <c r="AL1055" s="278"/>
      <c r="AM1055" s="277"/>
      <c r="AN1055" s="279"/>
      <c r="AO1055" s="279"/>
      <c r="AP1055" s="279"/>
      <c r="AQ1055" s="378"/>
      <c r="AR1055" s="305">
        <f>'预算书-初步'!$F$10</f>
        <v>0.09</v>
      </c>
      <c r="AT1055" s="272"/>
      <c r="BC1055" s="272" t="s">
        <v>521</v>
      </c>
      <c r="BD1055" s="380">
        <v>1138</v>
      </c>
      <c r="BE1055" s="347" t="s">
        <v>704</v>
      </c>
    </row>
    <row r="1056" s="52" customFormat="1" ht="15.75" customHeight="1" spans="1:57">
      <c r="A1056" s="227"/>
      <c r="B1056" s="332"/>
      <c r="C1056" s="228"/>
      <c r="D1056" s="333"/>
      <c r="E1056" s="334"/>
      <c r="F1056" s="229"/>
      <c r="G1056" s="333"/>
      <c r="H1056" s="335"/>
      <c r="I1056" s="229"/>
      <c r="J1056" s="229"/>
      <c r="K1056" s="336"/>
      <c r="L1056" s="337"/>
      <c r="M1056" s="337"/>
      <c r="N1056" s="337"/>
      <c r="O1056" s="337"/>
      <c r="P1056" s="337"/>
      <c r="Q1056" s="381">
        <v>8493</v>
      </c>
      <c r="R1056" s="271">
        <f t="shared" si="78"/>
        <v>0</v>
      </c>
      <c r="S1056" s="339">
        <f t="shared" si="77"/>
        <v>0</v>
      </c>
      <c r="T1056" s="373"/>
      <c r="U1056" s="373">
        <f>FA!M$155</f>
        <v>0</v>
      </c>
      <c r="V1056" s="274"/>
      <c r="W1056" s="374"/>
      <c r="X1056" s="375"/>
      <c r="Y1056" s="365" t="s">
        <v>687</v>
      </c>
      <c r="Z1056" s="376"/>
      <c r="AA1056" s="240"/>
      <c r="AB1056" s="345">
        <v>1</v>
      </c>
      <c r="AC1056" s="271"/>
      <c r="AD1056" s="272"/>
      <c r="AE1056" s="273"/>
      <c r="AF1056" s="273"/>
      <c r="AG1056" s="274"/>
      <c r="AH1056" s="275"/>
      <c r="AI1056" s="272"/>
      <c r="AJ1056" s="276"/>
      <c r="AK1056" s="277"/>
      <c r="AL1056" s="278"/>
      <c r="AM1056" s="277"/>
      <c r="AN1056" s="279"/>
      <c r="AO1056" s="279"/>
      <c r="AP1056" s="279"/>
      <c r="AQ1056" s="378"/>
      <c r="AR1056" s="305">
        <f>'预算书-初步'!$F$10</f>
        <v>0.09</v>
      </c>
      <c r="AT1056" s="272"/>
      <c r="BC1056" s="272" t="s">
        <v>521</v>
      </c>
      <c r="BD1056" s="380">
        <v>1152</v>
      </c>
      <c r="BE1056" s="347" t="s">
        <v>704</v>
      </c>
    </row>
    <row r="1057" s="52" customFormat="1" ht="15.75" customHeight="1" spans="1:57">
      <c r="A1057" s="227"/>
      <c r="B1057" s="332"/>
      <c r="C1057" s="228"/>
      <c r="D1057" s="333"/>
      <c r="E1057" s="334"/>
      <c r="F1057" s="229"/>
      <c r="G1057" s="333"/>
      <c r="H1057" s="335"/>
      <c r="I1057" s="229"/>
      <c r="J1057" s="229"/>
      <c r="K1057" s="336"/>
      <c r="L1057" s="337"/>
      <c r="M1057" s="337"/>
      <c r="N1057" s="337"/>
      <c r="O1057" s="337"/>
      <c r="P1057" s="337"/>
      <c r="Q1057" s="381">
        <v>8494</v>
      </c>
      <c r="R1057" s="271">
        <f t="shared" si="78"/>
        <v>0</v>
      </c>
      <c r="S1057" s="339">
        <f t="shared" si="77"/>
        <v>0</v>
      </c>
      <c r="T1057" s="373"/>
      <c r="U1057" s="373">
        <f>FA!M$156</f>
        <v>0</v>
      </c>
      <c r="V1057" s="274"/>
      <c r="W1057" s="374"/>
      <c r="X1057" s="375"/>
      <c r="Y1057" s="365" t="s">
        <v>688</v>
      </c>
      <c r="Z1057" s="376"/>
      <c r="AA1057" s="240"/>
      <c r="AB1057" s="345">
        <v>1</v>
      </c>
      <c r="AC1057" s="271"/>
      <c r="AD1057" s="272"/>
      <c r="AE1057" s="273"/>
      <c r="AF1057" s="273"/>
      <c r="AG1057" s="274"/>
      <c r="AH1057" s="275"/>
      <c r="AI1057" s="272"/>
      <c r="AJ1057" s="276"/>
      <c r="AK1057" s="277"/>
      <c r="AL1057" s="278"/>
      <c r="AM1057" s="277"/>
      <c r="AN1057" s="279"/>
      <c r="AO1057" s="279"/>
      <c r="AP1057" s="279"/>
      <c r="AQ1057" s="378"/>
      <c r="AR1057" s="305">
        <f>'预算书-初步'!$F$10</f>
        <v>0.09</v>
      </c>
      <c r="AT1057" s="272"/>
      <c r="BC1057" s="272" t="s">
        <v>521</v>
      </c>
      <c r="BD1057" s="380">
        <v>1153</v>
      </c>
      <c r="BE1057" s="347" t="s">
        <v>704</v>
      </c>
    </row>
    <row r="1058" s="52" customFormat="1" ht="15.75" customHeight="1" spans="1:57">
      <c r="A1058" s="227"/>
      <c r="B1058" s="332"/>
      <c r="C1058" s="228"/>
      <c r="D1058" s="333"/>
      <c r="E1058" s="334"/>
      <c r="F1058" s="229"/>
      <c r="G1058" s="333"/>
      <c r="H1058" s="335"/>
      <c r="I1058" s="229"/>
      <c r="J1058" s="229"/>
      <c r="K1058" s="336"/>
      <c r="L1058" s="337"/>
      <c r="M1058" s="337"/>
      <c r="N1058" s="337"/>
      <c r="O1058" s="337"/>
      <c r="P1058" s="337"/>
      <c r="Q1058" s="384">
        <v>2910</v>
      </c>
      <c r="R1058" s="271">
        <f t="shared" si="78"/>
        <v>0</v>
      </c>
      <c r="S1058" s="339">
        <f t="shared" si="77"/>
        <v>0</v>
      </c>
      <c r="T1058" s="373"/>
      <c r="U1058" s="373">
        <f>SUMIF(其他!$A$9:$A$65,"2910",其他!$O$9:O$65)</f>
        <v>0</v>
      </c>
      <c r="V1058" s="274"/>
      <c r="W1058" s="374"/>
      <c r="X1058" s="375"/>
      <c r="Y1058" s="45" t="s">
        <v>689</v>
      </c>
      <c r="Z1058" s="376"/>
      <c r="AA1058" s="240"/>
      <c r="AB1058" s="345">
        <v>1</v>
      </c>
      <c r="AC1058" s="271"/>
      <c r="AD1058" s="272"/>
      <c r="AE1058" s="273"/>
      <c r="AF1058" s="273"/>
      <c r="AG1058" s="274"/>
      <c r="AH1058" s="275"/>
      <c r="AI1058" s="272"/>
      <c r="AJ1058" s="276"/>
      <c r="AK1058" s="277"/>
      <c r="AL1058" s="278"/>
      <c r="AM1058" s="277"/>
      <c r="AN1058" s="279"/>
      <c r="AO1058" s="279"/>
      <c r="AP1058" s="279"/>
      <c r="AQ1058" s="378"/>
      <c r="AR1058" s="305">
        <f>'预算书-初步'!$F$10</f>
        <v>0.09</v>
      </c>
      <c r="AT1058" s="272"/>
      <c r="BC1058" s="272" t="s">
        <v>521</v>
      </c>
      <c r="BD1058" s="380">
        <v>1160</v>
      </c>
      <c r="BE1058" s="347" t="s">
        <v>704</v>
      </c>
    </row>
    <row r="1059" s="52" customFormat="1" ht="15.75" customHeight="1" spans="1:57">
      <c r="A1059" s="227"/>
      <c r="B1059" s="332"/>
      <c r="C1059" s="228"/>
      <c r="D1059" s="333"/>
      <c r="E1059" s="334"/>
      <c r="F1059" s="229"/>
      <c r="G1059" s="333"/>
      <c r="H1059" s="335"/>
      <c r="I1059" s="229"/>
      <c r="J1059" s="229"/>
      <c r="K1059" s="336"/>
      <c r="L1059" s="337"/>
      <c r="M1059" s="337"/>
      <c r="N1059" s="337"/>
      <c r="O1059" s="337"/>
      <c r="P1059" s="337"/>
      <c r="Q1059" s="384">
        <v>2920</v>
      </c>
      <c r="R1059" s="271">
        <f t="shared" si="78"/>
        <v>0</v>
      </c>
      <c r="S1059" s="339">
        <f t="shared" si="77"/>
        <v>0</v>
      </c>
      <c r="T1059" s="373"/>
      <c r="U1059" s="373">
        <f>SUMIF(其他!$A$9:$A$65,"2920",其他!$O$9:O$65)</f>
        <v>0</v>
      </c>
      <c r="V1059" s="274"/>
      <c r="W1059" s="374"/>
      <c r="X1059" s="375"/>
      <c r="Y1059" s="45" t="s">
        <v>690</v>
      </c>
      <c r="Z1059" s="376"/>
      <c r="AA1059" s="240"/>
      <c r="AB1059" s="345">
        <v>1</v>
      </c>
      <c r="AC1059" s="271"/>
      <c r="AD1059" s="272"/>
      <c r="AE1059" s="273"/>
      <c r="AF1059" s="273"/>
      <c r="AG1059" s="274"/>
      <c r="AH1059" s="275"/>
      <c r="AI1059" s="272"/>
      <c r="AJ1059" s="276"/>
      <c r="AK1059" s="277"/>
      <c r="AL1059" s="278"/>
      <c r="AM1059" s="277"/>
      <c r="AN1059" s="279"/>
      <c r="AO1059" s="279"/>
      <c r="AP1059" s="279"/>
      <c r="AQ1059" s="378"/>
      <c r="AR1059" s="305">
        <f>'预算书-初步'!$F$10</f>
        <v>0.09</v>
      </c>
      <c r="AT1059" s="272"/>
      <c r="BC1059" s="272" t="s">
        <v>521</v>
      </c>
      <c r="BD1059" s="380">
        <v>1160</v>
      </c>
      <c r="BE1059" s="347" t="s">
        <v>704</v>
      </c>
    </row>
    <row r="1060" s="52" customFormat="1" ht="15.75" customHeight="1" spans="1:57">
      <c r="A1060" s="227"/>
      <c r="B1060" s="332"/>
      <c r="C1060" s="228"/>
      <c r="D1060" s="333"/>
      <c r="E1060" s="334"/>
      <c r="F1060" s="229"/>
      <c r="G1060" s="333"/>
      <c r="H1060" s="335"/>
      <c r="I1060" s="229"/>
      <c r="J1060" s="229"/>
      <c r="K1060" s="336"/>
      <c r="L1060" s="337"/>
      <c r="M1060" s="337"/>
      <c r="N1060" s="337"/>
      <c r="O1060" s="337"/>
      <c r="P1060" s="337"/>
      <c r="Q1060" s="384">
        <v>2930</v>
      </c>
      <c r="R1060" s="271">
        <f t="shared" si="78"/>
        <v>0</v>
      </c>
      <c r="S1060" s="339">
        <f t="shared" ref="S1060:S1103" si="79">$S$5</f>
        <v>0</v>
      </c>
      <c r="T1060" s="373"/>
      <c r="U1060" s="373">
        <f>SUMIF(其他!$A$9:$A$65,"2930",其他!$O$9:O$65)</f>
        <v>0</v>
      </c>
      <c r="V1060" s="274"/>
      <c r="W1060" s="374"/>
      <c r="X1060" s="375"/>
      <c r="Y1060" s="45" t="s">
        <v>691</v>
      </c>
      <c r="Z1060" s="376"/>
      <c r="AA1060" s="240"/>
      <c r="AB1060" s="345">
        <v>1</v>
      </c>
      <c r="AC1060" s="271"/>
      <c r="AD1060" s="272"/>
      <c r="AE1060" s="273"/>
      <c r="AF1060" s="273"/>
      <c r="AG1060" s="274"/>
      <c r="AH1060" s="275"/>
      <c r="AI1060" s="272"/>
      <c r="AJ1060" s="276"/>
      <c r="AK1060" s="277"/>
      <c r="AL1060" s="278"/>
      <c r="AM1060" s="277"/>
      <c r="AN1060" s="279"/>
      <c r="AO1060" s="279"/>
      <c r="AP1060" s="279"/>
      <c r="AQ1060" s="378"/>
      <c r="AR1060" s="305">
        <f>'预算书-初步'!$F$10</f>
        <v>0.09</v>
      </c>
      <c r="AT1060" s="272"/>
      <c r="BC1060" s="272" t="s">
        <v>521</v>
      </c>
      <c r="BD1060" s="380">
        <v>1160</v>
      </c>
      <c r="BE1060" s="347" t="s">
        <v>704</v>
      </c>
    </row>
    <row r="1061" s="52" customFormat="1" ht="15.75" customHeight="1" spans="1:57">
      <c r="A1061" s="227"/>
      <c r="B1061" s="332"/>
      <c r="C1061" s="228"/>
      <c r="D1061" s="333"/>
      <c r="E1061" s="334"/>
      <c r="F1061" s="229"/>
      <c r="G1061" s="333"/>
      <c r="H1061" s="335"/>
      <c r="I1061" s="229"/>
      <c r="J1061" s="229"/>
      <c r="K1061" s="336"/>
      <c r="L1061" s="337"/>
      <c r="M1061" s="337"/>
      <c r="N1061" s="337"/>
      <c r="O1061" s="337"/>
      <c r="P1061" s="337"/>
      <c r="Q1061" s="384">
        <v>2940</v>
      </c>
      <c r="R1061" s="271">
        <f t="shared" si="78"/>
        <v>0</v>
      </c>
      <c r="S1061" s="339">
        <f t="shared" si="79"/>
        <v>0</v>
      </c>
      <c r="T1061" s="373"/>
      <c r="U1061" s="373">
        <f>SUMIF(其他!$A$9:$A$65,"2940",其他!$O$9:O$65)</f>
        <v>0</v>
      </c>
      <c r="V1061" s="274"/>
      <c r="W1061" s="374"/>
      <c r="X1061" s="375"/>
      <c r="Y1061" s="45" t="s">
        <v>692</v>
      </c>
      <c r="Z1061" s="376"/>
      <c r="AA1061" s="240"/>
      <c r="AB1061" s="345">
        <v>1</v>
      </c>
      <c r="AC1061" s="271"/>
      <c r="AD1061" s="272"/>
      <c r="AE1061" s="273"/>
      <c r="AF1061" s="273"/>
      <c r="AG1061" s="274"/>
      <c r="AH1061" s="275"/>
      <c r="AI1061" s="272"/>
      <c r="AJ1061" s="276"/>
      <c r="AK1061" s="277"/>
      <c r="AL1061" s="278"/>
      <c r="AM1061" s="277"/>
      <c r="AN1061" s="279"/>
      <c r="AO1061" s="279"/>
      <c r="AP1061" s="279"/>
      <c r="AQ1061" s="378"/>
      <c r="AR1061" s="305">
        <f>'预算书-初步'!$F$10</f>
        <v>0.09</v>
      </c>
      <c r="AT1061" s="272"/>
      <c r="BC1061" s="272" t="s">
        <v>521</v>
      </c>
      <c r="BD1061" s="380">
        <v>1160</v>
      </c>
      <c r="BE1061" s="347" t="s">
        <v>704</v>
      </c>
    </row>
    <row r="1062" s="52" customFormat="1" ht="15.75" customHeight="1" spans="1:57">
      <c r="A1062" s="227"/>
      <c r="B1062" s="332"/>
      <c r="C1062" s="228"/>
      <c r="D1062" s="333"/>
      <c r="E1062" s="334"/>
      <c r="F1062" s="229"/>
      <c r="G1062" s="333"/>
      <c r="H1062" s="335"/>
      <c r="I1062" s="229"/>
      <c r="J1062" s="229"/>
      <c r="K1062" s="336"/>
      <c r="L1062" s="337"/>
      <c r="M1062" s="337"/>
      <c r="N1062" s="337"/>
      <c r="O1062" s="337"/>
      <c r="P1062" s="337"/>
      <c r="Q1062" s="384">
        <v>2950</v>
      </c>
      <c r="R1062" s="271">
        <f t="shared" si="78"/>
        <v>0</v>
      </c>
      <c r="S1062" s="339">
        <f t="shared" si="79"/>
        <v>0</v>
      </c>
      <c r="T1062" s="373"/>
      <c r="U1062" s="373">
        <f>SUMIF(其他!$A$9:$A$65,"2950",其他!$O$9:O$65)</f>
        <v>0</v>
      </c>
      <c r="V1062" s="274"/>
      <c r="W1062" s="374"/>
      <c r="X1062" s="375"/>
      <c r="Y1062" s="45" t="s">
        <v>693</v>
      </c>
      <c r="Z1062" s="376"/>
      <c r="AA1062" s="240"/>
      <c r="AB1062" s="345">
        <v>1</v>
      </c>
      <c r="AC1062" s="271"/>
      <c r="AD1062" s="272"/>
      <c r="AE1062" s="273"/>
      <c r="AF1062" s="273"/>
      <c r="AG1062" s="274"/>
      <c r="AH1062" s="275"/>
      <c r="AI1062" s="272"/>
      <c r="AJ1062" s="276"/>
      <c r="AK1062" s="277"/>
      <c r="AL1062" s="278"/>
      <c r="AM1062" s="277"/>
      <c r="AN1062" s="279"/>
      <c r="AO1062" s="279"/>
      <c r="AP1062" s="279"/>
      <c r="AQ1062" s="378"/>
      <c r="AR1062" s="305">
        <f>'预算书-初步'!$F$10</f>
        <v>0.09</v>
      </c>
      <c r="AT1062" s="272"/>
      <c r="BC1062" s="272" t="s">
        <v>521</v>
      </c>
      <c r="BD1062" s="380">
        <v>1160</v>
      </c>
      <c r="BE1062" s="347" t="s">
        <v>704</v>
      </c>
    </row>
    <row r="1063" s="52" customFormat="1" ht="15.75" customHeight="1" spans="1:57">
      <c r="A1063" s="227"/>
      <c r="B1063" s="332"/>
      <c r="C1063" s="228"/>
      <c r="D1063" s="333"/>
      <c r="E1063" s="334"/>
      <c r="F1063" s="229"/>
      <c r="G1063" s="333"/>
      <c r="H1063" s="335"/>
      <c r="I1063" s="229"/>
      <c r="J1063" s="229"/>
      <c r="K1063" s="336"/>
      <c r="L1063" s="337"/>
      <c r="M1063" s="337"/>
      <c r="N1063" s="337"/>
      <c r="O1063" s="337"/>
      <c r="P1063" s="337"/>
      <c r="Q1063" s="384">
        <v>2992</v>
      </c>
      <c r="R1063" s="271">
        <f t="shared" si="78"/>
        <v>0</v>
      </c>
      <c r="S1063" s="339">
        <f t="shared" si="79"/>
        <v>0</v>
      </c>
      <c r="T1063" s="373"/>
      <c r="U1063" s="373">
        <f>SUMIF(其他!$A$9:$A$65,"2992",其他!$O$9:O$65)</f>
        <v>0</v>
      </c>
      <c r="V1063" s="274"/>
      <c r="W1063" s="374"/>
      <c r="X1063" s="375"/>
      <c r="Y1063" s="45" t="s">
        <v>694</v>
      </c>
      <c r="Z1063" s="376"/>
      <c r="AA1063" s="240"/>
      <c r="AB1063" s="345">
        <v>1</v>
      </c>
      <c r="AC1063" s="271"/>
      <c r="AD1063" s="272"/>
      <c r="AE1063" s="273"/>
      <c r="AF1063" s="273"/>
      <c r="AG1063" s="274"/>
      <c r="AH1063" s="275"/>
      <c r="AI1063" s="272"/>
      <c r="AJ1063" s="276"/>
      <c r="AK1063" s="277"/>
      <c r="AL1063" s="278"/>
      <c r="AM1063" s="277"/>
      <c r="AN1063" s="279"/>
      <c r="AO1063" s="279"/>
      <c r="AP1063" s="279"/>
      <c r="AQ1063" s="378"/>
      <c r="AR1063" s="305">
        <f>'预算书-初步'!$F$10</f>
        <v>0.09</v>
      </c>
      <c r="AT1063" s="272"/>
      <c r="BC1063" s="272" t="s">
        <v>521</v>
      </c>
      <c r="BD1063" s="380">
        <v>1163</v>
      </c>
      <c r="BE1063" s="347" t="s">
        <v>704</v>
      </c>
    </row>
    <row r="1064" s="52" customFormat="1" ht="15.75" customHeight="1" spans="1:57">
      <c r="A1064" s="227"/>
      <c r="B1064" s="332"/>
      <c r="C1064" s="228"/>
      <c r="D1064" s="333"/>
      <c r="E1064" s="334"/>
      <c r="F1064" s="229"/>
      <c r="G1064" s="333"/>
      <c r="H1064" s="335"/>
      <c r="I1064" s="229"/>
      <c r="J1064" s="229"/>
      <c r="K1064" s="336"/>
      <c r="L1064" s="337"/>
      <c r="M1064" s="337"/>
      <c r="N1064" s="337"/>
      <c r="O1064" s="337"/>
      <c r="P1064" s="337"/>
      <c r="Q1064" s="384">
        <v>2993</v>
      </c>
      <c r="R1064" s="271">
        <f t="shared" si="78"/>
        <v>0</v>
      </c>
      <c r="S1064" s="339">
        <f t="shared" si="79"/>
        <v>0</v>
      </c>
      <c r="T1064" s="373"/>
      <c r="U1064" s="373">
        <f>SUMIF(其他!$A$9:$A$65,"2993",其他!$O$9:O$65)</f>
        <v>0</v>
      </c>
      <c r="V1064" s="274"/>
      <c r="W1064" s="374"/>
      <c r="X1064" s="375"/>
      <c r="Y1064" s="45" t="s">
        <v>695</v>
      </c>
      <c r="Z1064" s="376"/>
      <c r="AA1064" s="240"/>
      <c r="AB1064" s="345">
        <v>1</v>
      </c>
      <c r="AC1064" s="271"/>
      <c r="AD1064" s="272"/>
      <c r="AE1064" s="273"/>
      <c r="AF1064" s="273"/>
      <c r="AG1064" s="274"/>
      <c r="AH1064" s="275"/>
      <c r="AI1064" s="272"/>
      <c r="AJ1064" s="276"/>
      <c r="AK1064" s="277"/>
      <c r="AL1064" s="278"/>
      <c r="AM1064" s="277"/>
      <c r="AN1064" s="279"/>
      <c r="AO1064" s="279"/>
      <c r="AP1064" s="279"/>
      <c r="AQ1064" s="378"/>
      <c r="AR1064" s="305">
        <f>'预算书-初步'!$F$10</f>
        <v>0.09</v>
      </c>
      <c r="AT1064" s="272"/>
      <c r="BC1064" s="272" t="s">
        <v>521</v>
      </c>
      <c r="BD1064" s="380">
        <v>1163</v>
      </c>
      <c r="BE1064" s="347" t="s">
        <v>704</v>
      </c>
    </row>
    <row r="1065" s="52" customFormat="1" ht="15.75" customHeight="1" spans="1:57">
      <c r="A1065" s="227"/>
      <c r="B1065" s="332"/>
      <c r="C1065" s="228"/>
      <c r="D1065" s="333"/>
      <c r="E1065" s="334"/>
      <c r="F1065" s="229"/>
      <c r="G1065" s="333"/>
      <c r="H1065" s="335"/>
      <c r="I1065" s="229"/>
      <c r="J1065" s="229"/>
      <c r="K1065" s="336"/>
      <c r="L1065" s="337"/>
      <c r="M1065" s="337"/>
      <c r="N1065" s="337"/>
      <c r="O1065" s="337"/>
      <c r="P1065" s="337"/>
      <c r="Q1065" s="384">
        <v>2994</v>
      </c>
      <c r="R1065" s="271">
        <f t="shared" si="78"/>
        <v>0</v>
      </c>
      <c r="S1065" s="339">
        <f t="shared" si="79"/>
        <v>0</v>
      </c>
      <c r="T1065" s="373"/>
      <c r="U1065" s="373">
        <f>SUMIF(其他!$A$9:$A$65,"2994",其他!$O$9:O$65)</f>
        <v>0</v>
      </c>
      <c r="V1065" s="274"/>
      <c r="W1065" s="374"/>
      <c r="X1065" s="375"/>
      <c r="Y1065" s="45" t="s">
        <v>696</v>
      </c>
      <c r="Z1065" s="376"/>
      <c r="AA1065" s="240"/>
      <c r="AB1065" s="345">
        <v>1</v>
      </c>
      <c r="AC1065" s="271"/>
      <c r="AD1065" s="272"/>
      <c r="AE1065" s="273"/>
      <c r="AF1065" s="273"/>
      <c r="AG1065" s="274"/>
      <c r="AH1065" s="275"/>
      <c r="AI1065" s="272"/>
      <c r="AJ1065" s="276"/>
      <c r="AK1065" s="277"/>
      <c r="AL1065" s="278"/>
      <c r="AM1065" s="277"/>
      <c r="AN1065" s="279"/>
      <c r="AO1065" s="279"/>
      <c r="AP1065" s="279"/>
      <c r="AQ1065" s="378"/>
      <c r="AR1065" s="305">
        <f>'预算书-初步'!$F$10</f>
        <v>0.09</v>
      </c>
      <c r="AT1065" s="272"/>
      <c r="BC1065" s="272" t="s">
        <v>521</v>
      </c>
      <c r="BD1065" s="380">
        <v>1163</v>
      </c>
      <c r="BE1065" s="347" t="s">
        <v>704</v>
      </c>
    </row>
    <row r="1066" s="52" customFormat="1" spans="1:57">
      <c r="A1066" s="227"/>
      <c r="B1066" s="332"/>
      <c r="C1066" s="228"/>
      <c r="D1066" s="333"/>
      <c r="E1066" s="334"/>
      <c r="F1066" s="229"/>
      <c r="G1066" s="333"/>
      <c r="H1066" s="335"/>
      <c r="I1066" s="229"/>
      <c r="J1066" s="229"/>
      <c r="K1066" s="336"/>
      <c r="L1066" s="337"/>
      <c r="M1066" s="337"/>
      <c r="N1066" s="337"/>
      <c r="O1066" s="337"/>
      <c r="P1066" s="337"/>
      <c r="Q1066" s="384">
        <v>4992</v>
      </c>
      <c r="R1066" s="271">
        <f t="shared" si="78"/>
        <v>0</v>
      </c>
      <c r="S1066" s="339">
        <f t="shared" si="79"/>
        <v>0</v>
      </c>
      <c r="T1066" s="373"/>
      <c r="U1066" s="373">
        <f>SUMIF(其他!$A$9:$A$65,"4992",其他!$O$9:O$65)</f>
        <v>0</v>
      </c>
      <c r="V1066" s="274"/>
      <c r="W1066" s="374"/>
      <c r="X1066" s="375"/>
      <c r="Y1066" s="45" t="s">
        <v>697</v>
      </c>
      <c r="Z1066" s="376"/>
      <c r="AA1066" s="240"/>
      <c r="AB1066" s="345">
        <v>1</v>
      </c>
      <c r="AC1066" s="271"/>
      <c r="AD1066" s="272"/>
      <c r="AE1066" s="273"/>
      <c r="AF1066" s="273"/>
      <c r="AG1066" s="274"/>
      <c r="AH1066" s="275"/>
      <c r="AI1066" s="272"/>
      <c r="AJ1066" s="276"/>
      <c r="AK1066" s="277"/>
      <c r="AL1066" s="278"/>
      <c r="AM1066" s="277"/>
      <c r="AN1066" s="279"/>
      <c r="AO1066" s="279"/>
      <c r="AP1066" s="279"/>
      <c r="AQ1066" s="378"/>
      <c r="AR1066" s="305">
        <f>'预算书-初步'!$F$10</f>
        <v>0.09</v>
      </c>
      <c r="AT1066" s="272"/>
      <c r="BC1066" s="272" t="s">
        <v>521</v>
      </c>
      <c r="BD1066" s="380">
        <v>1174</v>
      </c>
      <c r="BE1066" s="347" t="s">
        <v>704</v>
      </c>
    </row>
    <row r="1067" s="52" customFormat="1" spans="1:57">
      <c r="A1067" s="227"/>
      <c r="B1067" s="332"/>
      <c r="C1067" s="228"/>
      <c r="D1067" s="333"/>
      <c r="E1067" s="334"/>
      <c r="F1067" s="229"/>
      <c r="G1067" s="333"/>
      <c r="H1067" s="335"/>
      <c r="I1067" s="229"/>
      <c r="J1067" s="229"/>
      <c r="K1067" s="336"/>
      <c r="L1067" s="337"/>
      <c r="M1067" s="337"/>
      <c r="N1067" s="337"/>
      <c r="O1067" s="337"/>
      <c r="P1067" s="337"/>
      <c r="Q1067" s="384">
        <v>4993</v>
      </c>
      <c r="R1067" s="271">
        <f t="shared" si="78"/>
        <v>0</v>
      </c>
      <c r="S1067" s="339">
        <f t="shared" si="79"/>
        <v>0</v>
      </c>
      <c r="T1067" s="373"/>
      <c r="U1067" s="373">
        <f>SUMIF(其他!$A$9:$A$65,"4993",其他!$O$9:O$65)</f>
        <v>0</v>
      </c>
      <c r="V1067" s="274"/>
      <c r="W1067" s="374"/>
      <c r="X1067" s="375"/>
      <c r="Y1067" s="45" t="s">
        <v>698</v>
      </c>
      <c r="Z1067" s="376"/>
      <c r="AA1067" s="240"/>
      <c r="AB1067" s="345">
        <v>1</v>
      </c>
      <c r="AC1067" s="271"/>
      <c r="AD1067" s="272"/>
      <c r="AE1067" s="273"/>
      <c r="AF1067" s="273"/>
      <c r="AG1067" s="274"/>
      <c r="AH1067" s="275"/>
      <c r="AI1067" s="272"/>
      <c r="AJ1067" s="276"/>
      <c r="AK1067" s="277"/>
      <c r="AL1067" s="278"/>
      <c r="AM1067" s="277"/>
      <c r="AN1067" s="279"/>
      <c r="AO1067" s="279"/>
      <c r="AP1067" s="279"/>
      <c r="AQ1067" s="378"/>
      <c r="AR1067" s="305">
        <f>'预算书-初步'!$F$10</f>
        <v>0.09</v>
      </c>
      <c r="AT1067" s="272"/>
      <c r="BC1067" s="272" t="s">
        <v>521</v>
      </c>
      <c r="BD1067" s="380">
        <v>1174</v>
      </c>
      <c r="BE1067" s="347" t="s">
        <v>704</v>
      </c>
    </row>
    <row r="1068" s="52" customFormat="1" spans="1:57">
      <c r="A1068" s="227"/>
      <c r="B1068" s="332"/>
      <c r="C1068" s="228"/>
      <c r="D1068" s="333"/>
      <c r="E1068" s="334"/>
      <c r="F1068" s="229"/>
      <c r="G1068" s="333"/>
      <c r="H1068" s="335"/>
      <c r="I1068" s="229"/>
      <c r="J1068" s="229"/>
      <c r="K1068" s="336"/>
      <c r="L1068" s="337"/>
      <c r="M1068" s="337"/>
      <c r="N1068" s="337"/>
      <c r="O1068" s="337"/>
      <c r="P1068" s="337"/>
      <c r="Q1068" s="384">
        <v>4994</v>
      </c>
      <c r="R1068" s="271">
        <f t="shared" si="78"/>
        <v>0</v>
      </c>
      <c r="S1068" s="339">
        <f t="shared" si="79"/>
        <v>0</v>
      </c>
      <c r="T1068" s="373"/>
      <c r="U1068" s="373">
        <f>SUMIF(其他!$A$9:$A$65,"4994",其他!$O$9:O$65)</f>
        <v>0</v>
      </c>
      <c r="V1068" s="274"/>
      <c r="W1068" s="374"/>
      <c r="X1068" s="375"/>
      <c r="Y1068" s="45" t="s">
        <v>699</v>
      </c>
      <c r="Z1068" s="376"/>
      <c r="AA1068" s="240"/>
      <c r="AB1068" s="345">
        <v>1</v>
      </c>
      <c r="AC1068" s="271"/>
      <c r="AD1068" s="272"/>
      <c r="AE1068" s="273"/>
      <c r="AF1068" s="273"/>
      <c r="AG1068" s="274"/>
      <c r="AH1068" s="275"/>
      <c r="AI1068" s="272"/>
      <c r="AJ1068" s="276"/>
      <c r="AK1068" s="277"/>
      <c r="AL1068" s="278"/>
      <c r="AM1068" s="277"/>
      <c r="AN1068" s="279"/>
      <c r="AO1068" s="279"/>
      <c r="AP1068" s="279"/>
      <c r="AQ1068" s="378"/>
      <c r="AR1068" s="305">
        <f>'预算书-初步'!$F$10</f>
        <v>0.09</v>
      </c>
      <c r="AT1068" s="272"/>
      <c r="BC1068" s="272" t="s">
        <v>521</v>
      </c>
      <c r="BD1068" s="380">
        <v>1174</v>
      </c>
      <c r="BE1068" s="347" t="s">
        <v>704</v>
      </c>
    </row>
    <row r="1069" s="52" customFormat="1" ht="15.75" customHeight="1" spans="1:57">
      <c r="A1069" s="227"/>
      <c r="B1069" s="332"/>
      <c r="C1069" s="228"/>
      <c r="D1069" s="333"/>
      <c r="E1069" s="334"/>
      <c r="F1069" s="229"/>
      <c r="G1069" s="333"/>
      <c r="H1069" s="335"/>
      <c r="I1069" s="229"/>
      <c r="J1069" s="229"/>
      <c r="K1069" s="336"/>
      <c r="L1069" s="337"/>
      <c r="M1069" s="337"/>
      <c r="N1069" s="337"/>
      <c r="O1069" s="337"/>
      <c r="P1069" s="337"/>
      <c r="Q1069" s="338">
        <v>6002</v>
      </c>
      <c r="R1069" s="271">
        <f t="shared" si="78"/>
        <v>0</v>
      </c>
      <c r="S1069" s="339">
        <f t="shared" si="79"/>
        <v>0</v>
      </c>
      <c r="T1069" s="340"/>
      <c r="U1069" s="341">
        <f>FA!N$16</f>
        <v>0</v>
      </c>
      <c r="V1069" s="274"/>
      <c r="W1069" s="342"/>
      <c r="X1069" s="343"/>
      <c r="Y1069" s="6" t="s">
        <v>520</v>
      </c>
      <c r="Z1069" s="344"/>
      <c r="AA1069" s="240"/>
      <c r="AB1069" s="345">
        <v>1</v>
      </c>
      <c r="AC1069" s="271"/>
      <c r="AD1069" s="272"/>
      <c r="AE1069" s="273"/>
      <c r="AF1069" s="273"/>
      <c r="AG1069" s="274"/>
      <c r="AH1069" s="275"/>
      <c r="AI1069" s="272"/>
      <c r="AJ1069" s="276"/>
      <c r="AK1069" s="277"/>
      <c r="AL1069" s="278"/>
      <c r="AM1069" s="277"/>
      <c r="AN1069" s="279"/>
      <c r="AO1069" s="279"/>
      <c r="AP1069" s="279"/>
      <c r="AQ1069" s="279"/>
      <c r="AR1069" s="305">
        <f>'预算书-初步'!$F$10</f>
        <v>0.09</v>
      </c>
      <c r="AT1069" s="272"/>
      <c r="BC1069" s="272" t="s">
        <v>521</v>
      </c>
      <c r="BD1069" s="346">
        <v>1005</v>
      </c>
      <c r="BE1069" s="347" t="s">
        <v>705</v>
      </c>
    </row>
    <row r="1070" s="52" customFormat="1" ht="15.75" customHeight="1" spans="1:57">
      <c r="A1070" s="227"/>
      <c r="B1070" s="332"/>
      <c r="C1070" s="228"/>
      <c r="D1070" s="333"/>
      <c r="E1070" s="334"/>
      <c r="F1070" s="229"/>
      <c r="G1070" s="333"/>
      <c r="H1070" s="335"/>
      <c r="I1070" s="229"/>
      <c r="J1070" s="229"/>
      <c r="K1070" s="336"/>
      <c r="L1070" s="337"/>
      <c r="M1070" s="337"/>
      <c r="N1070" s="337"/>
      <c r="O1070" s="337"/>
      <c r="P1070" s="337"/>
      <c r="Q1070" s="338">
        <v>6002</v>
      </c>
      <c r="R1070" s="271">
        <f t="shared" si="78"/>
        <v>0</v>
      </c>
      <c r="S1070" s="339">
        <f t="shared" si="79"/>
        <v>0</v>
      </c>
      <c r="T1070" s="340"/>
      <c r="U1070" s="341">
        <f>FA!N$17</f>
        <v>0</v>
      </c>
      <c r="V1070" s="274"/>
      <c r="W1070" s="342"/>
      <c r="X1070" s="343"/>
      <c r="Y1070" s="6" t="s">
        <v>523</v>
      </c>
      <c r="Z1070" s="344"/>
      <c r="AA1070" s="240"/>
      <c r="AB1070" s="345">
        <v>1</v>
      </c>
      <c r="AC1070" s="271"/>
      <c r="AD1070" s="272"/>
      <c r="AE1070" s="273"/>
      <c r="AF1070" s="273"/>
      <c r="AG1070" s="274"/>
      <c r="AH1070" s="275"/>
      <c r="AI1070" s="272"/>
      <c r="AJ1070" s="276"/>
      <c r="AK1070" s="277"/>
      <c r="AL1070" s="278"/>
      <c r="AM1070" s="277"/>
      <c r="AN1070" s="279" t="str">
        <f>IF(AK1070&lt;&gt;0,"N","")</f>
        <v/>
      </c>
      <c r="AO1070" s="279"/>
      <c r="AP1070" s="279" t="str">
        <f>IF(F1070&lt;&gt;0,"Y","")</f>
        <v/>
      </c>
      <c r="AQ1070" s="279"/>
      <c r="AR1070" s="305">
        <f>'预算书-初步'!$F$10</f>
        <v>0.09</v>
      </c>
      <c r="AT1070" s="272"/>
      <c r="BC1070" s="272" t="s">
        <v>521</v>
      </c>
      <c r="BD1070" s="346">
        <v>1006</v>
      </c>
      <c r="BE1070" s="347" t="s">
        <v>705</v>
      </c>
    </row>
    <row r="1071" s="52" customFormat="1" ht="15.75" customHeight="1" spans="1:57">
      <c r="A1071" s="227"/>
      <c r="B1071" s="332"/>
      <c r="C1071" s="228"/>
      <c r="D1071" s="333"/>
      <c r="E1071" s="334"/>
      <c r="F1071" s="229"/>
      <c r="G1071" s="333"/>
      <c r="H1071" s="335"/>
      <c r="I1071" s="229"/>
      <c r="J1071" s="229"/>
      <c r="K1071" s="336"/>
      <c r="L1071" s="337"/>
      <c r="M1071" s="337"/>
      <c r="N1071" s="337"/>
      <c r="O1071" s="337"/>
      <c r="P1071" s="337"/>
      <c r="Q1071" s="338">
        <v>6002</v>
      </c>
      <c r="R1071" s="271">
        <f t="shared" si="78"/>
        <v>0</v>
      </c>
      <c r="S1071" s="339">
        <f t="shared" si="79"/>
        <v>0</v>
      </c>
      <c r="T1071" s="340"/>
      <c r="U1071" s="341">
        <f>FA!N$18</f>
        <v>0</v>
      </c>
      <c r="V1071" s="274"/>
      <c r="W1071" s="342"/>
      <c r="X1071" s="343"/>
      <c r="Y1071" s="6" t="s">
        <v>524</v>
      </c>
      <c r="Z1071" s="344"/>
      <c r="AA1071" s="240"/>
      <c r="AB1071" s="345">
        <v>1</v>
      </c>
      <c r="AC1071" s="271"/>
      <c r="AD1071" s="272"/>
      <c r="AE1071" s="273"/>
      <c r="AF1071" s="273"/>
      <c r="AG1071" s="274"/>
      <c r="AH1071" s="275"/>
      <c r="AI1071" s="272"/>
      <c r="AJ1071" s="276"/>
      <c r="AK1071" s="277"/>
      <c r="AL1071" s="278"/>
      <c r="AM1071" s="277"/>
      <c r="AN1071" s="279" t="str">
        <f>IF(AK1071&lt;&gt;0,"N","")</f>
        <v/>
      </c>
      <c r="AO1071" s="279"/>
      <c r="AP1071" s="279" t="str">
        <f>IF(F1071&lt;&gt;0,"Y","")</f>
        <v/>
      </c>
      <c r="AQ1071" s="279"/>
      <c r="AR1071" s="305">
        <f>'预算书-初步'!$F$10</f>
        <v>0.09</v>
      </c>
      <c r="AT1071" s="272"/>
      <c r="BC1071" s="272" t="s">
        <v>521</v>
      </c>
      <c r="BD1071" s="346">
        <v>1007</v>
      </c>
      <c r="BE1071" s="347" t="s">
        <v>705</v>
      </c>
    </row>
    <row r="1072" s="52" customFormat="1" ht="15.75" customHeight="1" spans="1:57">
      <c r="A1072" s="227"/>
      <c r="B1072" s="332"/>
      <c r="C1072" s="228"/>
      <c r="D1072" s="333"/>
      <c r="E1072" s="334"/>
      <c r="F1072" s="229"/>
      <c r="G1072" s="333"/>
      <c r="H1072" s="335"/>
      <c r="I1072" s="229"/>
      <c r="J1072" s="229"/>
      <c r="K1072" s="336"/>
      <c r="L1072" s="337"/>
      <c r="M1072" s="337"/>
      <c r="N1072" s="337"/>
      <c r="O1072" s="337"/>
      <c r="P1072" s="337"/>
      <c r="Q1072" s="338">
        <v>1220</v>
      </c>
      <c r="R1072" s="271">
        <f t="shared" si="78"/>
        <v>0</v>
      </c>
      <c r="S1072" s="339">
        <f t="shared" si="79"/>
        <v>0</v>
      </c>
      <c r="T1072" s="340"/>
      <c r="U1072" s="341">
        <f>FA!N$36</f>
        <v>0</v>
      </c>
      <c r="V1072" s="274"/>
      <c r="W1072" s="342"/>
      <c r="X1072" s="343"/>
      <c r="Y1072" s="6" t="s">
        <v>525</v>
      </c>
      <c r="Z1072" s="344"/>
      <c r="AA1072" s="240"/>
      <c r="AB1072" s="345">
        <v>1</v>
      </c>
      <c r="AC1072" s="271"/>
      <c r="AD1072" s="272"/>
      <c r="AE1072" s="273"/>
      <c r="AF1072" s="273"/>
      <c r="AG1072" s="274"/>
      <c r="AH1072" s="275"/>
      <c r="AI1072" s="272"/>
      <c r="AJ1072" s="276"/>
      <c r="AK1072" s="277"/>
      <c r="AL1072" s="278"/>
      <c r="AM1072" s="277"/>
      <c r="AN1072" s="279"/>
      <c r="AO1072" s="279"/>
      <c r="AP1072" s="279"/>
      <c r="AQ1072" s="279"/>
      <c r="AR1072" s="305">
        <f>'预算书-初步'!$F$10</f>
        <v>0.09</v>
      </c>
      <c r="AT1072" s="272"/>
      <c r="BC1072" s="272" t="s">
        <v>521</v>
      </c>
      <c r="BD1072" s="346">
        <v>1025</v>
      </c>
      <c r="BE1072" s="347" t="s">
        <v>705</v>
      </c>
    </row>
    <row r="1073" s="52" customFormat="1" ht="15.75" customHeight="1" spans="1:57">
      <c r="A1073" s="227"/>
      <c r="B1073" s="332"/>
      <c r="C1073" s="228"/>
      <c r="D1073" s="333"/>
      <c r="E1073" s="334"/>
      <c r="F1073" s="229"/>
      <c r="G1073" s="333"/>
      <c r="H1073" s="335"/>
      <c r="I1073" s="229"/>
      <c r="J1073" s="229"/>
      <c r="K1073" s="336"/>
      <c r="L1073" s="337"/>
      <c r="M1073" s="337"/>
      <c r="N1073" s="337"/>
      <c r="O1073" s="337"/>
      <c r="P1073" s="337"/>
      <c r="Q1073" s="338">
        <v>1314</v>
      </c>
      <c r="R1073" s="271">
        <f t="shared" si="78"/>
        <v>0</v>
      </c>
      <c r="S1073" s="339">
        <f t="shared" si="79"/>
        <v>0</v>
      </c>
      <c r="T1073" s="340"/>
      <c r="U1073" s="341">
        <f>FA!N$42</f>
        <v>0</v>
      </c>
      <c r="V1073" s="274"/>
      <c r="W1073" s="342"/>
      <c r="X1073" s="343"/>
      <c r="Y1073" s="6" t="s">
        <v>526</v>
      </c>
      <c r="Z1073" s="344"/>
      <c r="AA1073" s="240"/>
      <c r="AB1073" s="345">
        <v>1</v>
      </c>
      <c r="AC1073" s="271"/>
      <c r="AD1073" s="272"/>
      <c r="AE1073" s="273"/>
      <c r="AF1073" s="273"/>
      <c r="AG1073" s="274"/>
      <c r="AH1073" s="275"/>
      <c r="AI1073" s="272"/>
      <c r="AJ1073" s="276"/>
      <c r="AK1073" s="277"/>
      <c r="AL1073" s="278"/>
      <c r="AM1073" s="277"/>
      <c r="AN1073" s="279"/>
      <c r="AO1073" s="279"/>
      <c r="AP1073" s="279"/>
      <c r="AQ1073" s="279"/>
      <c r="AR1073" s="305">
        <f>'预算书-初步'!$F$10</f>
        <v>0.09</v>
      </c>
      <c r="AT1073" s="272"/>
      <c r="BC1073" s="272" t="s">
        <v>521</v>
      </c>
      <c r="BD1073" s="348">
        <v>1031</v>
      </c>
      <c r="BE1073" s="347" t="s">
        <v>705</v>
      </c>
    </row>
    <row r="1074" s="52" customFormat="1" ht="15.75" customHeight="1" spans="1:57">
      <c r="A1074" s="227"/>
      <c r="B1074" s="332"/>
      <c r="C1074" s="228"/>
      <c r="D1074" s="333"/>
      <c r="E1074" s="334"/>
      <c r="F1074" s="229"/>
      <c r="G1074" s="333"/>
      <c r="H1074" s="335"/>
      <c r="I1074" s="229"/>
      <c r="J1074" s="229"/>
      <c r="K1074" s="336"/>
      <c r="L1074" s="337"/>
      <c r="M1074" s="337"/>
      <c r="N1074" s="337"/>
      <c r="O1074" s="337"/>
      <c r="P1074" s="337"/>
      <c r="Q1074" s="338">
        <v>1320</v>
      </c>
      <c r="R1074" s="271">
        <f t="shared" si="78"/>
        <v>0</v>
      </c>
      <c r="S1074" s="339">
        <f t="shared" si="79"/>
        <v>0</v>
      </c>
      <c r="T1074" s="340"/>
      <c r="U1074" s="341">
        <f>FA!N$43</f>
        <v>0</v>
      </c>
      <c r="V1074" s="274"/>
      <c r="W1074" s="342"/>
      <c r="X1074" s="343"/>
      <c r="Y1074" s="6" t="s">
        <v>527</v>
      </c>
      <c r="Z1074" s="344"/>
      <c r="AA1074" s="240"/>
      <c r="AB1074" s="345">
        <v>1</v>
      </c>
      <c r="AC1074" s="271"/>
      <c r="AD1074" s="272"/>
      <c r="AE1074" s="273"/>
      <c r="AF1074" s="273"/>
      <c r="AG1074" s="274"/>
      <c r="AH1074" s="275"/>
      <c r="AI1074" s="272"/>
      <c r="AJ1074" s="276"/>
      <c r="AK1074" s="277"/>
      <c r="AL1074" s="278"/>
      <c r="AM1074" s="277"/>
      <c r="AN1074" s="279"/>
      <c r="AO1074" s="279"/>
      <c r="AP1074" s="279"/>
      <c r="AQ1074" s="279"/>
      <c r="AR1074" s="305">
        <f>'预算书-初步'!$F$10</f>
        <v>0.09</v>
      </c>
      <c r="AT1074" s="272"/>
      <c r="BC1074" s="272" t="s">
        <v>521</v>
      </c>
      <c r="BD1074" s="348">
        <v>1032</v>
      </c>
      <c r="BE1074" s="347" t="s">
        <v>705</v>
      </c>
    </row>
    <row r="1075" s="52" customFormat="1" ht="15.75" customHeight="1" spans="1:57">
      <c r="A1075" s="227"/>
      <c r="B1075" s="332"/>
      <c r="C1075" s="228"/>
      <c r="D1075" s="333"/>
      <c r="E1075" s="334"/>
      <c r="F1075" s="229"/>
      <c r="G1075" s="333"/>
      <c r="H1075" s="335"/>
      <c r="I1075" s="229"/>
      <c r="J1075" s="229"/>
      <c r="K1075" s="336"/>
      <c r="L1075" s="337"/>
      <c r="M1075" s="337"/>
      <c r="N1075" s="337"/>
      <c r="O1075" s="337"/>
      <c r="P1075" s="337"/>
      <c r="Q1075" s="338">
        <v>1350</v>
      </c>
      <c r="R1075" s="271">
        <f t="shared" si="78"/>
        <v>0</v>
      </c>
      <c r="S1075" s="339">
        <f t="shared" si="79"/>
        <v>0</v>
      </c>
      <c r="T1075" s="340"/>
      <c r="U1075" s="341">
        <f>FA!N$46</f>
        <v>0</v>
      </c>
      <c r="V1075" s="274"/>
      <c r="W1075" s="342"/>
      <c r="X1075" s="343"/>
      <c r="Y1075" s="6" t="s">
        <v>528</v>
      </c>
      <c r="Z1075" s="344"/>
      <c r="AA1075" s="240"/>
      <c r="AB1075" s="345">
        <v>1</v>
      </c>
      <c r="AC1075" s="271"/>
      <c r="AD1075" s="272"/>
      <c r="AE1075" s="273"/>
      <c r="AF1075" s="273"/>
      <c r="AG1075" s="274"/>
      <c r="AH1075" s="275"/>
      <c r="AI1075" s="272"/>
      <c r="AJ1075" s="276"/>
      <c r="AK1075" s="277"/>
      <c r="AL1075" s="278"/>
      <c r="AM1075" s="277"/>
      <c r="AN1075" s="279"/>
      <c r="AO1075" s="279"/>
      <c r="AP1075" s="279"/>
      <c r="AQ1075" s="279"/>
      <c r="AR1075" s="305">
        <f>'预算书-初步'!$F$10</f>
        <v>0.09</v>
      </c>
      <c r="AT1075" s="272"/>
      <c r="BC1075" s="272" t="s">
        <v>521</v>
      </c>
      <c r="BD1075" s="348">
        <v>1035</v>
      </c>
      <c r="BE1075" s="347" t="s">
        <v>705</v>
      </c>
    </row>
    <row r="1076" s="52" customFormat="1" ht="15.75" customHeight="1" spans="1:57">
      <c r="A1076" s="227"/>
      <c r="B1076" s="332"/>
      <c r="C1076" s="228"/>
      <c r="D1076" s="333"/>
      <c r="E1076" s="334"/>
      <c r="F1076" s="229"/>
      <c r="G1076" s="333"/>
      <c r="H1076" s="335"/>
      <c r="I1076" s="229"/>
      <c r="J1076" s="229"/>
      <c r="K1076" s="336"/>
      <c r="L1076" s="337"/>
      <c r="M1076" s="337"/>
      <c r="N1076" s="337"/>
      <c r="O1076" s="337"/>
      <c r="P1076" s="337"/>
      <c r="Q1076" s="338">
        <v>1360</v>
      </c>
      <c r="R1076" s="271">
        <f t="shared" si="78"/>
        <v>0</v>
      </c>
      <c r="S1076" s="339">
        <f t="shared" si="79"/>
        <v>0</v>
      </c>
      <c r="T1076" s="340"/>
      <c r="U1076" s="341">
        <f>FA!N$47</f>
        <v>0</v>
      </c>
      <c r="V1076" s="274"/>
      <c r="W1076" s="342"/>
      <c r="X1076" s="343"/>
      <c r="Y1076" s="6" t="s">
        <v>529</v>
      </c>
      <c r="Z1076" s="344"/>
      <c r="AA1076" s="240"/>
      <c r="AB1076" s="345">
        <v>1</v>
      </c>
      <c r="AC1076" s="271"/>
      <c r="AD1076" s="272"/>
      <c r="AE1076" s="273"/>
      <c r="AF1076" s="273"/>
      <c r="AG1076" s="274"/>
      <c r="AH1076" s="275"/>
      <c r="AI1076" s="272"/>
      <c r="AJ1076" s="276"/>
      <c r="AK1076" s="277"/>
      <c r="AL1076" s="278"/>
      <c r="AM1076" s="277"/>
      <c r="AN1076" s="279"/>
      <c r="AO1076" s="279"/>
      <c r="AP1076" s="279"/>
      <c r="AQ1076" s="279"/>
      <c r="AR1076" s="305">
        <f>'预算书-初步'!$F$10</f>
        <v>0.09</v>
      </c>
      <c r="AT1076" s="272"/>
      <c r="BC1076" s="272" t="s">
        <v>521</v>
      </c>
      <c r="BD1076" s="348">
        <v>1036</v>
      </c>
      <c r="BE1076" s="347" t="s">
        <v>705</v>
      </c>
    </row>
    <row r="1077" s="52" customFormat="1" ht="15.75" customHeight="1" spans="1:57">
      <c r="A1077" s="227"/>
      <c r="B1077" s="332"/>
      <c r="C1077" s="228"/>
      <c r="D1077" s="333"/>
      <c r="E1077" s="334"/>
      <c r="F1077" s="229"/>
      <c r="G1077" s="333"/>
      <c r="H1077" s="335"/>
      <c r="I1077" s="229"/>
      <c r="J1077" s="229"/>
      <c r="K1077" s="336"/>
      <c r="L1077" s="337"/>
      <c r="M1077" s="337"/>
      <c r="N1077" s="337"/>
      <c r="O1077" s="337"/>
      <c r="P1077" s="337"/>
      <c r="Q1077" s="338">
        <v>1410</v>
      </c>
      <c r="R1077" s="271">
        <f t="shared" si="78"/>
        <v>0</v>
      </c>
      <c r="S1077" s="339">
        <f t="shared" si="79"/>
        <v>0</v>
      </c>
      <c r="T1077" s="340"/>
      <c r="U1077" s="341">
        <f>FA!N$49</f>
        <v>0</v>
      </c>
      <c r="V1077" s="274"/>
      <c r="W1077" s="342"/>
      <c r="X1077" s="343"/>
      <c r="Y1077" s="6" t="s">
        <v>530</v>
      </c>
      <c r="Z1077" s="344"/>
      <c r="AA1077" s="240"/>
      <c r="AB1077" s="345">
        <v>1</v>
      </c>
      <c r="AC1077" s="271"/>
      <c r="AD1077" s="272"/>
      <c r="AE1077" s="273"/>
      <c r="AF1077" s="273"/>
      <c r="AG1077" s="274"/>
      <c r="AH1077" s="275"/>
      <c r="AI1077" s="272"/>
      <c r="AJ1077" s="276"/>
      <c r="AK1077" s="277"/>
      <c r="AL1077" s="278"/>
      <c r="AM1077" s="277"/>
      <c r="AN1077" s="279"/>
      <c r="AO1077" s="279"/>
      <c r="AP1077" s="279"/>
      <c r="AQ1077" s="279"/>
      <c r="AR1077" s="305">
        <f>'预算书-初步'!$F$10</f>
        <v>0.09</v>
      </c>
      <c r="AT1077" s="272"/>
      <c r="BC1077" s="272" t="s">
        <v>521</v>
      </c>
      <c r="BD1077" s="348">
        <v>1038</v>
      </c>
      <c r="BE1077" s="347" t="s">
        <v>705</v>
      </c>
    </row>
    <row r="1078" s="52" customFormat="1" ht="15.75" customHeight="1" spans="1:57">
      <c r="A1078" s="227"/>
      <c r="B1078" s="332"/>
      <c r="C1078" s="228"/>
      <c r="D1078" s="333"/>
      <c r="E1078" s="334"/>
      <c r="F1078" s="229"/>
      <c r="G1078" s="333"/>
      <c r="H1078" s="335"/>
      <c r="I1078" s="229"/>
      <c r="J1078" s="229"/>
      <c r="K1078" s="336"/>
      <c r="L1078" s="337"/>
      <c r="M1078" s="337"/>
      <c r="N1078" s="337"/>
      <c r="O1078" s="337"/>
      <c r="P1078" s="337"/>
      <c r="Q1078" s="338">
        <v>1420</v>
      </c>
      <c r="R1078" s="271">
        <f t="shared" si="78"/>
        <v>0</v>
      </c>
      <c r="S1078" s="339">
        <f t="shared" si="79"/>
        <v>0</v>
      </c>
      <c r="T1078" s="340"/>
      <c r="U1078" s="341">
        <f>FA!N$50</f>
        <v>0</v>
      </c>
      <c r="V1078" s="274"/>
      <c r="W1078" s="342"/>
      <c r="X1078" s="343"/>
      <c r="Y1078" s="6" t="s">
        <v>531</v>
      </c>
      <c r="Z1078" s="344"/>
      <c r="AA1078" s="240"/>
      <c r="AB1078" s="345">
        <v>1</v>
      </c>
      <c r="AC1078" s="271"/>
      <c r="AD1078" s="272"/>
      <c r="AE1078" s="273"/>
      <c r="AF1078" s="273"/>
      <c r="AG1078" s="274"/>
      <c r="AH1078" s="275"/>
      <c r="AI1078" s="272"/>
      <c r="AJ1078" s="276"/>
      <c r="AK1078" s="277"/>
      <c r="AL1078" s="278"/>
      <c r="AM1078" s="277"/>
      <c r="AN1078" s="279"/>
      <c r="AO1078" s="279"/>
      <c r="AP1078" s="279"/>
      <c r="AQ1078" s="279"/>
      <c r="AR1078" s="305">
        <f>'预算书-初步'!$F$10</f>
        <v>0.09</v>
      </c>
      <c r="AT1078" s="272"/>
      <c r="BC1078" s="272" t="s">
        <v>521</v>
      </c>
      <c r="BD1078" s="348">
        <v>1039</v>
      </c>
      <c r="BE1078" s="347" t="s">
        <v>705</v>
      </c>
    </row>
    <row r="1079" s="52" customFormat="1" ht="15.75" customHeight="1" spans="1:57">
      <c r="A1079" s="227"/>
      <c r="B1079" s="332"/>
      <c r="C1079" s="228"/>
      <c r="D1079" s="333"/>
      <c r="E1079" s="334"/>
      <c r="F1079" s="229"/>
      <c r="G1079" s="333"/>
      <c r="H1079" s="335"/>
      <c r="I1079" s="229"/>
      <c r="J1079" s="229"/>
      <c r="K1079" s="336"/>
      <c r="L1079" s="337"/>
      <c r="M1079" s="337"/>
      <c r="N1079" s="337"/>
      <c r="O1079" s="337"/>
      <c r="P1079" s="337"/>
      <c r="Q1079" s="338">
        <v>1510</v>
      </c>
      <c r="R1079" s="271">
        <f t="shared" si="78"/>
        <v>0</v>
      </c>
      <c r="S1079" s="339">
        <f t="shared" si="79"/>
        <v>0</v>
      </c>
      <c r="T1079" s="340"/>
      <c r="U1079" s="341">
        <f>FA!N$53</f>
        <v>0</v>
      </c>
      <c r="V1079" s="274"/>
      <c r="W1079" s="342"/>
      <c r="X1079" s="343"/>
      <c r="Y1079" s="6" t="s">
        <v>532</v>
      </c>
      <c r="Z1079" s="344"/>
      <c r="AA1079" s="240"/>
      <c r="AB1079" s="345">
        <v>1</v>
      </c>
      <c r="AC1079" s="271"/>
      <c r="AD1079" s="272"/>
      <c r="AE1079" s="273"/>
      <c r="AF1079" s="273"/>
      <c r="AG1079" s="274"/>
      <c r="AH1079" s="275"/>
      <c r="AI1079" s="272"/>
      <c r="AJ1079" s="276"/>
      <c r="AK1079" s="277"/>
      <c r="AL1079" s="278"/>
      <c r="AM1079" s="277"/>
      <c r="AN1079" s="279" t="str">
        <f t="shared" ref="AN1079:AN1091" si="80">IF(AK1079&lt;&gt;0,"N","")</f>
        <v/>
      </c>
      <c r="AO1079" s="279"/>
      <c r="AP1079" s="279" t="str">
        <f t="shared" ref="AP1079:AP1091" si="81">IF(F1079&lt;&gt;0,"Y","")</f>
        <v/>
      </c>
      <c r="AQ1079" s="279"/>
      <c r="AR1079" s="305">
        <f>'预算书-初步'!$F$10</f>
        <v>0.09</v>
      </c>
      <c r="AT1079" s="272"/>
      <c r="BC1079" s="272" t="s">
        <v>521</v>
      </c>
      <c r="BD1079" s="348">
        <v>1042</v>
      </c>
      <c r="BE1079" s="347" t="s">
        <v>705</v>
      </c>
    </row>
    <row r="1080" s="52" customFormat="1" ht="15.75" customHeight="1" spans="1:57">
      <c r="A1080" s="227"/>
      <c r="B1080" s="332"/>
      <c r="C1080" s="228"/>
      <c r="D1080" s="333"/>
      <c r="E1080" s="334"/>
      <c r="F1080" s="229"/>
      <c r="G1080" s="333"/>
      <c r="H1080" s="335"/>
      <c r="I1080" s="229"/>
      <c r="J1080" s="229"/>
      <c r="K1080" s="336"/>
      <c r="L1080" s="337"/>
      <c r="M1080" s="337"/>
      <c r="N1080" s="337"/>
      <c r="O1080" s="337"/>
      <c r="P1080" s="337"/>
      <c r="Q1080" s="338">
        <v>1520</v>
      </c>
      <c r="R1080" s="271">
        <f t="shared" si="78"/>
        <v>0</v>
      </c>
      <c r="S1080" s="339">
        <f t="shared" si="79"/>
        <v>0</v>
      </c>
      <c r="T1080" s="340"/>
      <c r="U1080" s="341">
        <f>FA!N$54</f>
        <v>0</v>
      </c>
      <c r="V1080" s="274"/>
      <c r="W1080" s="342"/>
      <c r="X1080" s="343"/>
      <c r="Y1080" s="6" t="s">
        <v>533</v>
      </c>
      <c r="Z1080" s="344"/>
      <c r="AA1080" s="240"/>
      <c r="AB1080" s="345">
        <v>1</v>
      </c>
      <c r="AC1080" s="271"/>
      <c r="AD1080" s="272"/>
      <c r="AE1080" s="273"/>
      <c r="AF1080" s="273"/>
      <c r="AG1080" s="274"/>
      <c r="AH1080" s="275"/>
      <c r="AI1080" s="272"/>
      <c r="AJ1080" s="276"/>
      <c r="AK1080" s="277"/>
      <c r="AL1080" s="278"/>
      <c r="AM1080" s="277"/>
      <c r="AN1080" s="279" t="str">
        <f t="shared" si="80"/>
        <v/>
      </c>
      <c r="AO1080" s="279"/>
      <c r="AP1080" s="279" t="str">
        <f t="shared" si="81"/>
        <v/>
      </c>
      <c r="AQ1080" s="279"/>
      <c r="AR1080" s="305">
        <f>'预算书-初步'!$F$10</f>
        <v>0.09</v>
      </c>
      <c r="AT1080" s="272"/>
      <c r="BC1080" s="272" t="s">
        <v>521</v>
      </c>
      <c r="BD1080" s="348">
        <v>1043</v>
      </c>
      <c r="BE1080" s="347" t="s">
        <v>705</v>
      </c>
    </row>
    <row r="1081" s="52" customFormat="1" ht="15.75" customHeight="1" spans="1:57">
      <c r="A1081" s="227"/>
      <c r="B1081" s="332"/>
      <c r="C1081" s="228"/>
      <c r="D1081" s="333"/>
      <c r="E1081" s="334"/>
      <c r="F1081" s="229"/>
      <c r="G1081" s="333"/>
      <c r="H1081" s="335"/>
      <c r="I1081" s="229"/>
      <c r="J1081" s="229"/>
      <c r="K1081" s="336"/>
      <c r="L1081" s="337"/>
      <c r="M1081" s="337"/>
      <c r="N1081" s="337"/>
      <c r="O1081" s="337"/>
      <c r="P1081" s="337"/>
      <c r="Q1081" s="338">
        <v>1530</v>
      </c>
      <c r="R1081" s="271">
        <f t="shared" si="78"/>
        <v>0</v>
      </c>
      <c r="S1081" s="339">
        <f t="shared" si="79"/>
        <v>0</v>
      </c>
      <c r="T1081" s="340"/>
      <c r="U1081" s="341">
        <f>FA!N$55</f>
        <v>0</v>
      </c>
      <c r="V1081" s="274"/>
      <c r="W1081" s="342"/>
      <c r="X1081" s="343"/>
      <c r="Y1081" s="6" t="s">
        <v>534</v>
      </c>
      <c r="Z1081" s="344"/>
      <c r="AA1081" s="240"/>
      <c r="AB1081" s="345">
        <v>1</v>
      </c>
      <c r="AC1081" s="271"/>
      <c r="AD1081" s="272"/>
      <c r="AE1081" s="273"/>
      <c r="AF1081" s="273"/>
      <c r="AG1081" s="274"/>
      <c r="AH1081" s="275"/>
      <c r="AI1081" s="272"/>
      <c r="AJ1081" s="276"/>
      <c r="AK1081" s="277"/>
      <c r="AL1081" s="278"/>
      <c r="AM1081" s="277"/>
      <c r="AN1081" s="279" t="str">
        <f t="shared" si="80"/>
        <v/>
      </c>
      <c r="AO1081" s="279"/>
      <c r="AP1081" s="279" t="str">
        <f t="shared" si="81"/>
        <v/>
      </c>
      <c r="AQ1081" s="279"/>
      <c r="AR1081" s="305">
        <f>'预算书-初步'!$F$10</f>
        <v>0.09</v>
      </c>
      <c r="AT1081" s="272"/>
      <c r="BC1081" s="272" t="s">
        <v>521</v>
      </c>
      <c r="BD1081" s="348">
        <v>1044</v>
      </c>
      <c r="BE1081" s="347" t="s">
        <v>705</v>
      </c>
    </row>
    <row r="1082" s="52" customFormat="1" ht="15.75" customHeight="1" spans="1:57">
      <c r="A1082" s="227"/>
      <c r="B1082" s="332"/>
      <c r="C1082" s="228"/>
      <c r="D1082" s="333"/>
      <c r="E1082" s="334"/>
      <c r="F1082" s="229"/>
      <c r="G1082" s="333"/>
      <c r="H1082" s="335"/>
      <c r="I1082" s="229"/>
      <c r="J1082" s="229"/>
      <c r="K1082" s="336"/>
      <c r="L1082" s="337"/>
      <c r="M1082" s="337"/>
      <c r="N1082" s="337"/>
      <c r="O1082" s="337"/>
      <c r="P1082" s="337"/>
      <c r="Q1082" s="338">
        <v>1531</v>
      </c>
      <c r="R1082" s="271">
        <f t="shared" si="78"/>
        <v>0</v>
      </c>
      <c r="S1082" s="339">
        <f t="shared" si="79"/>
        <v>0</v>
      </c>
      <c r="T1082" s="340"/>
      <c r="U1082" s="341">
        <f>FA!N$56</f>
        <v>0</v>
      </c>
      <c r="V1082" s="274"/>
      <c r="W1082" s="342"/>
      <c r="X1082" s="343"/>
      <c r="Y1082" s="6" t="s">
        <v>535</v>
      </c>
      <c r="Z1082" s="344"/>
      <c r="AA1082" s="240"/>
      <c r="AB1082" s="345">
        <v>1</v>
      </c>
      <c r="AC1082" s="271"/>
      <c r="AD1082" s="272"/>
      <c r="AE1082" s="273"/>
      <c r="AF1082" s="273"/>
      <c r="AG1082" s="274"/>
      <c r="AH1082" s="275"/>
      <c r="AI1082" s="272"/>
      <c r="AJ1082" s="276"/>
      <c r="AK1082" s="277"/>
      <c r="AL1082" s="278"/>
      <c r="AM1082" s="277"/>
      <c r="AN1082" s="279" t="str">
        <f t="shared" si="80"/>
        <v/>
      </c>
      <c r="AO1082" s="279"/>
      <c r="AP1082" s="279" t="str">
        <f t="shared" si="81"/>
        <v/>
      </c>
      <c r="AQ1082" s="279"/>
      <c r="AR1082" s="305">
        <f>'预算书-初步'!$F$10</f>
        <v>0.09</v>
      </c>
      <c r="AT1082" s="272"/>
      <c r="BC1082" s="272" t="s">
        <v>521</v>
      </c>
      <c r="BD1082" s="348">
        <v>1045</v>
      </c>
      <c r="BE1082" s="347" t="s">
        <v>705</v>
      </c>
    </row>
    <row r="1083" s="52" customFormat="1" ht="15.75" customHeight="1" spans="1:57">
      <c r="A1083" s="227"/>
      <c r="B1083" s="332"/>
      <c r="C1083" s="228"/>
      <c r="D1083" s="333"/>
      <c r="E1083" s="334"/>
      <c r="F1083" s="229"/>
      <c r="G1083" s="333"/>
      <c r="H1083" s="335"/>
      <c r="I1083" s="229"/>
      <c r="J1083" s="229"/>
      <c r="K1083" s="336"/>
      <c r="L1083" s="337"/>
      <c r="M1083" s="337"/>
      <c r="N1083" s="337"/>
      <c r="O1083" s="337"/>
      <c r="P1083" s="337"/>
      <c r="Q1083" s="338">
        <v>1532</v>
      </c>
      <c r="R1083" s="271">
        <f t="shared" si="78"/>
        <v>0</v>
      </c>
      <c r="S1083" s="339">
        <f t="shared" si="79"/>
        <v>0</v>
      </c>
      <c r="T1083" s="340"/>
      <c r="U1083" s="341">
        <f>FA!N$57</f>
        <v>0</v>
      </c>
      <c r="V1083" s="274"/>
      <c r="W1083" s="342"/>
      <c r="X1083" s="343"/>
      <c r="Y1083" s="6" t="s">
        <v>536</v>
      </c>
      <c r="Z1083" s="344"/>
      <c r="AA1083" s="240"/>
      <c r="AB1083" s="345">
        <v>1</v>
      </c>
      <c r="AC1083" s="271"/>
      <c r="AD1083" s="272"/>
      <c r="AE1083" s="273"/>
      <c r="AF1083" s="273"/>
      <c r="AG1083" s="274"/>
      <c r="AH1083" s="275"/>
      <c r="AI1083" s="272"/>
      <c r="AJ1083" s="276"/>
      <c r="AK1083" s="277"/>
      <c r="AL1083" s="278"/>
      <c r="AM1083" s="277"/>
      <c r="AN1083" s="279" t="str">
        <f t="shared" si="80"/>
        <v/>
      </c>
      <c r="AO1083" s="279"/>
      <c r="AP1083" s="279" t="str">
        <f t="shared" si="81"/>
        <v/>
      </c>
      <c r="AQ1083" s="279"/>
      <c r="AR1083" s="305">
        <f>'预算书-初步'!$F$10</f>
        <v>0.09</v>
      </c>
      <c r="AT1083" s="272"/>
      <c r="BC1083" s="272" t="s">
        <v>521</v>
      </c>
      <c r="BD1083" s="348">
        <v>1046</v>
      </c>
      <c r="BE1083" s="347" t="s">
        <v>705</v>
      </c>
    </row>
    <row r="1084" s="52" customFormat="1" ht="15.75" customHeight="1" spans="1:57">
      <c r="A1084" s="227"/>
      <c r="B1084" s="332"/>
      <c r="C1084" s="228"/>
      <c r="D1084" s="333"/>
      <c r="E1084" s="334"/>
      <c r="F1084" s="229"/>
      <c r="G1084" s="333"/>
      <c r="H1084" s="335"/>
      <c r="I1084" s="229"/>
      <c r="J1084" s="229"/>
      <c r="K1084" s="336"/>
      <c r="L1084" s="337"/>
      <c r="M1084" s="337"/>
      <c r="N1084" s="337"/>
      <c r="O1084" s="337"/>
      <c r="P1084" s="337"/>
      <c r="Q1084" s="338">
        <v>1533</v>
      </c>
      <c r="R1084" s="271">
        <f t="shared" si="78"/>
        <v>0</v>
      </c>
      <c r="S1084" s="339">
        <f t="shared" si="79"/>
        <v>0</v>
      </c>
      <c r="T1084" s="340"/>
      <c r="U1084" s="341">
        <f>FA!N$58</f>
        <v>0</v>
      </c>
      <c r="V1084" s="274"/>
      <c r="W1084" s="342"/>
      <c r="X1084" s="343"/>
      <c r="Y1084" s="6" t="s">
        <v>537</v>
      </c>
      <c r="Z1084" s="344"/>
      <c r="AA1084" s="240"/>
      <c r="AB1084" s="345">
        <v>1</v>
      </c>
      <c r="AC1084" s="271"/>
      <c r="AD1084" s="272"/>
      <c r="AE1084" s="273"/>
      <c r="AF1084" s="273"/>
      <c r="AG1084" s="274"/>
      <c r="AH1084" s="275"/>
      <c r="AI1084" s="272"/>
      <c r="AJ1084" s="276"/>
      <c r="AK1084" s="277"/>
      <c r="AL1084" s="278"/>
      <c r="AM1084" s="277"/>
      <c r="AN1084" s="279" t="str">
        <f t="shared" si="80"/>
        <v/>
      </c>
      <c r="AO1084" s="279"/>
      <c r="AP1084" s="279" t="str">
        <f t="shared" si="81"/>
        <v/>
      </c>
      <c r="AQ1084" s="279"/>
      <c r="AR1084" s="305">
        <f>'预算书-初步'!$F$10</f>
        <v>0.09</v>
      </c>
      <c r="AT1084" s="272"/>
      <c r="BC1084" s="272" t="s">
        <v>521</v>
      </c>
      <c r="BD1084" s="348">
        <v>1047</v>
      </c>
      <c r="BE1084" s="347" t="s">
        <v>705</v>
      </c>
    </row>
    <row r="1085" s="52" customFormat="1" ht="15.75" customHeight="1" spans="1:57">
      <c r="A1085" s="227"/>
      <c r="B1085" s="332"/>
      <c r="C1085" s="228"/>
      <c r="D1085" s="333"/>
      <c r="E1085" s="334"/>
      <c r="F1085" s="229"/>
      <c r="G1085" s="333"/>
      <c r="H1085" s="335"/>
      <c r="I1085" s="229"/>
      <c r="J1085" s="229"/>
      <c r="K1085" s="336"/>
      <c r="L1085" s="337"/>
      <c r="M1085" s="337"/>
      <c r="N1085" s="337"/>
      <c r="O1085" s="337"/>
      <c r="P1085" s="337"/>
      <c r="Q1085" s="338">
        <v>1534</v>
      </c>
      <c r="R1085" s="271">
        <f t="shared" si="78"/>
        <v>0</v>
      </c>
      <c r="S1085" s="339">
        <f t="shared" si="79"/>
        <v>0</v>
      </c>
      <c r="T1085" s="340"/>
      <c r="U1085" s="341">
        <f>FA!N$59</f>
        <v>0</v>
      </c>
      <c r="V1085" s="274"/>
      <c r="W1085" s="342"/>
      <c r="X1085" s="343"/>
      <c r="Y1085" s="6" t="s">
        <v>538</v>
      </c>
      <c r="Z1085" s="344"/>
      <c r="AA1085" s="240"/>
      <c r="AB1085" s="345">
        <v>1</v>
      </c>
      <c r="AC1085" s="271"/>
      <c r="AD1085" s="272"/>
      <c r="AE1085" s="273"/>
      <c r="AF1085" s="273"/>
      <c r="AG1085" s="274"/>
      <c r="AH1085" s="275"/>
      <c r="AI1085" s="272"/>
      <c r="AJ1085" s="276"/>
      <c r="AK1085" s="277"/>
      <c r="AL1085" s="278"/>
      <c r="AM1085" s="277"/>
      <c r="AN1085" s="279" t="str">
        <f t="shared" si="80"/>
        <v/>
      </c>
      <c r="AO1085" s="279"/>
      <c r="AP1085" s="279" t="str">
        <f t="shared" si="81"/>
        <v/>
      </c>
      <c r="AQ1085" s="279"/>
      <c r="AR1085" s="305">
        <f>'预算书-初步'!$F$10</f>
        <v>0.09</v>
      </c>
      <c r="AT1085" s="272"/>
      <c r="BC1085" s="272" t="s">
        <v>521</v>
      </c>
      <c r="BD1085" s="348">
        <v>1048</v>
      </c>
      <c r="BE1085" s="347" t="s">
        <v>705</v>
      </c>
    </row>
    <row r="1086" s="52" customFormat="1" ht="15.75" customHeight="1" spans="1:57">
      <c r="A1086" s="227"/>
      <c r="B1086" s="332"/>
      <c r="C1086" s="228"/>
      <c r="D1086" s="333"/>
      <c r="E1086" s="334"/>
      <c r="F1086" s="229"/>
      <c r="G1086" s="333"/>
      <c r="H1086" s="335"/>
      <c r="I1086" s="229"/>
      <c r="J1086" s="229"/>
      <c r="K1086" s="336"/>
      <c r="L1086" s="337"/>
      <c r="M1086" s="337"/>
      <c r="N1086" s="337"/>
      <c r="O1086" s="337"/>
      <c r="P1086" s="337"/>
      <c r="Q1086" s="338">
        <v>1540</v>
      </c>
      <c r="R1086" s="271">
        <f t="shared" si="78"/>
        <v>0</v>
      </c>
      <c r="S1086" s="339">
        <f t="shared" si="79"/>
        <v>0</v>
      </c>
      <c r="T1086" s="340"/>
      <c r="U1086" s="341">
        <f>FA!N$60</f>
        <v>0</v>
      </c>
      <c r="V1086" s="274"/>
      <c r="W1086" s="342"/>
      <c r="X1086" s="343"/>
      <c r="Y1086" s="6" t="s">
        <v>539</v>
      </c>
      <c r="Z1086" s="344"/>
      <c r="AA1086" s="240"/>
      <c r="AB1086" s="345">
        <v>1</v>
      </c>
      <c r="AC1086" s="271"/>
      <c r="AD1086" s="272"/>
      <c r="AE1086" s="273"/>
      <c r="AF1086" s="273"/>
      <c r="AG1086" s="274"/>
      <c r="AH1086" s="275"/>
      <c r="AI1086" s="272"/>
      <c r="AJ1086" s="276"/>
      <c r="AK1086" s="277"/>
      <c r="AL1086" s="278"/>
      <c r="AM1086" s="277"/>
      <c r="AN1086" s="279" t="str">
        <f t="shared" si="80"/>
        <v/>
      </c>
      <c r="AO1086" s="279"/>
      <c r="AP1086" s="279" t="str">
        <f t="shared" si="81"/>
        <v/>
      </c>
      <c r="AQ1086" s="279"/>
      <c r="AR1086" s="305">
        <f>'预算书-初步'!$F$10</f>
        <v>0.09</v>
      </c>
      <c r="AT1086" s="272"/>
      <c r="BC1086" s="272" t="s">
        <v>521</v>
      </c>
      <c r="BD1086" s="348">
        <v>1049</v>
      </c>
      <c r="BE1086" s="347" t="s">
        <v>705</v>
      </c>
    </row>
    <row r="1087" s="52" customFormat="1" ht="15.75" customHeight="1" spans="1:57">
      <c r="A1087" s="227"/>
      <c r="B1087" s="332"/>
      <c r="C1087" s="228"/>
      <c r="D1087" s="333"/>
      <c r="E1087" s="334"/>
      <c r="F1087" s="229"/>
      <c r="G1087" s="333"/>
      <c r="H1087" s="335"/>
      <c r="I1087" s="229"/>
      <c r="J1087" s="229"/>
      <c r="K1087" s="336"/>
      <c r="L1087" s="337"/>
      <c r="M1087" s="337"/>
      <c r="N1087" s="337"/>
      <c r="O1087" s="337"/>
      <c r="P1087" s="337"/>
      <c r="Q1087" s="338">
        <v>1611</v>
      </c>
      <c r="R1087" s="271">
        <f t="shared" si="78"/>
        <v>0</v>
      </c>
      <c r="S1087" s="339">
        <f t="shared" si="79"/>
        <v>0</v>
      </c>
      <c r="T1087" s="340"/>
      <c r="U1087" s="341">
        <f>FA!N$64</f>
        <v>0</v>
      </c>
      <c r="V1087" s="274"/>
      <c r="W1087" s="342"/>
      <c r="X1087" s="343"/>
      <c r="Y1087" s="6" t="s">
        <v>540</v>
      </c>
      <c r="Z1087" s="344"/>
      <c r="AA1087" s="240"/>
      <c r="AB1087" s="345">
        <v>1</v>
      </c>
      <c r="AC1087" s="271"/>
      <c r="AD1087" s="272"/>
      <c r="AE1087" s="273"/>
      <c r="AF1087" s="273"/>
      <c r="AG1087" s="274"/>
      <c r="AH1087" s="275"/>
      <c r="AI1087" s="272"/>
      <c r="AJ1087" s="276"/>
      <c r="AK1087" s="277"/>
      <c r="AL1087" s="278"/>
      <c r="AM1087" s="277"/>
      <c r="AN1087" s="279" t="str">
        <f t="shared" si="80"/>
        <v/>
      </c>
      <c r="AO1087" s="279"/>
      <c r="AP1087" s="279" t="str">
        <f t="shared" si="81"/>
        <v/>
      </c>
      <c r="AQ1087" s="279"/>
      <c r="AR1087" s="305">
        <f>'预算书-初步'!$F$10</f>
        <v>0.09</v>
      </c>
      <c r="AT1087" s="272"/>
      <c r="BC1087" s="272" t="s">
        <v>521</v>
      </c>
      <c r="BD1087" s="348">
        <v>1053</v>
      </c>
      <c r="BE1087" s="347" t="s">
        <v>705</v>
      </c>
    </row>
    <row r="1088" s="52" customFormat="1" ht="15.75" customHeight="1" spans="1:57">
      <c r="A1088" s="227"/>
      <c r="B1088" s="332"/>
      <c r="C1088" s="228"/>
      <c r="D1088" s="333"/>
      <c r="E1088" s="334"/>
      <c r="F1088" s="229"/>
      <c r="G1088" s="333"/>
      <c r="H1088" s="335"/>
      <c r="I1088" s="229"/>
      <c r="J1088" s="229"/>
      <c r="K1088" s="336"/>
      <c r="L1088" s="337"/>
      <c r="M1088" s="337"/>
      <c r="N1088" s="337"/>
      <c r="O1088" s="337"/>
      <c r="P1088" s="337"/>
      <c r="Q1088" s="338">
        <v>1611</v>
      </c>
      <c r="R1088" s="271">
        <f t="shared" si="78"/>
        <v>0</v>
      </c>
      <c r="S1088" s="339">
        <f t="shared" si="79"/>
        <v>0</v>
      </c>
      <c r="T1088" s="340"/>
      <c r="U1088" s="341">
        <f>FA!N$65</f>
        <v>0</v>
      </c>
      <c r="V1088" s="274"/>
      <c r="W1088" s="342"/>
      <c r="X1088" s="343"/>
      <c r="Y1088" s="6" t="s">
        <v>541</v>
      </c>
      <c r="Z1088" s="344"/>
      <c r="AA1088" s="240"/>
      <c r="AB1088" s="345">
        <v>1</v>
      </c>
      <c r="AC1088" s="271"/>
      <c r="AD1088" s="272"/>
      <c r="AE1088" s="273"/>
      <c r="AF1088" s="273"/>
      <c r="AG1088" s="274"/>
      <c r="AH1088" s="275"/>
      <c r="AI1088" s="272"/>
      <c r="AJ1088" s="276"/>
      <c r="AK1088" s="277"/>
      <c r="AL1088" s="278"/>
      <c r="AM1088" s="277"/>
      <c r="AN1088" s="279" t="str">
        <f t="shared" si="80"/>
        <v/>
      </c>
      <c r="AO1088" s="279"/>
      <c r="AP1088" s="279" t="str">
        <f t="shared" si="81"/>
        <v/>
      </c>
      <c r="AQ1088" s="279"/>
      <c r="AR1088" s="305">
        <f>'预算书-初步'!$F$10</f>
        <v>0.09</v>
      </c>
      <c r="AT1088" s="272"/>
      <c r="BC1088" s="272" t="s">
        <v>521</v>
      </c>
      <c r="BD1088" s="348">
        <v>1054</v>
      </c>
      <c r="BE1088" s="347" t="s">
        <v>705</v>
      </c>
    </row>
    <row r="1089" s="52" customFormat="1" ht="15.75" customHeight="1" spans="1:57">
      <c r="A1089" s="227"/>
      <c r="B1089" s="332"/>
      <c r="C1089" s="228"/>
      <c r="D1089" s="333"/>
      <c r="E1089" s="334"/>
      <c r="F1089" s="229"/>
      <c r="G1089" s="333"/>
      <c r="H1089" s="335"/>
      <c r="I1089" s="229"/>
      <c r="J1089" s="229"/>
      <c r="K1089" s="336"/>
      <c r="L1089" s="337"/>
      <c r="M1089" s="337"/>
      <c r="N1089" s="337"/>
      <c r="O1089" s="337"/>
      <c r="P1089" s="337"/>
      <c r="Q1089" s="338">
        <v>1611</v>
      </c>
      <c r="R1089" s="271">
        <f t="shared" si="78"/>
        <v>0</v>
      </c>
      <c r="S1089" s="339">
        <f t="shared" si="79"/>
        <v>0</v>
      </c>
      <c r="T1089" s="340"/>
      <c r="U1089" s="341">
        <f>FA!N$66</f>
        <v>0</v>
      </c>
      <c r="V1089" s="274"/>
      <c r="W1089" s="342"/>
      <c r="X1089" s="343"/>
      <c r="Y1089" s="6" t="s">
        <v>542</v>
      </c>
      <c r="Z1089" s="344"/>
      <c r="AA1089" s="240"/>
      <c r="AB1089" s="345">
        <v>1</v>
      </c>
      <c r="AC1089" s="271"/>
      <c r="AD1089" s="272"/>
      <c r="AE1089" s="273"/>
      <c r="AF1089" s="273"/>
      <c r="AG1089" s="274"/>
      <c r="AH1089" s="275"/>
      <c r="AI1089" s="272"/>
      <c r="AJ1089" s="276"/>
      <c r="AK1089" s="277"/>
      <c r="AL1089" s="278"/>
      <c r="AM1089" s="277"/>
      <c r="AN1089" s="279" t="str">
        <f t="shared" si="80"/>
        <v/>
      </c>
      <c r="AO1089" s="279"/>
      <c r="AP1089" s="279" t="str">
        <f t="shared" si="81"/>
        <v/>
      </c>
      <c r="AQ1089" s="279"/>
      <c r="AR1089" s="305">
        <f>'预算书-初步'!$F$10</f>
        <v>0.09</v>
      </c>
      <c r="AT1089" s="272"/>
      <c r="BC1089" s="272" t="s">
        <v>521</v>
      </c>
      <c r="BD1089" s="348">
        <v>1055</v>
      </c>
      <c r="BE1089" s="347" t="s">
        <v>705</v>
      </c>
    </row>
    <row r="1090" s="52" customFormat="1" ht="15.75" customHeight="1" spans="1:57">
      <c r="A1090" s="227"/>
      <c r="B1090" s="332"/>
      <c r="C1090" s="228"/>
      <c r="D1090" s="333"/>
      <c r="E1090" s="334"/>
      <c r="F1090" s="229"/>
      <c r="G1090" s="333"/>
      <c r="H1090" s="335"/>
      <c r="I1090" s="229"/>
      <c r="J1090" s="229"/>
      <c r="K1090" s="336"/>
      <c r="L1090" s="337"/>
      <c r="M1090" s="337"/>
      <c r="N1090" s="337"/>
      <c r="O1090" s="337"/>
      <c r="P1090" s="337"/>
      <c r="Q1090" s="338">
        <v>1611</v>
      </c>
      <c r="R1090" s="271">
        <f t="shared" si="78"/>
        <v>0</v>
      </c>
      <c r="S1090" s="339">
        <f t="shared" si="79"/>
        <v>0</v>
      </c>
      <c r="T1090" s="340"/>
      <c r="U1090" s="341">
        <f>FA!N$67</f>
        <v>0</v>
      </c>
      <c r="V1090" s="274"/>
      <c r="W1090" s="342"/>
      <c r="X1090" s="343"/>
      <c r="Y1090" s="6" t="s">
        <v>543</v>
      </c>
      <c r="Z1090" s="344"/>
      <c r="AA1090" s="240"/>
      <c r="AB1090" s="345">
        <v>1</v>
      </c>
      <c r="AC1090" s="271"/>
      <c r="AD1090" s="272"/>
      <c r="AE1090" s="273"/>
      <c r="AF1090" s="273"/>
      <c r="AG1090" s="274"/>
      <c r="AH1090" s="275"/>
      <c r="AI1090" s="272"/>
      <c r="AJ1090" s="276"/>
      <c r="AK1090" s="277"/>
      <c r="AL1090" s="278"/>
      <c r="AM1090" s="277"/>
      <c r="AN1090" s="279" t="str">
        <f t="shared" si="80"/>
        <v/>
      </c>
      <c r="AO1090" s="279"/>
      <c r="AP1090" s="279" t="str">
        <f t="shared" si="81"/>
        <v/>
      </c>
      <c r="AQ1090" s="279"/>
      <c r="AR1090" s="305">
        <f>'预算书-初步'!$F$10</f>
        <v>0.09</v>
      </c>
      <c r="AT1090" s="272"/>
      <c r="BC1090" s="272" t="s">
        <v>521</v>
      </c>
      <c r="BD1090" s="348">
        <v>1056</v>
      </c>
      <c r="BE1090" s="347" t="s">
        <v>705</v>
      </c>
    </row>
    <row r="1091" s="52" customFormat="1" ht="15.75" customHeight="1" spans="1:57">
      <c r="A1091" s="227"/>
      <c r="B1091" s="332"/>
      <c r="C1091" s="228"/>
      <c r="D1091" s="333"/>
      <c r="E1091" s="334"/>
      <c r="F1091" s="229"/>
      <c r="G1091" s="333"/>
      <c r="H1091" s="335"/>
      <c r="I1091" s="229"/>
      <c r="J1091" s="229"/>
      <c r="K1091" s="336"/>
      <c r="L1091" s="337"/>
      <c r="M1091" s="337"/>
      <c r="N1091" s="337"/>
      <c r="O1091" s="337"/>
      <c r="P1091" s="337"/>
      <c r="Q1091" s="338">
        <v>1611</v>
      </c>
      <c r="R1091" s="271">
        <f t="shared" si="78"/>
        <v>0</v>
      </c>
      <c r="S1091" s="339">
        <f t="shared" si="79"/>
        <v>0</v>
      </c>
      <c r="T1091" s="340"/>
      <c r="U1091" s="341">
        <f>FA!N$68</f>
        <v>0</v>
      </c>
      <c r="V1091" s="274"/>
      <c r="W1091" s="342"/>
      <c r="X1091" s="343"/>
      <c r="Y1091" s="6" t="s">
        <v>544</v>
      </c>
      <c r="Z1091" s="344"/>
      <c r="AA1091" s="240"/>
      <c r="AB1091" s="345">
        <v>1</v>
      </c>
      <c r="AC1091" s="271"/>
      <c r="AD1091" s="272"/>
      <c r="AE1091" s="273"/>
      <c r="AF1091" s="273"/>
      <c r="AG1091" s="274"/>
      <c r="AH1091" s="275"/>
      <c r="AI1091" s="272"/>
      <c r="AJ1091" s="276"/>
      <c r="AK1091" s="277"/>
      <c r="AL1091" s="278"/>
      <c r="AM1091" s="277"/>
      <c r="AN1091" s="279" t="str">
        <f t="shared" si="80"/>
        <v/>
      </c>
      <c r="AO1091" s="279"/>
      <c r="AP1091" s="279" t="str">
        <f t="shared" si="81"/>
        <v/>
      </c>
      <c r="AQ1091" s="279"/>
      <c r="AR1091" s="305">
        <f>'预算书-初步'!$F$10</f>
        <v>0.09</v>
      </c>
      <c r="AT1091" s="272"/>
      <c r="BC1091" s="272" t="s">
        <v>521</v>
      </c>
      <c r="BD1091" s="348">
        <v>1057</v>
      </c>
      <c r="BE1091" s="347" t="s">
        <v>705</v>
      </c>
    </row>
    <row r="1092" s="52" customFormat="1" ht="15.75" customHeight="1" spans="1:57">
      <c r="A1092" s="227"/>
      <c r="B1092" s="332"/>
      <c r="C1092" s="228"/>
      <c r="D1092" s="333"/>
      <c r="E1092" s="334"/>
      <c r="F1092" s="229"/>
      <c r="G1092" s="333"/>
      <c r="H1092" s="335"/>
      <c r="I1092" s="229"/>
      <c r="J1092" s="229"/>
      <c r="K1092" s="336"/>
      <c r="L1092" s="337"/>
      <c r="M1092" s="337"/>
      <c r="N1092" s="337"/>
      <c r="O1092" s="337"/>
      <c r="P1092" s="337"/>
      <c r="Q1092" s="338">
        <v>1611</v>
      </c>
      <c r="R1092" s="271">
        <f t="shared" si="78"/>
        <v>0</v>
      </c>
      <c r="S1092" s="339">
        <f t="shared" si="79"/>
        <v>0</v>
      </c>
      <c r="T1092" s="340"/>
      <c r="U1092" s="341">
        <f>FA!N$69</f>
        <v>0</v>
      </c>
      <c r="V1092" s="274"/>
      <c r="W1092" s="342"/>
      <c r="X1092" s="343"/>
      <c r="Y1092" s="6" t="s">
        <v>545</v>
      </c>
      <c r="Z1092" s="344"/>
      <c r="AA1092" s="240"/>
      <c r="AB1092" s="345">
        <v>1</v>
      </c>
      <c r="AC1092" s="271"/>
      <c r="AD1092" s="272"/>
      <c r="AE1092" s="273"/>
      <c r="AF1092" s="273"/>
      <c r="AG1092" s="274"/>
      <c r="AH1092" s="275"/>
      <c r="AI1092" s="272"/>
      <c r="AJ1092" s="276"/>
      <c r="AK1092" s="277"/>
      <c r="AL1092" s="278"/>
      <c r="AM1092" s="277"/>
      <c r="AN1092" s="279"/>
      <c r="AO1092" s="279"/>
      <c r="AP1092" s="279"/>
      <c r="AQ1092" s="279"/>
      <c r="AR1092" s="305">
        <f>'预算书-初步'!$F$10</f>
        <v>0.09</v>
      </c>
      <c r="AT1092" s="272"/>
      <c r="BC1092" s="272" t="s">
        <v>521</v>
      </c>
      <c r="BD1092" s="348">
        <v>1058</v>
      </c>
      <c r="BE1092" s="347" t="s">
        <v>705</v>
      </c>
    </row>
    <row r="1093" s="52" customFormat="1" ht="15.75" customHeight="1" spans="1:57">
      <c r="A1093" s="227"/>
      <c r="B1093" s="332"/>
      <c r="C1093" s="228"/>
      <c r="D1093" s="333"/>
      <c r="E1093" s="334"/>
      <c r="F1093" s="229"/>
      <c r="G1093" s="333"/>
      <c r="H1093" s="335"/>
      <c r="I1093" s="229"/>
      <c r="J1093" s="229"/>
      <c r="K1093" s="336"/>
      <c r="L1093" s="337"/>
      <c r="M1093" s="337"/>
      <c r="N1093" s="337"/>
      <c r="O1093" s="337"/>
      <c r="P1093" s="337"/>
      <c r="Q1093" s="338">
        <v>1611</v>
      </c>
      <c r="R1093" s="271">
        <f t="shared" si="78"/>
        <v>0</v>
      </c>
      <c r="S1093" s="339">
        <f t="shared" si="79"/>
        <v>0</v>
      </c>
      <c r="T1093" s="340"/>
      <c r="U1093" s="341">
        <f>FA!N$70</f>
        <v>0</v>
      </c>
      <c r="V1093" s="274"/>
      <c r="W1093" s="342"/>
      <c r="X1093" s="343"/>
      <c r="Y1093" s="349" t="s">
        <v>546</v>
      </c>
      <c r="Z1093" s="344"/>
      <c r="AA1093" s="240"/>
      <c r="AB1093" s="345">
        <v>1</v>
      </c>
      <c r="AC1093" s="271"/>
      <c r="AD1093" s="272"/>
      <c r="AE1093" s="273"/>
      <c r="AF1093" s="273"/>
      <c r="AG1093" s="274"/>
      <c r="AH1093" s="275"/>
      <c r="AI1093" s="272"/>
      <c r="AJ1093" s="276"/>
      <c r="AK1093" s="277"/>
      <c r="AL1093" s="278"/>
      <c r="AM1093" s="277"/>
      <c r="AN1093" s="279"/>
      <c r="AO1093" s="279"/>
      <c r="AP1093" s="279"/>
      <c r="AQ1093" s="279"/>
      <c r="AR1093" s="305">
        <f>'预算书-初步'!$F$10</f>
        <v>0.09</v>
      </c>
      <c r="AT1093" s="272"/>
      <c r="BC1093" s="272" t="s">
        <v>521</v>
      </c>
      <c r="BD1093" s="348">
        <v>1059</v>
      </c>
      <c r="BE1093" s="347" t="s">
        <v>705</v>
      </c>
    </row>
    <row r="1094" s="52" customFormat="1" ht="15.75" customHeight="1" spans="1:57">
      <c r="A1094" s="227"/>
      <c r="B1094" s="332"/>
      <c r="C1094" s="228"/>
      <c r="D1094" s="333"/>
      <c r="E1094" s="334"/>
      <c r="F1094" s="229"/>
      <c r="G1094" s="333"/>
      <c r="H1094" s="335"/>
      <c r="I1094" s="229"/>
      <c r="J1094" s="229"/>
      <c r="K1094" s="336"/>
      <c r="L1094" s="337"/>
      <c r="M1094" s="337"/>
      <c r="N1094" s="337"/>
      <c r="O1094" s="337"/>
      <c r="P1094" s="337"/>
      <c r="Q1094" s="338">
        <v>1611</v>
      </c>
      <c r="R1094" s="271">
        <f t="shared" ref="R1094:R1157" si="82">ROUND(U1094*(1+AR1094),0)</f>
        <v>0</v>
      </c>
      <c r="S1094" s="339">
        <f t="shared" si="79"/>
        <v>0</v>
      </c>
      <c r="T1094" s="340"/>
      <c r="U1094" s="341">
        <f>FA!N$71</f>
        <v>0</v>
      </c>
      <c r="V1094" s="274"/>
      <c r="W1094" s="342"/>
      <c r="X1094" s="343"/>
      <c r="Y1094" s="349" t="s">
        <v>547</v>
      </c>
      <c r="Z1094" s="344"/>
      <c r="AA1094" s="240"/>
      <c r="AB1094" s="345">
        <v>1</v>
      </c>
      <c r="AC1094" s="271"/>
      <c r="AD1094" s="272"/>
      <c r="AE1094" s="273"/>
      <c r="AF1094" s="273"/>
      <c r="AG1094" s="274"/>
      <c r="AH1094" s="275"/>
      <c r="AI1094" s="272"/>
      <c r="AJ1094" s="276"/>
      <c r="AK1094" s="277"/>
      <c r="AL1094" s="278"/>
      <c r="AM1094" s="277"/>
      <c r="AN1094" s="279"/>
      <c r="AO1094" s="279"/>
      <c r="AP1094" s="279"/>
      <c r="AQ1094" s="279"/>
      <c r="AR1094" s="305">
        <f>'预算书-初步'!$F$10</f>
        <v>0.09</v>
      </c>
      <c r="AT1094" s="272"/>
      <c r="BC1094" s="272" t="s">
        <v>521</v>
      </c>
      <c r="BD1094" s="348">
        <v>1060</v>
      </c>
      <c r="BE1094" s="347" t="s">
        <v>705</v>
      </c>
    </row>
    <row r="1095" s="52" customFormat="1" ht="15.75" customHeight="1" spans="1:57">
      <c r="A1095" s="227"/>
      <c r="B1095" s="332"/>
      <c r="C1095" s="228"/>
      <c r="D1095" s="333"/>
      <c r="E1095" s="334"/>
      <c r="F1095" s="229"/>
      <c r="G1095" s="333"/>
      <c r="H1095" s="335"/>
      <c r="I1095" s="229"/>
      <c r="J1095" s="229"/>
      <c r="K1095" s="336"/>
      <c r="L1095" s="337"/>
      <c r="M1095" s="337"/>
      <c r="N1095" s="337"/>
      <c r="O1095" s="337"/>
      <c r="P1095" s="337"/>
      <c r="Q1095" s="338">
        <v>1611</v>
      </c>
      <c r="R1095" s="271">
        <f t="shared" si="82"/>
        <v>0</v>
      </c>
      <c r="S1095" s="339">
        <f t="shared" si="79"/>
        <v>0</v>
      </c>
      <c r="T1095" s="340"/>
      <c r="U1095" s="341">
        <f>FA!N$72</f>
        <v>0</v>
      </c>
      <c r="V1095" s="274"/>
      <c r="W1095" s="342"/>
      <c r="X1095" s="343"/>
      <c r="Y1095" s="349" t="s">
        <v>548</v>
      </c>
      <c r="Z1095" s="344"/>
      <c r="AA1095" s="240"/>
      <c r="AB1095" s="345">
        <v>1</v>
      </c>
      <c r="AC1095" s="271"/>
      <c r="AD1095" s="272"/>
      <c r="AE1095" s="273"/>
      <c r="AF1095" s="273"/>
      <c r="AG1095" s="274"/>
      <c r="AH1095" s="275"/>
      <c r="AI1095" s="272"/>
      <c r="AJ1095" s="276"/>
      <c r="AK1095" s="277"/>
      <c r="AL1095" s="278"/>
      <c r="AM1095" s="277"/>
      <c r="AN1095" s="279" t="str">
        <f>IF(AK1095&lt;&gt;0,"N","")</f>
        <v/>
      </c>
      <c r="AO1095" s="279"/>
      <c r="AP1095" s="279" t="str">
        <f>IF(F1095&lt;&gt;0,"Y","")</f>
        <v/>
      </c>
      <c r="AQ1095" s="279"/>
      <c r="AR1095" s="305">
        <f>'预算书-初步'!$F$10</f>
        <v>0.09</v>
      </c>
      <c r="AT1095" s="272"/>
      <c r="BC1095" s="272" t="s">
        <v>521</v>
      </c>
      <c r="BD1095" s="348">
        <v>1061</v>
      </c>
      <c r="BE1095" s="347" t="s">
        <v>705</v>
      </c>
    </row>
    <row r="1096" s="52" customFormat="1" ht="15.75" customHeight="1" spans="1:57">
      <c r="A1096" s="227"/>
      <c r="B1096" s="332"/>
      <c r="C1096" s="228"/>
      <c r="D1096" s="333"/>
      <c r="E1096" s="334"/>
      <c r="F1096" s="229"/>
      <c r="G1096" s="333"/>
      <c r="H1096" s="335"/>
      <c r="I1096" s="229"/>
      <c r="J1096" s="229"/>
      <c r="K1096" s="336"/>
      <c r="L1096" s="337"/>
      <c r="M1096" s="337"/>
      <c r="N1096" s="337"/>
      <c r="O1096" s="337"/>
      <c r="P1096" s="337"/>
      <c r="Q1096" s="338">
        <v>1611</v>
      </c>
      <c r="R1096" s="271">
        <f t="shared" si="82"/>
        <v>0</v>
      </c>
      <c r="S1096" s="339">
        <f t="shared" si="79"/>
        <v>0</v>
      </c>
      <c r="T1096" s="340"/>
      <c r="U1096" s="341">
        <f>FA!N$73</f>
        <v>0</v>
      </c>
      <c r="V1096" s="274"/>
      <c r="W1096" s="342"/>
      <c r="X1096" s="343"/>
      <c r="Y1096" s="349" t="s">
        <v>549</v>
      </c>
      <c r="Z1096" s="344"/>
      <c r="AA1096" s="240"/>
      <c r="AB1096" s="345">
        <v>1</v>
      </c>
      <c r="AC1096" s="271"/>
      <c r="AD1096" s="272"/>
      <c r="AE1096" s="273"/>
      <c r="AF1096" s="273"/>
      <c r="AG1096" s="274"/>
      <c r="AH1096" s="275"/>
      <c r="AI1096" s="272"/>
      <c r="AJ1096" s="276"/>
      <c r="AK1096" s="277"/>
      <c r="AL1096" s="278"/>
      <c r="AM1096" s="277"/>
      <c r="AN1096" s="279"/>
      <c r="AO1096" s="279"/>
      <c r="AP1096" s="279"/>
      <c r="AQ1096" s="279"/>
      <c r="AR1096" s="305">
        <f>'预算书-初步'!$F$10</f>
        <v>0.09</v>
      </c>
      <c r="AT1096" s="272"/>
      <c r="BC1096" s="272" t="s">
        <v>521</v>
      </c>
      <c r="BD1096" s="348">
        <v>1062</v>
      </c>
      <c r="BE1096" s="347" t="s">
        <v>705</v>
      </c>
    </row>
    <row r="1097" s="52" customFormat="1" ht="15.75" customHeight="1" spans="1:57">
      <c r="A1097" s="227"/>
      <c r="B1097" s="332"/>
      <c r="C1097" s="228"/>
      <c r="D1097" s="333"/>
      <c r="E1097" s="334"/>
      <c r="F1097" s="229"/>
      <c r="G1097" s="333"/>
      <c r="H1097" s="335"/>
      <c r="I1097" s="229"/>
      <c r="J1097" s="229"/>
      <c r="K1097" s="336"/>
      <c r="L1097" s="337"/>
      <c r="M1097" s="337"/>
      <c r="N1097" s="337"/>
      <c r="O1097" s="337"/>
      <c r="P1097" s="337"/>
      <c r="Q1097" s="338">
        <v>1643</v>
      </c>
      <c r="R1097" s="271">
        <f t="shared" si="82"/>
        <v>0</v>
      </c>
      <c r="S1097" s="339">
        <f t="shared" si="79"/>
        <v>0</v>
      </c>
      <c r="T1097" s="340"/>
      <c r="U1097" s="341">
        <f>FA!N$74</f>
        <v>0</v>
      </c>
      <c r="V1097" s="274"/>
      <c r="W1097" s="342"/>
      <c r="X1097" s="343"/>
      <c r="Y1097" s="349" t="s">
        <v>550</v>
      </c>
      <c r="Z1097" s="344"/>
      <c r="AA1097" s="240"/>
      <c r="AB1097" s="345">
        <v>1</v>
      </c>
      <c r="AC1097" s="271"/>
      <c r="AD1097" s="272"/>
      <c r="AE1097" s="273"/>
      <c r="AF1097" s="273"/>
      <c r="AG1097" s="274"/>
      <c r="AH1097" s="275"/>
      <c r="AI1097" s="272"/>
      <c r="AJ1097" s="276"/>
      <c r="AK1097" s="277"/>
      <c r="AL1097" s="278"/>
      <c r="AM1097" s="277"/>
      <c r="AN1097" s="279" t="str">
        <f t="shared" ref="AN1097:AN1110" si="83">IF(AK1097&lt;&gt;0,"N","")</f>
        <v/>
      </c>
      <c r="AO1097" s="279"/>
      <c r="AP1097" s="279" t="str">
        <f t="shared" ref="AP1097:AP1106" si="84">IF(F1097&lt;&gt;0,"Y","")</f>
        <v/>
      </c>
      <c r="AQ1097" s="279"/>
      <c r="AR1097" s="305">
        <f>'预算书-初步'!$F$10</f>
        <v>0.09</v>
      </c>
      <c r="AT1097" s="272"/>
      <c r="BC1097" s="272" t="s">
        <v>521</v>
      </c>
      <c r="BD1097" s="348">
        <v>1063</v>
      </c>
      <c r="BE1097" s="347" t="s">
        <v>705</v>
      </c>
    </row>
    <row r="1098" s="52" customFormat="1" ht="15.75" customHeight="1" spans="1:57">
      <c r="A1098" s="227"/>
      <c r="B1098" s="332"/>
      <c r="C1098" s="228"/>
      <c r="D1098" s="333"/>
      <c r="E1098" s="334"/>
      <c r="F1098" s="229"/>
      <c r="G1098" s="333"/>
      <c r="H1098" s="335"/>
      <c r="I1098" s="229"/>
      <c r="J1098" s="229"/>
      <c r="K1098" s="336"/>
      <c r="L1098" s="337"/>
      <c r="M1098" s="337"/>
      <c r="N1098" s="337"/>
      <c r="O1098" s="337"/>
      <c r="P1098" s="337"/>
      <c r="Q1098" s="350">
        <v>1644</v>
      </c>
      <c r="R1098" s="271">
        <f t="shared" si="82"/>
        <v>0</v>
      </c>
      <c r="S1098" s="339">
        <f t="shared" si="79"/>
        <v>0</v>
      </c>
      <c r="T1098" s="340"/>
      <c r="U1098" s="341">
        <f>FA!N$75</f>
        <v>0</v>
      </c>
      <c r="V1098" s="274"/>
      <c r="W1098" s="342"/>
      <c r="X1098" s="343"/>
      <c r="Y1098" s="349" t="s">
        <v>551</v>
      </c>
      <c r="Z1098" s="344"/>
      <c r="AA1098" s="240"/>
      <c r="AB1098" s="345">
        <v>1</v>
      </c>
      <c r="AC1098" s="271"/>
      <c r="AD1098" s="272"/>
      <c r="AE1098" s="273"/>
      <c r="AF1098" s="273"/>
      <c r="AG1098" s="274"/>
      <c r="AH1098" s="275"/>
      <c r="AI1098" s="272"/>
      <c r="AJ1098" s="276"/>
      <c r="AK1098" s="277"/>
      <c r="AL1098" s="278"/>
      <c r="AM1098" s="277"/>
      <c r="AN1098" s="279" t="str">
        <f t="shared" si="83"/>
        <v/>
      </c>
      <c r="AO1098" s="279"/>
      <c r="AP1098" s="279" t="str">
        <f t="shared" si="84"/>
        <v/>
      </c>
      <c r="AQ1098" s="279"/>
      <c r="AR1098" s="305">
        <f>'预算书-初步'!$F$10</f>
        <v>0.09</v>
      </c>
      <c r="AT1098" s="272"/>
      <c r="BC1098" s="272" t="s">
        <v>521</v>
      </c>
      <c r="BD1098" s="348">
        <v>1064</v>
      </c>
      <c r="BE1098" s="347" t="s">
        <v>705</v>
      </c>
    </row>
    <row r="1099" s="52" customFormat="1" ht="15.75" customHeight="1" spans="1:57">
      <c r="A1099" s="227"/>
      <c r="B1099" s="332"/>
      <c r="C1099" s="228"/>
      <c r="D1099" s="333"/>
      <c r="E1099" s="334"/>
      <c r="F1099" s="229"/>
      <c r="G1099" s="333"/>
      <c r="H1099" s="335"/>
      <c r="I1099" s="229"/>
      <c r="J1099" s="229"/>
      <c r="K1099" s="336"/>
      <c r="L1099" s="337"/>
      <c r="M1099" s="337"/>
      <c r="N1099" s="337"/>
      <c r="O1099" s="337"/>
      <c r="P1099" s="337"/>
      <c r="Q1099" s="338">
        <v>1645</v>
      </c>
      <c r="R1099" s="271">
        <f t="shared" si="82"/>
        <v>0</v>
      </c>
      <c r="S1099" s="339">
        <f t="shared" si="79"/>
        <v>0</v>
      </c>
      <c r="T1099" s="340"/>
      <c r="U1099" s="341">
        <f>FA!N$76</f>
        <v>0</v>
      </c>
      <c r="V1099" s="274"/>
      <c r="W1099" s="342"/>
      <c r="X1099" s="343"/>
      <c r="Y1099" s="349" t="s">
        <v>552</v>
      </c>
      <c r="Z1099" s="344"/>
      <c r="AA1099" s="240"/>
      <c r="AB1099" s="345">
        <v>1</v>
      </c>
      <c r="AC1099" s="271"/>
      <c r="AD1099" s="272"/>
      <c r="AE1099" s="273"/>
      <c r="AF1099" s="273"/>
      <c r="AG1099" s="274"/>
      <c r="AH1099" s="275"/>
      <c r="AI1099" s="272"/>
      <c r="AJ1099" s="276"/>
      <c r="AK1099" s="277"/>
      <c r="AL1099" s="278"/>
      <c r="AM1099" s="277"/>
      <c r="AN1099" s="279" t="str">
        <f t="shared" si="83"/>
        <v/>
      </c>
      <c r="AO1099" s="279"/>
      <c r="AP1099" s="279" t="str">
        <f t="shared" si="84"/>
        <v/>
      </c>
      <c r="AQ1099" s="279"/>
      <c r="AR1099" s="305">
        <f>'预算书-初步'!$F$10</f>
        <v>0.09</v>
      </c>
      <c r="AT1099" s="272"/>
      <c r="BC1099" s="272" t="s">
        <v>521</v>
      </c>
      <c r="BD1099" s="348">
        <v>1065</v>
      </c>
      <c r="BE1099" s="347" t="s">
        <v>705</v>
      </c>
    </row>
    <row r="1100" s="52" customFormat="1" ht="15.75" customHeight="1" spans="1:57">
      <c r="A1100" s="227"/>
      <c r="B1100" s="332"/>
      <c r="C1100" s="228"/>
      <c r="D1100" s="333"/>
      <c r="E1100" s="334"/>
      <c r="F1100" s="229"/>
      <c r="G1100" s="333"/>
      <c r="H1100" s="335"/>
      <c r="I1100" s="229"/>
      <c r="J1100" s="229"/>
      <c r="K1100" s="336"/>
      <c r="L1100" s="337"/>
      <c r="M1100" s="337"/>
      <c r="N1100" s="337"/>
      <c r="O1100" s="337"/>
      <c r="P1100" s="337"/>
      <c r="Q1100" s="338">
        <v>1612</v>
      </c>
      <c r="R1100" s="271">
        <f t="shared" si="82"/>
        <v>0</v>
      </c>
      <c r="S1100" s="339">
        <f t="shared" si="79"/>
        <v>0</v>
      </c>
      <c r="T1100" s="340"/>
      <c r="U1100" s="341">
        <f>FA!N$77</f>
        <v>0</v>
      </c>
      <c r="V1100" s="274"/>
      <c r="W1100" s="342"/>
      <c r="X1100" s="343"/>
      <c r="Y1100" s="6" t="s">
        <v>553</v>
      </c>
      <c r="Z1100" s="344"/>
      <c r="AA1100" s="240"/>
      <c r="AB1100" s="345">
        <v>1</v>
      </c>
      <c r="AC1100" s="271"/>
      <c r="AD1100" s="272"/>
      <c r="AE1100" s="273"/>
      <c r="AF1100" s="273"/>
      <c r="AG1100" s="274"/>
      <c r="AH1100" s="275"/>
      <c r="AI1100" s="272"/>
      <c r="AJ1100" s="276"/>
      <c r="AK1100" s="277"/>
      <c r="AL1100" s="278"/>
      <c r="AM1100" s="277"/>
      <c r="AN1100" s="279" t="str">
        <f t="shared" si="83"/>
        <v/>
      </c>
      <c r="AO1100" s="279"/>
      <c r="AP1100" s="279" t="str">
        <f t="shared" si="84"/>
        <v/>
      </c>
      <c r="AQ1100" s="279"/>
      <c r="AR1100" s="305">
        <f>'预算书-初步'!$F$10</f>
        <v>0.09</v>
      </c>
      <c r="AT1100" s="272"/>
      <c r="BC1100" s="272" t="s">
        <v>521</v>
      </c>
      <c r="BD1100" s="348">
        <v>1066</v>
      </c>
      <c r="BE1100" s="347" t="s">
        <v>705</v>
      </c>
    </row>
    <row r="1101" s="52" customFormat="1" ht="15.75" customHeight="1" spans="1:57">
      <c r="A1101" s="227"/>
      <c r="B1101" s="332"/>
      <c r="C1101" s="228"/>
      <c r="D1101" s="333"/>
      <c r="E1101" s="334"/>
      <c r="F1101" s="229"/>
      <c r="G1101" s="333"/>
      <c r="H1101" s="335"/>
      <c r="I1101" s="229"/>
      <c r="J1101" s="229"/>
      <c r="K1101" s="336"/>
      <c r="L1101" s="337"/>
      <c r="M1101" s="337"/>
      <c r="N1101" s="337"/>
      <c r="O1101" s="337"/>
      <c r="P1101" s="337"/>
      <c r="Q1101" s="338">
        <v>1646</v>
      </c>
      <c r="R1101" s="271">
        <f t="shared" si="82"/>
        <v>0</v>
      </c>
      <c r="S1101" s="339">
        <f t="shared" si="79"/>
        <v>0</v>
      </c>
      <c r="T1101" s="340"/>
      <c r="U1101" s="341">
        <f>FA!N$79</f>
        <v>0</v>
      </c>
      <c r="V1101" s="274"/>
      <c r="W1101" s="342"/>
      <c r="X1101" s="343"/>
      <c r="Y1101" s="349" t="s">
        <v>554</v>
      </c>
      <c r="Z1101" s="344"/>
      <c r="AA1101" s="240"/>
      <c r="AB1101" s="345">
        <v>1</v>
      </c>
      <c r="AC1101" s="271"/>
      <c r="AD1101" s="272"/>
      <c r="AE1101" s="273"/>
      <c r="AF1101" s="273"/>
      <c r="AG1101" s="274"/>
      <c r="AH1101" s="275"/>
      <c r="AI1101" s="272"/>
      <c r="AJ1101" s="276"/>
      <c r="AK1101" s="277"/>
      <c r="AL1101" s="278"/>
      <c r="AM1101" s="277"/>
      <c r="AN1101" s="279" t="str">
        <f t="shared" si="83"/>
        <v/>
      </c>
      <c r="AO1101" s="279"/>
      <c r="AP1101" s="279" t="str">
        <f t="shared" si="84"/>
        <v/>
      </c>
      <c r="AQ1101" s="279"/>
      <c r="AR1101" s="305">
        <f>'预算书-初步'!$F$10</f>
        <v>0.09</v>
      </c>
      <c r="AT1101" s="272"/>
      <c r="BC1101" s="272" t="s">
        <v>521</v>
      </c>
      <c r="BD1101" s="348">
        <v>1068</v>
      </c>
      <c r="BE1101" s="347" t="s">
        <v>705</v>
      </c>
    </row>
    <row r="1102" s="52" customFormat="1" ht="15.75" customHeight="1" spans="1:57">
      <c r="A1102" s="227"/>
      <c r="B1102" s="332"/>
      <c r="C1102" s="228"/>
      <c r="D1102" s="333"/>
      <c r="E1102" s="334"/>
      <c r="F1102" s="229"/>
      <c r="G1102" s="333"/>
      <c r="H1102" s="335"/>
      <c r="I1102" s="229"/>
      <c r="J1102" s="229"/>
      <c r="K1102" s="336"/>
      <c r="L1102" s="337"/>
      <c r="M1102" s="337"/>
      <c r="N1102" s="337"/>
      <c r="O1102" s="337"/>
      <c r="P1102" s="337"/>
      <c r="Q1102" s="338">
        <v>1646</v>
      </c>
      <c r="R1102" s="271">
        <f t="shared" si="82"/>
        <v>0</v>
      </c>
      <c r="S1102" s="339">
        <f t="shared" si="79"/>
        <v>0</v>
      </c>
      <c r="T1102" s="340"/>
      <c r="U1102" s="341">
        <f>FA!N$80</f>
        <v>0</v>
      </c>
      <c r="V1102" s="274"/>
      <c r="W1102" s="342"/>
      <c r="X1102" s="343"/>
      <c r="Y1102" s="6" t="s">
        <v>555</v>
      </c>
      <c r="Z1102" s="344"/>
      <c r="AA1102" s="240"/>
      <c r="AB1102" s="345">
        <v>1</v>
      </c>
      <c r="AC1102" s="271"/>
      <c r="AD1102" s="272"/>
      <c r="AE1102" s="273"/>
      <c r="AF1102" s="273"/>
      <c r="AG1102" s="274"/>
      <c r="AH1102" s="275"/>
      <c r="AI1102" s="272"/>
      <c r="AJ1102" s="276"/>
      <c r="AK1102" s="277"/>
      <c r="AL1102" s="278"/>
      <c r="AM1102" s="277"/>
      <c r="AN1102" s="279" t="str">
        <f t="shared" si="83"/>
        <v/>
      </c>
      <c r="AO1102" s="279"/>
      <c r="AP1102" s="279" t="str">
        <f t="shared" si="84"/>
        <v/>
      </c>
      <c r="AQ1102" s="279"/>
      <c r="AR1102" s="305">
        <f>'预算书-初步'!$F$10</f>
        <v>0.09</v>
      </c>
      <c r="AT1102" s="272"/>
      <c r="BC1102" s="272" t="s">
        <v>521</v>
      </c>
      <c r="BD1102" s="348">
        <v>1069</v>
      </c>
      <c r="BE1102" s="347" t="s">
        <v>705</v>
      </c>
    </row>
    <row r="1103" s="52" customFormat="1" ht="15.75" customHeight="1" spans="1:57">
      <c r="A1103" s="227"/>
      <c r="B1103" s="332"/>
      <c r="C1103" s="228"/>
      <c r="D1103" s="333"/>
      <c r="E1103" s="334"/>
      <c r="F1103" s="229"/>
      <c r="G1103" s="333"/>
      <c r="H1103" s="335"/>
      <c r="I1103" s="229"/>
      <c r="J1103" s="229"/>
      <c r="K1103" s="336"/>
      <c r="L1103" s="337"/>
      <c r="M1103" s="337"/>
      <c r="N1103" s="337"/>
      <c r="O1103" s="337"/>
      <c r="P1103" s="337"/>
      <c r="Q1103" s="338">
        <v>1613</v>
      </c>
      <c r="R1103" s="271">
        <f t="shared" si="82"/>
        <v>0</v>
      </c>
      <c r="S1103" s="339">
        <f t="shared" si="79"/>
        <v>0</v>
      </c>
      <c r="T1103" s="340"/>
      <c r="U1103" s="341">
        <f>FA!N$81</f>
        <v>0</v>
      </c>
      <c r="V1103" s="274"/>
      <c r="W1103" s="342"/>
      <c r="X1103" s="343"/>
      <c r="Y1103" s="349" t="s">
        <v>556</v>
      </c>
      <c r="Z1103" s="344"/>
      <c r="AA1103" s="240"/>
      <c r="AB1103" s="345">
        <v>1</v>
      </c>
      <c r="AC1103" s="271"/>
      <c r="AD1103" s="272"/>
      <c r="AE1103" s="273"/>
      <c r="AF1103" s="273"/>
      <c r="AG1103" s="274"/>
      <c r="AH1103" s="275"/>
      <c r="AI1103" s="272"/>
      <c r="AJ1103" s="276"/>
      <c r="AK1103" s="277"/>
      <c r="AL1103" s="278"/>
      <c r="AM1103" s="277"/>
      <c r="AN1103" s="279" t="str">
        <f t="shared" si="83"/>
        <v/>
      </c>
      <c r="AO1103" s="279"/>
      <c r="AP1103" s="279" t="str">
        <f t="shared" si="84"/>
        <v/>
      </c>
      <c r="AQ1103" s="279"/>
      <c r="AR1103" s="305">
        <f>'预算书-初步'!$F$10</f>
        <v>0.09</v>
      </c>
      <c r="AT1103" s="272"/>
      <c r="BC1103" s="272" t="s">
        <v>521</v>
      </c>
      <c r="BD1103" s="348">
        <v>1070</v>
      </c>
      <c r="BE1103" s="347" t="s">
        <v>705</v>
      </c>
    </row>
    <row r="1104" s="52" customFormat="1" ht="15.75" customHeight="1" spans="1:57">
      <c r="A1104" s="227"/>
      <c r="B1104" s="332"/>
      <c r="C1104" s="228"/>
      <c r="D1104" s="333"/>
      <c r="E1104" s="334"/>
      <c r="F1104" s="229"/>
      <c r="G1104" s="333"/>
      <c r="H1104" s="335"/>
      <c r="I1104" s="229"/>
      <c r="J1104" s="229"/>
      <c r="K1104" s="336"/>
      <c r="L1104" s="337"/>
      <c r="M1104" s="337"/>
      <c r="N1104" s="337"/>
      <c r="O1104" s="337"/>
      <c r="P1104" s="337"/>
      <c r="Q1104" s="338">
        <v>1614</v>
      </c>
      <c r="R1104" s="271">
        <f t="shared" si="82"/>
        <v>0</v>
      </c>
      <c r="S1104" s="339">
        <f t="shared" ref="S1104:S1172" si="85">$S$5</f>
        <v>0</v>
      </c>
      <c r="T1104" s="340"/>
      <c r="U1104" s="341">
        <f>FA!N$82</f>
        <v>0</v>
      </c>
      <c r="V1104" s="274"/>
      <c r="W1104" s="342"/>
      <c r="X1104" s="343"/>
      <c r="Y1104" s="349" t="s">
        <v>557</v>
      </c>
      <c r="Z1104" s="344"/>
      <c r="AA1104" s="240"/>
      <c r="AB1104" s="345">
        <v>1</v>
      </c>
      <c r="AC1104" s="271"/>
      <c r="AD1104" s="272"/>
      <c r="AE1104" s="273"/>
      <c r="AF1104" s="273"/>
      <c r="AG1104" s="274"/>
      <c r="AH1104" s="275"/>
      <c r="AI1104" s="272"/>
      <c r="AJ1104" s="276"/>
      <c r="AK1104" s="277"/>
      <c r="AL1104" s="278"/>
      <c r="AM1104" s="277"/>
      <c r="AN1104" s="279" t="str">
        <f t="shared" si="83"/>
        <v/>
      </c>
      <c r="AO1104" s="279"/>
      <c r="AP1104" s="279" t="str">
        <f t="shared" si="84"/>
        <v/>
      </c>
      <c r="AQ1104" s="279"/>
      <c r="AR1104" s="305">
        <f>'预算书-初步'!$F$10</f>
        <v>0.09</v>
      </c>
      <c r="AT1104" s="272"/>
      <c r="BC1104" s="272" t="s">
        <v>521</v>
      </c>
      <c r="BD1104" s="348">
        <v>1071</v>
      </c>
      <c r="BE1104" s="347" t="s">
        <v>705</v>
      </c>
    </row>
    <row r="1105" s="52" customFormat="1" ht="15.75" customHeight="1" spans="1:57">
      <c r="A1105" s="227"/>
      <c r="B1105" s="332"/>
      <c r="C1105" s="228"/>
      <c r="D1105" s="333"/>
      <c r="E1105" s="334"/>
      <c r="F1105" s="229"/>
      <c r="G1105" s="333"/>
      <c r="H1105" s="335"/>
      <c r="I1105" s="229"/>
      <c r="J1105" s="229"/>
      <c r="K1105" s="336"/>
      <c r="L1105" s="337"/>
      <c r="M1105" s="337"/>
      <c r="N1105" s="337"/>
      <c r="O1105" s="337"/>
      <c r="P1105" s="337"/>
      <c r="Q1105" s="338">
        <v>1621</v>
      </c>
      <c r="R1105" s="271">
        <f t="shared" si="82"/>
        <v>0</v>
      </c>
      <c r="S1105" s="339">
        <f t="shared" si="85"/>
        <v>0</v>
      </c>
      <c r="T1105" s="340"/>
      <c r="U1105" s="341">
        <f>FA!N$84</f>
        <v>0</v>
      </c>
      <c r="V1105" s="274"/>
      <c r="W1105" s="342"/>
      <c r="X1105" s="343"/>
      <c r="Y1105" s="349" t="s">
        <v>558</v>
      </c>
      <c r="Z1105" s="344"/>
      <c r="AA1105" s="240"/>
      <c r="AB1105" s="345">
        <v>1</v>
      </c>
      <c r="AC1105" s="271"/>
      <c r="AD1105" s="272"/>
      <c r="AE1105" s="273"/>
      <c r="AF1105" s="273"/>
      <c r="AG1105" s="274"/>
      <c r="AH1105" s="275"/>
      <c r="AI1105" s="272"/>
      <c r="AJ1105" s="276"/>
      <c r="AK1105" s="277"/>
      <c r="AL1105" s="278"/>
      <c r="AM1105" s="277"/>
      <c r="AN1105" s="279" t="str">
        <f t="shared" si="83"/>
        <v/>
      </c>
      <c r="AO1105" s="279"/>
      <c r="AP1105" s="279" t="str">
        <f t="shared" si="84"/>
        <v/>
      </c>
      <c r="AQ1105" s="279"/>
      <c r="AR1105" s="305">
        <f>'预算书-初步'!$F$10</f>
        <v>0.09</v>
      </c>
      <c r="AT1105" s="272"/>
      <c r="BC1105" s="272" t="s">
        <v>521</v>
      </c>
      <c r="BD1105" s="348">
        <v>1073</v>
      </c>
      <c r="BE1105" s="347" t="s">
        <v>705</v>
      </c>
    </row>
    <row r="1106" s="52" customFormat="1" ht="15.75" customHeight="1" spans="1:57">
      <c r="A1106" s="227"/>
      <c r="B1106" s="332"/>
      <c r="C1106" s="228"/>
      <c r="D1106" s="333"/>
      <c r="E1106" s="334"/>
      <c r="F1106" s="229"/>
      <c r="G1106" s="333"/>
      <c r="H1106" s="335"/>
      <c r="I1106" s="229"/>
      <c r="J1106" s="229"/>
      <c r="K1106" s="336"/>
      <c r="L1106" s="337"/>
      <c r="M1106" s="337"/>
      <c r="N1106" s="337"/>
      <c r="O1106" s="337"/>
      <c r="P1106" s="337"/>
      <c r="Q1106" s="338">
        <v>1622</v>
      </c>
      <c r="R1106" s="271">
        <f t="shared" si="82"/>
        <v>0</v>
      </c>
      <c r="S1106" s="339">
        <f t="shared" si="85"/>
        <v>0</v>
      </c>
      <c r="T1106" s="340"/>
      <c r="U1106" s="341">
        <f>FA!N$85</f>
        <v>0</v>
      </c>
      <c r="V1106" s="274"/>
      <c r="W1106" s="342"/>
      <c r="X1106" s="343"/>
      <c r="Y1106" s="349" t="s">
        <v>559</v>
      </c>
      <c r="Z1106" s="344"/>
      <c r="AA1106" s="240"/>
      <c r="AB1106" s="345">
        <v>1</v>
      </c>
      <c r="AC1106" s="271"/>
      <c r="AD1106" s="272"/>
      <c r="AE1106" s="273"/>
      <c r="AF1106" s="273"/>
      <c r="AG1106" s="274"/>
      <c r="AH1106" s="275"/>
      <c r="AI1106" s="272"/>
      <c r="AJ1106" s="276"/>
      <c r="AK1106" s="277"/>
      <c r="AL1106" s="278"/>
      <c r="AM1106" s="277"/>
      <c r="AN1106" s="279" t="str">
        <f t="shared" si="83"/>
        <v/>
      </c>
      <c r="AO1106" s="279"/>
      <c r="AP1106" s="279" t="str">
        <f t="shared" si="84"/>
        <v/>
      </c>
      <c r="AQ1106" s="279"/>
      <c r="AR1106" s="305">
        <f>'预算书-初步'!$F$10</f>
        <v>0.09</v>
      </c>
      <c r="AT1106" s="272"/>
      <c r="BC1106" s="272" t="s">
        <v>521</v>
      </c>
      <c r="BD1106" s="348">
        <v>1074</v>
      </c>
      <c r="BE1106" s="347" t="s">
        <v>705</v>
      </c>
    </row>
    <row r="1107" s="52" customFormat="1" ht="15.75" customHeight="1" spans="1:57">
      <c r="A1107" s="227"/>
      <c r="B1107" s="332"/>
      <c r="C1107" s="228"/>
      <c r="D1107" s="333"/>
      <c r="E1107" s="334"/>
      <c r="F1107" s="229"/>
      <c r="G1107" s="333"/>
      <c r="H1107" s="335"/>
      <c r="I1107" s="229"/>
      <c r="J1107" s="229"/>
      <c r="K1107" s="336"/>
      <c r="L1107" s="337"/>
      <c r="M1107" s="337"/>
      <c r="N1107" s="337"/>
      <c r="O1107" s="337"/>
      <c r="P1107" s="337"/>
      <c r="Q1107" s="338">
        <v>1623</v>
      </c>
      <c r="R1107" s="271">
        <f t="shared" si="82"/>
        <v>0</v>
      </c>
      <c r="S1107" s="339">
        <f t="shared" si="85"/>
        <v>0</v>
      </c>
      <c r="T1107" s="340"/>
      <c r="U1107" s="341">
        <f>FA!N$86</f>
        <v>0</v>
      </c>
      <c r="V1107" s="274"/>
      <c r="W1107" s="342"/>
      <c r="X1107" s="343"/>
      <c r="Y1107" s="349" t="s">
        <v>560</v>
      </c>
      <c r="Z1107" s="344"/>
      <c r="AA1107" s="240"/>
      <c r="AB1107" s="345">
        <v>1</v>
      </c>
      <c r="AC1107" s="271"/>
      <c r="AD1107" s="272"/>
      <c r="AE1107" s="273"/>
      <c r="AF1107" s="273"/>
      <c r="AG1107" s="274"/>
      <c r="AH1107" s="275"/>
      <c r="AI1107" s="272"/>
      <c r="AJ1107" s="276"/>
      <c r="AK1107" s="277"/>
      <c r="AL1107" s="278"/>
      <c r="AM1107" s="277"/>
      <c r="AN1107" s="279"/>
      <c r="AO1107" s="279"/>
      <c r="AP1107" s="279"/>
      <c r="AQ1107" s="279"/>
      <c r="AR1107" s="305">
        <f>'预算书-初步'!$F$10</f>
        <v>0.09</v>
      </c>
      <c r="AT1107" s="272"/>
      <c r="BC1107" s="272" t="s">
        <v>521</v>
      </c>
      <c r="BD1107" s="348">
        <v>1075</v>
      </c>
      <c r="BE1107" s="347" t="s">
        <v>705</v>
      </c>
    </row>
    <row r="1108" s="52" customFormat="1" ht="15.75" customHeight="1" spans="1:57">
      <c r="A1108" s="227"/>
      <c r="B1108" s="332"/>
      <c r="C1108" s="228"/>
      <c r="D1108" s="333"/>
      <c r="E1108" s="334"/>
      <c r="F1108" s="229"/>
      <c r="G1108" s="333"/>
      <c r="H1108" s="335"/>
      <c r="I1108" s="229"/>
      <c r="J1108" s="229"/>
      <c r="K1108" s="336"/>
      <c r="L1108" s="337"/>
      <c r="M1108" s="337"/>
      <c r="N1108" s="337"/>
      <c r="O1108" s="337"/>
      <c r="P1108" s="337"/>
      <c r="Q1108" s="338">
        <v>1630</v>
      </c>
      <c r="R1108" s="271">
        <f t="shared" si="82"/>
        <v>0</v>
      </c>
      <c r="S1108" s="339">
        <f t="shared" si="85"/>
        <v>0</v>
      </c>
      <c r="T1108" s="340"/>
      <c r="U1108" s="341">
        <f>FA!N$88</f>
        <v>0</v>
      </c>
      <c r="V1108" s="274"/>
      <c r="W1108" s="342"/>
      <c r="X1108" s="343"/>
      <c r="Y1108" s="6" t="s">
        <v>561</v>
      </c>
      <c r="Z1108" s="344"/>
      <c r="AA1108" s="240"/>
      <c r="AB1108" s="345">
        <v>1</v>
      </c>
      <c r="AC1108" s="271"/>
      <c r="AD1108" s="272"/>
      <c r="AE1108" s="273"/>
      <c r="AF1108" s="273"/>
      <c r="AG1108" s="274"/>
      <c r="AH1108" s="275"/>
      <c r="AI1108" s="272"/>
      <c r="AJ1108" s="276"/>
      <c r="AK1108" s="277"/>
      <c r="AL1108" s="278"/>
      <c r="AM1108" s="277"/>
      <c r="AN1108" s="279" t="str">
        <f t="shared" si="83"/>
        <v/>
      </c>
      <c r="AO1108" s="279"/>
      <c r="AP1108" s="279" t="str">
        <f>IF(F1108&lt;&gt;0,"Y","")</f>
        <v/>
      </c>
      <c r="AQ1108" s="279"/>
      <c r="AR1108" s="305">
        <f>'预算书-初步'!$F$10</f>
        <v>0.09</v>
      </c>
      <c r="AT1108" s="272"/>
      <c r="BC1108" s="272" t="s">
        <v>521</v>
      </c>
      <c r="BD1108" s="348">
        <v>1077</v>
      </c>
      <c r="BE1108" s="347" t="s">
        <v>705</v>
      </c>
    </row>
    <row r="1109" s="52" customFormat="1" ht="15.75" customHeight="1" spans="1:57">
      <c r="A1109" s="227"/>
      <c r="B1109" s="332"/>
      <c r="C1109" s="228"/>
      <c r="D1109" s="333"/>
      <c r="E1109" s="334"/>
      <c r="F1109" s="229"/>
      <c r="G1109" s="333"/>
      <c r="H1109" s="335"/>
      <c r="I1109" s="229"/>
      <c r="J1109" s="229"/>
      <c r="K1109" s="336"/>
      <c r="L1109" s="337"/>
      <c r="M1109" s="337"/>
      <c r="N1109" s="337"/>
      <c r="O1109" s="337"/>
      <c r="P1109" s="337"/>
      <c r="Q1109" s="338">
        <v>3791</v>
      </c>
      <c r="R1109" s="271">
        <f t="shared" si="82"/>
        <v>0</v>
      </c>
      <c r="S1109" s="339">
        <f t="shared" si="85"/>
        <v>0</v>
      </c>
      <c r="T1109" s="340"/>
      <c r="U1109" s="341">
        <f>FA!N$95</f>
        <v>0</v>
      </c>
      <c r="V1109" s="274"/>
      <c r="W1109" s="342"/>
      <c r="X1109" s="343"/>
      <c r="Y1109" s="6" t="s">
        <v>562</v>
      </c>
      <c r="Z1109" s="344"/>
      <c r="AA1109" s="240"/>
      <c r="AB1109" s="345">
        <v>1</v>
      </c>
      <c r="AC1109" s="271"/>
      <c r="AD1109" s="272"/>
      <c r="AE1109" s="273"/>
      <c r="AF1109" s="273"/>
      <c r="AG1109" s="274"/>
      <c r="AH1109" s="275"/>
      <c r="AI1109" s="272"/>
      <c r="AJ1109" s="276"/>
      <c r="AK1109" s="277"/>
      <c r="AL1109" s="278"/>
      <c r="AM1109" s="277"/>
      <c r="AN1109" s="279" t="str">
        <f t="shared" si="83"/>
        <v/>
      </c>
      <c r="AO1109" s="279"/>
      <c r="AP1109" s="279" t="str">
        <f>IF(F1109&lt;&gt;0,"Y","")</f>
        <v/>
      </c>
      <c r="AQ1109" s="279"/>
      <c r="AR1109" s="305">
        <f>'预算书-初步'!$F$10</f>
        <v>0.09</v>
      </c>
      <c r="AT1109" s="272"/>
      <c r="BC1109" s="272" t="s">
        <v>521</v>
      </c>
      <c r="BD1109" s="348">
        <v>1084</v>
      </c>
      <c r="BE1109" s="347" t="s">
        <v>705</v>
      </c>
    </row>
    <row r="1110" s="52" customFormat="1" ht="15.75" customHeight="1" spans="1:57">
      <c r="A1110" s="227"/>
      <c r="B1110" s="332"/>
      <c r="C1110" s="228"/>
      <c r="D1110" s="333"/>
      <c r="E1110" s="334"/>
      <c r="F1110" s="229"/>
      <c r="G1110" s="333"/>
      <c r="H1110" s="335"/>
      <c r="I1110" s="229"/>
      <c r="J1110" s="229"/>
      <c r="K1110" s="336"/>
      <c r="L1110" s="337"/>
      <c r="M1110" s="337"/>
      <c r="N1110" s="337"/>
      <c r="O1110" s="337"/>
      <c r="P1110" s="337"/>
      <c r="Q1110" s="338">
        <v>8410</v>
      </c>
      <c r="R1110" s="271">
        <f t="shared" si="82"/>
        <v>0</v>
      </c>
      <c r="S1110" s="339">
        <f t="shared" si="85"/>
        <v>0</v>
      </c>
      <c r="T1110" s="340"/>
      <c r="U1110" s="341">
        <f>FA!N$140</f>
        <v>0</v>
      </c>
      <c r="V1110" s="274"/>
      <c r="W1110" s="342"/>
      <c r="X1110" s="343"/>
      <c r="Y1110" s="349" t="s">
        <v>563</v>
      </c>
      <c r="Z1110" s="344"/>
      <c r="AA1110" s="240"/>
      <c r="AB1110" s="345">
        <v>1</v>
      </c>
      <c r="AC1110" s="271"/>
      <c r="AD1110" s="272"/>
      <c r="AE1110" s="273"/>
      <c r="AF1110" s="273"/>
      <c r="AG1110" s="274"/>
      <c r="AH1110" s="275"/>
      <c r="AI1110" s="272"/>
      <c r="AJ1110" s="276"/>
      <c r="AK1110" s="277"/>
      <c r="AL1110" s="278"/>
      <c r="AM1110" s="277"/>
      <c r="AN1110" s="279" t="str">
        <f t="shared" si="83"/>
        <v/>
      </c>
      <c r="AO1110" s="279"/>
      <c r="AP1110" s="279" t="str">
        <f>IF(F1110&lt;&gt;0,"Y","")</f>
        <v/>
      </c>
      <c r="AQ1110" s="279"/>
      <c r="AR1110" s="305">
        <f>'预算书-初步'!$F$10</f>
        <v>0.09</v>
      </c>
      <c r="AT1110" s="272"/>
      <c r="BC1110" s="272" t="s">
        <v>521</v>
      </c>
      <c r="BD1110" s="348">
        <v>1129</v>
      </c>
      <c r="BE1110" s="347" t="s">
        <v>705</v>
      </c>
    </row>
    <row r="1111" s="52" customFormat="1" spans="1:57">
      <c r="A1111" s="227"/>
      <c r="B1111" s="332"/>
      <c r="C1111" s="228"/>
      <c r="D1111" s="333"/>
      <c r="E1111" s="334"/>
      <c r="F1111" s="229"/>
      <c r="G1111" s="333"/>
      <c r="H1111" s="335"/>
      <c r="I1111" s="229"/>
      <c r="J1111" s="229"/>
      <c r="K1111" s="336"/>
      <c r="L1111" s="337"/>
      <c r="M1111" s="337"/>
      <c r="N1111" s="337"/>
      <c r="O1111" s="337"/>
      <c r="P1111" s="337"/>
      <c r="Q1111" s="352">
        <v>8421</v>
      </c>
      <c r="R1111" s="271">
        <f t="shared" si="82"/>
        <v>0</v>
      </c>
      <c r="S1111" s="339">
        <f t="shared" si="85"/>
        <v>0</v>
      </c>
      <c r="T1111" s="354"/>
      <c r="U1111" s="355"/>
      <c r="V1111" s="274"/>
      <c r="W1111" s="356"/>
      <c r="X1111" s="357"/>
      <c r="Y1111" s="6" t="s">
        <v>564</v>
      </c>
      <c r="Z1111" s="344"/>
      <c r="AA1111" s="240"/>
      <c r="AB1111" s="345">
        <v>1</v>
      </c>
      <c r="AC1111" s="271"/>
      <c r="AD1111" s="272"/>
      <c r="AE1111" s="273"/>
      <c r="AF1111" s="273"/>
      <c r="AG1111" s="274"/>
      <c r="AH1111" s="275"/>
      <c r="AI1111" s="272"/>
      <c r="AJ1111" s="276"/>
      <c r="AK1111" s="277"/>
      <c r="AL1111" s="278"/>
      <c r="AM1111" s="277"/>
      <c r="AN1111" s="279"/>
      <c r="AO1111" s="279"/>
      <c r="AP1111" s="279"/>
      <c r="AQ1111" s="279"/>
      <c r="AR1111" s="305">
        <f>'预算书-初步'!$F$10</f>
        <v>0.09</v>
      </c>
      <c r="AT1111" s="272"/>
      <c r="BC1111" s="272" t="s">
        <v>521</v>
      </c>
      <c r="BD1111" s="359">
        <v>1130</v>
      </c>
      <c r="BE1111" s="347" t="s">
        <v>705</v>
      </c>
    </row>
    <row r="1112" s="52" customFormat="1" spans="1:57">
      <c r="A1112" s="227"/>
      <c r="B1112" s="332"/>
      <c r="C1112" s="228"/>
      <c r="D1112" s="333"/>
      <c r="E1112" s="334"/>
      <c r="F1112" s="229"/>
      <c r="G1112" s="333"/>
      <c r="H1112" s="335"/>
      <c r="I1112" s="229"/>
      <c r="J1112" s="229"/>
      <c r="K1112" s="336"/>
      <c r="L1112" s="337"/>
      <c r="M1112" s="337"/>
      <c r="N1112" s="337"/>
      <c r="O1112" s="337"/>
      <c r="P1112" s="337"/>
      <c r="Q1112" s="352">
        <v>8422</v>
      </c>
      <c r="R1112" s="271">
        <f t="shared" si="82"/>
        <v>0</v>
      </c>
      <c r="S1112" s="339">
        <f t="shared" si="85"/>
        <v>0</v>
      </c>
      <c r="T1112" s="354"/>
      <c r="U1112" s="355">
        <f>FA!N141</f>
        <v>0</v>
      </c>
      <c r="V1112" s="274"/>
      <c r="W1112" s="356"/>
      <c r="X1112" s="357"/>
      <c r="Y1112" s="349" t="s">
        <v>565</v>
      </c>
      <c r="Z1112" s="344"/>
      <c r="AA1112" s="240"/>
      <c r="AB1112" s="345">
        <v>1</v>
      </c>
      <c r="AC1112" s="271"/>
      <c r="AD1112" s="272"/>
      <c r="AE1112" s="273"/>
      <c r="AF1112" s="273"/>
      <c r="AG1112" s="274"/>
      <c r="AH1112" s="275"/>
      <c r="AI1112" s="272"/>
      <c r="AJ1112" s="276"/>
      <c r="AK1112" s="277"/>
      <c r="AL1112" s="278"/>
      <c r="AM1112" s="277"/>
      <c r="AN1112" s="279"/>
      <c r="AO1112" s="279"/>
      <c r="AP1112" s="279"/>
      <c r="AQ1112" s="279"/>
      <c r="AR1112" s="305">
        <f>'预算书-初步'!$F$10</f>
        <v>0.09</v>
      </c>
      <c r="AT1112" s="272"/>
      <c r="BC1112" s="272" t="s">
        <v>521</v>
      </c>
      <c r="BD1112" s="359">
        <v>1130</v>
      </c>
      <c r="BE1112" s="347" t="s">
        <v>705</v>
      </c>
    </row>
    <row r="1113" s="52" customFormat="1" spans="1:57">
      <c r="A1113" s="227"/>
      <c r="B1113" s="332"/>
      <c r="C1113" s="228"/>
      <c r="D1113" s="333"/>
      <c r="E1113" s="334"/>
      <c r="F1113" s="229"/>
      <c r="G1113" s="333"/>
      <c r="H1113" s="335"/>
      <c r="I1113" s="229"/>
      <c r="J1113" s="229"/>
      <c r="K1113" s="336"/>
      <c r="L1113" s="337"/>
      <c r="M1113" s="337"/>
      <c r="N1113" s="337"/>
      <c r="O1113" s="337"/>
      <c r="P1113" s="337"/>
      <c r="Q1113" s="352">
        <v>8423</v>
      </c>
      <c r="R1113" s="271">
        <f t="shared" si="82"/>
        <v>0</v>
      </c>
      <c r="S1113" s="339">
        <f t="shared" si="85"/>
        <v>0</v>
      </c>
      <c r="T1113" s="354"/>
      <c r="U1113" s="355"/>
      <c r="V1113" s="274"/>
      <c r="W1113" s="356"/>
      <c r="X1113" s="357"/>
      <c r="Y1113" s="6" t="s">
        <v>566</v>
      </c>
      <c r="Z1113" s="344"/>
      <c r="AA1113" s="240"/>
      <c r="AB1113" s="345">
        <v>1</v>
      </c>
      <c r="AC1113" s="271"/>
      <c r="AD1113" s="272"/>
      <c r="AE1113" s="273"/>
      <c r="AF1113" s="273"/>
      <c r="AG1113" s="274"/>
      <c r="AH1113" s="275"/>
      <c r="AI1113" s="272"/>
      <c r="AJ1113" s="276"/>
      <c r="AK1113" s="277"/>
      <c r="AL1113" s="278"/>
      <c r="AM1113" s="277"/>
      <c r="AN1113" s="279"/>
      <c r="AO1113" s="279"/>
      <c r="AP1113" s="279"/>
      <c r="AQ1113" s="279"/>
      <c r="AR1113" s="305">
        <f>'预算书-初步'!$F$10</f>
        <v>0.09</v>
      </c>
      <c r="AT1113" s="272"/>
      <c r="BC1113" s="272" t="s">
        <v>521</v>
      </c>
      <c r="BD1113" s="359">
        <v>1130</v>
      </c>
      <c r="BE1113" s="347" t="s">
        <v>705</v>
      </c>
    </row>
    <row r="1114" s="52" customFormat="1" ht="15.75" customHeight="1" spans="1:57">
      <c r="A1114" s="227"/>
      <c r="B1114" s="332"/>
      <c r="C1114" s="228"/>
      <c r="D1114" s="333"/>
      <c r="E1114" s="334"/>
      <c r="F1114" s="229"/>
      <c r="G1114" s="333"/>
      <c r="H1114" s="335"/>
      <c r="I1114" s="229"/>
      <c r="J1114" s="229"/>
      <c r="K1114" s="336"/>
      <c r="L1114" s="337"/>
      <c r="M1114" s="337"/>
      <c r="N1114" s="337"/>
      <c r="O1114" s="337"/>
      <c r="P1114" s="337"/>
      <c r="Q1114" s="338">
        <v>8424</v>
      </c>
      <c r="R1114" s="271">
        <f t="shared" si="82"/>
        <v>0</v>
      </c>
      <c r="S1114" s="339">
        <f t="shared" si="85"/>
        <v>0</v>
      </c>
      <c r="T1114" s="340"/>
      <c r="U1114" s="341">
        <f>FA!N$142</f>
        <v>0</v>
      </c>
      <c r="V1114" s="274"/>
      <c r="W1114" s="342"/>
      <c r="X1114" s="343"/>
      <c r="Y1114" s="6" t="s">
        <v>567</v>
      </c>
      <c r="Z1114" s="344"/>
      <c r="AA1114" s="240"/>
      <c r="AB1114" s="345">
        <v>1</v>
      </c>
      <c r="AC1114" s="271"/>
      <c r="AD1114" s="272"/>
      <c r="AE1114" s="273"/>
      <c r="AF1114" s="273"/>
      <c r="AG1114" s="274"/>
      <c r="AH1114" s="275"/>
      <c r="AI1114" s="272"/>
      <c r="AJ1114" s="276"/>
      <c r="AK1114" s="277"/>
      <c r="AL1114" s="278"/>
      <c r="AM1114" s="277"/>
      <c r="AN1114" s="279" t="str">
        <f t="shared" ref="AN1114:AN1132" si="86">IF(AK1114&lt;&gt;0,"N","")</f>
        <v/>
      </c>
      <c r="AO1114" s="279"/>
      <c r="AP1114" s="279" t="str">
        <f t="shared" ref="AP1114:AP1158" si="87">IF(F1114&lt;&gt;0,"Y","")</f>
        <v/>
      </c>
      <c r="AQ1114" s="279"/>
      <c r="AR1114" s="305">
        <f>'预算书-初步'!$F$10</f>
        <v>0.09</v>
      </c>
      <c r="AT1114" s="272"/>
      <c r="BC1114" s="272" t="s">
        <v>521</v>
      </c>
      <c r="BD1114" s="348">
        <v>1131</v>
      </c>
      <c r="BE1114" s="347" t="s">
        <v>705</v>
      </c>
    </row>
    <row r="1115" s="52" customFormat="1" ht="15.75" customHeight="1" spans="1:57">
      <c r="A1115" s="227"/>
      <c r="B1115" s="332"/>
      <c r="C1115" s="228"/>
      <c r="D1115" s="333"/>
      <c r="E1115" s="334"/>
      <c r="F1115" s="229"/>
      <c r="G1115" s="333"/>
      <c r="H1115" s="335"/>
      <c r="I1115" s="229"/>
      <c r="J1115" s="229"/>
      <c r="K1115" s="336"/>
      <c r="L1115" s="337"/>
      <c r="M1115" s="337"/>
      <c r="N1115" s="337"/>
      <c r="O1115" s="337"/>
      <c r="P1115" s="337"/>
      <c r="Q1115" s="338">
        <v>8426</v>
      </c>
      <c r="R1115" s="271">
        <f t="shared" si="82"/>
        <v>0</v>
      </c>
      <c r="S1115" s="339">
        <f t="shared" si="85"/>
        <v>0</v>
      </c>
      <c r="T1115" s="340"/>
      <c r="U1115" s="341">
        <f>FA!N$143</f>
        <v>0</v>
      </c>
      <c r="V1115" s="274"/>
      <c r="W1115" s="342"/>
      <c r="X1115" s="343"/>
      <c r="Y1115" s="6" t="s">
        <v>568</v>
      </c>
      <c r="Z1115" s="344"/>
      <c r="AA1115" s="240"/>
      <c r="AB1115" s="345">
        <v>1</v>
      </c>
      <c r="AC1115" s="271"/>
      <c r="AD1115" s="272"/>
      <c r="AE1115" s="273"/>
      <c r="AF1115" s="273"/>
      <c r="AG1115" s="274"/>
      <c r="AH1115" s="275"/>
      <c r="AI1115" s="272"/>
      <c r="AJ1115" s="276"/>
      <c r="AK1115" s="277"/>
      <c r="AL1115" s="278"/>
      <c r="AM1115" s="277"/>
      <c r="AN1115" s="279" t="str">
        <f t="shared" si="86"/>
        <v/>
      </c>
      <c r="AO1115" s="279"/>
      <c r="AP1115" s="279" t="str">
        <f t="shared" si="87"/>
        <v/>
      </c>
      <c r="AQ1115" s="279"/>
      <c r="AR1115" s="305">
        <f>'预算书-初步'!$F$10</f>
        <v>0.09</v>
      </c>
      <c r="AT1115" s="272"/>
      <c r="BC1115" s="272" t="s">
        <v>521</v>
      </c>
      <c r="BD1115" s="348">
        <v>1132</v>
      </c>
      <c r="BE1115" s="347" t="s">
        <v>705</v>
      </c>
    </row>
    <row r="1116" s="52" customFormat="1" ht="15.75" customHeight="1" spans="1:57">
      <c r="A1116" s="227"/>
      <c r="B1116" s="332"/>
      <c r="C1116" s="228"/>
      <c r="D1116" s="333"/>
      <c r="E1116" s="334"/>
      <c r="F1116" s="229"/>
      <c r="G1116" s="333"/>
      <c r="H1116" s="335"/>
      <c r="I1116" s="229"/>
      <c r="J1116" s="229"/>
      <c r="K1116" s="336"/>
      <c r="L1116" s="337"/>
      <c r="M1116" s="337"/>
      <c r="N1116" s="337"/>
      <c r="O1116" s="337"/>
      <c r="P1116" s="337"/>
      <c r="Q1116" s="338">
        <v>8451</v>
      </c>
      <c r="R1116" s="271">
        <f t="shared" si="82"/>
        <v>0</v>
      </c>
      <c r="S1116" s="339">
        <v>0</v>
      </c>
      <c r="T1116" s="340"/>
      <c r="U1116" s="364">
        <f>SUMIF(其他!$A$9:$A$65,$Q1116,其他!$Q$9:$Q$65)</f>
        <v>0</v>
      </c>
      <c r="V1116" s="274"/>
      <c r="W1116" s="342"/>
      <c r="X1116" s="343"/>
      <c r="Y1116" s="20" t="s">
        <v>570</v>
      </c>
      <c r="Z1116" s="344"/>
      <c r="AA1116" s="240"/>
      <c r="AB1116" s="345">
        <v>1</v>
      </c>
      <c r="AC1116" s="271"/>
      <c r="AD1116" s="272"/>
      <c r="AE1116" s="273"/>
      <c r="AF1116" s="273"/>
      <c r="AG1116" s="274"/>
      <c r="AH1116" s="275"/>
      <c r="AI1116" s="272"/>
      <c r="AJ1116" s="276"/>
      <c r="AK1116" s="277"/>
      <c r="AL1116" s="278"/>
      <c r="AM1116" s="277"/>
      <c r="AN1116" s="279"/>
      <c r="AO1116" s="279"/>
      <c r="AP1116" s="279"/>
      <c r="AQ1116" s="279"/>
      <c r="AR1116" s="305">
        <f>'预算书-初步'!$F$10</f>
        <v>0.09</v>
      </c>
      <c r="AT1116" s="272"/>
      <c r="BC1116" s="272" t="s">
        <v>521</v>
      </c>
      <c r="BD1116" s="348">
        <v>1136</v>
      </c>
      <c r="BE1116" s="347" t="s">
        <v>705</v>
      </c>
    </row>
    <row r="1117" s="52" customFormat="1" ht="15.75" customHeight="1" spans="1:57">
      <c r="A1117" s="227"/>
      <c r="B1117" s="332"/>
      <c r="C1117" s="228"/>
      <c r="D1117" s="333"/>
      <c r="E1117" s="334"/>
      <c r="F1117" s="229"/>
      <c r="G1117" s="333"/>
      <c r="H1117" s="335"/>
      <c r="I1117" s="229"/>
      <c r="J1117" s="229"/>
      <c r="K1117" s="336"/>
      <c r="L1117" s="337"/>
      <c r="M1117" s="337"/>
      <c r="N1117" s="337"/>
      <c r="O1117" s="337"/>
      <c r="P1117" s="337"/>
      <c r="Q1117" s="338">
        <v>8452</v>
      </c>
      <c r="R1117" s="271">
        <f t="shared" si="82"/>
        <v>0</v>
      </c>
      <c r="S1117" s="339">
        <v>0</v>
      </c>
      <c r="T1117" s="340"/>
      <c r="U1117" s="364">
        <f>SUMIF(其他!$A$9:$A$65,$Q1117,其他!$Q$9:$Q$65)</f>
        <v>0</v>
      </c>
      <c r="V1117" s="274"/>
      <c r="W1117" s="342"/>
      <c r="X1117" s="343"/>
      <c r="Y1117" s="20" t="s">
        <v>570</v>
      </c>
      <c r="Z1117" s="344"/>
      <c r="AA1117" s="240"/>
      <c r="AB1117" s="345">
        <v>1</v>
      </c>
      <c r="AC1117" s="271"/>
      <c r="AD1117" s="272"/>
      <c r="AE1117" s="273"/>
      <c r="AF1117" s="273"/>
      <c r="AG1117" s="274"/>
      <c r="AH1117" s="275"/>
      <c r="AI1117" s="272"/>
      <c r="AJ1117" s="276"/>
      <c r="AK1117" s="277"/>
      <c r="AL1117" s="278"/>
      <c r="AM1117" s="277"/>
      <c r="AN1117" s="279"/>
      <c r="AO1117" s="279"/>
      <c r="AP1117" s="279"/>
      <c r="AQ1117" s="279"/>
      <c r="AR1117" s="305">
        <f>'预算书-初步'!$F$10</f>
        <v>0.09</v>
      </c>
      <c r="AT1117" s="272"/>
      <c r="BC1117" s="272" t="s">
        <v>521</v>
      </c>
      <c r="BD1117" s="348">
        <v>1136</v>
      </c>
      <c r="BE1117" s="347" t="s">
        <v>705</v>
      </c>
    </row>
    <row r="1118" s="52" customFormat="1" ht="15.75" customHeight="1" spans="1:57">
      <c r="A1118" s="227"/>
      <c r="B1118" s="332"/>
      <c r="C1118" s="228"/>
      <c r="D1118" s="333"/>
      <c r="E1118" s="334"/>
      <c r="F1118" s="229"/>
      <c r="G1118" s="333"/>
      <c r="H1118" s="335"/>
      <c r="I1118" s="229"/>
      <c r="J1118" s="229"/>
      <c r="K1118" s="336"/>
      <c r="L1118" s="337"/>
      <c r="M1118" s="337"/>
      <c r="N1118" s="337"/>
      <c r="O1118" s="337"/>
      <c r="P1118" s="337"/>
      <c r="Q1118" s="338">
        <v>8453</v>
      </c>
      <c r="R1118" s="271">
        <f t="shared" si="82"/>
        <v>0</v>
      </c>
      <c r="S1118" s="339">
        <v>0</v>
      </c>
      <c r="T1118" s="340"/>
      <c r="U1118" s="364">
        <f>SUMIF(其他!$A$9:$A$65,$Q1118,其他!$Q$9:$Q$65)</f>
        <v>0</v>
      </c>
      <c r="V1118" s="274"/>
      <c r="W1118" s="342"/>
      <c r="X1118" s="343"/>
      <c r="Y1118" s="365" t="s">
        <v>571</v>
      </c>
      <c r="Z1118" s="344"/>
      <c r="AA1118" s="240"/>
      <c r="AB1118" s="345">
        <v>1</v>
      </c>
      <c r="AC1118" s="271"/>
      <c r="AD1118" s="272"/>
      <c r="AE1118" s="273"/>
      <c r="AF1118" s="273"/>
      <c r="AG1118" s="274"/>
      <c r="AH1118" s="275"/>
      <c r="AI1118" s="272"/>
      <c r="AJ1118" s="276"/>
      <c r="AK1118" s="277"/>
      <c r="AL1118" s="278"/>
      <c r="AM1118" s="277"/>
      <c r="AN1118" s="279"/>
      <c r="AO1118" s="279"/>
      <c r="AP1118" s="279"/>
      <c r="AQ1118" s="279"/>
      <c r="AR1118" s="305">
        <f>'预算书-初步'!$F$10</f>
        <v>0.09</v>
      </c>
      <c r="AT1118" s="272"/>
      <c r="BC1118" s="272" t="s">
        <v>521</v>
      </c>
      <c r="BD1118" s="348">
        <v>1136</v>
      </c>
      <c r="BE1118" s="347" t="s">
        <v>705</v>
      </c>
    </row>
    <row r="1119" s="52" customFormat="1" ht="15.75" customHeight="1" spans="1:57">
      <c r="A1119" s="227"/>
      <c r="B1119" s="332"/>
      <c r="C1119" s="228"/>
      <c r="D1119" s="333"/>
      <c r="E1119" s="334"/>
      <c r="F1119" s="229"/>
      <c r="G1119" s="333"/>
      <c r="H1119" s="335"/>
      <c r="I1119" s="229"/>
      <c r="J1119" s="229"/>
      <c r="K1119" s="336"/>
      <c r="L1119" s="337"/>
      <c r="M1119" s="337"/>
      <c r="N1119" s="337"/>
      <c r="O1119" s="337"/>
      <c r="P1119" s="337"/>
      <c r="Q1119" s="338">
        <v>8455</v>
      </c>
      <c r="R1119" s="271">
        <f t="shared" si="82"/>
        <v>0</v>
      </c>
      <c r="S1119" s="339">
        <v>0</v>
      </c>
      <c r="T1119" s="340"/>
      <c r="U1119" s="364">
        <f>SUMIF(其他!$A$9:$A$65,$Q1119,其他!$Q$9:$Q$65)</f>
        <v>0</v>
      </c>
      <c r="V1119" s="274"/>
      <c r="W1119" s="342"/>
      <c r="X1119" s="343"/>
      <c r="Y1119" s="20" t="s">
        <v>572</v>
      </c>
      <c r="Z1119" s="344"/>
      <c r="AA1119" s="240"/>
      <c r="AB1119" s="345">
        <v>1</v>
      </c>
      <c r="AC1119" s="271"/>
      <c r="AD1119" s="272"/>
      <c r="AE1119" s="273"/>
      <c r="AF1119" s="273"/>
      <c r="AG1119" s="274"/>
      <c r="AH1119" s="275"/>
      <c r="AI1119" s="272"/>
      <c r="AJ1119" s="276"/>
      <c r="AK1119" s="277"/>
      <c r="AL1119" s="278"/>
      <c r="AM1119" s="277"/>
      <c r="AN1119" s="279"/>
      <c r="AO1119" s="279"/>
      <c r="AP1119" s="279"/>
      <c r="AQ1119" s="279"/>
      <c r="AR1119" s="305">
        <f>'预算书-初步'!$F$10</f>
        <v>0.09</v>
      </c>
      <c r="AT1119" s="272"/>
      <c r="BC1119" s="272" t="s">
        <v>521</v>
      </c>
      <c r="BD1119" s="348">
        <v>1136</v>
      </c>
      <c r="BE1119" s="347" t="s">
        <v>705</v>
      </c>
    </row>
    <row r="1120" s="52" customFormat="1" ht="15.75" customHeight="1" spans="1:57">
      <c r="A1120" s="227"/>
      <c r="B1120" s="332"/>
      <c r="C1120" s="228"/>
      <c r="D1120" s="333"/>
      <c r="E1120" s="334"/>
      <c r="F1120" s="229"/>
      <c r="G1120" s="333"/>
      <c r="H1120" s="335"/>
      <c r="I1120" s="229"/>
      <c r="J1120" s="229"/>
      <c r="K1120" s="336"/>
      <c r="L1120" s="337"/>
      <c r="M1120" s="337"/>
      <c r="N1120" s="337"/>
      <c r="O1120" s="337"/>
      <c r="P1120" s="337"/>
      <c r="Q1120" s="366" t="s">
        <v>573</v>
      </c>
      <c r="R1120" s="271">
        <f t="shared" si="82"/>
        <v>0</v>
      </c>
      <c r="S1120" s="339">
        <f t="shared" si="85"/>
        <v>0</v>
      </c>
      <c r="T1120" s="368"/>
      <c r="U1120" s="369">
        <f>SUMIF(其他!$A$9:$A$65,$Q1120,其他!$Q$9:$Q$65)</f>
        <v>0</v>
      </c>
      <c r="V1120" s="274"/>
      <c r="W1120" s="356"/>
      <c r="X1120" s="357"/>
      <c r="Y1120" s="6" t="s">
        <v>574</v>
      </c>
      <c r="Z1120" s="344"/>
      <c r="AA1120" s="240"/>
      <c r="AB1120" s="345">
        <v>1</v>
      </c>
      <c r="AC1120" s="271"/>
      <c r="AD1120" s="272"/>
      <c r="AE1120" s="273"/>
      <c r="AF1120" s="273"/>
      <c r="AG1120" s="274"/>
      <c r="AH1120" s="275"/>
      <c r="AI1120" s="272"/>
      <c r="AJ1120" s="276"/>
      <c r="AK1120" s="277"/>
      <c r="AL1120" s="278"/>
      <c r="AM1120" s="277"/>
      <c r="AN1120" s="279" t="str">
        <f>IF(AK1120&lt;&gt;0,"N","")</f>
        <v/>
      </c>
      <c r="AO1120" s="279"/>
      <c r="AP1120" s="279" t="str">
        <f>IF(F1120&lt;&gt;0,"Y","")</f>
        <v/>
      </c>
      <c r="AQ1120" s="279"/>
      <c r="AR1120" s="305">
        <f>'预算书-初步'!$F$10</f>
        <v>0.09</v>
      </c>
      <c r="AT1120" s="272"/>
      <c r="BC1120" s="272" t="s">
        <v>521</v>
      </c>
      <c r="BD1120" s="359">
        <v>1136</v>
      </c>
      <c r="BE1120" s="347" t="s">
        <v>705</v>
      </c>
    </row>
    <row r="1121" s="52" customFormat="1" ht="15.75" customHeight="1" spans="1:57">
      <c r="A1121" s="227"/>
      <c r="B1121" s="332"/>
      <c r="C1121" s="228"/>
      <c r="D1121" s="333"/>
      <c r="E1121" s="334"/>
      <c r="F1121" s="229"/>
      <c r="G1121" s="333"/>
      <c r="H1121" s="335"/>
      <c r="I1121" s="229"/>
      <c r="J1121" s="229"/>
      <c r="K1121" s="336"/>
      <c r="L1121" s="337"/>
      <c r="M1121" s="337"/>
      <c r="N1121" s="337"/>
      <c r="O1121" s="337"/>
      <c r="P1121" s="337"/>
      <c r="Q1121" s="366">
        <v>8456</v>
      </c>
      <c r="R1121" s="271">
        <f t="shared" si="82"/>
        <v>0</v>
      </c>
      <c r="S1121" s="339">
        <f t="shared" si="85"/>
        <v>0</v>
      </c>
      <c r="T1121" s="368"/>
      <c r="U1121" s="369">
        <f>SUMIF(其他!$A$9:$A$65,$Q1121,其他!$Q$9:$Q$65)</f>
        <v>0</v>
      </c>
      <c r="V1121" s="274"/>
      <c r="W1121" s="356"/>
      <c r="X1121" s="357"/>
      <c r="Y1121" s="6" t="s">
        <v>575</v>
      </c>
      <c r="Z1121" s="344"/>
      <c r="AA1121" s="240"/>
      <c r="AB1121" s="345">
        <v>1</v>
      </c>
      <c r="AC1121" s="271"/>
      <c r="AD1121" s="272"/>
      <c r="AE1121" s="273"/>
      <c r="AF1121" s="273"/>
      <c r="AG1121" s="274"/>
      <c r="AH1121" s="275"/>
      <c r="AI1121" s="272"/>
      <c r="AJ1121" s="276"/>
      <c r="AK1121" s="277"/>
      <c r="AL1121" s="278"/>
      <c r="AM1121" s="277"/>
      <c r="AN1121" s="279" t="str">
        <f t="shared" si="86"/>
        <v/>
      </c>
      <c r="AO1121" s="279"/>
      <c r="AP1121" s="279" t="str">
        <f t="shared" si="87"/>
        <v/>
      </c>
      <c r="AQ1121" s="279"/>
      <c r="AR1121" s="305">
        <f>'预算书-初步'!$F$10</f>
        <v>0.09</v>
      </c>
      <c r="AT1121" s="272"/>
      <c r="BC1121" s="272" t="s">
        <v>521</v>
      </c>
      <c r="BD1121" s="359">
        <v>1136</v>
      </c>
      <c r="BE1121" s="347" t="s">
        <v>705</v>
      </c>
    </row>
    <row r="1122" s="52" customFormat="1" ht="15.75" customHeight="1" spans="1:57">
      <c r="A1122" s="227"/>
      <c r="B1122" s="332"/>
      <c r="C1122" s="228"/>
      <c r="D1122" s="333"/>
      <c r="E1122" s="334"/>
      <c r="F1122" s="229"/>
      <c r="G1122" s="333"/>
      <c r="H1122" s="335"/>
      <c r="I1122" s="229"/>
      <c r="J1122" s="229"/>
      <c r="K1122" s="336"/>
      <c r="L1122" s="337"/>
      <c r="M1122" s="337"/>
      <c r="N1122" s="337"/>
      <c r="O1122" s="337"/>
      <c r="P1122" s="337"/>
      <c r="Q1122" s="338">
        <v>8425</v>
      </c>
      <c r="R1122" s="271">
        <f t="shared" si="82"/>
        <v>0</v>
      </c>
      <c r="S1122" s="339">
        <f t="shared" si="85"/>
        <v>0</v>
      </c>
      <c r="T1122" s="340"/>
      <c r="U1122" s="341">
        <f>FA!N$151</f>
        <v>0</v>
      </c>
      <c r="V1122" s="274"/>
      <c r="W1122" s="342"/>
      <c r="X1122" s="343"/>
      <c r="Y1122" s="365" t="s">
        <v>576</v>
      </c>
      <c r="Z1122" s="344"/>
      <c r="AA1122" s="240"/>
      <c r="AB1122" s="345">
        <v>1</v>
      </c>
      <c r="AC1122" s="271"/>
      <c r="AD1122" s="272"/>
      <c r="AE1122" s="273"/>
      <c r="AF1122" s="273"/>
      <c r="AG1122" s="274"/>
      <c r="AH1122" s="275"/>
      <c r="AI1122" s="272"/>
      <c r="AJ1122" s="276"/>
      <c r="AK1122" s="277"/>
      <c r="AL1122" s="278"/>
      <c r="AM1122" s="277"/>
      <c r="AN1122" s="279" t="str">
        <f t="shared" si="86"/>
        <v/>
      </c>
      <c r="AO1122" s="279"/>
      <c r="AP1122" s="279" t="str">
        <f t="shared" si="87"/>
        <v/>
      </c>
      <c r="AQ1122" s="279"/>
      <c r="AR1122" s="305">
        <f>'预算书-初步'!$F$10</f>
        <v>0.09</v>
      </c>
      <c r="AT1122" s="272"/>
      <c r="BC1122" s="272" t="s">
        <v>521</v>
      </c>
      <c r="BD1122" s="348">
        <v>1140</v>
      </c>
      <c r="BE1122" s="347" t="s">
        <v>705</v>
      </c>
    </row>
    <row r="1123" s="52" customFormat="1" ht="15.75" customHeight="1" spans="1:57">
      <c r="A1123" s="227"/>
      <c r="B1123" s="332"/>
      <c r="C1123" s="228"/>
      <c r="D1123" s="333"/>
      <c r="E1123" s="334"/>
      <c r="F1123" s="229"/>
      <c r="G1123" s="333"/>
      <c r="H1123" s="335"/>
      <c r="I1123" s="229"/>
      <c r="J1123" s="229"/>
      <c r="K1123" s="336"/>
      <c r="L1123" s="337"/>
      <c r="M1123" s="337"/>
      <c r="N1123" s="337"/>
      <c r="O1123" s="337"/>
      <c r="P1123" s="337"/>
      <c r="Q1123" s="338">
        <v>8491</v>
      </c>
      <c r="R1123" s="271">
        <f t="shared" si="82"/>
        <v>0</v>
      </c>
      <c r="S1123" s="339">
        <f t="shared" si="85"/>
        <v>0</v>
      </c>
      <c r="T1123" s="340"/>
      <c r="U1123" s="341">
        <f>FA!N$153</f>
        <v>0</v>
      </c>
      <c r="V1123" s="274"/>
      <c r="W1123" s="342"/>
      <c r="X1123" s="343"/>
      <c r="Y1123" s="6" t="s">
        <v>577</v>
      </c>
      <c r="Z1123" s="344"/>
      <c r="AA1123" s="240"/>
      <c r="AB1123" s="345">
        <v>1</v>
      </c>
      <c r="AC1123" s="271"/>
      <c r="AD1123" s="272"/>
      <c r="AE1123" s="273"/>
      <c r="AF1123" s="273"/>
      <c r="AG1123" s="274"/>
      <c r="AH1123" s="275"/>
      <c r="AI1123" s="272"/>
      <c r="AJ1123" s="276"/>
      <c r="AK1123" s="277"/>
      <c r="AL1123" s="278"/>
      <c r="AM1123" s="277"/>
      <c r="AN1123" s="279" t="str">
        <f t="shared" si="86"/>
        <v/>
      </c>
      <c r="AO1123" s="279"/>
      <c r="AP1123" s="279" t="str">
        <f t="shared" si="87"/>
        <v/>
      </c>
      <c r="AQ1123" s="279"/>
      <c r="AR1123" s="305">
        <f>'预算书-初步'!$F$10</f>
        <v>0.09</v>
      </c>
      <c r="AT1123" s="272"/>
      <c r="BC1123" s="272" t="s">
        <v>521</v>
      </c>
      <c r="BD1123" s="348">
        <v>1150</v>
      </c>
      <c r="BE1123" s="347" t="s">
        <v>705</v>
      </c>
    </row>
    <row r="1124" s="52" customFormat="1" ht="15.75" customHeight="1" spans="1:57">
      <c r="A1124" s="227"/>
      <c r="B1124" s="332"/>
      <c r="C1124" s="228"/>
      <c r="D1124" s="333"/>
      <c r="E1124" s="334"/>
      <c r="F1124" s="229"/>
      <c r="G1124" s="333"/>
      <c r="H1124" s="335"/>
      <c r="I1124" s="229"/>
      <c r="J1124" s="229"/>
      <c r="K1124" s="336"/>
      <c r="L1124" s="337"/>
      <c r="M1124" s="337"/>
      <c r="N1124" s="337"/>
      <c r="O1124" s="337"/>
      <c r="P1124" s="337"/>
      <c r="Q1124" s="338">
        <v>8492</v>
      </c>
      <c r="R1124" s="271">
        <f t="shared" si="82"/>
        <v>0</v>
      </c>
      <c r="S1124" s="339">
        <f t="shared" si="85"/>
        <v>0</v>
      </c>
      <c r="T1124" s="340"/>
      <c r="U1124" s="341">
        <f>FA!N$154</f>
        <v>0</v>
      </c>
      <c r="V1124" s="274"/>
      <c r="W1124" s="342"/>
      <c r="X1124" s="343"/>
      <c r="Y1124" s="365" t="s">
        <v>578</v>
      </c>
      <c r="Z1124" s="344"/>
      <c r="AA1124" s="240"/>
      <c r="AB1124" s="345">
        <v>1</v>
      </c>
      <c r="AC1124" s="271"/>
      <c r="AD1124" s="272"/>
      <c r="AE1124" s="273"/>
      <c r="AF1124" s="273"/>
      <c r="AG1124" s="274"/>
      <c r="AH1124" s="275"/>
      <c r="AI1124" s="272"/>
      <c r="AJ1124" s="276"/>
      <c r="AK1124" s="277"/>
      <c r="AL1124" s="278"/>
      <c r="AM1124" s="277"/>
      <c r="AN1124" s="279" t="str">
        <f t="shared" si="86"/>
        <v/>
      </c>
      <c r="AO1124" s="279"/>
      <c r="AP1124" s="279" t="str">
        <f t="shared" si="87"/>
        <v/>
      </c>
      <c r="AQ1124" s="279"/>
      <c r="AR1124" s="305">
        <f>'预算书-初步'!$F$10</f>
        <v>0.09</v>
      </c>
      <c r="AT1124" s="272"/>
      <c r="BC1124" s="272" t="s">
        <v>521</v>
      </c>
      <c r="BD1124" s="348">
        <v>1151</v>
      </c>
      <c r="BE1124" s="347" t="s">
        <v>705</v>
      </c>
    </row>
    <row r="1125" s="52" customFormat="1" ht="15.75" customHeight="1" spans="1:57">
      <c r="A1125" s="227"/>
      <c r="B1125" s="332"/>
      <c r="C1125" s="228"/>
      <c r="D1125" s="333"/>
      <c r="E1125" s="334"/>
      <c r="F1125" s="229"/>
      <c r="G1125" s="333"/>
      <c r="H1125" s="335"/>
      <c r="I1125" s="229"/>
      <c r="J1125" s="229"/>
      <c r="K1125" s="336"/>
      <c r="L1125" s="337"/>
      <c r="M1125" s="337"/>
      <c r="N1125" s="337"/>
      <c r="O1125" s="337"/>
      <c r="P1125" s="337"/>
      <c r="Q1125" s="338">
        <v>8485</v>
      </c>
      <c r="R1125" s="271">
        <f t="shared" si="82"/>
        <v>0</v>
      </c>
      <c r="S1125" s="339">
        <f t="shared" si="85"/>
        <v>0</v>
      </c>
      <c r="T1125" s="340"/>
      <c r="U1125" s="341">
        <f>FA!N$157</f>
        <v>0</v>
      </c>
      <c r="V1125" s="274"/>
      <c r="W1125" s="342"/>
      <c r="X1125" s="343"/>
      <c r="Y1125" s="349" t="s">
        <v>579</v>
      </c>
      <c r="Z1125" s="344"/>
      <c r="AA1125" s="240"/>
      <c r="AB1125" s="345">
        <v>1</v>
      </c>
      <c r="AC1125" s="271"/>
      <c r="AD1125" s="272"/>
      <c r="AE1125" s="273"/>
      <c r="AF1125" s="273"/>
      <c r="AG1125" s="274"/>
      <c r="AH1125" s="275"/>
      <c r="AI1125" s="272"/>
      <c r="AJ1125" s="276"/>
      <c r="AK1125" s="277"/>
      <c r="AL1125" s="278"/>
      <c r="AM1125" s="277"/>
      <c r="AN1125" s="279" t="str">
        <f t="shared" si="86"/>
        <v/>
      </c>
      <c r="AO1125" s="279"/>
      <c r="AP1125" s="279" t="str">
        <f t="shared" si="87"/>
        <v/>
      </c>
      <c r="AQ1125" s="279"/>
      <c r="AR1125" s="305">
        <f>'预算书-初步'!$F$10</f>
        <v>0.09</v>
      </c>
      <c r="AT1125" s="272"/>
      <c r="BC1125" s="272" t="s">
        <v>521</v>
      </c>
      <c r="BD1125" s="348">
        <v>1154</v>
      </c>
      <c r="BE1125" s="347" t="s">
        <v>705</v>
      </c>
    </row>
    <row r="1126" s="52" customFormat="1" ht="15.75" customHeight="1" spans="1:57">
      <c r="A1126" s="227"/>
      <c r="B1126" s="332"/>
      <c r="C1126" s="228"/>
      <c r="D1126" s="333"/>
      <c r="E1126" s="334"/>
      <c r="F1126" s="229"/>
      <c r="G1126" s="333"/>
      <c r="H1126" s="335"/>
      <c r="I1126" s="229"/>
      <c r="J1126" s="229"/>
      <c r="K1126" s="336"/>
      <c r="L1126" s="337"/>
      <c r="M1126" s="337"/>
      <c r="N1126" s="337"/>
      <c r="O1126" s="337"/>
      <c r="P1126" s="337"/>
      <c r="Q1126" s="338">
        <v>8496</v>
      </c>
      <c r="R1126" s="271">
        <f t="shared" si="82"/>
        <v>0</v>
      </c>
      <c r="S1126" s="339">
        <f t="shared" si="85"/>
        <v>0</v>
      </c>
      <c r="T1126" s="340"/>
      <c r="U1126" s="341">
        <f>FA!N$158</f>
        <v>0</v>
      </c>
      <c r="V1126" s="274"/>
      <c r="W1126" s="342"/>
      <c r="X1126" s="343"/>
      <c r="Y1126" s="6" t="s">
        <v>580</v>
      </c>
      <c r="Z1126" s="344"/>
      <c r="AA1126" s="240"/>
      <c r="AB1126" s="345">
        <v>1</v>
      </c>
      <c r="AC1126" s="271"/>
      <c r="AD1126" s="272"/>
      <c r="AE1126" s="273"/>
      <c r="AF1126" s="273"/>
      <c r="AG1126" s="274"/>
      <c r="AH1126" s="275"/>
      <c r="AI1126" s="272"/>
      <c r="AJ1126" s="276"/>
      <c r="AK1126" s="277"/>
      <c r="AL1126" s="278"/>
      <c r="AM1126" s="277"/>
      <c r="AN1126" s="279" t="str">
        <f t="shared" si="86"/>
        <v/>
      </c>
      <c r="AO1126" s="279"/>
      <c r="AP1126" s="279" t="str">
        <f t="shared" si="87"/>
        <v/>
      </c>
      <c r="AQ1126" s="279"/>
      <c r="AR1126" s="305">
        <f>'预算书-初步'!$F$10</f>
        <v>0.09</v>
      </c>
      <c r="AT1126" s="272"/>
      <c r="BC1126" s="272" t="s">
        <v>521</v>
      </c>
      <c r="BD1126" s="348">
        <v>1155</v>
      </c>
      <c r="BE1126" s="347" t="s">
        <v>705</v>
      </c>
    </row>
    <row r="1127" s="52" customFormat="1" ht="15.75" customHeight="1" spans="1:57">
      <c r="A1127" s="227"/>
      <c r="B1127" s="332"/>
      <c r="C1127" s="228"/>
      <c r="D1127" s="333"/>
      <c r="E1127" s="334"/>
      <c r="F1127" s="229"/>
      <c r="G1127" s="333"/>
      <c r="H1127" s="335"/>
      <c r="I1127" s="229"/>
      <c r="J1127" s="229"/>
      <c r="K1127" s="336"/>
      <c r="L1127" s="337"/>
      <c r="M1127" s="337"/>
      <c r="N1127" s="337"/>
      <c r="O1127" s="337"/>
      <c r="P1127" s="337"/>
      <c r="Q1127" s="338">
        <v>8497</v>
      </c>
      <c r="R1127" s="271">
        <f t="shared" si="82"/>
        <v>0</v>
      </c>
      <c r="S1127" s="339">
        <f t="shared" si="85"/>
        <v>0</v>
      </c>
      <c r="T1127" s="340"/>
      <c r="U1127" s="341">
        <f>FA!N$159</f>
        <v>0</v>
      </c>
      <c r="V1127" s="274"/>
      <c r="W1127" s="342"/>
      <c r="X1127" s="343"/>
      <c r="Y1127" s="349" t="s">
        <v>581</v>
      </c>
      <c r="Z1127" s="344"/>
      <c r="AA1127" s="240"/>
      <c r="AB1127" s="345">
        <v>1</v>
      </c>
      <c r="AC1127" s="271"/>
      <c r="AD1127" s="272"/>
      <c r="AE1127" s="273"/>
      <c r="AF1127" s="273"/>
      <c r="AG1127" s="274"/>
      <c r="AH1127" s="275"/>
      <c r="AI1127" s="272"/>
      <c r="AJ1127" s="276"/>
      <c r="AK1127" s="277"/>
      <c r="AL1127" s="278"/>
      <c r="AM1127" s="277"/>
      <c r="AN1127" s="279" t="str">
        <f t="shared" si="86"/>
        <v/>
      </c>
      <c r="AO1127" s="279"/>
      <c r="AP1127" s="279" t="str">
        <f t="shared" si="87"/>
        <v/>
      </c>
      <c r="AQ1127" s="279"/>
      <c r="AR1127" s="305">
        <f>'预算书-初步'!$F$10</f>
        <v>0.09</v>
      </c>
      <c r="AT1127" s="272"/>
      <c r="BC1127" s="272" t="s">
        <v>521</v>
      </c>
      <c r="BD1127" s="348">
        <v>1156</v>
      </c>
      <c r="BE1127" s="347" t="s">
        <v>705</v>
      </c>
    </row>
    <row r="1128" s="52" customFormat="1" ht="15.75" customHeight="1" spans="1:57">
      <c r="A1128" s="227"/>
      <c r="B1128" s="332"/>
      <c r="C1128" s="228"/>
      <c r="D1128" s="333"/>
      <c r="E1128" s="334"/>
      <c r="F1128" s="229"/>
      <c r="G1128" s="333"/>
      <c r="H1128" s="335"/>
      <c r="I1128" s="229"/>
      <c r="J1128" s="229"/>
      <c r="K1128" s="336"/>
      <c r="L1128" s="337"/>
      <c r="M1128" s="337"/>
      <c r="N1128" s="337"/>
      <c r="O1128" s="337"/>
      <c r="P1128" s="337"/>
      <c r="Q1128" s="338">
        <v>8900</v>
      </c>
      <c r="R1128" s="271">
        <f t="shared" si="82"/>
        <v>0</v>
      </c>
      <c r="S1128" s="339">
        <f t="shared" si="85"/>
        <v>0</v>
      </c>
      <c r="T1128" s="340"/>
      <c r="U1128" s="341">
        <f>FA!N$161</f>
        <v>0</v>
      </c>
      <c r="V1128" s="274"/>
      <c r="W1128" s="342"/>
      <c r="X1128" s="343"/>
      <c r="Y1128" s="6" t="s">
        <v>582</v>
      </c>
      <c r="Z1128" s="344"/>
      <c r="AA1128" s="240"/>
      <c r="AB1128" s="345">
        <v>1</v>
      </c>
      <c r="AC1128" s="271"/>
      <c r="AD1128" s="272"/>
      <c r="AE1128" s="273"/>
      <c r="AF1128" s="273"/>
      <c r="AG1128" s="274"/>
      <c r="AH1128" s="275"/>
      <c r="AI1128" s="272"/>
      <c r="AJ1128" s="276"/>
      <c r="AK1128" s="277"/>
      <c r="AL1128" s="278"/>
      <c r="AM1128" s="277"/>
      <c r="AN1128" s="279" t="str">
        <f t="shared" si="86"/>
        <v/>
      </c>
      <c r="AO1128" s="279"/>
      <c r="AP1128" s="279" t="str">
        <f t="shared" si="87"/>
        <v/>
      </c>
      <c r="AQ1128" s="279"/>
      <c r="AR1128" s="305">
        <f>'预算书-初步'!$F$10</f>
        <v>0.09</v>
      </c>
      <c r="AT1128" s="272"/>
      <c r="BC1128" s="272" t="s">
        <v>521</v>
      </c>
      <c r="BD1128" s="348">
        <v>1158</v>
      </c>
      <c r="BE1128" s="347" t="s">
        <v>705</v>
      </c>
    </row>
    <row r="1129" s="52" customFormat="1" ht="15.75" customHeight="1" spans="1:57">
      <c r="A1129" s="227"/>
      <c r="B1129" s="332"/>
      <c r="C1129" s="228"/>
      <c r="D1129" s="333"/>
      <c r="E1129" s="334"/>
      <c r="F1129" s="229"/>
      <c r="G1129" s="333"/>
      <c r="H1129" s="335"/>
      <c r="I1129" s="229"/>
      <c r="J1129" s="229"/>
      <c r="K1129" s="336"/>
      <c r="L1129" s="337"/>
      <c r="M1129" s="337"/>
      <c r="N1129" s="337"/>
      <c r="O1129" s="337"/>
      <c r="P1129" s="337"/>
      <c r="Q1129" s="338">
        <v>2991</v>
      </c>
      <c r="R1129" s="271">
        <f t="shared" si="82"/>
        <v>0</v>
      </c>
      <c r="S1129" s="339">
        <f t="shared" si="85"/>
        <v>0</v>
      </c>
      <c r="T1129" s="340"/>
      <c r="U1129" s="341">
        <f>FA!N$165</f>
        <v>0</v>
      </c>
      <c r="V1129" s="274"/>
      <c r="W1129" s="342"/>
      <c r="X1129" s="343"/>
      <c r="Y1129" s="6" t="s">
        <v>583</v>
      </c>
      <c r="Z1129" s="344"/>
      <c r="AA1129" s="240"/>
      <c r="AB1129" s="345">
        <v>1</v>
      </c>
      <c r="AC1129" s="271"/>
      <c r="AD1129" s="272"/>
      <c r="AE1129" s="273"/>
      <c r="AF1129" s="273"/>
      <c r="AG1129" s="274"/>
      <c r="AH1129" s="275"/>
      <c r="AI1129" s="272"/>
      <c r="AJ1129" s="276"/>
      <c r="AK1129" s="277"/>
      <c r="AL1129" s="278"/>
      <c r="AM1129" s="277"/>
      <c r="AN1129" s="279" t="str">
        <f t="shared" si="86"/>
        <v/>
      </c>
      <c r="AO1129" s="279"/>
      <c r="AP1129" s="279" t="str">
        <f t="shared" si="87"/>
        <v/>
      </c>
      <c r="AQ1129" s="279"/>
      <c r="AR1129" s="305">
        <f>'预算书-初步'!$F$10</f>
        <v>0.09</v>
      </c>
      <c r="AT1129" s="272"/>
      <c r="BC1129" s="272" t="s">
        <v>521</v>
      </c>
      <c r="BD1129" s="359">
        <v>1162</v>
      </c>
      <c r="BE1129" s="347" t="s">
        <v>705</v>
      </c>
    </row>
    <row r="1130" s="52" customFormat="1" ht="15.75" customHeight="1" spans="1:57">
      <c r="A1130" s="227"/>
      <c r="B1130" s="332"/>
      <c r="C1130" s="228"/>
      <c r="D1130" s="333"/>
      <c r="E1130" s="334"/>
      <c r="F1130" s="229"/>
      <c r="G1130" s="333"/>
      <c r="H1130" s="335"/>
      <c r="I1130" s="229"/>
      <c r="J1130" s="229"/>
      <c r="K1130" s="336"/>
      <c r="L1130" s="337"/>
      <c r="M1130" s="337"/>
      <c r="N1130" s="337"/>
      <c r="O1130" s="337"/>
      <c r="P1130" s="337"/>
      <c r="Q1130" s="338">
        <v>4007</v>
      </c>
      <c r="R1130" s="271">
        <f t="shared" si="82"/>
        <v>0</v>
      </c>
      <c r="S1130" s="339">
        <f t="shared" si="85"/>
        <v>0</v>
      </c>
      <c r="T1130" s="340"/>
      <c r="U1130" s="341">
        <f>FA!N$174</f>
        <v>0</v>
      </c>
      <c r="V1130" s="274"/>
      <c r="W1130" s="342"/>
      <c r="X1130" s="343"/>
      <c r="Y1130" s="6" t="s">
        <v>584</v>
      </c>
      <c r="Z1130" s="344"/>
      <c r="AA1130" s="240"/>
      <c r="AB1130" s="345">
        <v>1</v>
      </c>
      <c r="AC1130" s="271"/>
      <c r="AD1130" s="272"/>
      <c r="AE1130" s="273"/>
      <c r="AF1130" s="273"/>
      <c r="AG1130" s="274"/>
      <c r="AH1130" s="275"/>
      <c r="AI1130" s="272"/>
      <c r="AJ1130" s="276"/>
      <c r="AK1130" s="277"/>
      <c r="AL1130" s="278"/>
      <c r="AM1130" s="277"/>
      <c r="AN1130" s="279" t="str">
        <f t="shared" si="86"/>
        <v/>
      </c>
      <c r="AO1130" s="279"/>
      <c r="AP1130" s="279" t="str">
        <f t="shared" si="87"/>
        <v/>
      </c>
      <c r="AQ1130" s="279"/>
      <c r="AR1130" s="305">
        <f>'预算书-初步'!$F$10</f>
        <v>0.09</v>
      </c>
      <c r="AT1130" s="272"/>
      <c r="BC1130" s="272" t="s">
        <v>521</v>
      </c>
      <c r="BD1130" s="348">
        <v>1171</v>
      </c>
      <c r="BE1130" s="347" t="s">
        <v>705</v>
      </c>
    </row>
    <row r="1131" s="52" customFormat="1" ht="15.75" customHeight="1" spans="1:57">
      <c r="A1131" s="227"/>
      <c r="B1131" s="332"/>
      <c r="C1131" s="228"/>
      <c r="D1131" s="333"/>
      <c r="E1131" s="334"/>
      <c r="F1131" s="229"/>
      <c r="G1131" s="333"/>
      <c r="H1131" s="335"/>
      <c r="I1131" s="229"/>
      <c r="J1131" s="229"/>
      <c r="K1131" s="336"/>
      <c r="L1131" s="337"/>
      <c r="M1131" s="337"/>
      <c r="N1131" s="337"/>
      <c r="O1131" s="337"/>
      <c r="P1131" s="337"/>
      <c r="Q1131" s="338">
        <v>4081</v>
      </c>
      <c r="R1131" s="271">
        <f t="shared" si="82"/>
        <v>0</v>
      </c>
      <c r="S1131" s="339">
        <f t="shared" si="85"/>
        <v>0</v>
      </c>
      <c r="T1131" s="340"/>
      <c r="U1131" s="341">
        <f>FA!N$175</f>
        <v>0</v>
      </c>
      <c r="V1131" s="274"/>
      <c r="W1131" s="342"/>
      <c r="X1131" s="343"/>
      <c r="Y1131" s="349" t="s">
        <v>585</v>
      </c>
      <c r="Z1131" s="344"/>
      <c r="AA1131" s="240"/>
      <c r="AB1131" s="345">
        <v>1</v>
      </c>
      <c r="AC1131" s="271"/>
      <c r="AD1131" s="272"/>
      <c r="AE1131" s="273"/>
      <c r="AF1131" s="273"/>
      <c r="AG1131" s="274"/>
      <c r="AH1131" s="275"/>
      <c r="AI1131" s="272"/>
      <c r="AJ1131" s="276"/>
      <c r="AK1131" s="277"/>
      <c r="AL1131" s="278"/>
      <c r="AM1131" s="277"/>
      <c r="AN1131" s="279" t="str">
        <f t="shared" si="86"/>
        <v/>
      </c>
      <c r="AO1131" s="279"/>
      <c r="AP1131" s="279" t="str">
        <f t="shared" si="87"/>
        <v/>
      </c>
      <c r="AQ1131" s="279"/>
      <c r="AR1131" s="305">
        <f>'预算书-初步'!$F$10</f>
        <v>0.09</v>
      </c>
      <c r="AT1131" s="272"/>
      <c r="BC1131" s="272" t="s">
        <v>521</v>
      </c>
      <c r="BD1131" s="348">
        <v>1172</v>
      </c>
      <c r="BE1131" s="347" t="s">
        <v>705</v>
      </c>
    </row>
    <row r="1132" s="52" customFormat="1" ht="15.75" customHeight="1" spans="1:57">
      <c r="A1132" s="227"/>
      <c r="B1132" s="332"/>
      <c r="C1132" s="228"/>
      <c r="D1132" s="333"/>
      <c r="E1132" s="334"/>
      <c r="F1132" s="229"/>
      <c r="G1132" s="333"/>
      <c r="H1132" s="335"/>
      <c r="I1132" s="229"/>
      <c r="J1132" s="229"/>
      <c r="K1132" s="336"/>
      <c r="L1132" s="337"/>
      <c r="M1132" s="337"/>
      <c r="N1132" s="337"/>
      <c r="O1132" s="337"/>
      <c r="P1132" s="337"/>
      <c r="Q1132" s="338">
        <v>4991</v>
      </c>
      <c r="R1132" s="271">
        <f t="shared" si="82"/>
        <v>0</v>
      </c>
      <c r="S1132" s="339">
        <f t="shared" si="85"/>
        <v>0</v>
      </c>
      <c r="T1132" s="340"/>
      <c r="U1132" s="341">
        <f>FA!N$176</f>
        <v>0</v>
      </c>
      <c r="V1132" s="274"/>
      <c r="W1132" s="342"/>
      <c r="X1132" s="343"/>
      <c r="Y1132" s="6" t="s">
        <v>586</v>
      </c>
      <c r="Z1132" s="344"/>
      <c r="AA1132" s="240"/>
      <c r="AB1132" s="345">
        <v>1</v>
      </c>
      <c r="AC1132" s="271"/>
      <c r="AD1132" s="272"/>
      <c r="AE1132" s="273"/>
      <c r="AF1132" s="273"/>
      <c r="AG1132" s="274"/>
      <c r="AH1132" s="275"/>
      <c r="AI1132" s="272"/>
      <c r="AJ1132" s="276"/>
      <c r="AK1132" s="277"/>
      <c r="AL1132" s="278"/>
      <c r="AM1132" s="277"/>
      <c r="AN1132" s="279" t="str">
        <f t="shared" si="86"/>
        <v/>
      </c>
      <c r="AO1132" s="279"/>
      <c r="AP1132" s="279" t="str">
        <f t="shared" si="87"/>
        <v/>
      </c>
      <c r="AQ1132" s="279"/>
      <c r="AR1132" s="305">
        <f>'预算书-初步'!$F$10</f>
        <v>0.09</v>
      </c>
      <c r="AT1132" s="272"/>
      <c r="BC1132" s="272" t="s">
        <v>521</v>
      </c>
      <c r="BD1132" s="348">
        <v>1173</v>
      </c>
      <c r="BE1132" s="347" t="s">
        <v>705</v>
      </c>
    </row>
    <row r="1133" s="52" customFormat="1" ht="15.75" customHeight="1" spans="1:57">
      <c r="A1133" s="227"/>
      <c r="B1133" s="332"/>
      <c r="C1133" s="228"/>
      <c r="D1133" s="333"/>
      <c r="E1133" s="334"/>
      <c r="F1133" s="229"/>
      <c r="G1133" s="333"/>
      <c r="H1133" s="335"/>
      <c r="I1133" s="229"/>
      <c r="J1133" s="229"/>
      <c r="K1133" s="336"/>
      <c r="L1133" s="337"/>
      <c r="M1133" s="337"/>
      <c r="N1133" s="337"/>
      <c r="O1133" s="337"/>
      <c r="P1133" s="337"/>
      <c r="Q1133" s="372">
        <v>1120</v>
      </c>
      <c r="R1133" s="271">
        <f t="shared" si="82"/>
        <v>0</v>
      </c>
      <c r="S1133" s="339">
        <f t="shared" si="85"/>
        <v>0</v>
      </c>
      <c r="T1133" s="373"/>
      <c r="U1133" s="373">
        <f>FA!N$32</f>
        <v>0</v>
      </c>
      <c r="V1133" s="274"/>
      <c r="W1133" s="374"/>
      <c r="X1133" s="375"/>
      <c r="Y1133" s="30" t="s">
        <v>588</v>
      </c>
      <c r="Z1133" s="376"/>
      <c r="AA1133" s="240"/>
      <c r="AB1133" s="345">
        <v>1</v>
      </c>
      <c r="AC1133" s="271"/>
      <c r="AD1133" s="272"/>
      <c r="AE1133" s="273"/>
      <c r="AF1133" s="273"/>
      <c r="AG1133" s="274"/>
      <c r="AH1133" s="275"/>
      <c r="AI1133" s="272"/>
      <c r="AJ1133" s="276"/>
      <c r="AK1133" s="277"/>
      <c r="AL1133" s="278"/>
      <c r="AM1133" s="277"/>
      <c r="AN1133" s="279" t="str">
        <f t="shared" ref="AN1133:AN1158" si="88">IF(AK1133&lt;&gt;0,"N","")</f>
        <v/>
      </c>
      <c r="AO1133" s="279"/>
      <c r="AP1133" s="279" t="str">
        <f t="shared" si="87"/>
        <v/>
      </c>
      <c r="AQ1133" s="279"/>
      <c r="AR1133" s="305">
        <f>'预算书-初步'!$F$10</f>
        <v>0.09</v>
      </c>
      <c r="AT1133" s="272"/>
      <c r="BC1133" s="272" t="s">
        <v>521</v>
      </c>
      <c r="BD1133" s="346">
        <v>1021</v>
      </c>
      <c r="BE1133" s="347" t="s">
        <v>705</v>
      </c>
    </row>
    <row r="1134" s="52" customFormat="1" ht="15.75" customHeight="1" spans="1:57">
      <c r="A1134" s="227"/>
      <c r="B1134" s="332"/>
      <c r="C1134" s="228"/>
      <c r="D1134" s="333"/>
      <c r="E1134" s="334"/>
      <c r="F1134" s="229"/>
      <c r="G1134" s="333"/>
      <c r="H1134" s="335"/>
      <c r="I1134" s="229"/>
      <c r="J1134" s="229"/>
      <c r="K1134" s="336"/>
      <c r="L1134" s="337"/>
      <c r="M1134" s="337"/>
      <c r="N1134" s="337"/>
      <c r="O1134" s="337"/>
      <c r="P1134" s="337"/>
      <c r="Q1134" s="372">
        <v>1130</v>
      </c>
      <c r="R1134" s="271">
        <f t="shared" si="82"/>
        <v>0</v>
      </c>
      <c r="S1134" s="339">
        <f t="shared" si="85"/>
        <v>0</v>
      </c>
      <c r="T1134" s="373"/>
      <c r="U1134" s="373">
        <f>FA!N$33</f>
        <v>0</v>
      </c>
      <c r="V1134" s="274"/>
      <c r="W1134" s="374"/>
      <c r="X1134" s="375"/>
      <c r="Y1134" s="30" t="s">
        <v>589</v>
      </c>
      <c r="Z1134" s="376"/>
      <c r="AA1134" s="240"/>
      <c r="AB1134" s="345">
        <v>1</v>
      </c>
      <c r="AC1134" s="271"/>
      <c r="AD1134" s="272"/>
      <c r="AE1134" s="273"/>
      <c r="AF1134" s="273"/>
      <c r="AG1134" s="274"/>
      <c r="AH1134" s="275"/>
      <c r="AI1134" s="272"/>
      <c r="AJ1134" s="276"/>
      <c r="AK1134" s="277"/>
      <c r="AL1134" s="278"/>
      <c r="AM1134" s="277"/>
      <c r="AN1134" s="279" t="str">
        <f t="shared" si="88"/>
        <v/>
      </c>
      <c r="AO1134" s="279"/>
      <c r="AP1134" s="279" t="str">
        <f t="shared" si="87"/>
        <v/>
      </c>
      <c r="AQ1134" s="279"/>
      <c r="AR1134" s="305">
        <f>'预算书-初步'!$F$10</f>
        <v>0.09</v>
      </c>
      <c r="AT1134" s="272"/>
      <c r="BC1134" s="272" t="s">
        <v>521</v>
      </c>
      <c r="BD1134" s="346">
        <v>1022</v>
      </c>
      <c r="BE1134" s="347" t="s">
        <v>705</v>
      </c>
    </row>
    <row r="1135" s="52" customFormat="1" ht="15.75" customHeight="1" spans="1:57">
      <c r="A1135" s="227"/>
      <c r="B1135" s="332"/>
      <c r="C1135" s="228"/>
      <c r="D1135" s="333"/>
      <c r="E1135" s="334"/>
      <c r="F1135" s="229"/>
      <c r="G1135" s="333"/>
      <c r="H1135" s="335"/>
      <c r="I1135" s="229"/>
      <c r="J1135" s="229"/>
      <c r="K1135" s="336"/>
      <c r="L1135" s="337"/>
      <c r="M1135" s="337"/>
      <c r="N1135" s="337"/>
      <c r="O1135" s="337"/>
      <c r="P1135" s="337"/>
      <c r="Q1135" s="372">
        <v>1210</v>
      </c>
      <c r="R1135" s="271">
        <f t="shared" si="82"/>
        <v>0</v>
      </c>
      <c r="S1135" s="339">
        <f t="shared" si="85"/>
        <v>0</v>
      </c>
      <c r="T1135" s="373"/>
      <c r="U1135" s="373">
        <f>FA!N$35</f>
        <v>0</v>
      </c>
      <c r="V1135" s="274"/>
      <c r="W1135" s="374"/>
      <c r="X1135" s="375"/>
      <c r="Y1135" s="30" t="s">
        <v>590</v>
      </c>
      <c r="Z1135" s="376"/>
      <c r="AA1135" s="240"/>
      <c r="AB1135" s="345">
        <v>1</v>
      </c>
      <c r="AC1135" s="271"/>
      <c r="AD1135" s="272"/>
      <c r="AE1135" s="273"/>
      <c r="AF1135" s="273"/>
      <c r="AG1135" s="274"/>
      <c r="AH1135" s="275"/>
      <c r="AI1135" s="272"/>
      <c r="AJ1135" s="276"/>
      <c r="AK1135" s="277"/>
      <c r="AL1135" s="278"/>
      <c r="AM1135" s="277"/>
      <c r="AN1135" s="279" t="str">
        <f t="shared" si="88"/>
        <v/>
      </c>
      <c r="AO1135" s="279"/>
      <c r="AP1135" s="279" t="str">
        <f t="shared" si="87"/>
        <v/>
      </c>
      <c r="AQ1135" s="279"/>
      <c r="AR1135" s="305">
        <f>'预算书-初步'!$F$10</f>
        <v>0.09</v>
      </c>
      <c r="AT1135" s="272"/>
      <c r="BC1135" s="272" t="s">
        <v>521</v>
      </c>
      <c r="BD1135" s="346">
        <v>1024</v>
      </c>
      <c r="BE1135" s="347" t="s">
        <v>705</v>
      </c>
    </row>
    <row r="1136" s="52" customFormat="1" ht="15.75" customHeight="1" spans="1:57">
      <c r="A1136" s="227"/>
      <c r="B1136" s="332"/>
      <c r="C1136" s="228"/>
      <c r="D1136" s="333"/>
      <c r="E1136" s="334"/>
      <c r="F1136" s="229"/>
      <c r="G1136" s="333"/>
      <c r="H1136" s="335"/>
      <c r="I1136" s="229"/>
      <c r="J1136" s="229"/>
      <c r="K1136" s="336"/>
      <c r="L1136" s="337"/>
      <c r="M1136" s="337"/>
      <c r="N1136" s="337"/>
      <c r="O1136" s="337"/>
      <c r="P1136" s="337"/>
      <c r="Q1136" s="372">
        <v>1311</v>
      </c>
      <c r="R1136" s="271">
        <f t="shared" si="82"/>
        <v>0</v>
      </c>
      <c r="S1136" s="339">
        <f t="shared" si="85"/>
        <v>0</v>
      </c>
      <c r="T1136" s="373"/>
      <c r="U1136" s="373">
        <f>FA!N$39</f>
        <v>0</v>
      </c>
      <c r="V1136" s="274"/>
      <c r="W1136" s="374"/>
      <c r="X1136" s="375"/>
      <c r="Y1136" s="30" t="s">
        <v>591</v>
      </c>
      <c r="Z1136" s="376"/>
      <c r="AA1136" s="240"/>
      <c r="AB1136" s="345">
        <v>1</v>
      </c>
      <c r="AC1136" s="271"/>
      <c r="AD1136" s="272"/>
      <c r="AE1136" s="273"/>
      <c r="AF1136" s="273"/>
      <c r="AG1136" s="274"/>
      <c r="AH1136" s="275"/>
      <c r="AI1136" s="272"/>
      <c r="AJ1136" s="276"/>
      <c r="AK1136" s="277"/>
      <c r="AL1136" s="278"/>
      <c r="AM1136" s="277"/>
      <c r="AN1136" s="279" t="str">
        <f t="shared" si="88"/>
        <v/>
      </c>
      <c r="AO1136" s="279"/>
      <c r="AP1136" s="279" t="str">
        <f t="shared" si="87"/>
        <v/>
      </c>
      <c r="AQ1136" s="279"/>
      <c r="AR1136" s="305">
        <f>'预算书-初步'!$F$10</f>
        <v>0.09</v>
      </c>
      <c r="AT1136" s="272"/>
      <c r="BC1136" s="272" t="s">
        <v>521</v>
      </c>
      <c r="BD1136" s="346">
        <v>1028</v>
      </c>
      <c r="BE1136" s="347" t="s">
        <v>705</v>
      </c>
    </row>
    <row r="1137" s="52" customFormat="1" ht="15.75" customHeight="1" spans="1:57">
      <c r="A1137" s="227"/>
      <c r="B1137" s="332"/>
      <c r="C1137" s="228"/>
      <c r="D1137" s="333"/>
      <c r="E1137" s="334"/>
      <c r="F1137" s="229"/>
      <c r="G1137" s="333"/>
      <c r="H1137" s="335"/>
      <c r="I1137" s="229"/>
      <c r="J1137" s="229"/>
      <c r="K1137" s="336"/>
      <c r="L1137" s="337"/>
      <c r="M1137" s="337"/>
      <c r="N1137" s="337"/>
      <c r="O1137" s="337"/>
      <c r="P1137" s="337"/>
      <c r="Q1137" s="372">
        <v>1312</v>
      </c>
      <c r="R1137" s="271">
        <f t="shared" si="82"/>
        <v>0</v>
      </c>
      <c r="S1137" s="339">
        <f t="shared" si="85"/>
        <v>0</v>
      </c>
      <c r="T1137" s="373"/>
      <c r="U1137" s="373">
        <f>FA!N$40</f>
        <v>0</v>
      </c>
      <c r="V1137" s="274"/>
      <c r="W1137" s="374"/>
      <c r="X1137" s="375"/>
      <c r="Y1137" s="30" t="s">
        <v>592</v>
      </c>
      <c r="Z1137" s="376"/>
      <c r="AA1137" s="240"/>
      <c r="AB1137" s="345">
        <v>1</v>
      </c>
      <c r="AC1137" s="271"/>
      <c r="AD1137" s="272"/>
      <c r="AE1137" s="273"/>
      <c r="AF1137" s="273"/>
      <c r="AG1137" s="274"/>
      <c r="AH1137" s="275"/>
      <c r="AI1137" s="272"/>
      <c r="AJ1137" s="276"/>
      <c r="AK1137" s="277"/>
      <c r="AL1137" s="278"/>
      <c r="AM1137" s="277"/>
      <c r="AN1137" s="279" t="str">
        <f t="shared" si="88"/>
        <v/>
      </c>
      <c r="AO1137" s="279"/>
      <c r="AP1137" s="279" t="str">
        <f t="shared" si="87"/>
        <v/>
      </c>
      <c r="AQ1137" s="279"/>
      <c r="AR1137" s="305">
        <f>'预算书-初步'!$F$10</f>
        <v>0.09</v>
      </c>
      <c r="AT1137" s="272"/>
      <c r="BC1137" s="272" t="s">
        <v>521</v>
      </c>
      <c r="BD1137" s="346">
        <v>1029</v>
      </c>
      <c r="BE1137" s="347" t="s">
        <v>705</v>
      </c>
    </row>
    <row r="1138" s="52" customFormat="1" ht="15.75" customHeight="1" spans="1:57">
      <c r="A1138" s="227"/>
      <c r="B1138" s="332"/>
      <c r="C1138" s="228"/>
      <c r="D1138" s="333"/>
      <c r="E1138" s="334"/>
      <c r="F1138" s="229"/>
      <c r="G1138" s="333"/>
      <c r="H1138" s="335"/>
      <c r="I1138" s="229"/>
      <c r="J1138" s="229"/>
      <c r="K1138" s="336"/>
      <c r="L1138" s="337"/>
      <c r="M1138" s="337"/>
      <c r="N1138" s="337"/>
      <c r="O1138" s="337"/>
      <c r="P1138" s="337"/>
      <c r="Q1138" s="372">
        <v>1313</v>
      </c>
      <c r="R1138" s="271">
        <f t="shared" si="82"/>
        <v>0</v>
      </c>
      <c r="S1138" s="339">
        <f t="shared" si="85"/>
        <v>0</v>
      </c>
      <c r="T1138" s="373"/>
      <c r="U1138" s="373">
        <f>FA!N$41</f>
        <v>0</v>
      </c>
      <c r="V1138" s="274"/>
      <c r="W1138" s="374"/>
      <c r="X1138" s="375"/>
      <c r="Y1138" s="30" t="s">
        <v>593</v>
      </c>
      <c r="Z1138" s="376"/>
      <c r="AA1138" s="240"/>
      <c r="AB1138" s="345">
        <v>1</v>
      </c>
      <c r="AC1138" s="271"/>
      <c r="AD1138" s="272"/>
      <c r="AE1138" s="273"/>
      <c r="AF1138" s="273"/>
      <c r="AG1138" s="274"/>
      <c r="AH1138" s="275"/>
      <c r="AI1138" s="272"/>
      <c r="AJ1138" s="276"/>
      <c r="AK1138" s="277"/>
      <c r="AL1138" s="278"/>
      <c r="AM1138" s="277"/>
      <c r="AN1138" s="279" t="str">
        <f t="shared" si="88"/>
        <v/>
      </c>
      <c r="AO1138" s="279"/>
      <c r="AP1138" s="279" t="str">
        <f t="shared" si="87"/>
        <v/>
      </c>
      <c r="AQ1138" s="279"/>
      <c r="AR1138" s="305">
        <f>'预算书-初步'!$F$10</f>
        <v>0.09</v>
      </c>
      <c r="AT1138" s="272"/>
      <c r="BC1138" s="272" t="s">
        <v>521</v>
      </c>
      <c r="BD1138" s="346">
        <v>1030</v>
      </c>
      <c r="BE1138" s="347" t="s">
        <v>705</v>
      </c>
    </row>
    <row r="1139" s="52" customFormat="1" ht="15.75" customHeight="1" spans="1:57">
      <c r="A1139" s="227"/>
      <c r="B1139" s="332"/>
      <c r="C1139" s="228"/>
      <c r="D1139" s="333"/>
      <c r="E1139" s="334"/>
      <c r="F1139" s="229"/>
      <c r="G1139" s="333"/>
      <c r="H1139" s="335"/>
      <c r="I1139" s="229"/>
      <c r="J1139" s="229"/>
      <c r="K1139" s="336"/>
      <c r="L1139" s="337"/>
      <c r="M1139" s="337"/>
      <c r="N1139" s="337"/>
      <c r="O1139" s="337"/>
      <c r="P1139" s="337"/>
      <c r="Q1139" s="372">
        <v>1330</v>
      </c>
      <c r="R1139" s="271">
        <f t="shared" si="82"/>
        <v>0</v>
      </c>
      <c r="S1139" s="339">
        <f t="shared" si="85"/>
        <v>0</v>
      </c>
      <c r="T1139" s="373"/>
      <c r="U1139" s="373">
        <f>FA!N$44</f>
        <v>0</v>
      </c>
      <c r="V1139" s="274"/>
      <c r="W1139" s="374"/>
      <c r="X1139" s="375"/>
      <c r="Y1139" s="30" t="s">
        <v>594</v>
      </c>
      <c r="Z1139" s="376"/>
      <c r="AA1139" s="240"/>
      <c r="AB1139" s="345">
        <v>1</v>
      </c>
      <c r="AC1139" s="271"/>
      <c r="AD1139" s="272"/>
      <c r="AE1139" s="273"/>
      <c r="AF1139" s="273"/>
      <c r="AG1139" s="274"/>
      <c r="AH1139" s="275"/>
      <c r="AI1139" s="272"/>
      <c r="AJ1139" s="276"/>
      <c r="AK1139" s="277"/>
      <c r="AL1139" s="278"/>
      <c r="AM1139" s="277"/>
      <c r="AN1139" s="279" t="str">
        <f t="shared" si="88"/>
        <v/>
      </c>
      <c r="AO1139" s="279"/>
      <c r="AP1139" s="279" t="str">
        <f t="shared" si="87"/>
        <v/>
      </c>
      <c r="AQ1139" s="279"/>
      <c r="AR1139" s="305">
        <f>'预算书-初步'!$F$10</f>
        <v>0.09</v>
      </c>
      <c r="AT1139" s="272"/>
      <c r="BC1139" s="272" t="s">
        <v>521</v>
      </c>
      <c r="BD1139" s="346">
        <v>1033</v>
      </c>
      <c r="BE1139" s="347" t="s">
        <v>705</v>
      </c>
    </row>
    <row r="1140" s="52" customFormat="1" ht="15.75" customHeight="1" spans="1:57">
      <c r="A1140" s="227"/>
      <c r="B1140" s="332"/>
      <c r="C1140" s="228"/>
      <c r="D1140" s="333"/>
      <c r="E1140" s="334"/>
      <c r="F1140" s="229"/>
      <c r="G1140" s="333"/>
      <c r="H1140" s="335"/>
      <c r="I1140" s="229"/>
      <c r="J1140" s="229"/>
      <c r="K1140" s="336"/>
      <c r="L1140" s="337"/>
      <c r="M1140" s="337"/>
      <c r="N1140" s="337"/>
      <c r="O1140" s="337"/>
      <c r="P1140" s="337"/>
      <c r="Q1140" s="372">
        <v>1340</v>
      </c>
      <c r="R1140" s="271">
        <f t="shared" si="82"/>
        <v>0</v>
      </c>
      <c r="S1140" s="339">
        <f t="shared" si="85"/>
        <v>0</v>
      </c>
      <c r="T1140" s="373"/>
      <c r="U1140" s="373">
        <f>FA!N$45</f>
        <v>0</v>
      </c>
      <c r="V1140" s="274"/>
      <c r="W1140" s="374"/>
      <c r="X1140" s="375"/>
      <c r="Y1140" s="30" t="s">
        <v>595</v>
      </c>
      <c r="Z1140" s="376"/>
      <c r="AA1140" s="240"/>
      <c r="AB1140" s="345">
        <v>1</v>
      </c>
      <c r="AC1140" s="271"/>
      <c r="AD1140" s="272"/>
      <c r="AE1140" s="273"/>
      <c r="AF1140" s="273"/>
      <c r="AG1140" s="274"/>
      <c r="AH1140" s="275"/>
      <c r="AI1140" s="272"/>
      <c r="AJ1140" s="276"/>
      <c r="AK1140" s="277"/>
      <c r="AL1140" s="278"/>
      <c r="AM1140" s="277"/>
      <c r="AN1140" s="279" t="str">
        <f t="shared" si="88"/>
        <v/>
      </c>
      <c r="AO1140" s="279"/>
      <c r="AP1140" s="279" t="str">
        <f t="shared" si="87"/>
        <v/>
      </c>
      <c r="AQ1140" s="279"/>
      <c r="AR1140" s="305">
        <f>'预算书-初步'!$F$10</f>
        <v>0.09</v>
      </c>
      <c r="AT1140" s="272"/>
      <c r="BC1140" s="272" t="s">
        <v>521</v>
      </c>
      <c r="BD1140" s="346">
        <v>1034</v>
      </c>
      <c r="BE1140" s="347" t="s">
        <v>705</v>
      </c>
    </row>
    <row r="1141" s="52" customFormat="1" ht="15.75" customHeight="1" spans="1:57">
      <c r="A1141" s="227"/>
      <c r="B1141" s="332"/>
      <c r="C1141" s="228"/>
      <c r="D1141" s="333"/>
      <c r="E1141" s="334"/>
      <c r="F1141" s="229"/>
      <c r="G1141" s="333"/>
      <c r="H1141" s="335"/>
      <c r="I1141" s="229"/>
      <c r="J1141" s="229"/>
      <c r="K1141" s="336"/>
      <c r="L1141" s="337"/>
      <c r="M1141" s="337"/>
      <c r="N1141" s="337"/>
      <c r="O1141" s="337"/>
      <c r="P1141" s="337"/>
      <c r="Q1141" s="372">
        <v>1430</v>
      </c>
      <c r="R1141" s="271">
        <f t="shared" si="82"/>
        <v>0</v>
      </c>
      <c r="S1141" s="339">
        <f t="shared" si="85"/>
        <v>0</v>
      </c>
      <c r="T1141" s="373"/>
      <c r="U1141" s="373">
        <f>FA!N$51</f>
        <v>0</v>
      </c>
      <c r="V1141" s="274"/>
      <c r="W1141" s="374"/>
      <c r="X1141" s="375"/>
      <c r="Y1141" s="30" t="s">
        <v>596</v>
      </c>
      <c r="Z1141" s="376"/>
      <c r="AA1141" s="240"/>
      <c r="AB1141" s="345">
        <v>1</v>
      </c>
      <c r="AC1141" s="271"/>
      <c r="AD1141" s="272"/>
      <c r="AE1141" s="273"/>
      <c r="AF1141" s="273"/>
      <c r="AG1141" s="274"/>
      <c r="AH1141" s="275"/>
      <c r="AI1141" s="272"/>
      <c r="AJ1141" s="276"/>
      <c r="AK1141" s="277"/>
      <c r="AL1141" s="278"/>
      <c r="AM1141" s="277"/>
      <c r="AN1141" s="279" t="str">
        <f t="shared" si="88"/>
        <v/>
      </c>
      <c r="AO1141" s="279"/>
      <c r="AP1141" s="279" t="str">
        <f t="shared" si="87"/>
        <v/>
      </c>
      <c r="AQ1141" s="279"/>
      <c r="AR1141" s="305">
        <f>'预算书-初步'!$F$10</f>
        <v>0.09</v>
      </c>
      <c r="AT1141" s="272"/>
      <c r="BC1141" s="272" t="s">
        <v>521</v>
      </c>
      <c r="BD1141" s="346">
        <v>1040</v>
      </c>
      <c r="BE1141" s="347" t="s">
        <v>705</v>
      </c>
    </row>
    <row r="1142" s="52" customFormat="1" ht="15.75" customHeight="1" spans="1:57">
      <c r="A1142" s="227"/>
      <c r="B1142" s="332"/>
      <c r="C1142" s="228"/>
      <c r="D1142" s="333"/>
      <c r="E1142" s="334"/>
      <c r="F1142" s="229"/>
      <c r="G1142" s="333"/>
      <c r="H1142" s="335"/>
      <c r="I1142" s="229"/>
      <c r="J1142" s="229"/>
      <c r="K1142" s="336"/>
      <c r="L1142" s="337"/>
      <c r="M1142" s="337"/>
      <c r="N1142" s="337"/>
      <c r="O1142" s="337"/>
      <c r="P1142" s="337"/>
      <c r="Q1142" s="372">
        <v>1624</v>
      </c>
      <c r="R1142" s="271">
        <f t="shared" si="82"/>
        <v>0</v>
      </c>
      <c r="S1142" s="339">
        <f t="shared" si="85"/>
        <v>0</v>
      </c>
      <c r="T1142" s="373"/>
      <c r="U1142" s="373">
        <f>FA!N$87</f>
        <v>0</v>
      </c>
      <c r="V1142" s="274"/>
      <c r="W1142" s="374"/>
      <c r="X1142" s="375"/>
      <c r="Y1142" s="30" t="s">
        <v>597</v>
      </c>
      <c r="Z1142" s="376"/>
      <c r="AA1142" s="240"/>
      <c r="AB1142" s="345">
        <v>1</v>
      </c>
      <c r="AC1142" s="271"/>
      <c r="AD1142" s="272"/>
      <c r="AE1142" s="273"/>
      <c r="AF1142" s="273"/>
      <c r="AG1142" s="274"/>
      <c r="AH1142" s="275"/>
      <c r="AI1142" s="272"/>
      <c r="AJ1142" s="276"/>
      <c r="AK1142" s="277"/>
      <c r="AL1142" s="278"/>
      <c r="AM1142" s="277"/>
      <c r="AN1142" s="279" t="str">
        <f t="shared" si="88"/>
        <v/>
      </c>
      <c r="AO1142" s="279"/>
      <c r="AP1142" s="279" t="str">
        <f t="shared" si="87"/>
        <v/>
      </c>
      <c r="AQ1142" s="279"/>
      <c r="AR1142" s="305">
        <f>'预算书-初步'!$F$10</f>
        <v>0.09</v>
      </c>
      <c r="AT1142" s="272"/>
      <c r="BC1142" s="272" t="s">
        <v>521</v>
      </c>
      <c r="BD1142" s="346">
        <v>1076</v>
      </c>
      <c r="BE1142" s="347" t="s">
        <v>705</v>
      </c>
    </row>
    <row r="1143" s="52" customFormat="1" ht="15.75" customHeight="1" spans="1:57">
      <c r="A1143" s="227"/>
      <c r="B1143" s="332"/>
      <c r="C1143" s="228"/>
      <c r="D1143" s="333"/>
      <c r="E1143" s="334"/>
      <c r="F1143" s="229"/>
      <c r="G1143" s="333"/>
      <c r="H1143" s="335"/>
      <c r="I1143" s="229"/>
      <c r="J1143" s="229"/>
      <c r="K1143" s="336"/>
      <c r="L1143" s="337"/>
      <c r="M1143" s="337"/>
      <c r="N1143" s="337"/>
      <c r="O1143" s="337"/>
      <c r="P1143" s="337"/>
      <c r="Q1143" s="377">
        <v>2960</v>
      </c>
      <c r="R1143" s="271">
        <f t="shared" si="82"/>
        <v>0</v>
      </c>
      <c r="S1143" s="339">
        <f t="shared" si="85"/>
        <v>0</v>
      </c>
      <c r="T1143" s="373"/>
      <c r="U1143" s="373">
        <f>FA!N$164</f>
        <v>0</v>
      </c>
      <c r="V1143" s="274"/>
      <c r="W1143" s="374"/>
      <c r="X1143" s="375"/>
      <c r="Y1143" s="36" t="s">
        <v>598</v>
      </c>
      <c r="Z1143" s="376"/>
      <c r="AA1143" s="240"/>
      <c r="AB1143" s="345">
        <v>1</v>
      </c>
      <c r="AC1143" s="271"/>
      <c r="AD1143" s="272"/>
      <c r="AE1143" s="273"/>
      <c r="AF1143" s="273"/>
      <c r="AG1143" s="274"/>
      <c r="AH1143" s="275"/>
      <c r="AI1143" s="272"/>
      <c r="AJ1143" s="276"/>
      <c r="AK1143" s="277"/>
      <c r="AL1143" s="278"/>
      <c r="AM1143" s="277"/>
      <c r="AN1143" s="279" t="str">
        <f t="shared" si="88"/>
        <v/>
      </c>
      <c r="AO1143" s="279"/>
      <c r="AP1143" s="279" t="str">
        <f t="shared" si="87"/>
        <v/>
      </c>
      <c r="AQ1143" s="279"/>
      <c r="AR1143" s="305">
        <f>'预算书-初步'!$F$10</f>
        <v>0.09</v>
      </c>
      <c r="AT1143" s="272"/>
      <c r="BC1143" s="272" t="s">
        <v>521</v>
      </c>
      <c r="BD1143" s="346">
        <v>1161</v>
      </c>
      <c r="BE1143" s="347" t="s">
        <v>705</v>
      </c>
    </row>
    <row r="1144" s="52" customFormat="1" ht="15.75" customHeight="1" spans="1:57">
      <c r="A1144" s="227"/>
      <c r="B1144" s="332"/>
      <c r="C1144" s="228"/>
      <c r="D1144" s="333"/>
      <c r="E1144" s="334"/>
      <c r="F1144" s="229"/>
      <c r="G1144" s="333"/>
      <c r="H1144" s="335"/>
      <c r="I1144" s="229"/>
      <c r="J1144" s="229"/>
      <c r="K1144" s="336"/>
      <c r="L1144" s="337"/>
      <c r="M1144" s="337"/>
      <c r="N1144" s="337"/>
      <c r="O1144" s="337"/>
      <c r="P1144" s="337"/>
      <c r="Q1144" s="372">
        <v>3718</v>
      </c>
      <c r="R1144" s="271">
        <f t="shared" si="82"/>
        <v>0</v>
      </c>
      <c r="S1144" s="339">
        <f t="shared" si="85"/>
        <v>0</v>
      </c>
      <c r="T1144" s="373"/>
      <c r="U1144" s="373">
        <f>FA!N$94</f>
        <v>0</v>
      </c>
      <c r="V1144" s="274"/>
      <c r="W1144" s="374"/>
      <c r="X1144" s="375"/>
      <c r="Y1144" s="36" t="s">
        <v>599</v>
      </c>
      <c r="Z1144" s="376"/>
      <c r="AA1144" s="240"/>
      <c r="AB1144" s="345">
        <v>1</v>
      </c>
      <c r="AC1144" s="271"/>
      <c r="AD1144" s="272"/>
      <c r="AE1144" s="273"/>
      <c r="AF1144" s="273"/>
      <c r="AG1144" s="274"/>
      <c r="AH1144" s="275"/>
      <c r="AI1144" s="272"/>
      <c r="AJ1144" s="276"/>
      <c r="AK1144" s="277"/>
      <c r="AL1144" s="278"/>
      <c r="AM1144" s="277"/>
      <c r="AN1144" s="279" t="str">
        <f t="shared" si="88"/>
        <v/>
      </c>
      <c r="AO1144" s="279"/>
      <c r="AP1144" s="279" t="str">
        <f t="shared" si="87"/>
        <v/>
      </c>
      <c r="AQ1144" s="279"/>
      <c r="AR1144" s="305">
        <f>'预算书-初步'!$F$10</f>
        <v>0.09</v>
      </c>
      <c r="AT1144" s="272"/>
      <c r="BC1144" s="272" t="s">
        <v>521</v>
      </c>
      <c r="BD1144" s="346">
        <v>1083</v>
      </c>
      <c r="BE1144" s="347" t="s">
        <v>705</v>
      </c>
    </row>
    <row r="1145" s="52" customFormat="1" ht="15.75" customHeight="1" spans="1:57">
      <c r="A1145" s="227"/>
      <c r="B1145" s="332"/>
      <c r="C1145" s="228"/>
      <c r="D1145" s="333"/>
      <c r="E1145" s="334"/>
      <c r="F1145" s="229"/>
      <c r="G1145" s="333"/>
      <c r="H1145" s="335"/>
      <c r="I1145" s="229"/>
      <c r="J1145" s="229"/>
      <c r="K1145" s="336"/>
      <c r="L1145" s="337"/>
      <c r="M1145" s="337"/>
      <c r="N1145" s="337"/>
      <c r="O1145" s="337"/>
      <c r="P1145" s="337"/>
      <c r="Q1145" s="372">
        <v>4001</v>
      </c>
      <c r="R1145" s="271">
        <f t="shared" si="82"/>
        <v>0</v>
      </c>
      <c r="S1145" s="339">
        <f t="shared" si="85"/>
        <v>0</v>
      </c>
      <c r="T1145" s="373"/>
      <c r="U1145" s="373">
        <f>FA!N$168</f>
        <v>0</v>
      </c>
      <c r="V1145" s="274"/>
      <c r="W1145" s="374"/>
      <c r="X1145" s="375"/>
      <c r="Y1145" s="36" t="s">
        <v>600</v>
      </c>
      <c r="Z1145" s="376"/>
      <c r="AA1145" s="240"/>
      <c r="AB1145" s="345">
        <v>1</v>
      </c>
      <c r="AC1145" s="271"/>
      <c r="AD1145" s="272"/>
      <c r="AE1145" s="273"/>
      <c r="AF1145" s="273"/>
      <c r="AG1145" s="274"/>
      <c r="AH1145" s="275"/>
      <c r="AI1145" s="272"/>
      <c r="AJ1145" s="276"/>
      <c r="AK1145" s="277"/>
      <c r="AL1145" s="278"/>
      <c r="AM1145" s="277"/>
      <c r="AN1145" s="279" t="str">
        <f t="shared" si="88"/>
        <v/>
      </c>
      <c r="AO1145" s="279"/>
      <c r="AP1145" s="279" t="str">
        <f t="shared" si="87"/>
        <v/>
      </c>
      <c r="AQ1145" s="279"/>
      <c r="AR1145" s="305">
        <f>'预算书-初步'!$F$10</f>
        <v>0.09</v>
      </c>
      <c r="AT1145" s="272"/>
      <c r="BC1145" s="272" t="s">
        <v>521</v>
      </c>
      <c r="BD1145" s="346">
        <v>1165</v>
      </c>
      <c r="BE1145" s="347" t="s">
        <v>705</v>
      </c>
    </row>
    <row r="1146" s="52" customFormat="1" ht="15.75" customHeight="1" spans="1:57">
      <c r="A1146" s="227"/>
      <c r="B1146" s="332"/>
      <c r="C1146" s="228"/>
      <c r="D1146" s="333"/>
      <c r="E1146" s="334"/>
      <c r="F1146" s="229"/>
      <c r="G1146" s="333"/>
      <c r="H1146" s="335"/>
      <c r="I1146" s="229"/>
      <c r="J1146" s="229"/>
      <c r="K1146" s="336"/>
      <c r="L1146" s="337"/>
      <c r="M1146" s="337"/>
      <c r="N1146" s="337"/>
      <c r="O1146" s="337"/>
      <c r="P1146" s="337"/>
      <c r="Q1146" s="377">
        <v>4002</v>
      </c>
      <c r="R1146" s="271">
        <f t="shared" si="82"/>
        <v>0</v>
      </c>
      <c r="S1146" s="339">
        <f t="shared" si="85"/>
        <v>0</v>
      </c>
      <c r="T1146" s="373"/>
      <c r="U1146" s="373">
        <f>FA!N$169</f>
        <v>0</v>
      </c>
      <c r="V1146" s="274"/>
      <c r="W1146" s="374"/>
      <c r="X1146" s="375"/>
      <c r="Y1146" s="36" t="s">
        <v>601</v>
      </c>
      <c r="Z1146" s="376"/>
      <c r="AA1146" s="240"/>
      <c r="AB1146" s="345">
        <v>1</v>
      </c>
      <c r="AC1146" s="271"/>
      <c r="AD1146" s="272"/>
      <c r="AE1146" s="273"/>
      <c r="AF1146" s="273"/>
      <c r="AG1146" s="274"/>
      <c r="AH1146" s="275"/>
      <c r="AI1146" s="272"/>
      <c r="AJ1146" s="276"/>
      <c r="AK1146" s="277"/>
      <c r="AL1146" s="278"/>
      <c r="AM1146" s="277"/>
      <c r="AN1146" s="279" t="str">
        <f t="shared" si="88"/>
        <v/>
      </c>
      <c r="AO1146" s="279"/>
      <c r="AP1146" s="279" t="str">
        <f t="shared" si="87"/>
        <v/>
      </c>
      <c r="AQ1146" s="279"/>
      <c r="AR1146" s="305">
        <f>'预算书-初步'!$F$10</f>
        <v>0.09</v>
      </c>
      <c r="AT1146" s="272"/>
      <c r="BC1146" s="272" t="s">
        <v>521</v>
      </c>
      <c r="BD1146" s="346">
        <v>1166</v>
      </c>
      <c r="BE1146" s="347" t="s">
        <v>705</v>
      </c>
    </row>
    <row r="1147" s="52" customFormat="1" ht="15.75" customHeight="1" spans="1:57">
      <c r="A1147" s="227"/>
      <c r="B1147" s="332"/>
      <c r="C1147" s="228"/>
      <c r="D1147" s="333"/>
      <c r="E1147" s="334"/>
      <c r="F1147" s="229"/>
      <c r="G1147" s="333"/>
      <c r="H1147" s="335"/>
      <c r="I1147" s="229"/>
      <c r="J1147" s="229"/>
      <c r="K1147" s="336"/>
      <c r="L1147" s="337"/>
      <c r="M1147" s="337"/>
      <c r="N1147" s="337"/>
      <c r="O1147" s="337"/>
      <c r="P1147" s="337"/>
      <c r="Q1147" s="377">
        <v>4003</v>
      </c>
      <c r="R1147" s="271">
        <f t="shared" si="82"/>
        <v>0</v>
      </c>
      <c r="S1147" s="339">
        <f t="shared" si="85"/>
        <v>0</v>
      </c>
      <c r="T1147" s="373"/>
      <c r="U1147" s="373">
        <f>FA!N$170</f>
        <v>0</v>
      </c>
      <c r="V1147" s="274"/>
      <c r="W1147" s="374"/>
      <c r="X1147" s="375"/>
      <c r="Y1147" s="36" t="s">
        <v>602</v>
      </c>
      <c r="Z1147" s="376"/>
      <c r="AA1147" s="240"/>
      <c r="AB1147" s="345">
        <v>1</v>
      </c>
      <c r="AC1147" s="271"/>
      <c r="AD1147" s="272"/>
      <c r="AE1147" s="273"/>
      <c r="AF1147" s="273"/>
      <c r="AG1147" s="274"/>
      <c r="AH1147" s="275"/>
      <c r="AI1147" s="272"/>
      <c r="AJ1147" s="276"/>
      <c r="AK1147" s="277"/>
      <c r="AL1147" s="278"/>
      <c r="AM1147" s="277"/>
      <c r="AN1147" s="279" t="str">
        <f t="shared" si="88"/>
        <v/>
      </c>
      <c r="AO1147" s="279"/>
      <c r="AP1147" s="279" t="str">
        <f t="shared" si="87"/>
        <v/>
      </c>
      <c r="AQ1147" s="279"/>
      <c r="AR1147" s="305">
        <f>'预算书-初步'!$F$10</f>
        <v>0.09</v>
      </c>
      <c r="AT1147" s="272"/>
      <c r="BC1147" s="272" t="s">
        <v>521</v>
      </c>
      <c r="BD1147" s="346">
        <v>1167</v>
      </c>
      <c r="BE1147" s="347" t="s">
        <v>705</v>
      </c>
    </row>
    <row r="1148" s="52" customFormat="1" ht="15.75" customHeight="1" spans="1:57">
      <c r="A1148" s="227"/>
      <c r="B1148" s="332"/>
      <c r="C1148" s="228"/>
      <c r="D1148" s="333"/>
      <c r="E1148" s="334"/>
      <c r="F1148" s="229"/>
      <c r="G1148" s="333"/>
      <c r="H1148" s="335"/>
      <c r="I1148" s="229"/>
      <c r="J1148" s="229"/>
      <c r="K1148" s="336"/>
      <c r="L1148" s="337"/>
      <c r="M1148" s="337"/>
      <c r="N1148" s="337"/>
      <c r="O1148" s="337"/>
      <c r="P1148" s="337"/>
      <c r="Q1148" s="372">
        <v>4004</v>
      </c>
      <c r="R1148" s="271">
        <f t="shared" si="82"/>
        <v>0</v>
      </c>
      <c r="S1148" s="339">
        <f t="shared" si="85"/>
        <v>0</v>
      </c>
      <c r="T1148" s="373"/>
      <c r="U1148" s="373">
        <f>FA!N$171</f>
        <v>0</v>
      </c>
      <c r="V1148" s="274"/>
      <c r="W1148" s="374"/>
      <c r="X1148" s="375"/>
      <c r="Y1148" s="30" t="s">
        <v>603</v>
      </c>
      <c r="Z1148" s="376"/>
      <c r="AA1148" s="240"/>
      <c r="AB1148" s="345">
        <v>1</v>
      </c>
      <c r="AC1148" s="271"/>
      <c r="AD1148" s="272"/>
      <c r="AE1148" s="273"/>
      <c r="AF1148" s="273"/>
      <c r="AG1148" s="274"/>
      <c r="AH1148" s="275"/>
      <c r="AI1148" s="272"/>
      <c r="AJ1148" s="276"/>
      <c r="AK1148" s="277"/>
      <c r="AL1148" s="278"/>
      <c r="AM1148" s="277"/>
      <c r="AN1148" s="279" t="str">
        <f t="shared" si="88"/>
        <v/>
      </c>
      <c r="AO1148" s="279"/>
      <c r="AP1148" s="279" t="str">
        <f t="shared" si="87"/>
        <v/>
      </c>
      <c r="AQ1148" s="279"/>
      <c r="AR1148" s="305">
        <f>'预算书-初步'!$F$10</f>
        <v>0.09</v>
      </c>
      <c r="AT1148" s="272"/>
      <c r="BC1148" s="272" t="s">
        <v>521</v>
      </c>
      <c r="BD1148" s="346">
        <v>1168</v>
      </c>
      <c r="BE1148" s="347" t="s">
        <v>705</v>
      </c>
    </row>
    <row r="1149" s="52" customFormat="1" ht="15.75" customHeight="1" spans="1:57">
      <c r="A1149" s="227"/>
      <c r="B1149" s="332"/>
      <c r="C1149" s="228"/>
      <c r="D1149" s="333"/>
      <c r="E1149" s="334"/>
      <c r="F1149" s="229"/>
      <c r="G1149" s="333"/>
      <c r="H1149" s="335"/>
      <c r="I1149" s="229"/>
      <c r="J1149" s="229"/>
      <c r="K1149" s="336"/>
      <c r="L1149" s="337"/>
      <c r="M1149" s="337"/>
      <c r="N1149" s="337"/>
      <c r="O1149" s="337"/>
      <c r="P1149" s="337"/>
      <c r="Q1149" s="372">
        <v>4005</v>
      </c>
      <c r="R1149" s="271">
        <f t="shared" si="82"/>
        <v>0</v>
      </c>
      <c r="S1149" s="339">
        <f t="shared" si="85"/>
        <v>0</v>
      </c>
      <c r="T1149" s="373"/>
      <c r="U1149" s="373">
        <f>FA!N$172</f>
        <v>0</v>
      </c>
      <c r="V1149" s="274"/>
      <c r="W1149" s="374"/>
      <c r="X1149" s="375"/>
      <c r="Y1149" s="30" t="s">
        <v>604</v>
      </c>
      <c r="Z1149" s="376"/>
      <c r="AA1149" s="240"/>
      <c r="AB1149" s="345">
        <v>1</v>
      </c>
      <c r="AC1149" s="271"/>
      <c r="AD1149" s="272"/>
      <c r="AE1149" s="273"/>
      <c r="AF1149" s="273"/>
      <c r="AG1149" s="274"/>
      <c r="AH1149" s="275"/>
      <c r="AI1149" s="272"/>
      <c r="AJ1149" s="276"/>
      <c r="AK1149" s="277"/>
      <c r="AL1149" s="278"/>
      <c r="AM1149" s="277"/>
      <c r="AN1149" s="279" t="str">
        <f t="shared" si="88"/>
        <v/>
      </c>
      <c r="AO1149" s="279"/>
      <c r="AP1149" s="279" t="str">
        <f t="shared" si="87"/>
        <v/>
      </c>
      <c r="AQ1149" s="279"/>
      <c r="AR1149" s="305">
        <f>'预算书-初步'!$F$10</f>
        <v>0.09</v>
      </c>
      <c r="AT1149" s="272"/>
      <c r="BC1149" s="272" t="s">
        <v>521</v>
      </c>
      <c r="BD1149" s="346">
        <v>1169</v>
      </c>
      <c r="BE1149" s="347" t="s">
        <v>705</v>
      </c>
    </row>
    <row r="1150" s="52" customFormat="1" spans="1:57">
      <c r="A1150" s="227"/>
      <c r="B1150" s="332"/>
      <c r="C1150" s="228"/>
      <c r="D1150" s="333"/>
      <c r="E1150" s="334"/>
      <c r="F1150" s="229"/>
      <c r="G1150" s="333"/>
      <c r="H1150" s="335"/>
      <c r="I1150" s="229"/>
      <c r="J1150" s="229"/>
      <c r="K1150" s="336"/>
      <c r="L1150" s="337"/>
      <c r="M1150" s="337"/>
      <c r="N1150" s="337"/>
      <c r="O1150" s="337"/>
      <c r="P1150" s="337"/>
      <c r="Q1150" s="372">
        <v>4006</v>
      </c>
      <c r="R1150" s="271">
        <f t="shared" si="82"/>
        <v>0</v>
      </c>
      <c r="S1150" s="339">
        <f t="shared" si="85"/>
        <v>0</v>
      </c>
      <c r="T1150" s="373"/>
      <c r="U1150" s="373">
        <f>FA!N$173</f>
        <v>0</v>
      </c>
      <c r="V1150" s="274"/>
      <c r="W1150" s="374"/>
      <c r="X1150" s="375"/>
      <c r="Y1150" s="36" t="s">
        <v>605</v>
      </c>
      <c r="Z1150" s="376"/>
      <c r="AA1150" s="240"/>
      <c r="AB1150" s="345">
        <v>1</v>
      </c>
      <c r="AC1150" s="271"/>
      <c r="AD1150" s="272"/>
      <c r="AE1150" s="273"/>
      <c r="AF1150" s="273"/>
      <c r="AG1150" s="274"/>
      <c r="AH1150" s="275"/>
      <c r="AI1150" s="272"/>
      <c r="AJ1150" s="276"/>
      <c r="AK1150" s="277"/>
      <c r="AL1150" s="278"/>
      <c r="AM1150" s="277"/>
      <c r="AN1150" s="279" t="str">
        <f t="shared" si="88"/>
        <v/>
      </c>
      <c r="AO1150" s="279"/>
      <c r="AP1150" s="279" t="str">
        <f t="shared" si="87"/>
        <v/>
      </c>
      <c r="AQ1150" s="279"/>
      <c r="AR1150" s="305">
        <f>'预算书-初步'!$F$10</f>
        <v>0.09</v>
      </c>
      <c r="AT1150" s="272"/>
      <c r="BC1150" s="272" t="s">
        <v>521</v>
      </c>
      <c r="BD1150" s="346">
        <v>1170</v>
      </c>
      <c r="BE1150" s="347" t="s">
        <v>705</v>
      </c>
    </row>
    <row r="1151" s="52" customFormat="1" spans="1:57">
      <c r="A1151" s="227"/>
      <c r="B1151" s="332"/>
      <c r="C1151" s="228"/>
      <c r="D1151" s="333"/>
      <c r="E1151" s="334"/>
      <c r="F1151" s="229"/>
      <c r="G1151" s="333"/>
      <c r="H1151" s="335"/>
      <c r="I1151" s="229"/>
      <c r="J1151" s="229"/>
      <c r="K1151" s="336"/>
      <c r="L1151" s="337"/>
      <c r="M1151" s="337"/>
      <c r="N1151" s="337"/>
      <c r="O1151" s="337"/>
      <c r="P1151" s="337"/>
      <c r="Q1151" s="377">
        <v>6003</v>
      </c>
      <c r="R1151" s="271">
        <f t="shared" si="82"/>
        <v>0</v>
      </c>
      <c r="S1151" s="339">
        <f t="shared" si="85"/>
        <v>0</v>
      </c>
      <c r="T1151" s="373"/>
      <c r="U1151" s="373">
        <f>FA!N$19</f>
        <v>0</v>
      </c>
      <c r="V1151" s="274"/>
      <c r="W1151" s="374"/>
      <c r="X1151" s="375"/>
      <c r="Y1151" s="36" t="s">
        <v>606</v>
      </c>
      <c r="Z1151" s="376"/>
      <c r="AA1151" s="240"/>
      <c r="AB1151" s="345">
        <v>1</v>
      </c>
      <c r="AC1151" s="271"/>
      <c r="AD1151" s="272"/>
      <c r="AE1151" s="273"/>
      <c r="AF1151" s="273"/>
      <c r="AG1151" s="274"/>
      <c r="AH1151" s="275"/>
      <c r="AI1151" s="272"/>
      <c r="AJ1151" s="276"/>
      <c r="AK1151" s="277"/>
      <c r="AL1151" s="278"/>
      <c r="AM1151" s="277"/>
      <c r="AN1151" s="279" t="str">
        <f t="shared" si="88"/>
        <v/>
      </c>
      <c r="AO1151" s="279"/>
      <c r="AP1151" s="279" t="str">
        <f t="shared" si="87"/>
        <v/>
      </c>
      <c r="AQ1151" s="279"/>
      <c r="AR1151" s="305">
        <f>'预算书-初步'!$F$10</f>
        <v>0.09</v>
      </c>
      <c r="AT1151" s="272"/>
      <c r="BC1151" s="272" t="s">
        <v>521</v>
      </c>
      <c r="BD1151" s="346">
        <v>1008</v>
      </c>
      <c r="BE1151" s="347" t="s">
        <v>705</v>
      </c>
    </row>
    <row r="1152" s="52" customFormat="1" spans="1:57">
      <c r="A1152" s="227"/>
      <c r="B1152" s="332"/>
      <c r="C1152" s="228"/>
      <c r="D1152" s="333"/>
      <c r="E1152" s="334"/>
      <c r="F1152" s="229"/>
      <c r="G1152" s="333"/>
      <c r="H1152" s="335"/>
      <c r="I1152" s="229"/>
      <c r="J1152" s="229"/>
      <c r="K1152" s="336"/>
      <c r="L1152" s="337"/>
      <c r="M1152" s="337"/>
      <c r="N1152" s="337"/>
      <c r="O1152" s="337"/>
      <c r="P1152" s="337"/>
      <c r="Q1152" s="377">
        <v>6004</v>
      </c>
      <c r="R1152" s="271">
        <f t="shared" si="82"/>
        <v>0</v>
      </c>
      <c r="S1152" s="339">
        <f t="shared" si="85"/>
        <v>0</v>
      </c>
      <c r="T1152" s="373"/>
      <c r="U1152" s="373">
        <f>FA!N$20</f>
        <v>0</v>
      </c>
      <c r="V1152" s="274"/>
      <c r="W1152" s="374"/>
      <c r="X1152" s="375"/>
      <c r="Y1152" s="36" t="s">
        <v>607</v>
      </c>
      <c r="Z1152" s="376"/>
      <c r="AA1152" s="240"/>
      <c r="AB1152" s="345">
        <v>1</v>
      </c>
      <c r="AC1152" s="271"/>
      <c r="AD1152" s="272"/>
      <c r="AE1152" s="273"/>
      <c r="AF1152" s="273"/>
      <c r="AG1152" s="274"/>
      <c r="AH1152" s="275"/>
      <c r="AI1152" s="272"/>
      <c r="AJ1152" s="276"/>
      <c r="AK1152" s="277"/>
      <c r="AL1152" s="278"/>
      <c r="AM1152" s="277"/>
      <c r="AN1152" s="279" t="str">
        <f t="shared" si="88"/>
        <v/>
      </c>
      <c r="AO1152" s="279"/>
      <c r="AP1152" s="279" t="str">
        <f t="shared" si="87"/>
        <v/>
      </c>
      <c r="AQ1152" s="279"/>
      <c r="AR1152" s="305">
        <f>'预算书-初步'!$F$10</f>
        <v>0.09</v>
      </c>
      <c r="AT1152" s="272"/>
      <c r="BC1152" s="272" t="s">
        <v>521</v>
      </c>
      <c r="BD1152" s="346">
        <v>1009</v>
      </c>
      <c r="BE1152" s="347" t="s">
        <v>705</v>
      </c>
    </row>
    <row r="1153" s="52" customFormat="1" spans="1:57">
      <c r="A1153" s="227"/>
      <c r="B1153" s="332"/>
      <c r="C1153" s="228"/>
      <c r="D1153" s="333"/>
      <c r="E1153" s="334"/>
      <c r="F1153" s="229"/>
      <c r="G1153" s="333"/>
      <c r="H1153" s="335"/>
      <c r="I1153" s="229"/>
      <c r="J1153" s="229"/>
      <c r="K1153" s="336"/>
      <c r="L1153" s="337"/>
      <c r="M1153" s="337"/>
      <c r="N1153" s="337"/>
      <c r="O1153" s="337"/>
      <c r="P1153" s="337"/>
      <c r="Q1153" s="377">
        <v>6005</v>
      </c>
      <c r="R1153" s="271">
        <f t="shared" si="82"/>
        <v>0</v>
      </c>
      <c r="S1153" s="339">
        <f t="shared" si="85"/>
        <v>0</v>
      </c>
      <c r="T1153" s="373"/>
      <c r="U1153" s="373">
        <f>FA!N$21</f>
        <v>0</v>
      </c>
      <c r="V1153" s="274"/>
      <c r="W1153" s="374"/>
      <c r="X1153" s="375"/>
      <c r="Y1153" s="36" t="s">
        <v>608</v>
      </c>
      <c r="Z1153" s="376"/>
      <c r="AA1153" s="240"/>
      <c r="AB1153" s="345">
        <v>1</v>
      </c>
      <c r="AC1153" s="271"/>
      <c r="AD1153" s="272"/>
      <c r="AE1153" s="273"/>
      <c r="AF1153" s="273"/>
      <c r="AG1153" s="274"/>
      <c r="AH1153" s="275"/>
      <c r="AI1153" s="272"/>
      <c r="AJ1153" s="276"/>
      <c r="AK1153" s="277"/>
      <c r="AL1153" s="278"/>
      <c r="AM1153" s="277"/>
      <c r="AN1153" s="279" t="str">
        <f t="shared" si="88"/>
        <v/>
      </c>
      <c r="AO1153" s="279"/>
      <c r="AP1153" s="279" t="str">
        <f t="shared" si="87"/>
        <v/>
      </c>
      <c r="AQ1153" s="279"/>
      <c r="AR1153" s="305">
        <f>'预算书-初步'!$F$10</f>
        <v>0.09</v>
      </c>
      <c r="AT1153" s="272"/>
      <c r="BC1153" s="272" t="s">
        <v>521</v>
      </c>
      <c r="BD1153" s="346">
        <v>1010</v>
      </c>
      <c r="BE1153" s="347" t="s">
        <v>705</v>
      </c>
    </row>
    <row r="1154" s="52" customFormat="1" spans="1:57">
      <c r="A1154" s="227"/>
      <c r="B1154" s="332"/>
      <c r="C1154" s="228"/>
      <c r="D1154" s="333"/>
      <c r="E1154" s="334"/>
      <c r="F1154" s="229"/>
      <c r="G1154" s="333"/>
      <c r="H1154" s="335"/>
      <c r="I1154" s="229"/>
      <c r="J1154" s="229"/>
      <c r="K1154" s="336"/>
      <c r="L1154" s="337"/>
      <c r="M1154" s="337"/>
      <c r="N1154" s="337"/>
      <c r="O1154" s="337"/>
      <c r="P1154" s="337"/>
      <c r="Q1154" s="372">
        <v>6006</v>
      </c>
      <c r="R1154" s="271">
        <f t="shared" si="82"/>
        <v>0</v>
      </c>
      <c r="S1154" s="339">
        <f t="shared" si="85"/>
        <v>0</v>
      </c>
      <c r="T1154" s="373"/>
      <c r="U1154" s="373">
        <f>FA!N$22</f>
        <v>0</v>
      </c>
      <c r="V1154" s="274"/>
      <c r="W1154" s="374"/>
      <c r="X1154" s="375"/>
      <c r="Y1154" s="30" t="s">
        <v>609</v>
      </c>
      <c r="Z1154" s="376"/>
      <c r="AA1154" s="240"/>
      <c r="AB1154" s="345">
        <v>1</v>
      </c>
      <c r="AC1154" s="271"/>
      <c r="AD1154" s="272"/>
      <c r="AE1154" s="273"/>
      <c r="AF1154" s="273"/>
      <c r="AG1154" s="274"/>
      <c r="AH1154" s="275"/>
      <c r="AI1154" s="272"/>
      <c r="AJ1154" s="276"/>
      <c r="AK1154" s="277"/>
      <c r="AL1154" s="278"/>
      <c r="AM1154" s="277"/>
      <c r="AN1154" s="279" t="str">
        <f t="shared" si="88"/>
        <v/>
      </c>
      <c r="AO1154" s="279"/>
      <c r="AP1154" s="279" t="str">
        <f t="shared" si="87"/>
        <v/>
      </c>
      <c r="AQ1154" s="279"/>
      <c r="AR1154" s="305">
        <f>'预算书-初步'!$F$10</f>
        <v>0.09</v>
      </c>
      <c r="AT1154" s="272"/>
      <c r="BC1154" s="272" t="s">
        <v>521</v>
      </c>
      <c r="BD1154" s="346">
        <v>1011</v>
      </c>
      <c r="BE1154" s="347" t="s">
        <v>705</v>
      </c>
    </row>
    <row r="1155" s="52" customFormat="1" spans="1:57">
      <c r="A1155" s="227"/>
      <c r="B1155" s="332"/>
      <c r="C1155" s="228"/>
      <c r="D1155" s="333"/>
      <c r="E1155" s="334"/>
      <c r="F1155" s="229"/>
      <c r="G1155" s="333"/>
      <c r="H1155" s="335"/>
      <c r="I1155" s="229"/>
      <c r="J1155" s="229"/>
      <c r="K1155" s="336"/>
      <c r="L1155" s="337"/>
      <c r="M1155" s="337"/>
      <c r="N1155" s="337"/>
      <c r="O1155" s="337"/>
      <c r="P1155" s="337"/>
      <c r="Q1155" s="372">
        <v>6007</v>
      </c>
      <c r="R1155" s="271">
        <f t="shared" si="82"/>
        <v>0</v>
      </c>
      <c r="S1155" s="339">
        <f t="shared" si="85"/>
        <v>0</v>
      </c>
      <c r="T1155" s="373"/>
      <c r="U1155" s="373">
        <f>FA!N$23</f>
        <v>0</v>
      </c>
      <c r="V1155" s="274"/>
      <c r="W1155" s="374"/>
      <c r="X1155" s="375"/>
      <c r="Y1155" s="30" t="s">
        <v>610</v>
      </c>
      <c r="Z1155" s="376"/>
      <c r="AA1155" s="240"/>
      <c r="AB1155" s="345">
        <v>1</v>
      </c>
      <c r="AC1155" s="271"/>
      <c r="AD1155" s="272"/>
      <c r="AE1155" s="273"/>
      <c r="AF1155" s="273"/>
      <c r="AG1155" s="274"/>
      <c r="AH1155" s="275"/>
      <c r="AI1155" s="272"/>
      <c r="AJ1155" s="276"/>
      <c r="AK1155" s="277"/>
      <c r="AL1155" s="278"/>
      <c r="AM1155" s="277"/>
      <c r="AN1155" s="279" t="str">
        <f t="shared" si="88"/>
        <v/>
      </c>
      <c r="AO1155" s="279"/>
      <c r="AP1155" s="279" t="str">
        <f t="shared" si="87"/>
        <v/>
      </c>
      <c r="AQ1155" s="279"/>
      <c r="AR1155" s="305">
        <f>'预算书-初步'!$F$10</f>
        <v>0.09</v>
      </c>
      <c r="AT1155" s="272"/>
      <c r="BC1155" s="272" t="s">
        <v>521</v>
      </c>
      <c r="BD1155" s="346">
        <v>1012</v>
      </c>
      <c r="BE1155" s="347" t="s">
        <v>705</v>
      </c>
    </row>
    <row r="1156" s="52" customFormat="1" spans="1:57">
      <c r="A1156" s="227"/>
      <c r="B1156" s="332"/>
      <c r="C1156" s="228"/>
      <c r="D1156" s="333"/>
      <c r="E1156" s="334"/>
      <c r="F1156" s="229"/>
      <c r="G1156" s="333"/>
      <c r="H1156" s="335"/>
      <c r="I1156" s="229"/>
      <c r="J1156" s="229"/>
      <c r="K1156" s="336"/>
      <c r="L1156" s="337"/>
      <c r="M1156" s="337"/>
      <c r="N1156" s="337"/>
      <c r="O1156" s="337"/>
      <c r="P1156" s="337"/>
      <c r="Q1156" s="372">
        <v>8310</v>
      </c>
      <c r="R1156" s="271">
        <f t="shared" si="82"/>
        <v>0</v>
      </c>
      <c r="S1156" s="339">
        <f t="shared" si="85"/>
        <v>0</v>
      </c>
      <c r="T1156" s="373"/>
      <c r="U1156" s="373">
        <f>FA!N$116</f>
        <v>0</v>
      </c>
      <c r="V1156" s="274"/>
      <c r="W1156" s="374"/>
      <c r="X1156" s="375"/>
      <c r="Y1156" s="30" t="s">
        <v>611</v>
      </c>
      <c r="Z1156" s="376"/>
      <c r="AA1156" s="240"/>
      <c r="AB1156" s="345">
        <v>1</v>
      </c>
      <c r="AC1156" s="271"/>
      <c r="AD1156" s="272"/>
      <c r="AE1156" s="273"/>
      <c r="AF1156" s="273"/>
      <c r="AG1156" s="274"/>
      <c r="AH1156" s="275"/>
      <c r="AI1156" s="272"/>
      <c r="AJ1156" s="276"/>
      <c r="AK1156" s="277"/>
      <c r="AL1156" s="278"/>
      <c r="AM1156" s="277"/>
      <c r="AN1156" s="279" t="str">
        <f t="shared" si="88"/>
        <v/>
      </c>
      <c r="AO1156" s="279"/>
      <c r="AP1156" s="279" t="str">
        <f t="shared" si="87"/>
        <v/>
      </c>
      <c r="AQ1156" s="279"/>
      <c r="AR1156" s="305">
        <f>'预算书-初步'!$F$10</f>
        <v>0.09</v>
      </c>
      <c r="AT1156" s="272"/>
      <c r="BC1156" s="272" t="s">
        <v>521</v>
      </c>
      <c r="BD1156" s="346">
        <v>1105</v>
      </c>
      <c r="BE1156" s="347" t="s">
        <v>705</v>
      </c>
    </row>
    <row r="1157" s="52" customFormat="1" ht="15.75" customHeight="1" spans="1:57">
      <c r="A1157" s="227"/>
      <c r="B1157" s="332"/>
      <c r="C1157" s="228"/>
      <c r="D1157" s="333"/>
      <c r="E1157" s="334"/>
      <c r="F1157" s="229"/>
      <c r="G1157" s="333"/>
      <c r="H1157" s="335"/>
      <c r="I1157" s="229"/>
      <c r="J1157" s="229"/>
      <c r="K1157" s="336"/>
      <c r="L1157" s="337"/>
      <c r="M1157" s="337"/>
      <c r="N1157" s="337"/>
      <c r="O1157" s="337"/>
      <c r="P1157" s="337"/>
      <c r="Q1157" s="372">
        <v>8457</v>
      </c>
      <c r="R1157" s="271">
        <f t="shared" si="82"/>
        <v>0</v>
      </c>
      <c r="S1157" s="339">
        <f t="shared" si="85"/>
        <v>0</v>
      </c>
      <c r="T1157" s="373"/>
      <c r="U1157" s="373">
        <f>FA!N$150</f>
        <v>0</v>
      </c>
      <c r="V1157" s="274"/>
      <c r="W1157" s="374"/>
      <c r="X1157" s="375"/>
      <c r="Y1157" s="30" t="s">
        <v>612</v>
      </c>
      <c r="Z1157" s="376"/>
      <c r="AA1157" s="240"/>
      <c r="AB1157" s="345">
        <v>1</v>
      </c>
      <c r="AC1157" s="271"/>
      <c r="AD1157" s="272"/>
      <c r="AE1157" s="273"/>
      <c r="AF1157" s="273"/>
      <c r="AG1157" s="274"/>
      <c r="AH1157" s="275"/>
      <c r="AI1157" s="272"/>
      <c r="AJ1157" s="276"/>
      <c r="AK1157" s="277"/>
      <c r="AL1157" s="278"/>
      <c r="AM1157" s="277"/>
      <c r="AN1157" s="279" t="str">
        <f t="shared" si="88"/>
        <v/>
      </c>
      <c r="AO1157" s="279"/>
      <c r="AP1157" s="279" t="str">
        <f t="shared" si="87"/>
        <v/>
      </c>
      <c r="AQ1157" s="279"/>
      <c r="AR1157" s="305">
        <f>'预算书-初步'!$F$10</f>
        <v>0.09</v>
      </c>
      <c r="AT1157" s="272"/>
      <c r="BC1157" s="272" t="s">
        <v>521</v>
      </c>
      <c r="BD1157" s="346">
        <v>1139</v>
      </c>
      <c r="BE1157" s="347" t="s">
        <v>705</v>
      </c>
    </row>
    <row r="1158" s="52" customFormat="1" spans="1:57">
      <c r="A1158" s="227"/>
      <c r="B1158" s="332"/>
      <c r="C1158" s="228"/>
      <c r="D1158" s="333"/>
      <c r="E1158" s="334"/>
      <c r="Q1158" s="372">
        <v>8500</v>
      </c>
      <c r="R1158" s="271">
        <f t="shared" ref="R1158:R1221" si="89">ROUND(U1158*(1+AR1158),0)</f>
        <v>0</v>
      </c>
      <c r="S1158" s="339">
        <f t="shared" si="85"/>
        <v>0</v>
      </c>
      <c r="T1158" s="373"/>
      <c r="U1158" s="373">
        <f>FA!N$160</f>
        <v>0</v>
      </c>
      <c r="V1158" s="274"/>
      <c r="W1158" s="374"/>
      <c r="X1158" s="375"/>
      <c r="Y1158" s="30" t="s">
        <v>613</v>
      </c>
      <c r="Z1158" s="376"/>
      <c r="AA1158" s="240"/>
      <c r="AB1158" s="345">
        <v>1</v>
      </c>
      <c r="AC1158" s="271"/>
      <c r="AD1158" s="272"/>
      <c r="AE1158" s="273"/>
      <c r="AF1158" s="273"/>
      <c r="AG1158" s="274"/>
      <c r="AH1158" s="275"/>
      <c r="AI1158" s="272"/>
      <c r="AJ1158" s="276"/>
      <c r="AK1158" s="277"/>
      <c r="AL1158" s="278"/>
      <c r="AM1158" s="277"/>
      <c r="AN1158" s="279" t="str">
        <f t="shared" si="88"/>
        <v/>
      </c>
      <c r="AO1158" s="279"/>
      <c r="AP1158" s="279" t="str">
        <f t="shared" si="87"/>
        <v/>
      </c>
      <c r="AQ1158" s="378"/>
      <c r="AR1158" s="305">
        <f>'预算书-初步'!$F$10</f>
        <v>0.09</v>
      </c>
      <c r="AT1158" s="272"/>
      <c r="BC1158" s="272" t="s">
        <v>521</v>
      </c>
      <c r="BD1158" s="346">
        <v>1157</v>
      </c>
      <c r="BE1158" s="347" t="s">
        <v>705</v>
      </c>
    </row>
    <row r="1159" s="52" customFormat="1" spans="1:57">
      <c r="A1159" s="227"/>
      <c r="B1159" s="332"/>
      <c r="C1159" s="228"/>
      <c r="D1159" s="333"/>
      <c r="E1159" s="334"/>
      <c r="F1159" s="229"/>
      <c r="G1159" s="333"/>
      <c r="H1159" s="335"/>
      <c r="I1159" s="229"/>
      <c r="J1159" s="229"/>
      <c r="K1159" s="336"/>
      <c r="L1159" s="337"/>
      <c r="M1159" s="337"/>
      <c r="N1159" s="337"/>
      <c r="O1159" s="337"/>
      <c r="P1159" s="337"/>
      <c r="Q1159" s="379">
        <v>9999</v>
      </c>
      <c r="R1159" s="271">
        <f t="shared" si="89"/>
        <v>0</v>
      </c>
      <c r="S1159" s="339">
        <f t="shared" si="85"/>
        <v>0</v>
      </c>
      <c r="T1159" s="373"/>
      <c r="U1159" s="373">
        <f>FA!N$24</f>
        <v>0</v>
      </c>
      <c r="V1159" s="274"/>
      <c r="W1159" s="374"/>
      <c r="X1159" s="375"/>
      <c r="Y1159" s="44" t="s">
        <v>40</v>
      </c>
      <c r="Z1159" s="376"/>
      <c r="AA1159" s="240"/>
      <c r="AB1159" s="345">
        <v>1</v>
      </c>
      <c r="AC1159" s="271"/>
      <c r="AD1159" s="272"/>
      <c r="AE1159" s="273"/>
      <c r="AF1159" s="273"/>
      <c r="AG1159" s="274"/>
      <c r="AH1159" s="275"/>
      <c r="AI1159" s="272"/>
      <c r="AJ1159" s="276"/>
      <c r="AK1159" s="277"/>
      <c r="AL1159" s="278"/>
      <c r="AM1159" s="277"/>
      <c r="AN1159" s="279"/>
      <c r="AO1159" s="279"/>
      <c r="AP1159" s="279"/>
      <c r="AQ1159" s="378"/>
      <c r="AR1159" s="305">
        <f>'预算书-初步'!$F$10</f>
        <v>0.09</v>
      </c>
      <c r="AT1159" s="272"/>
      <c r="BC1159" s="272" t="s">
        <v>521</v>
      </c>
      <c r="BD1159" s="380">
        <v>1013</v>
      </c>
      <c r="BE1159" s="347" t="s">
        <v>705</v>
      </c>
    </row>
    <row r="1160" s="52" customFormat="1" spans="1:57">
      <c r="A1160" s="227"/>
      <c r="B1160" s="332"/>
      <c r="C1160" s="228"/>
      <c r="D1160" s="333"/>
      <c r="E1160" s="334"/>
      <c r="F1160" s="229"/>
      <c r="G1160" s="333"/>
      <c r="H1160" s="335"/>
      <c r="I1160" s="229"/>
      <c r="J1160" s="229"/>
      <c r="K1160" s="336"/>
      <c r="L1160" s="337"/>
      <c r="M1160" s="337"/>
      <c r="N1160" s="337"/>
      <c r="O1160" s="337"/>
      <c r="P1160" s="337"/>
      <c r="Q1160" s="379">
        <v>7001</v>
      </c>
      <c r="R1160" s="271">
        <f t="shared" si="89"/>
        <v>0</v>
      </c>
      <c r="S1160" s="339">
        <f t="shared" si="85"/>
        <v>0</v>
      </c>
      <c r="T1160" s="373"/>
      <c r="U1160" s="373">
        <f>FA!N$25</f>
        <v>0</v>
      </c>
      <c r="V1160" s="274"/>
      <c r="W1160" s="374"/>
      <c r="X1160" s="375"/>
      <c r="Y1160" s="44" t="s">
        <v>614</v>
      </c>
      <c r="Z1160" s="376"/>
      <c r="AA1160" s="240"/>
      <c r="AB1160" s="345">
        <v>1</v>
      </c>
      <c r="AC1160" s="271"/>
      <c r="AD1160" s="272"/>
      <c r="AE1160" s="273"/>
      <c r="AF1160" s="273"/>
      <c r="AG1160" s="274"/>
      <c r="AH1160" s="275"/>
      <c r="AI1160" s="272"/>
      <c r="AJ1160" s="276"/>
      <c r="AK1160" s="277"/>
      <c r="AL1160" s="278"/>
      <c r="AM1160" s="277"/>
      <c r="AN1160" s="279"/>
      <c r="AO1160" s="279"/>
      <c r="AP1160" s="279"/>
      <c r="AQ1160" s="378"/>
      <c r="AR1160" s="305">
        <f>'预算书-初步'!$F$10</f>
        <v>0.09</v>
      </c>
      <c r="AT1160" s="272"/>
      <c r="BC1160" s="272" t="s">
        <v>521</v>
      </c>
      <c r="BD1160" s="380">
        <v>1014</v>
      </c>
      <c r="BE1160" s="347" t="s">
        <v>705</v>
      </c>
    </row>
    <row r="1161" s="52" customFormat="1" spans="1:57">
      <c r="A1161" s="227"/>
      <c r="B1161" s="332"/>
      <c r="C1161" s="228"/>
      <c r="D1161" s="333"/>
      <c r="E1161" s="334"/>
      <c r="F1161" s="229"/>
      <c r="G1161" s="333"/>
      <c r="H1161" s="335"/>
      <c r="I1161" s="229"/>
      <c r="J1161" s="229"/>
      <c r="K1161" s="336"/>
      <c r="L1161" s="337"/>
      <c r="M1161" s="337"/>
      <c r="N1161" s="337"/>
      <c r="O1161" s="337"/>
      <c r="P1161" s="337"/>
      <c r="Q1161" s="379">
        <v>7012</v>
      </c>
      <c r="R1161" s="271">
        <f t="shared" si="89"/>
        <v>0</v>
      </c>
      <c r="S1161" s="339">
        <f t="shared" si="85"/>
        <v>0</v>
      </c>
      <c r="T1161" s="373"/>
      <c r="U1161" s="373">
        <f>FA!N$26</f>
        <v>0</v>
      </c>
      <c r="V1161" s="274"/>
      <c r="W1161" s="374"/>
      <c r="X1161" s="375"/>
      <c r="Y1161" s="45" t="s">
        <v>615</v>
      </c>
      <c r="Z1161" s="376"/>
      <c r="AA1161" s="240"/>
      <c r="AB1161" s="345">
        <v>1</v>
      </c>
      <c r="AC1161" s="271"/>
      <c r="AD1161" s="272"/>
      <c r="AE1161" s="273"/>
      <c r="AF1161" s="273"/>
      <c r="AG1161" s="274"/>
      <c r="AH1161" s="275"/>
      <c r="AI1161" s="272"/>
      <c r="AJ1161" s="276"/>
      <c r="AK1161" s="277"/>
      <c r="AL1161" s="278"/>
      <c r="AM1161" s="277"/>
      <c r="AN1161" s="279"/>
      <c r="AO1161" s="279"/>
      <c r="AP1161" s="279"/>
      <c r="AQ1161" s="378"/>
      <c r="AR1161" s="305">
        <f>'预算书-初步'!$F$10</f>
        <v>0.09</v>
      </c>
      <c r="AT1161" s="272"/>
      <c r="BC1161" s="272" t="s">
        <v>521</v>
      </c>
      <c r="BD1161" s="380">
        <v>1015</v>
      </c>
      <c r="BE1161" s="347" t="s">
        <v>705</v>
      </c>
    </row>
    <row r="1162" s="52" customFormat="1" ht="15.75" customHeight="1" spans="1:57">
      <c r="A1162" s="227"/>
      <c r="B1162" s="332"/>
      <c r="C1162" s="228"/>
      <c r="D1162" s="333"/>
      <c r="E1162" s="334"/>
      <c r="F1162" s="229"/>
      <c r="G1162" s="333"/>
      <c r="H1162" s="335"/>
      <c r="I1162" s="229"/>
      <c r="J1162" s="229"/>
      <c r="K1162" s="336"/>
      <c r="L1162" s="337"/>
      <c r="M1162" s="337"/>
      <c r="N1162" s="337"/>
      <c r="O1162" s="337"/>
      <c r="P1162" s="337"/>
      <c r="Q1162" s="381">
        <v>1650</v>
      </c>
      <c r="R1162" s="271">
        <f t="shared" si="89"/>
        <v>0</v>
      </c>
      <c r="S1162" s="339">
        <f t="shared" si="85"/>
        <v>0</v>
      </c>
      <c r="T1162" s="373"/>
      <c r="U1162" s="373">
        <f>FA!N$89</f>
        <v>0</v>
      </c>
      <c r="V1162" s="274"/>
      <c r="W1162" s="374"/>
      <c r="X1162" s="375"/>
      <c r="Y1162" s="45" t="s">
        <v>616</v>
      </c>
      <c r="Z1162" s="376"/>
      <c r="AA1162" s="240"/>
      <c r="AB1162" s="345">
        <v>1</v>
      </c>
      <c r="AC1162" s="271"/>
      <c r="AD1162" s="272"/>
      <c r="AE1162" s="273"/>
      <c r="AF1162" s="273"/>
      <c r="AG1162" s="274"/>
      <c r="AH1162" s="275"/>
      <c r="AI1162" s="272"/>
      <c r="AJ1162" s="276"/>
      <c r="AK1162" s="277"/>
      <c r="AL1162" s="278"/>
      <c r="AM1162" s="277"/>
      <c r="AN1162" s="279"/>
      <c r="AO1162" s="279"/>
      <c r="AP1162" s="279"/>
      <c r="AQ1162" s="378"/>
      <c r="AR1162" s="305">
        <f>'预算书-初步'!$F$10</f>
        <v>0.09</v>
      </c>
      <c r="AT1162" s="272"/>
      <c r="BC1162" s="272" t="s">
        <v>521</v>
      </c>
      <c r="BD1162" s="380">
        <v>1078</v>
      </c>
      <c r="BE1162" s="347" t="s">
        <v>705</v>
      </c>
    </row>
    <row r="1163" s="52" customFormat="1" ht="15.75" customHeight="1" spans="1:57">
      <c r="A1163" s="227"/>
      <c r="B1163" s="332"/>
      <c r="C1163" s="228"/>
      <c r="D1163" s="333"/>
      <c r="E1163" s="334"/>
      <c r="F1163" s="229"/>
      <c r="G1163" s="333"/>
      <c r="H1163" s="335"/>
      <c r="I1163" s="229"/>
      <c r="J1163" s="229"/>
      <c r="K1163" s="336"/>
      <c r="L1163" s="337"/>
      <c r="M1163" s="337"/>
      <c r="N1163" s="337"/>
      <c r="O1163" s="337"/>
      <c r="P1163" s="337"/>
      <c r="Q1163" s="384">
        <v>3711</v>
      </c>
      <c r="R1163" s="271">
        <f t="shared" si="89"/>
        <v>0</v>
      </c>
      <c r="S1163" s="339">
        <f t="shared" si="85"/>
        <v>0</v>
      </c>
      <c r="T1163" s="373"/>
      <c r="U1163" s="373">
        <f>SUMIF(其他!$A$9:$A$65,"3711",其他!$Q$9:Q$65)</f>
        <v>0</v>
      </c>
      <c r="V1163" s="274"/>
      <c r="W1163" s="374"/>
      <c r="X1163" s="375"/>
      <c r="Y1163" s="45" t="s">
        <v>617</v>
      </c>
      <c r="Z1163" s="376"/>
      <c r="AA1163" s="240"/>
      <c r="AB1163" s="345">
        <v>1</v>
      </c>
      <c r="AC1163" s="271"/>
      <c r="AD1163" s="272"/>
      <c r="AE1163" s="273"/>
      <c r="AF1163" s="273"/>
      <c r="AG1163" s="274"/>
      <c r="AH1163" s="275"/>
      <c r="AI1163" s="272"/>
      <c r="AJ1163" s="276"/>
      <c r="AK1163" s="277"/>
      <c r="AL1163" s="278"/>
      <c r="AM1163" s="277"/>
      <c r="AN1163" s="279"/>
      <c r="AO1163" s="279"/>
      <c r="AP1163" s="279"/>
      <c r="AQ1163" s="378"/>
      <c r="AR1163" s="305">
        <f>'预算书-初步'!$F$10</f>
        <v>0.09</v>
      </c>
      <c r="AT1163" s="272"/>
      <c r="BC1163" s="272" t="s">
        <v>521</v>
      </c>
      <c r="BD1163" s="380">
        <v>1082</v>
      </c>
      <c r="BE1163" s="347" t="s">
        <v>705</v>
      </c>
    </row>
    <row r="1164" s="52" customFormat="1" ht="15.75" customHeight="1" spans="1:57">
      <c r="A1164" s="227"/>
      <c r="B1164" s="332"/>
      <c r="C1164" s="228"/>
      <c r="D1164" s="333"/>
      <c r="E1164" s="334"/>
      <c r="F1164" s="229"/>
      <c r="G1164" s="333"/>
      <c r="H1164" s="335"/>
      <c r="I1164" s="229"/>
      <c r="J1164" s="229"/>
      <c r="K1164" s="336"/>
      <c r="L1164" s="337"/>
      <c r="M1164" s="337"/>
      <c r="N1164" s="337"/>
      <c r="O1164" s="337"/>
      <c r="P1164" s="337"/>
      <c r="Q1164" s="384">
        <v>3712</v>
      </c>
      <c r="R1164" s="271">
        <f t="shared" si="89"/>
        <v>0</v>
      </c>
      <c r="S1164" s="339">
        <f t="shared" si="85"/>
        <v>0</v>
      </c>
      <c r="T1164" s="373"/>
      <c r="U1164" s="373">
        <f>SUMIF(其他!$A$9:$A$65,"3712",其他!$Q$9:Q$65)</f>
        <v>0</v>
      </c>
      <c r="V1164" s="274"/>
      <c r="W1164" s="374"/>
      <c r="X1164" s="375"/>
      <c r="Y1164" s="45" t="s">
        <v>618</v>
      </c>
      <c r="Z1164" s="376"/>
      <c r="AA1164" s="240"/>
      <c r="AB1164" s="345">
        <v>1</v>
      </c>
      <c r="AC1164" s="271"/>
      <c r="AD1164" s="272"/>
      <c r="AE1164" s="273"/>
      <c r="AF1164" s="273"/>
      <c r="AG1164" s="274"/>
      <c r="AH1164" s="275"/>
      <c r="AI1164" s="272"/>
      <c r="AJ1164" s="276"/>
      <c r="AK1164" s="277"/>
      <c r="AL1164" s="278"/>
      <c r="AM1164" s="277"/>
      <c r="AN1164" s="279"/>
      <c r="AO1164" s="279"/>
      <c r="AP1164" s="279"/>
      <c r="AQ1164" s="378"/>
      <c r="AR1164" s="305">
        <f>'预算书-初步'!$F$10</f>
        <v>0.09</v>
      </c>
      <c r="AT1164" s="272"/>
      <c r="BC1164" s="272" t="s">
        <v>521</v>
      </c>
      <c r="BD1164" s="380">
        <v>1082</v>
      </c>
      <c r="BE1164" s="347" t="s">
        <v>705</v>
      </c>
    </row>
    <row r="1165" s="52" customFormat="1" ht="15.75" customHeight="1" spans="1:57">
      <c r="A1165" s="227"/>
      <c r="B1165" s="332"/>
      <c r="C1165" s="228"/>
      <c r="D1165" s="333"/>
      <c r="E1165" s="334"/>
      <c r="F1165" s="229"/>
      <c r="G1165" s="333"/>
      <c r="H1165" s="335"/>
      <c r="I1165" s="229"/>
      <c r="J1165" s="229"/>
      <c r="K1165" s="336"/>
      <c r="L1165" s="337"/>
      <c r="M1165" s="337"/>
      <c r="N1165" s="337"/>
      <c r="O1165" s="337"/>
      <c r="P1165" s="337"/>
      <c r="Q1165" s="384">
        <v>3713</v>
      </c>
      <c r="R1165" s="271">
        <f t="shared" si="89"/>
        <v>0</v>
      </c>
      <c r="S1165" s="339">
        <f t="shared" si="85"/>
        <v>0</v>
      </c>
      <c r="T1165" s="373"/>
      <c r="U1165" s="373">
        <f>SUMIF(其他!$A$9:$A$65,"3713",其他!$Q$9:Q$65)</f>
        <v>0</v>
      </c>
      <c r="V1165" s="274"/>
      <c r="W1165" s="374"/>
      <c r="X1165" s="375"/>
      <c r="Y1165" s="45" t="s">
        <v>619</v>
      </c>
      <c r="Z1165" s="376"/>
      <c r="AA1165" s="240"/>
      <c r="AB1165" s="345">
        <v>1</v>
      </c>
      <c r="AC1165" s="271"/>
      <c r="AD1165" s="272"/>
      <c r="AE1165" s="273"/>
      <c r="AF1165" s="273"/>
      <c r="AG1165" s="274"/>
      <c r="AH1165" s="275"/>
      <c r="AI1165" s="272"/>
      <c r="AJ1165" s="276"/>
      <c r="AK1165" s="277"/>
      <c r="AL1165" s="278"/>
      <c r="AM1165" s="277"/>
      <c r="AN1165" s="279"/>
      <c r="AO1165" s="279"/>
      <c r="AP1165" s="279"/>
      <c r="AQ1165" s="378"/>
      <c r="AR1165" s="305">
        <f>'预算书-初步'!$F$10</f>
        <v>0.09</v>
      </c>
      <c r="AT1165" s="272"/>
      <c r="BC1165" s="272" t="s">
        <v>521</v>
      </c>
      <c r="BD1165" s="380">
        <v>1082</v>
      </c>
      <c r="BE1165" s="347" t="s">
        <v>705</v>
      </c>
    </row>
    <row r="1166" s="52" customFormat="1" ht="15.75" customHeight="1" spans="1:57">
      <c r="A1166" s="227"/>
      <c r="B1166" s="332"/>
      <c r="C1166" s="228"/>
      <c r="D1166" s="333"/>
      <c r="E1166" s="334"/>
      <c r="F1166" s="229"/>
      <c r="G1166" s="333"/>
      <c r="H1166" s="335"/>
      <c r="I1166" s="229"/>
      <c r="J1166" s="229"/>
      <c r="K1166" s="336"/>
      <c r="L1166" s="337"/>
      <c r="M1166" s="337"/>
      <c r="N1166" s="337"/>
      <c r="O1166" s="337"/>
      <c r="P1166" s="337"/>
      <c r="Q1166" s="384">
        <v>3714</v>
      </c>
      <c r="R1166" s="271">
        <f t="shared" si="89"/>
        <v>0</v>
      </c>
      <c r="S1166" s="339">
        <f t="shared" si="85"/>
        <v>0</v>
      </c>
      <c r="T1166" s="373"/>
      <c r="U1166" s="373">
        <f>SUMIF(其他!$A$9:$A$65,"3714",其他!$Q$9:Q$65)</f>
        <v>0</v>
      </c>
      <c r="V1166" s="274"/>
      <c r="W1166" s="374"/>
      <c r="X1166" s="375"/>
      <c r="Y1166" s="45" t="s">
        <v>620</v>
      </c>
      <c r="Z1166" s="376"/>
      <c r="AA1166" s="240"/>
      <c r="AB1166" s="345">
        <v>1</v>
      </c>
      <c r="AC1166" s="271"/>
      <c r="AD1166" s="272"/>
      <c r="AE1166" s="273"/>
      <c r="AF1166" s="273"/>
      <c r="AG1166" s="274"/>
      <c r="AH1166" s="275"/>
      <c r="AI1166" s="272"/>
      <c r="AJ1166" s="276"/>
      <c r="AK1166" s="277"/>
      <c r="AL1166" s="278"/>
      <c r="AM1166" s="277"/>
      <c r="AN1166" s="279"/>
      <c r="AO1166" s="279"/>
      <c r="AP1166" s="279"/>
      <c r="AQ1166" s="378"/>
      <c r="AR1166" s="305">
        <f>'预算书-初步'!$F$10</f>
        <v>0.09</v>
      </c>
      <c r="AT1166" s="272"/>
      <c r="BC1166" s="272" t="s">
        <v>521</v>
      </c>
      <c r="BD1166" s="380">
        <v>1082</v>
      </c>
      <c r="BE1166" s="347" t="s">
        <v>705</v>
      </c>
    </row>
    <row r="1167" s="52" customFormat="1" ht="15.75" customHeight="1" spans="1:57">
      <c r="A1167" s="227"/>
      <c r="B1167" s="332"/>
      <c r="C1167" s="228"/>
      <c r="D1167" s="333"/>
      <c r="E1167" s="334"/>
      <c r="F1167" s="229"/>
      <c r="G1167" s="333"/>
      <c r="H1167" s="335"/>
      <c r="I1167" s="229"/>
      <c r="J1167" s="229"/>
      <c r="K1167" s="336"/>
      <c r="L1167" s="337"/>
      <c r="M1167" s="337"/>
      <c r="N1167" s="337"/>
      <c r="O1167" s="337"/>
      <c r="P1167" s="337"/>
      <c r="Q1167" s="384">
        <v>3792</v>
      </c>
      <c r="R1167" s="271">
        <f t="shared" si="89"/>
        <v>0</v>
      </c>
      <c r="S1167" s="339">
        <f t="shared" si="85"/>
        <v>0</v>
      </c>
      <c r="T1167" s="373"/>
      <c r="U1167" s="373">
        <f>SUMIF(其他!$A$9:$A$65,"3792",其他!$Q$9:Q$65)</f>
        <v>0</v>
      </c>
      <c r="V1167" s="274"/>
      <c r="W1167" s="374"/>
      <c r="X1167" s="375"/>
      <c r="Y1167" s="45" t="s">
        <v>621</v>
      </c>
      <c r="Z1167" s="376"/>
      <c r="AA1167" s="240"/>
      <c r="AB1167" s="345">
        <v>1</v>
      </c>
      <c r="AC1167" s="271"/>
      <c r="AD1167" s="272"/>
      <c r="AE1167" s="273"/>
      <c r="AF1167" s="273"/>
      <c r="AG1167" s="274"/>
      <c r="AH1167" s="275"/>
      <c r="AI1167" s="272"/>
      <c r="AJ1167" s="276"/>
      <c r="AK1167" s="277"/>
      <c r="AL1167" s="278"/>
      <c r="AM1167" s="277"/>
      <c r="AN1167" s="279"/>
      <c r="AO1167" s="279"/>
      <c r="AP1167" s="279"/>
      <c r="AQ1167" s="378"/>
      <c r="AR1167" s="305">
        <f>'预算书-初步'!$F$10</f>
        <v>0.09</v>
      </c>
      <c r="AT1167" s="272"/>
      <c r="BC1167" s="272" t="s">
        <v>521</v>
      </c>
      <c r="BD1167" s="380">
        <v>1085</v>
      </c>
      <c r="BE1167" s="347" t="s">
        <v>705</v>
      </c>
    </row>
    <row r="1168" s="52" customFormat="1" ht="15.75" customHeight="1" spans="1:57">
      <c r="A1168" s="227"/>
      <c r="B1168" s="332"/>
      <c r="C1168" s="228"/>
      <c r="D1168" s="333"/>
      <c r="E1168" s="334"/>
      <c r="F1168" s="229"/>
      <c r="G1168" s="333"/>
      <c r="H1168" s="335"/>
      <c r="I1168" s="229"/>
      <c r="J1168" s="229"/>
      <c r="K1168" s="336"/>
      <c r="L1168" s="337"/>
      <c r="M1168" s="337"/>
      <c r="N1168" s="337"/>
      <c r="O1168" s="337"/>
      <c r="P1168" s="337"/>
      <c r="Q1168" s="384">
        <v>3793</v>
      </c>
      <c r="R1168" s="271">
        <f t="shared" si="89"/>
        <v>0</v>
      </c>
      <c r="S1168" s="339">
        <f t="shared" si="85"/>
        <v>0</v>
      </c>
      <c r="T1168" s="373"/>
      <c r="U1168" s="373">
        <f>SUMIF(其他!$A$9:$A$65,"3793",其他!$Q$9:Q$65)</f>
        <v>0</v>
      </c>
      <c r="V1168" s="274"/>
      <c r="W1168" s="374"/>
      <c r="X1168" s="375"/>
      <c r="Y1168" s="45" t="s">
        <v>622</v>
      </c>
      <c r="Z1168" s="376"/>
      <c r="AA1168" s="240"/>
      <c r="AB1168" s="345">
        <v>1</v>
      </c>
      <c r="AC1168" s="271"/>
      <c r="AD1168" s="272"/>
      <c r="AE1168" s="273"/>
      <c r="AF1168" s="273"/>
      <c r="AG1168" s="274"/>
      <c r="AH1168" s="275"/>
      <c r="AI1168" s="272"/>
      <c r="AJ1168" s="276"/>
      <c r="AK1168" s="277"/>
      <c r="AL1168" s="278"/>
      <c r="AM1168" s="277"/>
      <c r="AN1168" s="279"/>
      <c r="AO1168" s="279"/>
      <c r="AP1168" s="279"/>
      <c r="AQ1168" s="378"/>
      <c r="AR1168" s="305">
        <f>'预算书-初步'!$F$10</f>
        <v>0.09</v>
      </c>
      <c r="AT1168" s="272"/>
      <c r="BC1168" s="272" t="s">
        <v>521</v>
      </c>
      <c r="BD1168" s="380">
        <v>1085</v>
      </c>
      <c r="BE1168" s="347" t="s">
        <v>705</v>
      </c>
    </row>
    <row r="1169" s="52" customFormat="1" ht="15.75" customHeight="1" spans="1:57">
      <c r="A1169" s="227"/>
      <c r="B1169" s="332"/>
      <c r="C1169" s="228"/>
      <c r="D1169" s="333"/>
      <c r="E1169" s="334"/>
      <c r="F1169" s="229"/>
      <c r="G1169" s="333"/>
      <c r="H1169" s="335"/>
      <c r="I1169" s="229"/>
      <c r="J1169" s="229"/>
      <c r="K1169" s="336"/>
      <c r="L1169" s="337"/>
      <c r="M1169" s="337"/>
      <c r="N1169" s="337"/>
      <c r="O1169" s="337"/>
      <c r="P1169" s="337"/>
      <c r="Q1169" s="384">
        <v>3794</v>
      </c>
      <c r="R1169" s="271">
        <f t="shared" si="89"/>
        <v>0</v>
      </c>
      <c r="S1169" s="339">
        <f t="shared" si="85"/>
        <v>0</v>
      </c>
      <c r="T1169" s="373"/>
      <c r="U1169" s="373">
        <f>SUMIF(其他!$A$9:$A$65,"3794",其他!$Q$9:Q$65)</f>
        <v>0</v>
      </c>
      <c r="V1169" s="274"/>
      <c r="W1169" s="374"/>
      <c r="X1169" s="375"/>
      <c r="Y1169" s="45" t="s">
        <v>623</v>
      </c>
      <c r="Z1169" s="376"/>
      <c r="AA1169" s="240"/>
      <c r="AB1169" s="345">
        <v>1</v>
      </c>
      <c r="AC1169" s="271"/>
      <c r="AD1169" s="272"/>
      <c r="AE1169" s="273"/>
      <c r="AF1169" s="273"/>
      <c r="AG1169" s="274"/>
      <c r="AH1169" s="275"/>
      <c r="AI1169" s="272"/>
      <c r="AJ1169" s="276"/>
      <c r="AK1169" s="277"/>
      <c r="AL1169" s="278"/>
      <c r="AM1169" s="277"/>
      <c r="AN1169" s="279"/>
      <c r="AO1169" s="279"/>
      <c r="AP1169" s="279"/>
      <c r="AQ1169" s="378"/>
      <c r="AR1169" s="305">
        <f>'预算书-初步'!$F$10</f>
        <v>0.09</v>
      </c>
      <c r="AT1169" s="272"/>
      <c r="BC1169" s="272" t="s">
        <v>521</v>
      </c>
      <c r="BD1169" s="380">
        <v>1085</v>
      </c>
      <c r="BE1169" s="347" t="s">
        <v>705</v>
      </c>
    </row>
    <row r="1170" s="52" customFormat="1" ht="15.75" customHeight="1" spans="1:57">
      <c r="A1170" s="227"/>
      <c r="B1170" s="332"/>
      <c r="C1170" s="228"/>
      <c r="D1170" s="333"/>
      <c r="E1170" s="334"/>
      <c r="F1170" s="229"/>
      <c r="G1170" s="333"/>
      <c r="H1170" s="335"/>
      <c r="I1170" s="229"/>
      <c r="J1170" s="229"/>
      <c r="K1170" s="336"/>
      <c r="L1170" s="337"/>
      <c r="M1170" s="337"/>
      <c r="N1170" s="337"/>
      <c r="O1170" s="337"/>
      <c r="P1170" s="337"/>
      <c r="Q1170" s="384">
        <v>8110</v>
      </c>
      <c r="R1170" s="271">
        <f t="shared" si="89"/>
        <v>0</v>
      </c>
      <c r="S1170" s="339">
        <f t="shared" si="85"/>
        <v>0</v>
      </c>
      <c r="T1170" s="373"/>
      <c r="U1170" s="373">
        <f>FA!N$99</f>
        <v>0</v>
      </c>
      <c r="V1170" s="274"/>
      <c r="W1170" s="374"/>
      <c r="X1170" s="375"/>
      <c r="Y1170" s="45" t="s">
        <v>624</v>
      </c>
      <c r="Z1170" s="376"/>
      <c r="AA1170" s="240"/>
      <c r="AB1170" s="345">
        <v>1</v>
      </c>
      <c r="AC1170" s="271"/>
      <c r="AD1170" s="272"/>
      <c r="AE1170" s="273"/>
      <c r="AF1170" s="273"/>
      <c r="AG1170" s="274"/>
      <c r="AH1170" s="275"/>
      <c r="AI1170" s="272"/>
      <c r="AJ1170" s="276"/>
      <c r="AK1170" s="277"/>
      <c r="AL1170" s="278"/>
      <c r="AM1170" s="277"/>
      <c r="AN1170" s="279"/>
      <c r="AO1170" s="279"/>
      <c r="AP1170" s="279"/>
      <c r="AQ1170" s="378"/>
      <c r="AR1170" s="305">
        <f>'预算书-初步'!$F$10</f>
        <v>0.09</v>
      </c>
      <c r="AT1170" s="272"/>
      <c r="BC1170" s="272" t="s">
        <v>521</v>
      </c>
      <c r="BD1170" s="380">
        <v>1088</v>
      </c>
      <c r="BE1170" s="347" t="s">
        <v>705</v>
      </c>
    </row>
    <row r="1171" s="52" customFormat="1" ht="15.75" customHeight="1" spans="1:57">
      <c r="A1171" s="227"/>
      <c r="B1171" s="332"/>
      <c r="C1171" s="228"/>
      <c r="D1171" s="333"/>
      <c r="E1171" s="334"/>
      <c r="F1171" s="229"/>
      <c r="G1171" s="333"/>
      <c r="H1171" s="335"/>
      <c r="I1171" s="229"/>
      <c r="J1171" s="229"/>
      <c r="K1171" s="336"/>
      <c r="L1171" s="337"/>
      <c r="M1171" s="337"/>
      <c r="N1171" s="337"/>
      <c r="O1171" s="337"/>
      <c r="P1171" s="337"/>
      <c r="Q1171" s="384">
        <v>8120</v>
      </c>
      <c r="R1171" s="271">
        <f t="shared" si="89"/>
        <v>0</v>
      </c>
      <c r="S1171" s="339">
        <f t="shared" si="85"/>
        <v>0</v>
      </c>
      <c r="T1171" s="373"/>
      <c r="U1171" s="373">
        <f>FA!N$100</f>
        <v>0</v>
      </c>
      <c r="V1171" s="274"/>
      <c r="W1171" s="374"/>
      <c r="X1171" s="375"/>
      <c r="Y1171" s="385" t="s">
        <v>625</v>
      </c>
      <c r="Z1171" s="376"/>
      <c r="AA1171" s="240"/>
      <c r="AB1171" s="345">
        <v>1</v>
      </c>
      <c r="AC1171" s="271"/>
      <c r="AD1171" s="272"/>
      <c r="AE1171" s="273"/>
      <c r="AF1171" s="273"/>
      <c r="AG1171" s="274"/>
      <c r="AH1171" s="275"/>
      <c r="AI1171" s="272"/>
      <c r="AJ1171" s="276"/>
      <c r="AK1171" s="277"/>
      <c r="AL1171" s="278"/>
      <c r="AM1171" s="277"/>
      <c r="AN1171" s="279"/>
      <c r="AO1171" s="279"/>
      <c r="AP1171" s="279"/>
      <c r="AQ1171" s="378"/>
      <c r="AR1171" s="305">
        <f>'预算书-初步'!$F$10</f>
        <v>0.09</v>
      </c>
      <c r="AT1171" s="272"/>
      <c r="BC1171" s="272" t="s">
        <v>521</v>
      </c>
      <c r="BD1171" s="380">
        <v>1089</v>
      </c>
      <c r="BE1171" s="347" t="s">
        <v>705</v>
      </c>
    </row>
    <row r="1172" s="52" customFormat="1" ht="15.75" customHeight="1" spans="1:57">
      <c r="A1172" s="227"/>
      <c r="B1172" s="332"/>
      <c r="C1172" s="228"/>
      <c r="D1172" s="333"/>
      <c r="E1172" s="334"/>
      <c r="F1172" s="229"/>
      <c r="G1172" s="333"/>
      <c r="H1172" s="335"/>
      <c r="I1172" s="229"/>
      <c r="J1172" s="229"/>
      <c r="K1172" s="336"/>
      <c r="L1172" s="337"/>
      <c r="M1172" s="337"/>
      <c r="N1172" s="337"/>
      <c r="O1172" s="337"/>
      <c r="P1172" s="337"/>
      <c r="Q1172" s="384">
        <v>8130</v>
      </c>
      <c r="R1172" s="271">
        <f t="shared" si="89"/>
        <v>0</v>
      </c>
      <c r="S1172" s="339">
        <f t="shared" si="85"/>
        <v>0</v>
      </c>
      <c r="T1172" s="373"/>
      <c r="U1172" s="373">
        <f>FA!N$101</f>
        <v>0</v>
      </c>
      <c r="V1172" s="274"/>
      <c r="W1172" s="374"/>
      <c r="X1172" s="375"/>
      <c r="Y1172" s="365" t="s">
        <v>626</v>
      </c>
      <c r="Z1172" s="376"/>
      <c r="AA1172" s="240"/>
      <c r="AB1172" s="345">
        <v>1</v>
      </c>
      <c r="AC1172" s="271"/>
      <c r="AD1172" s="272"/>
      <c r="AE1172" s="273"/>
      <c r="AF1172" s="273"/>
      <c r="AG1172" s="274"/>
      <c r="AH1172" s="275"/>
      <c r="AI1172" s="272"/>
      <c r="AJ1172" s="276"/>
      <c r="AK1172" s="277"/>
      <c r="AL1172" s="278"/>
      <c r="AM1172" s="277"/>
      <c r="AN1172" s="279"/>
      <c r="AO1172" s="279"/>
      <c r="AP1172" s="279"/>
      <c r="AQ1172" s="378"/>
      <c r="AR1172" s="305">
        <f>'预算书-初步'!$F$10</f>
        <v>0.09</v>
      </c>
      <c r="AT1172" s="272"/>
      <c r="BC1172" s="272" t="s">
        <v>521</v>
      </c>
      <c r="BD1172" s="380">
        <v>1090</v>
      </c>
      <c r="BE1172" s="347" t="s">
        <v>705</v>
      </c>
    </row>
    <row r="1173" s="52" customFormat="1" ht="15.75" customHeight="1" spans="1:57">
      <c r="A1173" s="227"/>
      <c r="B1173" s="332"/>
      <c r="C1173" s="228"/>
      <c r="D1173" s="333"/>
      <c r="E1173" s="334"/>
      <c r="F1173" s="229"/>
      <c r="G1173" s="333"/>
      <c r="H1173" s="335"/>
      <c r="I1173" s="229"/>
      <c r="J1173" s="229"/>
      <c r="K1173" s="336"/>
      <c r="L1173" s="337"/>
      <c r="M1173" s="337"/>
      <c r="N1173" s="337"/>
      <c r="O1173" s="337"/>
      <c r="P1173" s="337"/>
      <c r="Q1173" s="384">
        <v>8140</v>
      </c>
      <c r="R1173" s="271">
        <f t="shared" si="89"/>
        <v>0</v>
      </c>
      <c r="S1173" s="339">
        <f t="shared" ref="S1173:S1218" si="90">$S$5</f>
        <v>0</v>
      </c>
      <c r="T1173" s="373"/>
      <c r="U1173" s="373">
        <f>FA!N$102</f>
        <v>0</v>
      </c>
      <c r="V1173" s="274"/>
      <c r="W1173" s="374"/>
      <c r="X1173" s="375"/>
      <c r="Y1173" s="385" t="s">
        <v>627</v>
      </c>
      <c r="Z1173" s="376"/>
      <c r="AA1173" s="240"/>
      <c r="AB1173" s="345">
        <v>1</v>
      </c>
      <c r="AC1173" s="271"/>
      <c r="AD1173" s="272"/>
      <c r="AE1173" s="273"/>
      <c r="AF1173" s="273"/>
      <c r="AG1173" s="274"/>
      <c r="AH1173" s="275"/>
      <c r="AI1173" s="272"/>
      <c r="AJ1173" s="276"/>
      <c r="AK1173" s="277"/>
      <c r="AL1173" s="278"/>
      <c r="AM1173" s="277"/>
      <c r="AN1173" s="279"/>
      <c r="AO1173" s="279"/>
      <c r="AP1173" s="279"/>
      <c r="AQ1173" s="378"/>
      <c r="AR1173" s="305">
        <f>'预算书-初步'!$F$10</f>
        <v>0.09</v>
      </c>
      <c r="AT1173" s="272"/>
      <c r="BC1173" s="272" t="s">
        <v>521</v>
      </c>
      <c r="BD1173" s="380">
        <v>1091</v>
      </c>
      <c r="BE1173" s="347" t="s">
        <v>705</v>
      </c>
    </row>
    <row r="1174" s="52" customFormat="1" ht="15.75" customHeight="1" spans="1:57">
      <c r="A1174" s="227"/>
      <c r="B1174" s="332"/>
      <c r="C1174" s="228"/>
      <c r="D1174" s="333"/>
      <c r="E1174" s="334"/>
      <c r="F1174" s="229"/>
      <c r="G1174" s="333"/>
      <c r="H1174" s="335"/>
      <c r="I1174" s="229"/>
      <c r="J1174" s="229"/>
      <c r="K1174" s="336"/>
      <c r="L1174" s="337"/>
      <c r="M1174" s="337"/>
      <c r="N1174" s="337"/>
      <c r="O1174" s="337"/>
      <c r="P1174" s="337"/>
      <c r="Q1174" s="384">
        <v>8150</v>
      </c>
      <c r="R1174" s="271">
        <f t="shared" si="89"/>
        <v>0</v>
      </c>
      <c r="S1174" s="339">
        <f t="shared" si="90"/>
        <v>0</v>
      </c>
      <c r="T1174" s="373"/>
      <c r="U1174" s="373">
        <f>FA!N$103</f>
        <v>0</v>
      </c>
      <c r="V1174" s="274"/>
      <c r="W1174" s="374"/>
      <c r="X1174" s="375"/>
      <c r="Y1174" s="365" t="s">
        <v>628</v>
      </c>
      <c r="Z1174" s="376"/>
      <c r="AA1174" s="240"/>
      <c r="AB1174" s="345">
        <v>1</v>
      </c>
      <c r="AC1174" s="271"/>
      <c r="AD1174" s="272"/>
      <c r="AE1174" s="273"/>
      <c r="AF1174" s="273"/>
      <c r="AG1174" s="274"/>
      <c r="AH1174" s="275"/>
      <c r="AI1174" s="272"/>
      <c r="AJ1174" s="276"/>
      <c r="AK1174" s="277"/>
      <c r="AL1174" s="278"/>
      <c r="AM1174" s="277"/>
      <c r="AN1174" s="279"/>
      <c r="AO1174" s="279"/>
      <c r="AP1174" s="279"/>
      <c r="AQ1174" s="378"/>
      <c r="AR1174" s="305">
        <f>'预算书-初步'!$F$10</f>
        <v>0.09</v>
      </c>
      <c r="AT1174" s="272"/>
      <c r="BC1174" s="272" t="s">
        <v>521</v>
      </c>
      <c r="BD1174" s="380">
        <v>1092</v>
      </c>
      <c r="BE1174" s="347" t="s">
        <v>705</v>
      </c>
    </row>
    <row r="1175" s="52" customFormat="1" ht="15.75" customHeight="1" spans="1:57">
      <c r="A1175" s="227"/>
      <c r="B1175" s="332"/>
      <c r="C1175" s="228"/>
      <c r="D1175" s="333"/>
      <c r="E1175" s="334"/>
      <c r="F1175" s="229"/>
      <c r="G1175" s="333"/>
      <c r="H1175" s="335"/>
      <c r="I1175" s="229"/>
      <c r="J1175" s="229"/>
      <c r="K1175" s="336"/>
      <c r="L1175" s="337"/>
      <c r="M1175" s="337"/>
      <c r="N1175" s="337"/>
      <c r="O1175" s="337"/>
      <c r="P1175" s="337"/>
      <c r="Q1175" s="384">
        <v>8160</v>
      </c>
      <c r="R1175" s="271">
        <f t="shared" si="89"/>
        <v>0</v>
      </c>
      <c r="S1175" s="339">
        <f t="shared" si="90"/>
        <v>0</v>
      </c>
      <c r="T1175" s="373"/>
      <c r="U1175" s="373">
        <f>FA!N$104</f>
        <v>0</v>
      </c>
      <c r="V1175" s="274"/>
      <c r="W1175" s="374"/>
      <c r="X1175" s="375"/>
      <c r="Y1175" s="365" t="s">
        <v>629</v>
      </c>
      <c r="Z1175" s="376"/>
      <c r="AA1175" s="240"/>
      <c r="AB1175" s="345">
        <v>1</v>
      </c>
      <c r="AC1175" s="271"/>
      <c r="AD1175" s="272"/>
      <c r="AE1175" s="273"/>
      <c r="AF1175" s="273"/>
      <c r="AG1175" s="274"/>
      <c r="AH1175" s="275"/>
      <c r="AI1175" s="272"/>
      <c r="AJ1175" s="276"/>
      <c r="AK1175" s="277"/>
      <c r="AL1175" s="278"/>
      <c r="AM1175" s="277"/>
      <c r="AN1175" s="279"/>
      <c r="AO1175" s="279"/>
      <c r="AP1175" s="279"/>
      <c r="AQ1175" s="378"/>
      <c r="AR1175" s="305">
        <f>'预算书-初步'!$F$10</f>
        <v>0.09</v>
      </c>
      <c r="AT1175" s="272"/>
      <c r="BC1175" s="272" t="s">
        <v>521</v>
      </c>
      <c r="BD1175" s="380">
        <v>1093</v>
      </c>
      <c r="BE1175" s="347" t="s">
        <v>705</v>
      </c>
    </row>
    <row r="1176" s="52" customFormat="1" ht="15.75" customHeight="1" spans="1:57">
      <c r="A1176" s="227"/>
      <c r="B1176" s="332"/>
      <c r="C1176" s="228"/>
      <c r="D1176" s="333"/>
      <c r="E1176" s="334"/>
      <c r="F1176" s="229"/>
      <c r="G1176" s="333"/>
      <c r="H1176" s="335"/>
      <c r="I1176" s="229"/>
      <c r="J1176" s="229"/>
      <c r="K1176" s="336"/>
      <c r="L1176" s="337"/>
      <c r="M1176" s="337"/>
      <c r="N1176" s="337"/>
      <c r="O1176" s="337"/>
      <c r="P1176" s="337"/>
      <c r="Q1176" s="384">
        <v>8170</v>
      </c>
      <c r="R1176" s="271">
        <f t="shared" si="89"/>
        <v>0</v>
      </c>
      <c r="S1176" s="339">
        <f t="shared" si="90"/>
        <v>0</v>
      </c>
      <c r="T1176" s="373"/>
      <c r="U1176" s="373">
        <f>FA!N$105</f>
        <v>0</v>
      </c>
      <c r="V1176" s="274"/>
      <c r="W1176" s="374"/>
      <c r="X1176" s="375"/>
      <c r="Y1176" s="365" t="s">
        <v>630</v>
      </c>
      <c r="Z1176" s="376"/>
      <c r="AA1176" s="240"/>
      <c r="AB1176" s="345">
        <v>1</v>
      </c>
      <c r="AC1176" s="271"/>
      <c r="AD1176" s="272"/>
      <c r="AE1176" s="273"/>
      <c r="AF1176" s="273"/>
      <c r="AG1176" s="274"/>
      <c r="AH1176" s="275"/>
      <c r="AI1176" s="272"/>
      <c r="AJ1176" s="276"/>
      <c r="AK1176" s="277"/>
      <c r="AL1176" s="278"/>
      <c r="AM1176" s="277"/>
      <c r="AN1176" s="279"/>
      <c r="AO1176" s="279"/>
      <c r="AP1176" s="279"/>
      <c r="AQ1176" s="378"/>
      <c r="AR1176" s="305">
        <f>'预算书-初步'!$F$10</f>
        <v>0.09</v>
      </c>
      <c r="AT1176" s="272"/>
      <c r="BC1176" s="272" t="s">
        <v>521</v>
      </c>
      <c r="BD1176" s="380">
        <v>1094</v>
      </c>
      <c r="BE1176" s="347" t="s">
        <v>705</v>
      </c>
    </row>
    <row r="1177" s="52" customFormat="1" ht="15.75" customHeight="1" spans="1:57">
      <c r="A1177" s="227"/>
      <c r="B1177" s="332"/>
      <c r="C1177" s="228"/>
      <c r="D1177" s="333"/>
      <c r="E1177" s="334"/>
      <c r="F1177" s="229"/>
      <c r="G1177" s="333"/>
      <c r="H1177" s="335"/>
      <c r="I1177" s="229"/>
      <c r="J1177" s="229"/>
      <c r="K1177" s="336"/>
      <c r="L1177" s="337"/>
      <c r="M1177" s="337"/>
      <c r="N1177" s="337"/>
      <c r="O1177" s="337"/>
      <c r="P1177" s="337"/>
      <c r="Q1177" s="384">
        <v>8180</v>
      </c>
      <c r="R1177" s="271">
        <f t="shared" si="89"/>
        <v>0</v>
      </c>
      <c r="S1177" s="339">
        <f t="shared" si="90"/>
        <v>0</v>
      </c>
      <c r="T1177" s="373"/>
      <c r="U1177" s="373">
        <f>FA!N$106</f>
        <v>0</v>
      </c>
      <c r="V1177" s="274"/>
      <c r="W1177" s="374"/>
      <c r="X1177" s="375"/>
      <c r="Y1177" s="386" t="s">
        <v>631</v>
      </c>
      <c r="Z1177" s="376"/>
      <c r="AA1177" s="240"/>
      <c r="AB1177" s="345">
        <v>1</v>
      </c>
      <c r="AC1177" s="271"/>
      <c r="AD1177" s="272"/>
      <c r="AE1177" s="273"/>
      <c r="AF1177" s="273"/>
      <c r="AG1177" s="274"/>
      <c r="AH1177" s="275"/>
      <c r="AI1177" s="272"/>
      <c r="AJ1177" s="276"/>
      <c r="AK1177" s="277"/>
      <c r="AL1177" s="278"/>
      <c r="AM1177" s="277"/>
      <c r="AN1177" s="279"/>
      <c r="AO1177" s="279"/>
      <c r="AP1177" s="279"/>
      <c r="AQ1177" s="378"/>
      <c r="AR1177" s="305">
        <f>'预算书-初步'!$F$10</f>
        <v>0.09</v>
      </c>
      <c r="AT1177" s="272"/>
      <c r="BC1177" s="272" t="s">
        <v>521</v>
      </c>
      <c r="BD1177" s="380">
        <v>1095</v>
      </c>
      <c r="BE1177" s="347" t="s">
        <v>705</v>
      </c>
    </row>
    <row r="1178" s="52" customFormat="1" ht="15.75" customHeight="1" spans="1:57">
      <c r="A1178" s="227"/>
      <c r="B1178" s="332"/>
      <c r="C1178" s="228"/>
      <c r="D1178" s="333"/>
      <c r="E1178" s="334"/>
      <c r="F1178" s="229"/>
      <c r="G1178" s="333"/>
      <c r="H1178" s="335"/>
      <c r="I1178" s="229"/>
      <c r="J1178" s="229"/>
      <c r="K1178" s="336"/>
      <c r="L1178" s="337"/>
      <c r="M1178" s="337"/>
      <c r="N1178" s="337"/>
      <c r="O1178" s="337"/>
      <c r="P1178" s="337"/>
      <c r="Q1178" s="384">
        <v>8190</v>
      </c>
      <c r="R1178" s="271">
        <f t="shared" si="89"/>
        <v>0</v>
      </c>
      <c r="S1178" s="339">
        <f t="shared" si="90"/>
        <v>0</v>
      </c>
      <c r="T1178" s="373"/>
      <c r="U1178" s="373">
        <f>FA!N$107</f>
        <v>0</v>
      </c>
      <c r="V1178" s="274"/>
      <c r="W1178" s="374"/>
      <c r="X1178" s="375"/>
      <c r="Y1178" s="45" t="s">
        <v>632</v>
      </c>
      <c r="Z1178" s="376"/>
      <c r="AA1178" s="240"/>
      <c r="AB1178" s="345">
        <v>1</v>
      </c>
      <c r="AC1178" s="271"/>
      <c r="AD1178" s="272"/>
      <c r="AE1178" s="273"/>
      <c r="AF1178" s="273"/>
      <c r="AG1178" s="274"/>
      <c r="AH1178" s="275"/>
      <c r="AI1178" s="272"/>
      <c r="AJ1178" s="276"/>
      <c r="AK1178" s="277"/>
      <c r="AL1178" s="278"/>
      <c r="AM1178" s="277"/>
      <c r="AN1178" s="279"/>
      <c r="AO1178" s="279"/>
      <c r="AP1178" s="279"/>
      <c r="AQ1178" s="378"/>
      <c r="AR1178" s="305">
        <f>'预算书-初步'!$F$10</f>
        <v>0.09</v>
      </c>
      <c r="AT1178" s="272"/>
      <c r="BC1178" s="272" t="s">
        <v>521</v>
      </c>
      <c r="BD1178" s="380">
        <v>1096</v>
      </c>
      <c r="BE1178" s="347" t="s">
        <v>705</v>
      </c>
    </row>
    <row r="1179" s="52" customFormat="1" ht="15.75" customHeight="1" spans="1:57">
      <c r="A1179" s="227"/>
      <c r="B1179" s="332"/>
      <c r="C1179" s="228"/>
      <c r="D1179" s="333"/>
      <c r="E1179" s="334"/>
      <c r="F1179" s="229"/>
      <c r="G1179" s="333"/>
      <c r="H1179" s="335"/>
      <c r="I1179" s="229"/>
      <c r="J1179" s="229"/>
      <c r="K1179" s="336"/>
      <c r="L1179" s="337"/>
      <c r="M1179" s="337"/>
      <c r="N1179" s="337"/>
      <c r="O1179" s="337"/>
      <c r="P1179" s="337"/>
      <c r="Q1179" s="381">
        <v>8210</v>
      </c>
      <c r="R1179" s="271">
        <f t="shared" si="89"/>
        <v>0</v>
      </c>
      <c r="S1179" s="339">
        <f t="shared" si="90"/>
        <v>0</v>
      </c>
      <c r="T1179" s="373"/>
      <c r="U1179" s="373">
        <f>SUMIF(其他!$A$9:$A$65,"8210",其他!$Q$9:Q$65)</f>
        <v>0</v>
      </c>
      <c r="V1179" s="274"/>
      <c r="W1179" s="374"/>
      <c r="X1179" s="375"/>
      <c r="Y1179" s="45" t="s">
        <v>633</v>
      </c>
      <c r="Z1179" s="376"/>
      <c r="AA1179" s="240"/>
      <c r="AB1179" s="345">
        <v>1</v>
      </c>
      <c r="AC1179" s="271"/>
      <c r="AD1179" s="272"/>
      <c r="AE1179" s="273"/>
      <c r="AF1179" s="273"/>
      <c r="AG1179" s="274"/>
      <c r="AH1179" s="275"/>
      <c r="AI1179" s="272"/>
      <c r="AJ1179" s="276"/>
      <c r="AK1179" s="277"/>
      <c r="AL1179" s="278"/>
      <c r="AM1179" s="277"/>
      <c r="AN1179" s="279"/>
      <c r="AO1179" s="279"/>
      <c r="AP1179" s="279"/>
      <c r="AQ1179" s="378"/>
      <c r="AR1179" s="305">
        <f>'预算书-初步'!$F$10</f>
        <v>0.09</v>
      </c>
      <c r="AT1179" s="272"/>
      <c r="BC1179" s="272" t="s">
        <v>521</v>
      </c>
      <c r="BD1179" s="380">
        <v>1098</v>
      </c>
      <c r="BE1179" s="347" t="s">
        <v>705</v>
      </c>
    </row>
    <row r="1180" s="52" customFormat="1" ht="15.75" customHeight="1" spans="1:57">
      <c r="A1180" s="227"/>
      <c r="B1180" s="332"/>
      <c r="C1180" s="228"/>
      <c r="D1180" s="333"/>
      <c r="E1180" s="334"/>
      <c r="F1180" s="229"/>
      <c r="G1180" s="333"/>
      <c r="H1180" s="335"/>
      <c r="I1180" s="229"/>
      <c r="J1180" s="229"/>
      <c r="K1180" s="336"/>
      <c r="L1180" s="337"/>
      <c r="M1180" s="337"/>
      <c r="N1180" s="337"/>
      <c r="O1180" s="337"/>
      <c r="P1180" s="337"/>
      <c r="Q1180" s="381">
        <v>8220</v>
      </c>
      <c r="R1180" s="271">
        <f t="shared" si="89"/>
        <v>0</v>
      </c>
      <c r="S1180" s="339">
        <f t="shared" si="90"/>
        <v>0</v>
      </c>
      <c r="T1180" s="373"/>
      <c r="U1180" s="373">
        <f>SUMIF(其他!$A$9:$A$65,"8220",其他!$Q$9:Q$65)</f>
        <v>0</v>
      </c>
      <c r="V1180" s="274"/>
      <c r="W1180" s="374"/>
      <c r="X1180" s="375"/>
      <c r="Y1180" s="45" t="s">
        <v>634</v>
      </c>
      <c r="Z1180" s="376"/>
      <c r="AA1180" s="240"/>
      <c r="AB1180" s="345">
        <v>1</v>
      </c>
      <c r="AC1180" s="271"/>
      <c r="AD1180" s="272"/>
      <c r="AE1180" s="273"/>
      <c r="AF1180" s="273"/>
      <c r="AG1180" s="274"/>
      <c r="AH1180" s="275"/>
      <c r="AI1180" s="272"/>
      <c r="AJ1180" s="276"/>
      <c r="AK1180" s="277"/>
      <c r="AL1180" s="278"/>
      <c r="AM1180" s="277"/>
      <c r="AN1180" s="279"/>
      <c r="AO1180" s="279"/>
      <c r="AP1180" s="279"/>
      <c r="AQ1180" s="378"/>
      <c r="AR1180" s="305">
        <f>'预算书-初步'!$F$10</f>
        <v>0.09</v>
      </c>
      <c r="AT1180" s="272"/>
      <c r="BC1180" s="272" t="s">
        <v>521</v>
      </c>
      <c r="BD1180" s="380">
        <v>1098</v>
      </c>
      <c r="BE1180" s="347" t="s">
        <v>705</v>
      </c>
    </row>
    <row r="1181" s="52" customFormat="1" ht="15.75" customHeight="1" spans="1:57">
      <c r="A1181" s="227"/>
      <c r="B1181" s="332"/>
      <c r="C1181" s="228"/>
      <c r="D1181" s="333"/>
      <c r="E1181" s="334"/>
      <c r="F1181" s="229"/>
      <c r="G1181" s="333"/>
      <c r="H1181" s="335"/>
      <c r="I1181" s="229"/>
      <c r="J1181" s="229"/>
      <c r="K1181" s="336"/>
      <c r="L1181" s="337"/>
      <c r="M1181" s="337"/>
      <c r="N1181" s="337"/>
      <c r="O1181" s="337"/>
      <c r="P1181" s="337"/>
      <c r="Q1181" s="381">
        <v>8230</v>
      </c>
      <c r="R1181" s="271">
        <f t="shared" si="89"/>
        <v>0</v>
      </c>
      <c r="S1181" s="339">
        <f t="shared" si="90"/>
        <v>0</v>
      </c>
      <c r="T1181" s="373"/>
      <c r="U1181" s="373">
        <f>SUMIF(其他!$A$9:$A$65,"8230",其他!$Q$9:Q$65)</f>
        <v>0</v>
      </c>
      <c r="V1181" s="274"/>
      <c r="W1181" s="374"/>
      <c r="X1181" s="375"/>
      <c r="Y1181" s="45" t="s">
        <v>635</v>
      </c>
      <c r="Z1181" s="376"/>
      <c r="AA1181" s="240"/>
      <c r="AB1181" s="345">
        <v>1</v>
      </c>
      <c r="AC1181" s="271"/>
      <c r="AD1181" s="272"/>
      <c r="AE1181" s="273"/>
      <c r="AF1181" s="273"/>
      <c r="AG1181" s="274"/>
      <c r="AH1181" s="275"/>
      <c r="AI1181" s="272"/>
      <c r="AJ1181" s="276"/>
      <c r="AK1181" s="277"/>
      <c r="AL1181" s="278"/>
      <c r="AM1181" s="277"/>
      <c r="AN1181" s="279"/>
      <c r="AO1181" s="279"/>
      <c r="AP1181" s="279"/>
      <c r="AQ1181" s="378"/>
      <c r="AR1181" s="305">
        <f>'预算书-初步'!$F$10</f>
        <v>0.09</v>
      </c>
      <c r="AT1181" s="272"/>
      <c r="BC1181" s="272" t="s">
        <v>521</v>
      </c>
      <c r="BD1181" s="380">
        <v>1098</v>
      </c>
      <c r="BE1181" s="347" t="s">
        <v>705</v>
      </c>
    </row>
    <row r="1182" s="52" customFormat="1" ht="15.75" customHeight="1" spans="1:57">
      <c r="A1182" s="227"/>
      <c r="B1182" s="332"/>
      <c r="C1182" s="228"/>
      <c r="D1182" s="333"/>
      <c r="E1182" s="334"/>
      <c r="F1182" s="229"/>
      <c r="G1182" s="333"/>
      <c r="H1182" s="335"/>
      <c r="I1182" s="229"/>
      <c r="J1182" s="229"/>
      <c r="K1182" s="336"/>
      <c r="L1182" s="337"/>
      <c r="M1182" s="337"/>
      <c r="N1182" s="337"/>
      <c r="O1182" s="337"/>
      <c r="P1182" s="337"/>
      <c r="Q1182" s="381">
        <v>8240</v>
      </c>
      <c r="R1182" s="271">
        <f t="shared" si="89"/>
        <v>0</v>
      </c>
      <c r="S1182" s="339">
        <f t="shared" si="90"/>
        <v>0</v>
      </c>
      <c r="T1182" s="373"/>
      <c r="U1182" s="373">
        <f>FA!N$110</f>
        <v>0</v>
      </c>
      <c r="V1182" s="274"/>
      <c r="W1182" s="374"/>
      <c r="X1182" s="375"/>
      <c r="Y1182" s="45" t="s">
        <v>636</v>
      </c>
      <c r="Z1182" s="376"/>
      <c r="AA1182" s="240"/>
      <c r="AB1182" s="345">
        <v>1</v>
      </c>
      <c r="AC1182" s="271"/>
      <c r="AD1182" s="272"/>
      <c r="AE1182" s="273"/>
      <c r="AF1182" s="273"/>
      <c r="AG1182" s="274"/>
      <c r="AH1182" s="275"/>
      <c r="AI1182" s="272"/>
      <c r="AJ1182" s="276"/>
      <c r="AK1182" s="277"/>
      <c r="AL1182" s="278"/>
      <c r="AM1182" s="277"/>
      <c r="AN1182" s="279"/>
      <c r="AO1182" s="279"/>
      <c r="AP1182" s="279"/>
      <c r="AQ1182" s="378"/>
      <c r="AR1182" s="305">
        <f>'预算书-初步'!$F$10</f>
        <v>0.09</v>
      </c>
      <c r="AT1182" s="272"/>
      <c r="BC1182" s="272" t="s">
        <v>521</v>
      </c>
      <c r="BD1182" s="380">
        <v>1099</v>
      </c>
      <c r="BE1182" s="347" t="s">
        <v>705</v>
      </c>
    </row>
    <row r="1183" s="52" customFormat="1" ht="15.75" customHeight="1" spans="1:57">
      <c r="A1183" s="227"/>
      <c r="B1183" s="332"/>
      <c r="C1183" s="228"/>
      <c r="D1183" s="333"/>
      <c r="E1183" s="334"/>
      <c r="F1183" s="229"/>
      <c r="G1183" s="333"/>
      <c r="H1183" s="335"/>
      <c r="I1183" s="229"/>
      <c r="J1183" s="229"/>
      <c r="K1183" s="336"/>
      <c r="L1183" s="337"/>
      <c r="M1183" s="337"/>
      <c r="N1183" s="337"/>
      <c r="O1183" s="337"/>
      <c r="P1183" s="337"/>
      <c r="Q1183" s="381">
        <v>8250</v>
      </c>
      <c r="R1183" s="271">
        <f t="shared" si="89"/>
        <v>0</v>
      </c>
      <c r="S1183" s="339">
        <f t="shared" si="90"/>
        <v>0</v>
      </c>
      <c r="T1183" s="373"/>
      <c r="U1183" s="373">
        <f>FA!N$111</f>
        <v>0</v>
      </c>
      <c r="V1183" s="274"/>
      <c r="W1183" s="374"/>
      <c r="X1183" s="375"/>
      <c r="Y1183" s="45" t="s">
        <v>637</v>
      </c>
      <c r="Z1183" s="376"/>
      <c r="AA1183" s="240"/>
      <c r="AB1183" s="345">
        <v>1</v>
      </c>
      <c r="AC1183" s="271"/>
      <c r="AD1183" s="272"/>
      <c r="AE1183" s="273"/>
      <c r="AF1183" s="273"/>
      <c r="AG1183" s="274"/>
      <c r="AH1183" s="275"/>
      <c r="AI1183" s="272"/>
      <c r="AJ1183" s="276"/>
      <c r="AK1183" s="277"/>
      <c r="AL1183" s="278"/>
      <c r="AM1183" s="277"/>
      <c r="AN1183" s="279"/>
      <c r="AO1183" s="279"/>
      <c r="AP1183" s="279"/>
      <c r="AQ1183" s="378"/>
      <c r="AR1183" s="305">
        <f>'预算书-初步'!$F$10</f>
        <v>0.09</v>
      </c>
      <c r="AT1183" s="272"/>
      <c r="BC1183" s="272" t="s">
        <v>521</v>
      </c>
      <c r="BD1183" s="380">
        <v>1100</v>
      </c>
      <c r="BE1183" s="347" t="s">
        <v>705</v>
      </c>
    </row>
    <row r="1184" s="52" customFormat="1" ht="15.75" customHeight="1" spans="1:57">
      <c r="A1184" s="227"/>
      <c r="B1184" s="332"/>
      <c r="C1184" s="228"/>
      <c r="D1184" s="333"/>
      <c r="E1184" s="334"/>
      <c r="F1184" s="229"/>
      <c r="G1184" s="333"/>
      <c r="H1184" s="335"/>
      <c r="I1184" s="229"/>
      <c r="J1184" s="229"/>
      <c r="K1184" s="336"/>
      <c r="L1184" s="337"/>
      <c r="M1184" s="337"/>
      <c r="N1184" s="337"/>
      <c r="O1184" s="337"/>
      <c r="P1184" s="337"/>
      <c r="Q1184" s="384">
        <v>8260</v>
      </c>
      <c r="R1184" s="271">
        <f t="shared" si="89"/>
        <v>0</v>
      </c>
      <c r="S1184" s="339">
        <f t="shared" si="90"/>
        <v>0</v>
      </c>
      <c r="T1184" s="373"/>
      <c r="U1184" s="373">
        <f>FA!N$112</f>
        <v>0</v>
      </c>
      <c r="V1184" s="274"/>
      <c r="W1184" s="374"/>
      <c r="X1184" s="375"/>
      <c r="Y1184" s="45" t="s">
        <v>638</v>
      </c>
      <c r="Z1184" s="376"/>
      <c r="AA1184" s="240"/>
      <c r="AB1184" s="345">
        <v>1</v>
      </c>
      <c r="AC1184" s="271"/>
      <c r="AD1184" s="272"/>
      <c r="AE1184" s="273"/>
      <c r="AF1184" s="273"/>
      <c r="AG1184" s="274"/>
      <c r="AH1184" s="275"/>
      <c r="AI1184" s="272"/>
      <c r="AJ1184" s="276"/>
      <c r="AK1184" s="277"/>
      <c r="AL1184" s="278"/>
      <c r="AM1184" s="277"/>
      <c r="AN1184" s="279"/>
      <c r="AO1184" s="279"/>
      <c r="AP1184" s="279"/>
      <c r="AQ1184" s="378"/>
      <c r="AR1184" s="305">
        <f>'预算书-初步'!$F$10</f>
        <v>0.09</v>
      </c>
      <c r="AT1184" s="272"/>
      <c r="BC1184" s="272" t="s">
        <v>521</v>
      </c>
      <c r="BD1184" s="380">
        <v>1101</v>
      </c>
      <c r="BE1184" s="347" t="s">
        <v>705</v>
      </c>
    </row>
    <row r="1185" s="52" customFormat="1" ht="15.75" customHeight="1" spans="1:57">
      <c r="A1185" s="227"/>
      <c r="B1185" s="332"/>
      <c r="C1185" s="228"/>
      <c r="D1185" s="333"/>
      <c r="E1185" s="334"/>
      <c r="F1185" s="229"/>
      <c r="G1185" s="333"/>
      <c r="H1185" s="335"/>
      <c r="I1185" s="229"/>
      <c r="J1185" s="229"/>
      <c r="K1185" s="336"/>
      <c r="L1185" s="337"/>
      <c r="M1185" s="337"/>
      <c r="N1185" s="337"/>
      <c r="O1185" s="337"/>
      <c r="P1185" s="337"/>
      <c r="Q1185" s="384">
        <v>8431</v>
      </c>
      <c r="R1185" s="271">
        <f t="shared" si="89"/>
        <v>0</v>
      </c>
      <c r="S1185" s="339">
        <f t="shared" si="90"/>
        <v>0</v>
      </c>
      <c r="T1185" s="373"/>
      <c r="U1185" s="373">
        <f>SUMIF(其他!$A$9:$A$65,"8431",其他!$Q$9:Q$65)</f>
        <v>0</v>
      </c>
      <c r="V1185" s="274"/>
      <c r="W1185" s="374"/>
      <c r="X1185" s="375"/>
      <c r="Y1185" s="45" t="s">
        <v>639</v>
      </c>
      <c r="Z1185" s="376"/>
      <c r="AA1185" s="240"/>
      <c r="AB1185" s="345">
        <v>1</v>
      </c>
      <c r="AC1185" s="271"/>
      <c r="AD1185" s="272"/>
      <c r="AE1185" s="273"/>
      <c r="AF1185" s="273"/>
      <c r="AG1185" s="274"/>
      <c r="AH1185" s="275"/>
      <c r="AI1185" s="272"/>
      <c r="AJ1185" s="276"/>
      <c r="AK1185" s="277"/>
      <c r="AL1185" s="278"/>
      <c r="AM1185" s="277"/>
      <c r="AN1185" s="279"/>
      <c r="AO1185" s="279"/>
      <c r="AP1185" s="279"/>
      <c r="AQ1185" s="378"/>
      <c r="AR1185" s="305">
        <f>'预算书-初步'!$F$10</f>
        <v>0.09</v>
      </c>
      <c r="AT1185" s="272"/>
      <c r="BC1185" s="272" t="s">
        <v>521</v>
      </c>
      <c r="BD1185" s="380">
        <v>1102</v>
      </c>
      <c r="BE1185" s="347" t="s">
        <v>705</v>
      </c>
    </row>
    <row r="1186" s="52" customFormat="1" ht="15.75" customHeight="1" spans="1:57">
      <c r="A1186" s="227"/>
      <c r="B1186" s="332"/>
      <c r="C1186" s="228"/>
      <c r="D1186" s="333"/>
      <c r="E1186" s="334"/>
      <c r="F1186" s="229"/>
      <c r="G1186" s="333"/>
      <c r="H1186" s="335"/>
      <c r="I1186" s="229"/>
      <c r="J1186" s="229"/>
      <c r="K1186" s="336"/>
      <c r="L1186" s="337"/>
      <c r="M1186" s="337"/>
      <c r="N1186" s="337"/>
      <c r="O1186" s="337"/>
      <c r="P1186" s="337"/>
      <c r="Q1186" s="384">
        <v>8432</v>
      </c>
      <c r="R1186" s="271">
        <f t="shared" si="89"/>
        <v>0</v>
      </c>
      <c r="S1186" s="339">
        <f t="shared" si="90"/>
        <v>0</v>
      </c>
      <c r="T1186" s="373"/>
      <c r="U1186" s="373">
        <f>SUMIF(其他!$A$9:$A$65,"8432",其他!$Q$9:Q$65)</f>
        <v>0</v>
      </c>
      <c r="V1186" s="274"/>
      <c r="W1186" s="374"/>
      <c r="X1186" s="375"/>
      <c r="Y1186" s="45" t="s">
        <v>640</v>
      </c>
      <c r="Z1186" s="376"/>
      <c r="AA1186" s="240"/>
      <c r="AB1186" s="345">
        <v>1</v>
      </c>
      <c r="AC1186" s="271"/>
      <c r="AD1186" s="272"/>
      <c r="AE1186" s="273"/>
      <c r="AF1186" s="273"/>
      <c r="AG1186" s="274"/>
      <c r="AH1186" s="275"/>
      <c r="AI1186" s="272"/>
      <c r="AJ1186" s="276"/>
      <c r="AK1186" s="277"/>
      <c r="AL1186" s="278"/>
      <c r="AM1186" s="277"/>
      <c r="AN1186" s="279"/>
      <c r="AO1186" s="279"/>
      <c r="AP1186" s="279"/>
      <c r="AQ1186" s="378"/>
      <c r="AR1186" s="305">
        <f>'预算书-初步'!$F$10</f>
        <v>0.09</v>
      </c>
      <c r="AT1186" s="272"/>
      <c r="BC1186" s="272" t="s">
        <v>521</v>
      </c>
      <c r="BD1186" s="380">
        <v>1102</v>
      </c>
      <c r="BE1186" s="347" t="s">
        <v>705</v>
      </c>
    </row>
    <row r="1187" s="52" customFormat="1" ht="15.75" customHeight="1" spans="1:57">
      <c r="A1187" s="227"/>
      <c r="B1187" s="332"/>
      <c r="C1187" s="228"/>
      <c r="D1187" s="333"/>
      <c r="E1187" s="334"/>
      <c r="F1187" s="229"/>
      <c r="G1187" s="333"/>
      <c r="H1187" s="335"/>
      <c r="I1187" s="229"/>
      <c r="J1187" s="229"/>
      <c r="K1187" s="336"/>
      <c r="L1187" s="337"/>
      <c r="M1187" s="337"/>
      <c r="N1187" s="337"/>
      <c r="O1187" s="337"/>
      <c r="P1187" s="337"/>
      <c r="Q1187" s="384">
        <v>8433</v>
      </c>
      <c r="R1187" s="271">
        <f t="shared" si="89"/>
        <v>0</v>
      </c>
      <c r="S1187" s="339">
        <f t="shared" si="90"/>
        <v>0</v>
      </c>
      <c r="T1187" s="373"/>
      <c r="U1187" s="373">
        <f>SUMIF(其他!$A$9:$A$65,"8433",其他!$Q$9:Q$65)</f>
        <v>0</v>
      </c>
      <c r="V1187" s="274"/>
      <c r="W1187" s="374"/>
      <c r="X1187" s="375"/>
      <c r="Y1187" s="45" t="s">
        <v>641</v>
      </c>
      <c r="Z1187" s="376"/>
      <c r="AA1187" s="240"/>
      <c r="AB1187" s="345">
        <v>1</v>
      </c>
      <c r="AC1187" s="271"/>
      <c r="AD1187" s="272"/>
      <c r="AE1187" s="273"/>
      <c r="AF1187" s="273"/>
      <c r="AG1187" s="274"/>
      <c r="AH1187" s="275"/>
      <c r="AI1187" s="272"/>
      <c r="AJ1187" s="276"/>
      <c r="AK1187" s="277"/>
      <c r="AL1187" s="278"/>
      <c r="AM1187" s="277"/>
      <c r="AN1187" s="279"/>
      <c r="AO1187" s="279"/>
      <c r="AP1187" s="279"/>
      <c r="AQ1187" s="378"/>
      <c r="AR1187" s="305">
        <f>'预算书-初步'!$F$10</f>
        <v>0.09</v>
      </c>
      <c r="AT1187" s="272"/>
      <c r="BC1187" s="272" t="s">
        <v>521</v>
      </c>
      <c r="BD1187" s="380">
        <v>1102</v>
      </c>
      <c r="BE1187" s="347" t="s">
        <v>705</v>
      </c>
    </row>
    <row r="1188" s="52" customFormat="1" ht="15.75" customHeight="1" spans="1:57">
      <c r="A1188" s="227"/>
      <c r="B1188" s="332"/>
      <c r="C1188" s="228"/>
      <c r="D1188" s="333"/>
      <c r="E1188" s="334"/>
      <c r="F1188" s="229"/>
      <c r="G1188" s="333"/>
      <c r="H1188" s="335"/>
      <c r="I1188" s="229"/>
      <c r="J1188" s="229"/>
      <c r="K1188" s="336"/>
      <c r="L1188" s="337"/>
      <c r="M1188" s="337"/>
      <c r="N1188" s="337"/>
      <c r="O1188" s="337"/>
      <c r="P1188" s="337"/>
      <c r="Q1188" s="384">
        <v>8434</v>
      </c>
      <c r="R1188" s="271">
        <f t="shared" si="89"/>
        <v>0</v>
      </c>
      <c r="S1188" s="339">
        <f t="shared" si="90"/>
        <v>0</v>
      </c>
      <c r="T1188" s="373"/>
      <c r="U1188" s="373">
        <f>SUMIF(其他!$A$9:$A$65,"8434",其他!$Q$9:Q$65)</f>
        <v>0</v>
      </c>
      <c r="V1188" s="274"/>
      <c r="W1188" s="374"/>
      <c r="X1188" s="375"/>
      <c r="Y1188" s="386" t="s">
        <v>642</v>
      </c>
      <c r="Z1188" s="376"/>
      <c r="AA1188" s="240"/>
      <c r="AB1188" s="345">
        <v>1</v>
      </c>
      <c r="AC1188" s="271"/>
      <c r="AD1188" s="272"/>
      <c r="AE1188" s="273"/>
      <c r="AF1188" s="273"/>
      <c r="AG1188" s="274"/>
      <c r="AH1188" s="275"/>
      <c r="AI1188" s="272"/>
      <c r="AJ1188" s="276"/>
      <c r="AK1188" s="277"/>
      <c r="AL1188" s="278"/>
      <c r="AM1188" s="277"/>
      <c r="AN1188" s="279"/>
      <c r="AO1188" s="279"/>
      <c r="AP1188" s="279"/>
      <c r="AQ1188" s="378"/>
      <c r="AR1188" s="305">
        <f>'预算书-初步'!$F$10</f>
        <v>0.09</v>
      </c>
      <c r="AT1188" s="272"/>
      <c r="BC1188" s="272" t="s">
        <v>521</v>
      </c>
      <c r="BD1188" s="380">
        <v>1102</v>
      </c>
      <c r="BE1188" s="347" t="s">
        <v>705</v>
      </c>
    </row>
    <row r="1189" s="52" customFormat="1" ht="15.75" customHeight="1" spans="1:57">
      <c r="A1189" s="227"/>
      <c r="B1189" s="332"/>
      <c r="C1189" s="228"/>
      <c r="D1189" s="333"/>
      <c r="E1189" s="334"/>
      <c r="F1189" s="229"/>
      <c r="G1189" s="333"/>
      <c r="H1189" s="335"/>
      <c r="I1189" s="229"/>
      <c r="J1189" s="229"/>
      <c r="K1189" s="336"/>
      <c r="L1189" s="337"/>
      <c r="M1189" s="337"/>
      <c r="N1189" s="337"/>
      <c r="O1189" s="337"/>
      <c r="P1189" s="337"/>
      <c r="Q1189" s="384">
        <v>8435</v>
      </c>
      <c r="R1189" s="271">
        <f t="shared" si="89"/>
        <v>0</v>
      </c>
      <c r="S1189" s="339">
        <f t="shared" si="90"/>
        <v>0</v>
      </c>
      <c r="T1189" s="373"/>
      <c r="U1189" s="373">
        <f>SUMIF(其他!$A$9:$A$65,"8435",其他!$Q$9:Q$65)</f>
        <v>0</v>
      </c>
      <c r="V1189" s="274"/>
      <c r="W1189" s="374"/>
      <c r="X1189" s="375"/>
      <c r="Y1189" s="385" t="s">
        <v>643</v>
      </c>
      <c r="Z1189" s="376"/>
      <c r="AA1189" s="240"/>
      <c r="AB1189" s="345">
        <v>1</v>
      </c>
      <c r="AC1189" s="271"/>
      <c r="AD1189" s="272"/>
      <c r="AE1189" s="273"/>
      <c r="AF1189" s="273"/>
      <c r="AG1189" s="274"/>
      <c r="AH1189" s="275"/>
      <c r="AI1189" s="272"/>
      <c r="AJ1189" s="276"/>
      <c r="AK1189" s="277"/>
      <c r="AL1189" s="278"/>
      <c r="AM1189" s="277"/>
      <c r="AN1189" s="279"/>
      <c r="AO1189" s="279"/>
      <c r="AP1189" s="279"/>
      <c r="AQ1189" s="378"/>
      <c r="AR1189" s="305">
        <f>'预算书-初步'!$F$10</f>
        <v>0.09</v>
      </c>
      <c r="AT1189" s="272"/>
      <c r="BC1189" s="272" t="s">
        <v>521</v>
      </c>
      <c r="BD1189" s="380">
        <v>1102</v>
      </c>
      <c r="BE1189" s="347" t="s">
        <v>705</v>
      </c>
    </row>
    <row r="1190" s="52" customFormat="1" ht="15.75" customHeight="1" spans="1:57">
      <c r="A1190" s="227"/>
      <c r="B1190" s="332"/>
      <c r="C1190" s="228"/>
      <c r="D1190" s="333"/>
      <c r="E1190" s="334"/>
      <c r="F1190" s="229"/>
      <c r="G1190" s="333"/>
      <c r="H1190" s="335"/>
      <c r="I1190" s="229"/>
      <c r="J1190" s="229"/>
      <c r="K1190" s="336"/>
      <c r="L1190" s="337"/>
      <c r="M1190" s="337"/>
      <c r="N1190" s="337"/>
      <c r="O1190" s="337"/>
      <c r="P1190" s="337"/>
      <c r="Q1190" s="384">
        <v>8436</v>
      </c>
      <c r="R1190" s="271">
        <f t="shared" si="89"/>
        <v>0</v>
      </c>
      <c r="S1190" s="339">
        <f t="shared" si="90"/>
        <v>0</v>
      </c>
      <c r="T1190" s="373"/>
      <c r="U1190" s="373">
        <f>SUMIF(其他!$A$9:$A$65,"8436",其他!$Q$9:Q$65)</f>
        <v>0</v>
      </c>
      <c r="V1190" s="274"/>
      <c r="W1190" s="374"/>
      <c r="X1190" s="375"/>
      <c r="Y1190" s="385" t="s">
        <v>644</v>
      </c>
      <c r="Z1190" s="376"/>
      <c r="AA1190" s="240"/>
      <c r="AB1190" s="345">
        <v>1</v>
      </c>
      <c r="AC1190" s="271"/>
      <c r="AD1190" s="272"/>
      <c r="AE1190" s="273"/>
      <c r="AF1190" s="273"/>
      <c r="AG1190" s="274"/>
      <c r="AH1190" s="275"/>
      <c r="AI1190" s="272"/>
      <c r="AJ1190" s="276"/>
      <c r="AK1190" s="277"/>
      <c r="AL1190" s="278"/>
      <c r="AM1190" s="277"/>
      <c r="AN1190" s="279"/>
      <c r="AO1190" s="279"/>
      <c r="AP1190" s="279"/>
      <c r="AQ1190" s="378"/>
      <c r="AR1190" s="305">
        <f>'预算书-初步'!$F$10</f>
        <v>0.09</v>
      </c>
      <c r="AT1190" s="272"/>
      <c r="BC1190" s="272" t="s">
        <v>521</v>
      </c>
      <c r="BD1190" s="380">
        <v>1102</v>
      </c>
      <c r="BE1190" s="347" t="s">
        <v>705</v>
      </c>
    </row>
    <row r="1191" s="52" customFormat="1" ht="15.75" customHeight="1" spans="1:57">
      <c r="A1191" s="227"/>
      <c r="B1191" s="332"/>
      <c r="C1191" s="228"/>
      <c r="D1191" s="333"/>
      <c r="E1191" s="334"/>
      <c r="F1191" s="229"/>
      <c r="G1191" s="333"/>
      <c r="H1191" s="335"/>
      <c r="I1191" s="229"/>
      <c r="J1191" s="229"/>
      <c r="K1191" s="336"/>
      <c r="L1191" s="337"/>
      <c r="M1191" s="337"/>
      <c r="N1191" s="337"/>
      <c r="O1191" s="337"/>
      <c r="P1191" s="337"/>
      <c r="Q1191" s="384">
        <v>8280</v>
      </c>
      <c r="R1191" s="271">
        <f t="shared" si="89"/>
        <v>0</v>
      </c>
      <c r="S1191" s="339">
        <f t="shared" si="90"/>
        <v>0</v>
      </c>
      <c r="T1191" s="373"/>
      <c r="U1191" s="373">
        <f>FA!N$114</f>
        <v>0</v>
      </c>
      <c r="V1191" s="274"/>
      <c r="W1191" s="374"/>
      <c r="X1191" s="375"/>
      <c r="Y1191" s="385" t="s">
        <v>645</v>
      </c>
      <c r="Z1191" s="376"/>
      <c r="AA1191" s="240"/>
      <c r="AB1191" s="345">
        <v>1</v>
      </c>
      <c r="AC1191" s="271"/>
      <c r="AD1191" s="272"/>
      <c r="AE1191" s="273"/>
      <c r="AF1191" s="273"/>
      <c r="AG1191" s="274"/>
      <c r="AH1191" s="275"/>
      <c r="AI1191" s="272"/>
      <c r="AJ1191" s="276"/>
      <c r="AK1191" s="277"/>
      <c r="AL1191" s="278"/>
      <c r="AM1191" s="277"/>
      <c r="AN1191" s="279"/>
      <c r="AO1191" s="279"/>
      <c r="AP1191" s="279"/>
      <c r="AQ1191" s="378"/>
      <c r="AR1191" s="305">
        <f>'预算书-初步'!$F$10</f>
        <v>0.09</v>
      </c>
      <c r="AT1191" s="272"/>
      <c r="BC1191" s="272" t="s">
        <v>521</v>
      </c>
      <c r="BD1191" s="380">
        <v>1103</v>
      </c>
      <c r="BE1191" s="347" t="s">
        <v>705</v>
      </c>
    </row>
    <row r="1192" s="52" customFormat="1" ht="15.75" customHeight="1" spans="1:57">
      <c r="A1192" s="227"/>
      <c r="B1192" s="332"/>
      <c r="C1192" s="228"/>
      <c r="D1192" s="333"/>
      <c r="E1192" s="334"/>
      <c r="F1192" s="229"/>
      <c r="G1192" s="333"/>
      <c r="H1192" s="335"/>
      <c r="I1192" s="229"/>
      <c r="J1192" s="229"/>
      <c r="K1192" s="336"/>
      <c r="L1192" s="337"/>
      <c r="M1192" s="337"/>
      <c r="N1192" s="337"/>
      <c r="O1192" s="337"/>
      <c r="P1192" s="337"/>
      <c r="Q1192" s="384">
        <v>8321</v>
      </c>
      <c r="R1192" s="271">
        <f t="shared" si="89"/>
        <v>0</v>
      </c>
      <c r="S1192" s="339">
        <f t="shared" si="90"/>
        <v>0</v>
      </c>
      <c r="T1192" s="373"/>
      <c r="U1192" s="373">
        <f>FA!N$117</f>
        <v>0</v>
      </c>
      <c r="V1192" s="274"/>
      <c r="W1192" s="374"/>
      <c r="X1192" s="375"/>
      <c r="Y1192" s="385" t="s">
        <v>646</v>
      </c>
      <c r="Z1192" s="376"/>
      <c r="AA1192" s="240"/>
      <c r="AB1192" s="345">
        <v>1</v>
      </c>
      <c r="AC1192" s="271"/>
      <c r="AD1192" s="272"/>
      <c r="AE1192" s="273"/>
      <c r="AF1192" s="273"/>
      <c r="AG1192" s="274"/>
      <c r="AH1192" s="275"/>
      <c r="AI1192" s="272"/>
      <c r="AJ1192" s="276"/>
      <c r="AK1192" s="277"/>
      <c r="AL1192" s="278"/>
      <c r="AM1192" s="277"/>
      <c r="AN1192" s="279"/>
      <c r="AO1192" s="279"/>
      <c r="AP1192" s="279"/>
      <c r="AQ1192" s="378"/>
      <c r="AR1192" s="305">
        <f>'预算书-初步'!$F$10</f>
        <v>0.09</v>
      </c>
      <c r="AT1192" s="272"/>
      <c r="BC1192" s="272" t="s">
        <v>521</v>
      </c>
      <c r="BD1192" s="380">
        <v>1106</v>
      </c>
      <c r="BE1192" s="347" t="s">
        <v>705</v>
      </c>
    </row>
    <row r="1193" s="52" customFormat="1" ht="15.75" customHeight="1" spans="1:57">
      <c r="A1193" s="227"/>
      <c r="B1193" s="332"/>
      <c r="C1193" s="228"/>
      <c r="D1193" s="333"/>
      <c r="E1193" s="334"/>
      <c r="F1193" s="229"/>
      <c r="G1193" s="333"/>
      <c r="H1193" s="335"/>
      <c r="I1193" s="229"/>
      <c r="J1193" s="229"/>
      <c r="K1193" s="336"/>
      <c r="L1193" s="337"/>
      <c r="M1193" s="337"/>
      <c r="N1193" s="337"/>
      <c r="O1193" s="337"/>
      <c r="P1193" s="337"/>
      <c r="Q1193" s="384">
        <v>8322</v>
      </c>
      <c r="R1193" s="271">
        <f t="shared" si="89"/>
        <v>0</v>
      </c>
      <c r="S1193" s="339">
        <f t="shared" si="90"/>
        <v>0</v>
      </c>
      <c r="T1193" s="373"/>
      <c r="U1193" s="373">
        <f>FA!N$118</f>
        <v>0</v>
      </c>
      <c r="V1193" s="274"/>
      <c r="W1193" s="374"/>
      <c r="X1193" s="375"/>
      <c r="Y1193" s="385" t="s">
        <v>647</v>
      </c>
      <c r="Z1193" s="376"/>
      <c r="AA1193" s="240"/>
      <c r="AB1193" s="345">
        <v>1</v>
      </c>
      <c r="AC1193" s="271"/>
      <c r="AD1193" s="272"/>
      <c r="AE1193" s="273"/>
      <c r="AF1193" s="273"/>
      <c r="AG1193" s="274"/>
      <c r="AH1193" s="275"/>
      <c r="AI1193" s="272"/>
      <c r="AJ1193" s="276"/>
      <c r="AK1193" s="277"/>
      <c r="AL1193" s="278"/>
      <c r="AM1193" s="277"/>
      <c r="AN1193" s="279"/>
      <c r="AO1193" s="279"/>
      <c r="AP1193" s="279"/>
      <c r="AQ1193" s="378"/>
      <c r="AR1193" s="305">
        <f>'预算书-初步'!$F$10</f>
        <v>0.09</v>
      </c>
      <c r="AT1193" s="272"/>
      <c r="BC1193" s="272" t="s">
        <v>521</v>
      </c>
      <c r="BD1193" s="380">
        <v>1107</v>
      </c>
      <c r="BE1193" s="347" t="s">
        <v>705</v>
      </c>
    </row>
    <row r="1194" s="52" customFormat="1" ht="15.75" customHeight="1" spans="1:57">
      <c r="A1194" s="227"/>
      <c r="B1194" s="332"/>
      <c r="C1194" s="228"/>
      <c r="D1194" s="333"/>
      <c r="E1194" s="334"/>
      <c r="F1194" s="229"/>
      <c r="G1194" s="333"/>
      <c r="H1194" s="335"/>
      <c r="I1194" s="229"/>
      <c r="J1194" s="229"/>
      <c r="K1194" s="336"/>
      <c r="L1194" s="337"/>
      <c r="M1194" s="337"/>
      <c r="N1194" s="337"/>
      <c r="O1194" s="337"/>
      <c r="P1194" s="337"/>
      <c r="Q1194" s="384">
        <v>8323</v>
      </c>
      <c r="R1194" s="271">
        <f t="shared" si="89"/>
        <v>0</v>
      </c>
      <c r="S1194" s="339">
        <f t="shared" si="90"/>
        <v>0</v>
      </c>
      <c r="T1194" s="373"/>
      <c r="U1194" s="373">
        <f>SUMIF(其他!$A$9:$A$65,"8323",其他!$Q$9:Q$65)</f>
        <v>0</v>
      </c>
      <c r="V1194" s="274"/>
      <c r="W1194" s="374"/>
      <c r="X1194" s="375"/>
      <c r="Y1194" s="45" t="s">
        <v>648</v>
      </c>
      <c r="Z1194" s="376"/>
      <c r="AA1194" s="240"/>
      <c r="AB1194" s="345">
        <v>1</v>
      </c>
      <c r="AC1194" s="271"/>
      <c r="AD1194" s="272"/>
      <c r="AE1194" s="273"/>
      <c r="AF1194" s="273"/>
      <c r="AG1194" s="274"/>
      <c r="AH1194" s="275"/>
      <c r="AI1194" s="272"/>
      <c r="AJ1194" s="276"/>
      <c r="AK1194" s="277"/>
      <c r="AL1194" s="278"/>
      <c r="AM1194" s="277"/>
      <c r="AN1194" s="279"/>
      <c r="AO1194" s="279"/>
      <c r="AP1194" s="279"/>
      <c r="AQ1194" s="378"/>
      <c r="AR1194" s="305">
        <f>'预算书-初步'!$F$10</f>
        <v>0.09</v>
      </c>
      <c r="AT1194" s="272"/>
      <c r="BC1194" s="272" t="s">
        <v>521</v>
      </c>
      <c r="BD1194" s="380">
        <v>1108</v>
      </c>
      <c r="BE1194" s="347" t="s">
        <v>705</v>
      </c>
    </row>
    <row r="1195" s="52" customFormat="1" ht="15.75" customHeight="1" spans="1:57">
      <c r="A1195" s="227"/>
      <c r="B1195" s="332"/>
      <c r="C1195" s="228"/>
      <c r="D1195" s="333"/>
      <c r="E1195" s="334"/>
      <c r="F1195" s="229"/>
      <c r="G1195" s="333"/>
      <c r="H1195" s="335"/>
      <c r="I1195" s="229"/>
      <c r="J1195" s="229"/>
      <c r="K1195" s="336"/>
      <c r="L1195" s="337"/>
      <c r="M1195" s="337"/>
      <c r="N1195" s="337"/>
      <c r="O1195" s="337"/>
      <c r="P1195" s="337"/>
      <c r="Q1195" s="384">
        <v>8324</v>
      </c>
      <c r="R1195" s="271">
        <f t="shared" si="89"/>
        <v>0</v>
      </c>
      <c r="S1195" s="339">
        <f t="shared" si="90"/>
        <v>0</v>
      </c>
      <c r="T1195" s="373"/>
      <c r="U1195" s="373">
        <f>SUMIF(其他!$A$9:$A$65,"8324",其他!$Q$9:Q$65)</f>
        <v>0</v>
      </c>
      <c r="V1195" s="274"/>
      <c r="W1195" s="374"/>
      <c r="X1195" s="375"/>
      <c r="Y1195" s="385" t="s">
        <v>649</v>
      </c>
      <c r="Z1195" s="376"/>
      <c r="AA1195" s="240"/>
      <c r="AB1195" s="345">
        <v>1</v>
      </c>
      <c r="AC1195" s="271"/>
      <c r="AD1195" s="272"/>
      <c r="AE1195" s="273"/>
      <c r="AF1195" s="273"/>
      <c r="AG1195" s="274"/>
      <c r="AH1195" s="275"/>
      <c r="AI1195" s="272"/>
      <c r="AJ1195" s="276"/>
      <c r="AK1195" s="277"/>
      <c r="AL1195" s="278"/>
      <c r="AM1195" s="277"/>
      <c r="AN1195" s="279"/>
      <c r="AO1195" s="279"/>
      <c r="AP1195" s="279"/>
      <c r="AQ1195" s="378"/>
      <c r="AR1195" s="305">
        <f>'预算书-初步'!$F$10</f>
        <v>0.09</v>
      </c>
      <c r="AT1195" s="272"/>
      <c r="BC1195" s="272" t="s">
        <v>521</v>
      </c>
      <c r="BD1195" s="380">
        <v>1108</v>
      </c>
      <c r="BE1195" s="347" t="s">
        <v>705</v>
      </c>
    </row>
    <row r="1196" s="52" customFormat="1" ht="15.75" customHeight="1" spans="1:57">
      <c r="A1196" s="227"/>
      <c r="B1196" s="332"/>
      <c r="C1196" s="228"/>
      <c r="D1196" s="333"/>
      <c r="E1196" s="334"/>
      <c r="F1196" s="229"/>
      <c r="G1196" s="333"/>
      <c r="H1196" s="335"/>
      <c r="I1196" s="229"/>
      <c r="J1196" s="229"/>
      <c r="K1196" s="336"/>
      <c r="L1196" s="337"/>
      <c r="M1196" s="337"/>
      <c r="N1196" s="337"/>
      <c r="O1196" s="337"/>
      <c r="P1196" s="337"/>
      <c r="Q1196" s="384">
        <v>8325</v>
      </c>
      <c r="R1196" s="271">
        <f t="shared" si="89"/>
        <v>0</v>
      </c>
      <c r="S1196" s="339">
        <f t="shared" si="90"/>
        <v>0</v>
      </c>
      <c r="T1196" s="373"/>
      <c r="U1196" s="373">
        <f>FA!N$120</f>
        <v>0</v>
      </c>
      <c r="V1196" s="274"/>
      <c r="W1196" s="374"/>
      <c r="X1196" s="375"/>
      <c r="Y1196" s="388" t="s">
        <v>650</v>
      </c>
      <c r="Z1196" s="376"/>
      <c r="AA1196" s="240"/>
      <c r="AB1196" s="345">
        <v>1</v>
      </c>
      <c r="AC1196" s="271"/>
      <c r="AD1196" s="272"/>
      <c r="AE1196" s="273"/>
      <c r="AF1196" s="273"/>
      <c r="AG1196" s="274"/>
      <c r="AH1196" s="275"/>
      <c r="AI1196" s="272"/>
      <c r="AJ1196" s="276"/>
      <c r="AK1196" s="277"/>
      <c r="AL1196" s="278"/>
      <c r="AM1196" s="277"/>
      <c r="AN1196" s="279"/>
      <c r="AO1196" s="279"/>
      <c r="AP1196" s="279"/>
      <c r="AQ1196" s="378"/>
      <c r="AR1196" s="305">
        <f>'预算书-初步'!$F$10</f>
        <v>0.09</v>
      </c>
      <c r="AT1196" s="272"/>
      <c r="BC1196" s="272" t="s">
        <v>521</v>
      </c>
      <c r="BD1196" s="380">
        <v>1109</v>
      </c>
      <c r="BE1196" s="347" t="s">
        <v>705</v>
      </c>
    </row>
    <row r="1197" s="52" customFormat="1" ht="15.75" customHeight="1" spans="1:57">
      <c r="A1197" s="227"/>
      <c r="B1197" s="332"/>
      <c r="C1197" s="228"/>
      <c r="D1197" s="333"/>
      <c r="E1197" s="334"/>
      <c r="F1197" s="229"/>
      <c r="G1197" s="333"/>
      <c r="H1197" s="335"/>
      <c r="I1197" s="229"/>
      <c r="J1197" s="229"/>
      <c r="K1197" s="336"/>
      <c r="L1197" s="337"/>
      <c r="M1197" s="337"/>
      <c r="N1197" s="337"/>
      <c r="O1197" s="337"/>
      <c r="P1197" s="337"/>
      <c r="Q1197" s="384">
        <v>8326</v>
      </c>
      <c r="R1197" s="271">
        <f t="shared" si="89"/>
        <v>0</v>
      </c>
      <c r="S1197" s="339">
        <f t="shared" si="90"/>
        <v>0</v>
      </c>
      <c r="T1197" s="373"/>
      <c r="U1197" s="373">
        <f>FA!N$121</f>
        <v>0</v>
      </c>
      <c r="V1197" s="274"/>
      <c r="W1197" s="374"/>
      <c r="X1197" s="375"/>
      <c r="Y1197" s="45" t="s">
        <v>651</v>
      </c>
      <c r="Z1197" s="376"/>
      <c r="AA1197" s="240"/>
      <c r="AB1197" s="345">
        <v>1</v>
      </c>
      <c r="AC1197" s="271"/>
      <c r="AD1197" s="272"/>
      <c r="AE1197" s="273"/>
      <c r="AF1197" s="273"/>
      <c r="AG1197" s="274"/>
      <c r="AH1197" s="275"/>
      <c r="AI1197" s="272"/>
      <c r="AJ1197" s="276"/>
      <c r="AK1197" s="277"/>
      <c r="AL1197" s="278"/>
      <c r="AM1197" s="277"/>
      <c r="AN1197" s="279"/>
      <c r="AO1197" s="279"/>
      <c r="AP1197" s="279"/>
      <c r="AQ1197" s="378"/>
      <c r="AR1197" s="305">
        <f>'预算书-初步'!$F$10</f>
        <v>0.09</v>
      </c>
      <c r="AT1197" s="272"/>
      <c r="BC1197" s="272" t="s">
        <v>521</v>
      </c>
      <c r="BD1197" s="380">
        <v>1110</v>
      </c>
      <c r="BE1197" s="347" t="s">
        <v>705</v>
      </c>
    </row>
    <row r="1198" s="52" customFormat="1" ht="15.75" customHeight="1" spans="1:57">
      <c r="A1198" s="227"/>
      <c r="B1198" s="332"/>
      <c r="C1198" s="228"/>
      <c r="D1198" s="333"/>
      <c r="E1198" s="334"/>
      <c r="F1198" s="229"/>
      <c r="G1198" s="333"/>
      <c r="H1198" s="335"/>
      <c r="I1198" s="229"/>
      <c r="J1198" s="229"/>
      <c r="K1198" s="336"/>
      <c r="L1198" s="337"/>
      <c r="M1198" s="337"/>
      <c r="N1198" s="337"/>
      <c r="O1198" s="337"/>
      <c r="P1198" s="337"/>
      <c r="Q1198" s="384">
        <v>8327</v>
      </c>
      <c r="R1198" s="271">
        <f t="shared" si="89"/>
        <v>0</v>
      </c>
      <c r="S1198" s="339">
        <f t="shared" si="90"/>
        <v>0</v>
      </c>
      <c r="T1198" s="373"/>
      <c r="U1198" s="373">
        <f>FA!N$122</f>
        <v>0</v>
      </c>
      <c r="V1198" s="274"/>
      <c r="W1198" s="374"/>
      <c r="X1198" s="375"/>
      <c r="Y1198" s="385" t="s">
        <v>652</v>
      </c>
      <c r="Z1198" s="376"/>
      <c r="AA1198" s="240"/>
      <c r="AB1198" s="345">
        <v>1</v>
      </c>
      <c r="AC1198" s="271"/>
      <c r="AD1198" s="272"/>
      <c r="AE1198" s="273"/>
      <c r="AF1198" s="273"/>
      <c r="AG1198" s="274"/>
      <c r="AH1198" s="275"/>
      <c r="AI1198" s="272"/>
      <c r="AJ1198" s="276"/>
      <c r="AK1198" s="277"/>
      <c r="AL1198" s="278"/>
      <c r="AM1198" s="277"/>
      <c r="AN1198" s="279"/>
      <c r="AO1198" s="279"/>
      <c r="AP1198" s="279"/>
      <c r="AQ1198" s="378"/>
      <c r="AR1198" s="305">
        <f>'预算书-初步'!$F$10</f>
        <v>0.09</v>
      </c>
      <c r="AT1198" s="272"/>
      <c r="BC1198" s="272" t="s">
        <v>521</v>
      </c>
      <c r="BD1198" s="380">
        <v>1111</v>
      </c>
      <c r="BE1198" s="347" t="s">
        <v>705</v>
      </c>
    </row>
    <row r="1199" s="52" customFormat="1" ht="15.75" customHeight="1" spans="1:57">
      <c r="A1199" s="227"/>
      <c r="B1199" s="332"/>
      <c r="C1199" s="228"/>
      <c r="D1199" s="333"/>
      <c r="E1199" s="334"/>
      <c r="F1199" s="229"/>
      <c r="G1199" s="333"/>
      <c r="H1199" s="335"/>
      <c r="I1199" s="229"/>
      <c r="J1199" s="229"/>
      <c r="K1199" s="336"/>
      <c r="L1199" s="337"/>
      <c r="M1199" s="337"/>
      <c r="N1199" s="337"/>
      <c r="O1199" s="337"/>
      <c r="P1199" s="337"/>
      <c r="Q1199" s="384">
        <v>8328</v>
      </c>
      <c r="R1199" s="271">
        <f t="shared" si="89"/>
        <v>0</v>
      </c>
      <c r="S1199" s="339">
        <f t="shared" si="90"/>
        <v>0</v>
      </c>
      <c r="T1199" s="373"/>
      <c r="U1199" s="373">
        <f>FA!N$123</f>
        <v>0</v>
      </c>
      <c r="V1199" s="274"/>
      <c r="W1199" s="374"/>
      <c r="X1199" s="375"/>
      <c r="Y1199" s="45" t="s">
        <v>653</v>
      </c>
      <c r="Z1199" s="376"/>
      <c r="AA1199" s="240"/>
      <c r="AB1199" s="345">
        <v>1</v>
      </c>
      <c r="AC1199" s="271"/>
      <c r="AD1199" s="272"/>
      <c r="AE1199" s="273"/>
      <c r="AF1199" s="273"/>
      <c r="AG1199" s="274"/>
      <c r="AH1199" s="275"/>
      <c r="AI1199" s="272"/>
      <c r="AJ1199" s="276"/>
      <c r="AK1199" s="277"/>
      <c r="AL1199" s="278"/>
      <c r="AM1199" s="277"/>
      <c r="AN1199" s="279"/>
      <c r="AO1199" s="279"/>
      <c r="AP1199" s="279"/>
      <c r="AQ1199" s="378"/>
      <c r="AR1199" s="305">
        <f>'预算书-初步'!$F$10</f>
        <v>0.09</v>
      </c>
      <c r="AT1199" s="272"/>
      <c r="BC1199" s="272" t="s">
        <v>521</v>
      </c>
      <c r="BD1199" s="380">
        <v>1112</v>
      </c>
      <c r="BE1199" s="347" t="s">
        <v>705</v>
      </c>
    </row>
    <row r="1200" s="52" customFormat="1" ht="15.75" customHeight="1" spans="1:57">
      <c r="A1200" s="227"/>
      <c r="B1200" s="332"/>
      <c r="C1200" s="228"/>
      <c r="D1200" s="333"/>
      <c r="E1200" s="334"/>
      <c r="F1200" s="229"/>
      <c r="G1200" s="333"/>
      <c r="H1200" s="335"/>
      <c r="I1200" s="229"/>
      <c r="J1200" s="229"/>
      <c r="K1200" s="336"/>
      <c r="L1200" s="337"/>
      <c r="M1200" s="337"/>
      <c r="N1200" s="337"/>
      <c r="O1200" s="337"/>
      <c r="P1200" s="337"/>
      <c r="Q1200" s="384">
        <v>8331</v>
      </c>
      <c r="R1200" s="271">
        <f t="shared" si="89"/>
        <v>0</v>
      </c>
      <c r="S1200" s="339">
        <f t="shared" si="90"/>
        <v>0</v>
      </c>
      <c r="T1200" s="373"/>
      <c r="U1200" s="373">
        <f>FA!N$124</f>
        <v>0</v>
      </c>
      <c r="V1200" s="274"/>
      <c r="W1200" s="374"/>
      <c r="X1200" s="375"/>
      <c r="Y1200" s="45" t="s">
        <v>654</v>
      </c>
      <c r="Z1200" s="376"/>
      <c r="AA1200" s="240"/>
      <c r="AB1200" s="345">
        <v>1</v>
      </c>
      <c r="AC1200" s="271"/>
      <c r="AD1200" s="272"/>
      <c r="AE1200" s="273"/>
      <c r="AF1200" s="273"/>
      <c r="AG1200" s="274"/>
      <c r="AH1200" s="275"/>
      <c r="AI1200" s="272"/>
      <c r="AJ1200" s="276"/>
      <c r="AK1200" s="277"/>
      <c r="AL1200" s="278"/>
      <c r="AM1200" s="277"/>
      <c r="AN1200" s="279"/>
      <c r="AO1200" s="279"/>
      <c r="AP1200" s="279"/>
      <c r="AQ1200" s="378"/>
      <c r="AR1200" s="305">
        <f>'预算书-初步'!$F$10</f>
        <v>0.09</v>
      </c>
      <c r="AT1200" s="272"/>
      <c r="BC1200" s="272" t="s">
        <v>521</v>
      </c>
      <c r="BD1200" s="380">
        <v>1113</v>
      </c>
      <c r="BE1200" s="347" t="s">
        <v>705</v>
      </c>
    </row>
    <row r="1201" s="52" customFormat="1" ht="15.75" customHeight="1" spans="1:57">
      <c r="A1201" s="227"/>
      <c r="B1201" s="332"/>
      <c r="C1201" s="228"/>
      <c r="D1201" s="333"/>
      <c r="E1201" s="334"/>
      <c r="F1201" s="229"/>
      <c r="G1201" s="333"/>
      <c r="H1201" s="335"/>
      <c r="I1201" s="229"/>
      <c r="J1201" s="229"/>
      <c r="K1201" s="336"/>
      <c r="L1201" s="337"/>
      <c r="M1201" s="337"/>
      <c r="N1201" s="337"/>
      <c r="O1201" s="337"/>
      <c r="P1201" s="337"/>
      <c r="Q1201" s="384">
        <v>8332</v>
      </c>
      <c r="R1201" s="271">
        <f t="shared" si="89"/>
        <v>0</v>
      </c>
      <c r="S1201" s="339">
        <f t="shared" si="90"/>
        <v>0</v>
      </c>
      <c r="T1201" s="373"/>
      <c r="U1201" s="373">
        <f>FA!N$125</f>
        <v>0</v>
      </c>
      <c r="V1201" s="274"/>
      <c r="W1201" s="374"/>
      <c r="X1201" s="375"/>
      <c r="Y1201" s="45" t="s">
        <v>655</v>
      </c>
      <c r="Z1201" s="376"/>
      <c r="AA1201" s="240"/>
      <c r="AB1201" s="345">
        <v>1</v>
      </c>
      <c r="AC1201" s="271"/>
      <c r="AD1201" s="272"/>
      <c r="AE1201" s="273"/>
      <c r="AF1201" s="273"/>
      <c r="AG1201" s="274"/>
      <c r="AH1201" s="275"/>
      <c r="AI1201" s="272"/>
      <c r="AJ1201" s="276"/>
      <c r="AK1201" s="277"/>
      <c r="AL1201" s="278"/>
      <c r="AM1201" s="277"/>
      <c r="AN1201" s="279"/>
      <c r="AO1201" s="279"/>
      <c r="AP1201" s="279"/>
      <c r="AQ1201" s="378"/>
      <c r="AR1201" s="305">
        <f>'预算书-初步'!$F$10</f>
        <v>0.09</v>
      </c>
      <c r="AT1201" s="272"/>
      <c r="BC1201" s="272" t="s">
        <v>521</v>
      </c>
      <c r="BD1201" s="380">
        <v>1114</v>
      </c>
      <c r="BE1201" s="347" t="s">
        <v>705</v>
      </c>
    </row>
    <row r="1202" s="52" customFormat="1" ht="15.75" customHeight="1" spans="1:57">
      <c r="A1202" s="227"/>
      <c r="B1202" s="332"/>
      <c r="C1202" s="228"/>
      <c r="D1202" s="333"/>
      <c r="E1202" s="334"/>
      <c r="F1202" s="229"/>
      <c r="G1202" s="333"/>
      <c r="H1202" s="335"/>
      <c r="I1202" s="229"/>
      <c r="J1202" s="229"/>
      <c r="K1202" s="336"/>
      <c r="L1202" s="337"/>
      <c r="M1202" s="337"/>
      <c r="N1202" s="337"/>
      <c r="O1202" s="337"/>
      <c r="P1202" s="337"/>
      <c r="Q1202" s="384">
        <v>8333</v>
      </c>
      <c r="R1202" s="271">
        <f t="shared" si="89"/>
        <v>0</v>
      </c>
      <c r="S1202" s="339">
        <f t="shared" si="90"/>
        <v>0</v>
      </c>
      <c r="T1202" s="373"/>
      <c r="U1202" s="373">
        <f>FA!N$126</f>
        <v>0</v>
      </c>
      <c r="V1202" s="274"/>
      <c r="W1202" s="374"/>
      <c r="X1202" s="375"/>
      <c r="Y1202" s="388" t="s">
        <v>656</v>
      </c>
      <c r="Z1202" s="376"/>
      <c r="AA1202" s="240"/>
      <c r="AB1202" s="345">
        <v>1</v>
      </c>
      <c r="AC1202" s="271"/>
      <c r="AD1202" s="272"/>
      <c r="AE1202" s="273"/>
      <c r="AF1202" s="273"/>
      <c r="AG1202" s="274"/>
      <c r="AH1202" s="275"/>
      <c r="AI1202" s="272"/>
      <c r="AJ1202" s="276"/>
      <c r="AK1202" s="277"/>
      <c r="AL1202" s="278"/>
      <c r="AM1202" s="277"/>
      <c r="AN1202" s="279"/>
      <c r="AO1202" s="279"/>
      <c r="AP1202" s="279"/>
      <c r="AQ1202" s="378"/>
      <c r="AR1202" s="305">
        <f>'预算书-初步'!$F$10</f>
        <v>0.09</v>
      </c>
      <c r="AT1202" s="272"/>
      <c r="BC1202" s="272" t="s">
        <v>521</v>
      </c>
      <c r="BD1202" s="380">
        <v>1115</v>
      </c>
      <c r="BE1202" s="347" t="s">
        <v>705</v>
      </c>
    </row>
    <row r="1203" s="52" customFormat="1" ht="15.75" customHeight="1" spans="1:57">
      <c r="A1203" s="227"/>
      <c r="B1203" s="332"/>
      <c r="C1203" s="228"/>
      <c r="D1203" s="333"/>
      <c r="E1203" s="334"/>
      <c r="F1203" s="229"/>
      <c r="G1203" s="333"/>
      <c r="H1203" s="335"/>
      <c r="I1203" s="229"/>
      <c r="J1203" s="229"/>
      <c r="K1203" s="336"/>
      <c r="L1203" s="337"/>
      <c r="M1203" s="337"/>
      <c r="N1203" s="337"/>
      <c r="O1203" s="337"/>
      <c r="P1203" s="337"/>
      <c r="Q1203" s="384">
        <v>8334</v>
      </c>
      <c r="R1203" s="271">
        <f t="shared" si="89"/>
        <v>0</v>
      </c>
      <c r="S1203" s="339">
        <f t="shared" si="90"/>
        <v>0</v>
      </c>
      <c r="T1203" s="373"/>
      <c r="U1203" s="373">
        <f>FA!N$127</f>
        <v>0</v>
      </c>
      <c r="V1203" s="274"/>
      <c r="W1203" s="374"/>
      <c r="X1203" s="375"/>
      <c r="Y1203" s="388" t="s">
        <v>657</v>
      </c>
      <c r="Z1203" s="376"/>
      <c r="AA1203" s="240"/>
      <c r="AB1203" s="345">
        <v>1</v>
      </c>
      <c r="AC1203" s="271"/>
      <c r="AD1203" s="272"/>
      <c r="AE1203" s="273"/>
      <c r="AF1203" s="273"/>
      <c r="AG1203" s="274"/>
      <c r="AH1203" s="275"/>
      <c r="AI1203" s="272"/>
      <c r="AJ1203" s="276"/>
      <c r="AK1203" s="277"/>
      <c r="AL1203" s="278"/>
      <c r="AM1203" s="277"/>
      <c r="AN1203" s="279"/>
      <c r="AO1203" s="279"/>
      <c r="AP1203" s="279"/>
      <c r="AQ1203" s="378"/>
      <c r="AR1203" s="305">
        <f>'预算书-初步'!$F$10</f>
        <v>0.09</v>
      </c>
      <c r="AT1203" s="272"/>
      <c r="BC1203" s="272" t="s">
        <v>521</v>
      </c>
      <c r="BD1203" s="380">
        <v>1116</v>
      </c>
      <c r="BE1203" s="347" t="s">
        <v>705</v>
      </c>
    </row>
    <row r="1204" s="52" customFormat="1" ht="15.75" customHeight="1" spans="1:57">
      <c r="A1204" s="227"/>
      <c r="B1204" s="332"/>
      <c r="C1204" s="228"/>
      <c r="D1204" s="333"/>
      <c r="E1204" s="334"/>
      <c r="F1204" s="229"/>
      <c r="G1204" s="333"/>
      <c r="H1204" s="335"/>
      <c r="I1204" s="229"/>
      <c r="J1204" s="229"/>
      <c r="K1204" s="336"/>
      <c r="L1204" s="337"/>
      <c r="M1204" s="337"/>
      <c r="N1204" s="337"/>
      <c r="O1204" s="337"/>
      <c r="P1204" s="337"/>
      <c r="Q1204" s="384">
        <v>8335</v>
      </c>
      <c r="R1204" s="271">
        <f t="shared" si="89"/>
        <v>0</v>
      </c>
      <c r="S1204" s="339">
        <f t="shared" si="90"/>
        <v>0</v>
      </c>
      <c r="T1204" s="373"/>
      <c r="U1204" s="373">
        <f>FA!N$128</f>
        <v>0</v>
      </c>
      <c r="V1204" s="274"/>
      <c r="W1204" s="374"/>
      <c r="X1204" s="375"/>
      <c r="Y1204" s="45" t="s">
        <v>658</v>
      </c>
      <c r="Z1204" s="376"/>
      <c r="AA1204" s="240"/>
      <c r="AB1204" s="345">
        <v>1</v>
      </c>
      <c r="AC1204" s="271"/>
      <c r="AD1204" s="272"/>
      <c r="AE1204" s="273"/>
      <c r="AF1204" s="273"/>
      <c r="AG1204" s="274"/>
      <c r="AH1204" s="275"/>
      <c r="AI1204" s="272"/>
      <c r="AJ1204" s="276"/>
      <c r="AK1204" s="277"/>
      <c r="AL1204" s="278"/>
      <c r="AM1204" s="277"/>
      <c r="AN1204" s="279"/>
      <c r="AO1204" s="279"/>
      <c r="AP1204" s="279"/>
      <c r="AQ1204" s="378"/>
      <c r="AR1204" s="305">
        <f>'预算书-初步'!$F$10</f>
        <v>0.09</v>
      </c>
      <c r="AT1204" s="272"/>
      <c r="BC1204" s="272" t="s">
        <v>521</v>
      </c>
      <c r="BD1204" s="380">
        <v>1117</v>
      </c>
      <c r="BE1204" s="347" t="s">
        <v>705</v>
      </c>
    </row>
    <row r="1205" s="52" customFormat="1" ht="15.75" customHeight="1" spans="1:57">
      <c r="A1205" s="227"/>
      <c r="B1205" s="332"/>
      <c r="C1205" s="228"/>
      <c r="D1205" s="333"/>
      <c r="E1205" s="334"/>
      <c r="F1205" s="229"/>
      <c r="G1205" s="333"/>
      <c r="H1205" s="335"/>
      <c r="I1205" s="229"/>
      <c r="J1205" s="229"/>
      <c r="K1205" s="336"/>
      <c r="L1205" s="337"/>
      <c r="M1205" s="337"/>
      <c r="N1205" s="337"/>
      <c r="O1205" s="337"/>
      <c r="P1205" s="337"/>
      <c r="Q1205" s="384">
        <v>8351</v>
      </c>
      <c r="R1205" s="271">
        <f t="shared" si="89"/>
        <v>0</v>
      </c>
      <c r="S1205" s="339">
        <f t="shared" si="90"/>
        <v>0</v>
      </c>
      <c r="T1205" s="373"/>
      <c r="U1205" s="373">
        <f>FA!N$129</f>
        <v>0</v>
      </c>
      <c r="V1205" s="274"/>
      <c r="W1205" s="374"/>
      <c r="X1205" s="375"/>
      <c r="Y1205" s="388" t="s">
        <v>659</v>
      </c>
      <c r="Z1205" s="376"/>
      <c r="AA1205" s="240"/>
      <c r="AB1205" s="345">
        <v>1</v>
      </c>
      <c r="AC1205" s="271"/>
      <c r="AD1205" s="272"/>
      <c r="AE1205" s="273"/>
      <c r="AF1205" s="273"/>
      <c r="AG1205" s="274"/>
      <c r="AH1205" s="275"/>
      <c r="AI1205" s="272"/>
      <c r="AJ1205" s="276"/>
      <c r="AK1205" s="277"/>
      <c r="AL1205" s="278"/>
      <c r="AM1205" s="277"/>
      <c r="AN1205" s="279"/>
      <c r="AO1205" s="279"/>
      <c r="AP1205" s="279"/>
      <c r="AQ1205" s="378"/>
      <c r="AR1205" s="305">
        <f>'预算书-初步'!$F$10</f>
        <v>0.09</v>
      </c>
      <c r="AT1205" s="272"/>
      <c r="BC1205" s="272" t="s">
        <v>521</v>
      </c>
      <c r="BD1205" s="380">
        <v>1118</v>
      </c>
      <c r="BE1205" s="347" t="s">
        <v>705</v>
      </c>
    </row>
    <row r="1206" s="52" customFormat="1" ht="15.75" customHeight="1" spans="1:57">
      <c r="A1206" s="227"/>
      <c r="B1206" s="332"/>
      <c r="C1206" s="228"/>
      <c r="D1206" s="333"/>
      <c r="E1206" s="334"/>
      <c r="F1206" s="229"/>
      <c r="G1206" s="333"/>
      <c r="H1206" s="335"/>
      <c r="I1206" s="229"/>
      <c r="J1206" s="229"/>
      <c r="K1206" s="336"/>
      <c r="L1206" s="337"/>
      <c r="M1206" s="337"/>
      <c r="N1206" s="337"/>
      <c r="O1206" s="337"/>
      <c r="P1206" s="337"/>
      <c r="Q1206" s="384">
        <v>8341</v>
      </c>
      <c r="R1206" s="271">
        <f t="shared" si="89"/>
        <v>0</v>
      </c>
      <c r="S1206" s="339">
        <f t="shared" si="90"/>
        <v>0</v>
      </c>
      <c r="T1206" s="373"/>
      <c r="U1206" s="373">
        <f>SUMIF(其他!$A$9:$A$65,"8341",其他!$Q$9:Q$65)</f>
        <v>0</v>
      </c>
      <c r="V1206" s="274"/>
      <c r="W1206" s="374"/>
      <c r="X1206" s="375"/>
      <c r="Y1206" s="388" t="s">
        <v>660</v>
      </c>
      <c r="Z1206" s="376"/>
      <c r="AA1206" s="240"/>
      <c r="AB1206" s="345">
        <v>1</v>
      </c>
      <c r="AC1206" s="271"/>
      <c r="AD1206" s="272"/>
      <c r="AE1206" s="273"/>
      <c r="AF1206" s="273"/>
      <c r="AG1206" s="274"/>
      <c r="AH1206" s="275"/>
      <c r="AI1206" s="272"/>
      <c r="AJ1206" s="276"/>
      <c r="AK1206" s="277"/>
      <c r="AL1206" s="278"/>
      <c r="AM1206" s="277"/>
      <c r="AN1206" s="279"/>
      <c r="AO1206" s="279"/>
      <c r="AP1206" s="279"/>
      <c r="AQ1206" s="378"/>
      <c r="AR1206" s="305">
        <f>'预算书-初步'!$F$10</f>
        <v>0.09</v>
      </c>
      <c r="AT1206" s="272"/>
      <c r="BC1206" s="272" t="s">
        <v>521</v>
      </c>
      <c r="BD1206" s="380">
        <v>1119</v>
      </c>
      <c r="BE1206" s="347" t="s">
        <v>705</v>
      </c>
    </row>
    <row r="1207" s="52" customFormat="1" ht="15.75" customHeight="1" spans="1:57">
      <c r="A1207" s="227"/>
      <c r="B1207" s="332"/>
      <c r="C1207" s="228"/>
      <c r="D1207" s="333"/>
      <c r="E1207" s="334"/>
      <c r="F1207" s="229"/>
      <c r="G1207" s="333"/>
      <c r="H1207" s="335"/>
      <c r="I1207" s="229"/>
      <c r="J1207" s="229"/>
      <c r="K1207" s="336"/>
      <c r="L1207" s="337"/>
      <c r="M1207" s="337"/>
      <c r="N1207" s="337"/>
      <c r="O1207" s="337"/>
      <c r="P1207" s="337"/>
      <c r="Q1207" s="384">
        <v>8342</v>
      </c>
      <c r="R1207" s="271">
        <f t="shared" si="89"/>
        <v>0</v>
      </c>
      <c r="S1207" s="339">
        <f t="shared" si="90"/>
        <v>0</v>
      </c>
      <c r="T1207" s="373"/>
      <c r="U1207" s="373">
        <f>SUMIF(其他!$A$9:$A$65,"8342",其他!$Q$9:Q$65)</f>
        <v>0</v>
      </c>
      <c r="V1207" s="274"/>
      <c r="W1207" s="374"/>
      <c r="X1207" s="375"/>
      <c r="Y1207" s="45" t="s">
        <v>661</v>
      </c>
      <c r="Z1207" s="376"/>
      <c r="AA1207" s="240"/>
      <c r="AB1207" s="345">
        <v>1</v>
      </c>
      <c r="AC1207" s="271"/>
      <c r="AD1207" s="272"/>
      <c r="AE1207" s="273"/>
      <c r="AF1207" s="273"/>
      <c r="AG1207" s="274"/>
      <c r="AH1207" s="275"/>
      <c r="AI1207" s="272"/>
      <c r="AJ1207" s="276"/>
      <c r="AK1207" s="277"/>
      <c r="AL1207" s="278"/>
      <c r="AM1207" s="277"/>
      <c r="AN1207" s="279"/>
      <c r="AO1207" s="279"/>
      <c r="AP1207" s="279"/>
      <c r="AQ1207" s="378"/>
      <c r="AR1207" s="305">
        <f>'预算书-初步'!$F$10</f>
        <v>0.09</v>
      </c>
      <c r="AT1207" s="272"/>
      <c r="BC1207" s="272" t="s">
        <v>521</v>
      </c>
      <c r="BD1207" s="380">
        <v>1119</v>
      </c>
      <c r="BE1207" s="347" t="s">
        <v>705</v>
      </c>
    </row>
    <row r="1208" s="52" customFormat="1" ht="15.75" customHeight="1" spans="1:57">
      <c r="A1208" s="227"/>
      <c r="B1208" s="332"/>
      <c r="C1208" s="228"/>
      <c r="D1208" s="333"/>
      <c r="E1208" s="334"/>
      <c r="F1208" s="229"/>
      <c r="G1208" s="333"/>
      <c r="H1208" s="335"/>
      <c r="I1208" s="229"/>
      <c r="J1208" s="229"/>
      <c r="K1208" s="336"/>
      <c r="L1208" s="337"/>
      <c r="M1208" s="337"/>
      <c r="N1208" s="337"/>
      <c r="O1208" s="337"/>
      <c r="P1208" s="337"/>
      <c r="Q1208" s="384">
        <v>8343</v>
      </c>
      <c r="R1208" s="271">
        <f t="shared" si="89"/>
        <v>0</v>
      </c>
      <c r="S1208" s="339">
        <f t="shared" si="90"/>
        <v>0</v>
      </c>
      <c r="T1208" s="373"/>
      <c r="U1208" s="373">
        <f>SUMIF(其他!$A$9:$A$65,"8343",其他!$Q$9:Q$65)</f>
        <v>0</v>
      </c>
      <c r="V1208" s="274"/>
      <c r="W1208" s="374"/>
      <c r="X1208" s="375"/>
      <c r="Y1208" s="45" t="s">
        <v>662</v>
      </c>
      <c r="Z1208" s="376"/>
      <c r="AA1208" s="240"/>
      <c r="AB1208" s="345">
        <v>1</v>
      </c>
      <c r="AC1208" s="271"/>
      <c r="AD1208" s="272"/>
      <c r="AE1208" s="273"/>
      <c r="AF1208" s="273"/>
      <c r="AG1208" s="274"/>
      <c r="AH1208" s="275"/>
      <c r="AI1208" s="272"/>
      <c r="AJ1208" s="276"/>
      <c r="AK1208" s="277"/>
      <c r="AL1208" s="278"/>
      <c r="AM1208" s="277"/>
      <c r="AN1208" s="279"/>
      <c r="AO1208" s="279"/>
      <c r="AP1208" s="279"/>
      <c r="AQ1208" s="378"/>
      <c r="AR1208" s="305">
        <f>'预算书-初步'!$F$10</f>
        <v>0.09</v>
      </c>
      <c r="AT1208" s="272"/>
      <c r="BC1208" s="272" t="s">
        <v>521</v>
      </c>
      <c r="BD1208" s="380">
        <v>1119</v>
      </c>
      <c r="BE1208" s="347" t="s">
        <v>705</v>
      </c>
    </row>
    <row r="1209" s="52" customFormat="1" ht="15.75" customHeight="1" spans="1:57">
      <c r="A1209" s="227"/>
      <c r="B1209" s="332"/>
      <c r="C1209" s="228"/>
      <c r="D1209" s="333"/>
      <c r="E1209" s="334"/>
      <c r="F1209" s="229"/>
      <c r="G1209" s="333"/>
      <c r="H1209" s="335"/>
      <c r="I1209" s="229"/>
      <c r="J1209" s="229"/>
      <c r="K1209" s="336"/>
      <c r="L1209" s="337"/>
      <c r="M1209" s="337"/>
      <c r="N1209" s="337"/>
      <c r="O1209" s="337"/>
      <c r="P1209" s="337"/>
      <c r="Q1209" s="384">
        <v>8344</v>
      </c>
      <c r="R1209" s="271">
        <f t="shared" si="89"/>
        <v>0</v>
      </c>
      <c r="S1209" s="339">
        <f t="shared" si="90"/>
        <v>0</v>
      </c>
      <c r="T1209" s="373"/>
      <c r="U1209" s="373">
        <f>SUMIF(其他!$A$9:$A$65,"8344",其他!$Q$9:Q$65)</f>
        <v>0</v>
      </c>
      <c r="V1209" s="274"/>
      <c r="W1209" s="374"/>
      <c r="X1209" s="375"/>
      <c r="Y1209" s="385" t="s">
        <v>663</v>
      </c>
      <c r="Z1209" s="376"/>
      <c r="AA1209" s="240"/>
      <c r="AB1209" s="345">
        <v>1</v>
      </c>
      <c r="AC1209" s="271"/>
      <c r="AD1209" s="272"/>
      <c r="AE1209" s="273"/>
      <c r="AF1209" s="273"/>
      <c r="AG1209" s="274"/>
      <c r="AH1209" s="275"/>
      <c r="AI1209" s="272"/>
      <c r="AJ1209" s="276"/>
      <c r="AK1209" s="277"/>
      <c r="AL1209" s="278"/>
      <c r="AM1209" s="277"/>
      <c r="AN1209" s="279"/>
      <c r="AO1209" s="279"/>
      <c r="AP1209" s="279"/>
      <c r="AQ1209" s="378"/>
      <c r="AR1209" s="305">
        <f>'预算书-初步'!$F$10</f>
        <v>0.09</v>
      </c>
      <c r="AT1209" s="272"/>
      <c r="BC1209" s="272" t="s">
        <v>521</v>
      </c>
      <c r="BD1209" s="380">
        <v>1120</v>
      </c>
      <c r="BE1209" s="347" t="s">
        <v>705</v>
      </c>
    </row>
    <row r="1210" s="52" customFormat="1" ht="15.75" customHeight="1" spans="1:57">
      <c r="A1210" s="227"/>
      <c r="B1210" s="332"/>
      <c r="C1210" s="228"/>
      <c r="D1210" s="333"/>
      <c r="E1210" s="334"/>
      <c r="F1210" s="229"/>
      <c r="G1210" s="333"/>
      <c r="H1210" s="335"/>
      <c r="I1210" s="229"/>
      <c r="J1210" s="229"/>
      <c r="K1210" s="336"/>
      <c r="L1210" s="337"/>
      <c r="M1210" s="337"/>
      <c r="N1210" s="337"/>
      <c r="O1210" s="337"/>
      <c r="P1210" s="337"/>
      <c r="Q1210" s="384">
        <v>8345</v>
      </c>
      <c r="R1210" s="271">
        <f t="shared" si="89"/>
        <v>0</v>
      </c>
      <c r="S1210" s="339">
        <f t="shared" si="90"/>
        <v>0</v>
      </c>
      <c r="T1210" s="373"/>
      <c r="U1210" s="373">
        <f>SUMIF(其他!$A$9:$A$65,"8345",其他!$Q$9:Q$65)</f>
        <v>0</v>
      </c>
      <c r="V1210" s="274"/>
      <c r="W1210" s="374"/>
      <c r="X1210" s="375"/>
      <c r="Y1210" s="385" t="s">
        <v>664</v>
      </c>
      <c r="Z1210" s="376"/>
      <c r="AA1210" s="240"/>
      <c r="AB1210" s="345">
        <v>1</v>
      </c>
      <c r="AC1210" s="271"/>
      <c r="AD1210" s="272"/>
      <c r="AE1210" s="273"/>
      <c r="AF1210" s="273"/>
      <c r="AG1210" s="274"/>
      <c r="AH1210" s="275"/>
      <c r="AI1210" s="272"/>
      <c r="AJ1210" s="276"/>
      <c r="AK1210" s="277"/>
      <c r="AL1210" s="278"/>
      <c r="AM1210" s="277"/>
      <c r="AN1210" s="279"/>
      <c r="AO1210" s="279"/>
      <c r="AP1210" s="279"/>
      <c r="AQ1210" s="378"/>
      <c r="AR1210" s="305">
        <f>'预算书-初步'!$F$10</f>
        <v>0.09</v>
      </c>
      <c r="AT1210" s="272"/>
      <c r="BC1210" s="272" t="s">
        <v>521</v>
      </c>
      <c r="BD1210" s="380">
        <v>1120</v>
      </c>
      <c r="BE1210" s="347" t="s">
        <v>705</v>
      </c>
    </row>
    <row r="1211" s="52" customFormat="1" ht="15.75" customHeight="1" spans="1:57">
      <c r="A1211" s="227"/>
      <c r="B1211" s="332"/>
      <c r="C1211" s="228"/>
      <c r="D1211" s="333"/>
      <c r="E1211" s="334"/>
      <c r="F1211" s="229"/>
      <c r="G1211" s="333"/>
      <c r="H1211" s="335"/>
      <c r="I1211" s="229"/>
      <c r="J1211" s="229"/>
      <c r="K1211" s="336"/>
      <c r="L1211" s="337"/>
      <c r="M1211" s="337"/>
      <c r="N1211" s="337"/>
      <c r="O1211" s="337"/>
      <c r="P1211" s="337"/>
      <c r="Q1211" s="384">
        <v>8346</v>
      </c>
      <c r="R1211" s="271">
        <f t="shared" si="89"/>
        <v>0</v>
      </c>
      <c r="S1211" s="339">
        <f t="shared" si="90"/>
        <v>0</v>
      </c>
      <c r="T1211" s="373"/>
      <c r="U1211" s="373">
        <f>SUMIF(其他!$A$9:$A$65,"8346",其他!$Q$9:Q$65)</f>
        <v>0</v>
      </c>
      <c r="V1211" s="274"/>
      <c r="W1211" s="374"/>
      <c r="X1211" s="375"/>
      <c r="Y1211" s="45" t="s">
        <v>665</v>
      </c>
      <c r="Z1211" s="376"/>
      <c r="AA1211" s="240"/>
      <c r="AB1211" s="345">
        <v>1</v>
      </c>
      <c r="AC1211" s="271"/>
      <c r="AD1211" s="272"/>
      <c r="AE1211" s="273"/>
      <c r="AF1211" s="273"/>
      <c r="AG1211" s="274"/>
      <c r="AH1211" s="275"/>
      <c r="AI1211" s="272"/>
      <c r="AJ1211" s="276"/>
      <c r="AK1211" s="277"/>
      <c r="AL1211" s="278"/>
      <c r="AM1211" s="277"/>
      <c r="AN1211" s="279"/>
      <c r="AO1211" s="279"/>
      <c r="AP1211" s="279"/>
      <c r="AQ1211" s="378"/>
      <c r="AR1211" s="305">
        <f>'预算书-初步'!$F$10</f>
        <v>0.09</v>
      </c>
      <c r="AT1211" s="272"/>
      <c r="BC1211" s="272" t="s">
        <v>521</v>
      </c>
      <c r="BD1211" s="380">
        <v>1120</v>
      </c>
      <c r="BE1211" s="347" t="s">
        <v>705</v>
      </c>
    </row>
    <row r="1212" s="52" customFormat="1" ht="15.75" customHeight="1" spans="1:57">
      <c r="A1212" s="227"/>
      <c r="B1212" s="332"/>
      <c r="C1212" s="228"/>
      <c r="D1212" s="333"/>
      <c r="E1212" s="334"/>
      <c r="F1212" s="229"/>
      <c r="G1212" s="333"/>
      <c r="H1212" s="335"/>
      <c r="I1212" s="229"/>
      <c r="J1212" s="229"/>
      <c r="K1212" s="336"/>
      <c r="L1212" s="337"/>
      <c r="M1212" s="337"/>
      <c r="N1212" s="337"/>
      <c r="O1212" s="337"/>
      <c r="P1212" s="337"/>
      <c r="Q1212" s="384">
        <v>8347</v>
      </c>
      <c r="R1212" s="271">
        <f t="shared" si="89"/>
        <v>0</v>
      </c>
      <c r="S1212" s="339">
        <f t="shared" si="90"/>
        <v>0</v>
      </c>
      <c r="T1212" s="373"/>
      <c r="U1212" s="373">
        <f>SUMIF(其他!$A$9:$A$65,"8347",其他!$Q$9:Q$65)</f>
        <v>0</v>
      </c>
      <c r="V1212" s="274"/>
      <c r="W1212" s="374"/>
      <c r="X1212" s="375"/>
      <c r="Y1212" s="45" t="s">
        <v>666</v>
      </c>
      <c r="Z1212" s="376"/>
      <c r="AA1212" s="240"/>
      <c r="AB1212" s="345">
        <v>1</v>
      </c>
      <c r="AC1212" s="271"/>
      <c r="AD1212" s="272"/>
      <c r="AE1212" s="273"/>
      <c r="AF1212" s="273"/>
      <c r="AG1212" s="274"/>
      <c r="AH1212" s="275"/>
      <c r="AI1212" s="272"/>
      <c r="AJ1212" s="276"/>
      <c r="AK1212" s="277"/>
      <c r="AL1212" s="278"/>
      <c r="AM1212" s="277"/>
      <c r="AN1212" s="279"/>
      <c r="AO1212" s="279"/>
      <c r="AP1212" s="279"/>
      <c r="AQ1212" s="378"/>
      <c r="AR1212" s="305">
        <f>'预算书-初步'!$F$10</f>
        <v>0.09</v>
      </c>
      <c r="AT1212" s="272"/>
      <c r="BC1212" s="272" t="s">
        <v>521</v>
      </c>
      <c r="BD1212" s="380">
        <v>1120</v>
      </c>
      <c r="BE1212" s="347" t="s">
        <v>705</v>
      </c>
    </row>
    <row r="1213" s="52" customFormat="1" ht="15.75" customHeight="1" spans="1:57">
      <c r="A1213" s="227"/>
      <c r="B1213" s="332"/>
      <c r="C1213" s="228"/>
      <c r="D1213" s="333"/>
      <c r="E1213" s="334"/>
      <c r="F1213" s="229"/>
      <c r="G1213" s="333"/>
      <c r="H1213" s="335"/>
      <c r="I1213" s="229"/>
      <c r="J1213" s="229"/>
      <c r="K1213" s="336"/>
      <c r="L1213" s="337"/>
      <c r="M1213" s="337"/>
      <c r="N1213" s="337"/>
      <c r="O1213" s="337"/>
      <c r="P1213" s="337"/>
      <c r="Q1213" s="384">
        <v>8348</v>
      </c>
      <c r="R1213" s="271">
        <f t="shared" si="89"/>
        <v>0</v>
      </c>
      <c r="S1213" s="339">
        <f t="shared" si="90"/>
        <v>0</v>
      </c>
      <c r="T1213" s="373"/>
      <c r="U1213" s="373">
        <f>SUMIF(其他!$A$9:$A$65,"8348",其他!$Q$9:Q$65)</f>
        <v>0</v>
      </c>
      <c r="V1213" s="274"/>
      <c r="W1213" s="374"/>
      <c r="X1213" s="375"/>
      <c r="Y1213" s="45" t="s">
        <v>667</v>
      </c>
      <c r="Z1213" s="376"/>
      <c r="AA1213" s="240"/>
      <c r="AB1213" s="345">
        <v>1</v>
      </c>
      <c r="AC1213" s="271"/>
      <c r="AD1213" s="272"/>
      <c r="AE1213" s="273"/>
      <c r="AF1213" s="273"/>
      <c r="AG1213" s="274"/>
      <c r="AH1213" s="275"/>
      <c r="AI1213" s="272"/>
      <c r="AJ1213" s="276"/>
      <c r="AK1213" s="277"/>
      <c r="AL1213" s="278"/>
      <c r="AM1213" s="277"/>
      <c r="AN1213" s="279"/>
      <c r="AO1213" s="279"/>
      <c r="AP1213" s="279"/>
      <c r="AQ1213" s="378"/>
      <c r="AR1213" s="305">
        <f>'预算书-初步'!$F$10</f>
        <v>0.09</v>
      </c>
      <c r="AT1213" s="272"/>
      <c r="BC1213" s="272" t="s">
        <v>521</v>
      </c>
      <c r="BD1213" s="380">
        <v>1120</v>
      </c>
      <c r="BE1213" s="347" t="s">
        <v>705</v>
      </c>
    </row>
    <row r="1214" s="52" customFormat="1" ht="15.75" customHeight="1" spans="1:57">
      <c r="A1214" s="227"/>
      <c r="B1214" s="332"/>
      <c r="C1214" s="228"/>
      <c r="D1214" s="333"/>
      <c r="E1214" s="334"/>
      <c r="F1214" s="229"/>
      <c r="G1214" s="333"/>
      <c r="H1214" s="335"/>
      <c r="I1214" s="229"/>
      <c r="J1214" s="229"/>
      <c r="K1214" s="336"/>
      <c r="L1214" s="337"/>
      <c r="M1214" s="337"/>
      <c r="N1214" s="337"/>
      <c r="O1214" s="337"/>
      <c r="P1214" s="337"/>
      <c r="Q1214" s="384">
        <v>8349</v>
      </c>
      <c r="R1214" s="271">
        <f t="shared" si="89"/>
        <v>0</v>
      </c>
      <c r="S1214" s="339">
        <f t="shared" si="90"/>
        <v>0</v>
      </c>
      <c r="T1214" s="373"/>
      <c r="U1214" s="373">
        <f>SUMIF(其他!$A$9:$A$65,"8349",其他!$Q$9:Q$65)</f>
        <v>0</v>
      </c>
      <c r="V1214" s="274"/>
      <c r="W1214" s="374"/>
      <c r="X1214" s="375"/>
      <c r="Y1214" s="45" t="s">
        <v>668</v>
      </c>
      <c r="Z1214" s="376"/>
      <c r="AA1214" s="240"/>
      <c r="AB1214" s="345">
        <v>1</v>
      </c>
      <c r="AC1214" s="271"/>
      <c r="AD1214" s="272"/>
      <c r="AE1214" s="273"/>
      <c r="AF1214" s="273"/>
      <c r="AG1214" s="274"/>
      <c r="AH1214" s="275"/>
      <c r="AI1214" s="272"/>
      <c r="AJ1214" s="276"/>
      <c r="AK1214" s="277"/>
      <c r="AL1214" s="278"/>
      <c r="AM1214" s="277"/>
      <c r="AN1214" s="279"/>
      <c r="AO1214" s="279"/>
      <c r="AP1214" s="279"/>
      <c r="AQ1214" s="378"/>
      <c r="AR1214" s="305">
        <f>'预算书-初步'!$F$10</f>
        <v>0.09</v>
      </c>
      <c r="AT1214" s="272"/>
      <c r="BC1214" s="272" t="s">
        <v>521</v>
      </c>
      <c r="BD1214" s="380">
        <v>1120</v>
      </c>
      <c r="BE1214" s="347" t="s">
        <v>705</v>
      </c>
    </row>
    <row r="1215" s="52" customFormat="1" ht="15.75" customHeight="1" spans="1:57">
      <c r="A1215" s="227"/>
      <c r="B1215" s="332"/>
      <c r="C1215" s="228"/>
      <c r="D1215" s="333"/>
      <c r="E1215" s="334"/>
      <c r="F1215" s="229"/>
      <c r="G1215" s="333"/>
      <c r="H1215" s="335"/>
      <c r="I1215" s="229"/>
      <c r="J1215" s="229"/>
      <c r="K1215" s="336"/>
      <c r="L1215" s="337"/>
      <c r="M1215" s="337"/>
      <c r="N1215" s="337"/>
      <c r="O1215" s="337"/>
      <c r="P1215" s="337"/>
      <c r="Q1215" s="384">
        <v>8352</v>
      </c>
      <c r="R1215" s="271">
        <f t="shared" si="89"/>
        <v>0</v>
      </c>
      <c r="S1215" s="339">
        <f t="shared" si="90"/>
        <v>0</v>
      </c>
      <c r="T1215" s="373"/>
      <c r="U1215" s="373">
        <f>SUMIF(其他!$A$9:$A$65,"8352",其他!$Q$9:Q$65)</f>
        <v>0</v>
      </c>
      <c r="V1215" s="274"/>
      <c r="W1215" s="374"/>
      <c r="X1215" s="375"/>
      <c r="Y1215" s="45" t="s">
        <v>669</v>
      </c>
      <c r="Z1215" s="376"/>
      <c r="AA1215" s="240"/>
      <c r="AB1215" s="345">
        <v>1</v>
      </c>
      <c r="AC1215" s="271"/>
      <c r="AD1215" s="272"/>
      <c r="AE1215" s="273"/>
      <c r="AF1215" s="273"/>
      <c r="AG1215" s="274"/>
      <c r="AH1215" s="275"/>
      <c r="AI1215" s="272"/>
      <c r="AJ1215" s="276"/>
      <c r="AK1215" s="277"/>
      <c r="AL1215" s="278"/>
      <c r="AM1215" s="277"/>
      <c r="AN1215" s="279"/>
      <c r="AO1215" s="279"/>
      <c r="AP1215" s="279"/>
      <c r="AQ1215" s="378"/>
      <c r="AR1215" s="305">
        <f>'预算书-初步'!$F$10</f>
        <v>0.09</v>
      </c>
      <c r="AT1215" s="272"/>
      <c r="BC1215" s="272" t="s">
        <v>521</v>
      </c>
      <c r="BD1215" s="380">
        <v>1121</v>
      </c>
      <c r="BE1215" s="347" t="s">
        <v>705</v>
      </c>
    </row>
    <row r="1216" s="52" customFormat="1" ht="15.75" customHeight="1" spans="1:57">
      <c r="A1216" s="227"/>
      <c r="B1216" s="332"/>
      <c r="C1216" s="228"/>
      <c r="D1216" s="333"/>
      <c r="E1216" s="334"/>
      <c r="F1216" s="229"/>
      <c r="G1216" s="333"/>
      <c r="H1216" s="335"/>
      <c r="I1216" s="229"/>
      <c r="J1216" s="229"/>
      <c r="K1216" s="336"/>
      <c r="L1216" s="337"/>
      <c r="M1216" s="337"/>
      <c r="N1216" s="337"/>
      <c r="O1216" s="337"/>
      <c r="P1216" s="337"/>
      <c r="Q1216" s="384">
        <v>8353</v>
      </c>
      <c r="R1216" s="271">
        <f t="shared" si="89"/>
        <v>0</v>
      </c>
      <c r="S1216" s="339">
        <f t="shared" si="90"/>
        <v>0</v>
      </c>
      <c r="T1216" s="373"/>
      <c r="U1216" s="373">
        <f>SUMIF(其他!$A$9:$A$65,"8353",其他!$Q$9:Q$65)</f>
        <v>0</v>
      </c>
      <c r="V1216" s="274"/>
      <c r="W1216" s="374"/>
      <c r="X1216" s="375"/>
      <c r="Y1216" s="45" t="s">
        <v>670</v>
      </c>
      <c r="Z1216" s="376"/>
      <c r="AA1216" s="240"/>
      <c r="AB1216" s="345">
        <v>1</v>
      </c>
      <c r="AC1216" s="271"/>
      <c r="AD1216" s="272"/>
      <c r="AE1216" s="273"/>
      <c r="AF1216" s="273"/>
      <c r="AG1216" s="274"/>
      <c r="AH1216" s="275"/>
      <c r="AI1216" s="272"/>
      <c r="AJ1216" s="276"/>
      <c r="AK1216" s="277"/>
      <c r="AL1216" s="278"/>
      <c r="AM1216" s="277"/>
      <c r="AN1216" s="279"/>
      <c r="AO1216" s="279"/>
      <c r="AP1216" s="279"/>
      <c r="AQ1216" s="378"/>
      <c r="AR1216" s="305">
        <f>'预算书-初步'!$F$10</f>
        <v>0.09</v>
      </c>
      <c r="AT1216" s="272"/>
      <c r="BC1216" s="272" t="s">
        <v>521</v>
      </c>
      <c r="BD1216" s="380">
        <v>1121</v>
      </c>
      <c r="BE1216" s="347" t="s">
        <v>705</v>
      </c>
    </row>
    <row r="1217" s="52" customFormat="1" ht="15.75" customHeight="1" spans="1:57">
      <c r="A1217" s="227"/>
      <c r="B1217" s="332"/>
      <c r="C1217" s="228"/>
      <c r="D1217" s="333"/>
      <c r="E1217" s="334"/>
      <c r="F1217" s="229"/>
      <c r="G1217" s="333"/>
      <c r="H1217" s="335"/>
      <c r="I1217" s="229"/>
      <c r="J1217" s="229"/>
      <c r="K1217" s="336"/>
      <c r="L1217" s="337"/>
      <c r="M1217" s="337"/>
      <c r="N1217" s="337"/>
      <c r="O1217" s="337"/>
      <c r="P1217" s="337"/>
      <c r="Q1217" s="384">
        <v>8354</v>
      </c>
      <c r="R1217" s="271">
        <f t="shared" si="89"/>
        <v>0</v>
      </c>
      <c r="S1217" s="339">
        <f t="shared" si="90"/>
        <v>0</v>
      </c>
      <c r="T1217" s="373"/>
      <c r="U1217" s="373">
        <f>SUMIF(其他!$A$9:$A$65,"8354",其他!$Q$9:Q$65)</f>
        <v>0</v>
      </c>
      <c r="V1217" s="274"/>
      <c r="W1217" s="374"/>
      <c r="X1217" s="375"/>
      <c r="Y1217" s="45" t="s">
        <v>671</v>
      </c>
      <c r="Z1217" s="376"/>
      <c r="AA1217" s="240"/>
      <c r="AB1217" s="345">
        <v>1</v>
      </c>
      <c r="AC1217" s="271"/>
      <c r="AD1217" s="272"/>
      <c r="AE1217" s="273"/>
      <c r="AF1217" s="273"/>
      <c r="AG1217" s="274"/>
      <c r="AH1217" s="275"/>
      <c r="AI1217" s="272"/>
      <c r="AJ1217" s="276"/>
      <c r="AK1217" s="277"/>
      <c r="AL1217" s="278"/>
      <c r="AM1217" s="277"/>
      <c r="AN1217" s="279"/>
      <c r="AO1217" s="279"/>
      <c r="AP1217" s="279"/>
      <c r="AQ1217" s="378"/>
      <c r="AR1217" s="305">
        <f>'预算书-初步'!$F$10</f>
        <v>0.09</v>
      </c>
      <c r="AT1217" s="272"/>
      <c r="BC1217" s="272" t="s">
        <v>521</v>
      </c>
      <c r="BD1217" s="380">
        <v>1121</v>
      </c>
      <c r="BE1217" s="347" t="s">
        <v>705</v>
      </c>
    </row>
    <row r="1218" s="52" customFormat="1" ht="15.75" customHeight="1" spans="1:57">
      <c r="A1218" s="227"/>
      <c r="B1218" s="332"/>
      <c r="C1218" s="228"/>
      <c r="D1218" s="333"/>
      <c r="E1218" s="334"/>
      <c r="F1218" s="229"/>
      <c r="G1218" s="333"/>
      <c r="H1218" s="335"/>
      <c r="I1218" s="229"/>
      <c r="J1218" s="229"/>
      <c r="K1218" s="336"/>
      <c r="L1218" s="337"/>
      <c r="M1218" s="337"/>
      <c r="N1218" s="337"/>
      <c r="O1218" s="337"/>
      <c r="P1218" s="337"/>
      <c r="Q1218" s="384">
        <v>8355</v>
      </c>
      <c r="R1218" s="271">
        <f t="shared" si="89"/>
        <v>0</v>
      </c>
      <c r="S1218" s="339">
        <f t="shared" si="90"/>
        <v>0</v>
      </c>
      <c r="T1218" s="373"/>
      <c r="U1218" s="373">
        <f>SUMIF(其他!$A$9:$A$65,"8355",其他!$Q$9:Q$65)</f>
        <v>0</v>
      </c>
      <c r="V1218" s="274"/>
      <c r="W1218" s="374"/>
      <c r="X1218" s="375"/>
      <c r="Y1218" s="365" t="s">
        <v>672</v>
      </c>
      <c r="Z1218" s="376"/>
      <c r="AA1218" s="240"/>
      <c r="AB1218" s="345">
        <v>1</v>
      </c>
      <c r="AC1218" s="271"/>
      <c r="AD1218" s="272"/>
      <c r="AE1218" s="273"/>
      <c r="AF1218" s="273"/>
      <c r="AG1218" s="274"/>
      <c r="AH1218" s="275"/>
      <c r="AI1218" s="272"/>
      <c r="AJ1218" s="276"/>
      <c r="AK1218" s="277"/>
      <c r="AL1218" s="278"/>
      <c r="AM1218" s="277"/>
      <c r="AN1218" s="279"/>
      <c r="AO1218" s="279"/>
      <c r="AP1218" s="279"/>
      <c r="AQ1218" s="378"/>
      <c r="AR1218" s="305">
        <f>'预算书-初步'!$F$10</f>
        <v>0.09</v>
      </c>
      <c r="AT1218" s="272"/>
      <c r="BC1218" s="272" t="s">
        <v>521</v>
      </c>
      <c r="BD1218" s="380">
        <v>1121</v>
      </c>
      <c r="BE1218" s="347" t="s">
        <v>705</v>
      </c>
    </row>
    <row r="1219" s="52" customFormat="1" ht="15.75" customHeight="1" spans="1:57">
      <c r="A1219" s="227"/>
      <c r="B1219" s="332"/>
      <c r="C1219" s="228"/>
      <c r="D1219" s="333"/>
      <c r="E1219" s="334"/>
      <c r="F1219" s="229"/>
      <c r="G1219" s="333"/>
      <c r="H1219" s="335"/>
      <c r="I1219" s="229"/>
      <c r="J1219" s="229"/>
      <c r="K1219" s="336"/>
      <c r="L1219" s="337"/>
      <c r="M1219" s="337"/>
      <c r="N1219" s="337"/>
      <c r="O1219" s="337"/>
      <c r="P1219" s="337"/>
      <c r="Q1219" s="384">
        <v>8357</v>
      </c>
      <c r="R1219" s="271">
        <f t="shared" si="89"/>
        <v>0</v>
      </c>
      <c r="S1219" s="339">
        <f t="shared" ref="S1219:S1245" si="91">$S$5</f>
        <v>0</v>
      </c>
      <c r="T1219" s="373"/>
      <c r="U1219" s="373">
        <f>FA!N$133</f>
        <v>0</v>
      </c>
      <c r="V1219" s="274"/>
      <c r="W1219" s="374"/>
      <c r="X1219" s="375"/>
      <c r="Y1219" s="390" t="s">
        <v>673</v>
      </c>
      <c r="Z1219" s="376"/>
      <c r="AA1219" s="240"/>
      <c r="AB1219" s="345">
        <v>1</v>
      </c>
      <c r="AC1219" s="271"/>
      <c r="AD1219" s="272"/>
      <c r="AE1219" s="273"/>
      <c r="AF1219" s="273"/>
      <c r="AG1219" s="274"/>
      <c r="AH1219" s="275"/>
      <c r="AI1219" s="272"/>
      <c r="AJ1219" s="276"/>
      <c r="AK1219" s="277"/>
      <c r="AL1219" s="278"/>
      <c r="AM1219" s="277"/>
      <c r="AN1219" s="279"/>
      <c r="AO1219" s="279"/>
      <c r="AP1219" s="279"/>
      <c r="AQ1219" s="378"/>
      <c r="AR1219" s="305">
        <f>'预算书-初步'!$F$10</f>
        <v>0.09</v>
      </c>
      <c r="AT1219" s="272"/>
      <c r="BC1219" s="272" t="s">
        <v>521</v>
      </c>
      <c r="BD1219" s="380">
        <v>1122</v>
      </c>
      <c r="BE1219" s="347" t="s">
        <v>705</v>
      </c>
    </row>
    <row r="1220" s="52" customFormat="1" ht="15.75" customHeight="1" spans="1:57">
      <c r="A1220" s="227"/>
      <c r="B1220" s="332"/>
      <c r="C1220" s="228"/>
      <c r="D1220" s="333"/>
      <c r="E1220" s="334"/>
      <c r="F1220" s="229"/>
      <c r="G1220" s="333"/>
      <c r="H1220" s="335"/>
      <c r="I1220" s="229"/>
      <c r="J1220" s="229"/>
      <c r="K1220" s="336"/>
      <c r="L1220" s="337"/>
      <c r="M1220" s="337"/>
      <c r="N1220" s="337"/>
      <c r="O1220" s="337"/>
      <c r="P1220" s="337"/>
      <c r="Q1220" s="381">
        <v>8361</v>
      </c>
      <c r="R1220" s="271">
        <f t="shared" si="89"/>
        <v>0</v>
      </c>
      <c r="S1220" s="339">
        <f t="shared" si="91"/>
        <v>0</v>
      </c>
      <c r="T1220" s="373"/>
      <c r="U1220" s="373">
        <f>SUMIF(其他!$A$9:$A$65,"8361",其他!$Q$9:Q$65)</f>
        <v>0</v>
      </c>
      <c r="V1220" s="274"/>
      <c r="W1220" s="374"/>
      <c r="X1220" s="375"/>
      <c r="Y1220" s="45" t="s">
        <v>674</v>
      </c>
      <c r="Z1220" s="376"/>
      <c r="AA1220" s="240"/>
      <c r="AB1220" s="345">
        <v>1</v>
      </c>
      <c r="AC1220" s="271"/>
      <c r="AD1220" s="272"/>
      <c r="AE1220" s="273"/>
      <c r="AF1220" s="273"/>
      <c r="AG1220" s="274"/>
      <c r="AH1220" s="275"/>
      <c r="AI1220" s="272"/>
      <c r="AJ1220" s="276"/>
      <c r="AK1220" s="277"/>
      <c r="AL1220" s="278"/>
      <c r="AM1220" s="277"/>
      <c r="AN1220" s="279"/>
      <c r="AO1220" s="279"/>
      <c r="AP1220" s="279"/>
      <c r="AQ1220" s="378"/>
      <c r="AR1220" s="305">
        <f>'预算书-初步'!$F$10</f>
        <v>0.09</v>
      </c>
      <c r="AT1220" s="272"/>
      <c r="BC1220" s="272" t="s">
        <v>521</v>
      </c>
      <c r="BD1220" s="380">
        <v>1123</v>
      </c>
      <c r="BE1220" s="347" t="s">
        <v>705</v>
      </c>
    </row>
    <row r="1221" s="52" customFormat="1" ht="15.75" customHeight="1" spans="1:57">
      <c r="A1221" s="227"/>
      <c r="B1221" s="332"/>
      <c r="C1221" s="228"/>
      <c r="D1221" s="333"/>
      <c r="E1221" s="334"/>
      <c r="F1221" s="229"/>
      <c r="G1221" s="333"/>
      <c r="H1221" s="335"/>
      <c r="I1221" s="229"/>
      <c r="J1221" s="229"/>
      <c r="K1221" s="336"/>
      <c r="L1221" s="337"/>
      <c r="M1221" s="337"/>
      <c r="N1221" s="337"/>
      <c r="O1221" s="337"/>
      <c r="P1221" s="337"/>
      <c r="Q1221" s="381">
        <v>8362</v>
      </c>
      <c r="R1221" s="271">
        <f t="shared" si="89"/>
        <v>0</v>
      </c>
      <c r="S1221" s="339">
        <f t="shared" si="91"/>
        <v>0</v>
      </c>
      <c r="T1221" s="373"/>
      <c r="U1221" s="373">
        <f>SUMIF(其他!$A$9:$A$65,"8362",其他!$Q$9:Q$65)</f>
        <v>0</v>
      </c>
      <c r="V1221" s="274"/>
      <c r="W1221" s="374"/>
      <c r="X1221" s="375"/>
      <c r="Y1221" s="45" t="s">
        <v>675</v>
      </c>
      <c r="Z1221" s="376"/>
      <c r="AA1221" s="240"/>
      <c r="AB1221" s="345">
        <v>1</v>
      </c>
      <c r="AC1221" s="271"/>
      <c r="AD1221" s="272"/>
      <c r="AE1221" s="273"/>
      <c r="AF1221" s="273"/>
      <c r="AG1221" s="274"/>
      <c r="AH1221" s="275"/>
      <c r="AI1221" s="272"/>
      <c r="AJ1221" s="276"/>
      <c r="AK1221" s="277"/>
      <c r="AL1221" s="278"/>
      <c r="AM1221" s="277"/>
      <c r="AN1221" s="279"/>
      <c r="AO1221" s="279"/>
      <c r="AP1221" s="279"/>
      <c r="AQ1221" s="378"/>
      <c r="AR1221" s="305">
        <f>'预算书-初步'!$F$10</f>
        <v>0.09</v>
      </c>
      <c r="AT1221" s="272"/>
      <c r="BC1221" s="272" t="s">
        <v>521</v>
      </c>
      <c r="BD1221" s="380">
        <v>1123</v>
      </c>
      <c r="BE1221" s="347" t="s">
        <v>705</v>
      </c>
    </row>
    <row r="1222" s="52" customFormat="1" ht="15.75" customHeight="1" spans="1:57">
      <c r="A1222" s="227"/>
      <c r="B1222" s="332"/>
      <c r="C1222" s="228"/>
      <c r="D1222" s="333"/>
      <c r="E1222" s="334"/>
      <c r="F1222" s="229"/>
      <c r="G1222" s="333"/>
      <c r="H1222" s="335"/>
      <c r="I1222" s="229"/>
      <c r="J1222" s="229"/>
      <c r="K1222" s="336"/>
      <c r="L1222" s="337"/>
      <c r="M1222" s="337"/>
      <c r="N1222" s="337"/>
      <c r="O1222" s="337"/>
      <c r="P1222" s="337"/>
      <c r="Q1222" s="381">
        <v>8391</v>
      </c>
      <c r="R1222" s="271">
        <f t="shared" ref="R1222:R1245" si="92">ROUND(U1222*(1+AR1222),0)</f>
        <v>0</v>
      </c>
      <c r="S1222" s="339">
        <f t="shared" si="91"/>
        <v>0</v>
      </c>
      <c r="T1222" s="373"/>
      <c r="U1222" s="373">
        <f>FA!N$135</f>
        <v>0</v>
      </c>
      <c r="V1222" s="274"/>
      <c r="W1222" s="374"/>
      <c r="X1222" s="375"/>
      <c r="Y1222" s="45" t="s">
        <v>676</v>
      </c>
      <c r="Z1222" s="376"/>
      <c r="AA1222" s="240"/>
      <c r="AB1222" s="345">
        <v>1</v>
      </c>
      <c r="AC1222" s="271"/>
      <c r="AD1222" s="272"/>
      <c r="AE1222" s="273"/>
      <c r="AF1222" s="273"/>
      <c r="AG1222" s="274"/>
      <c r="AH1222" s="275"/>
      <c r="AI1222" s="272"/>
      <c r="AJ1222" s="276"/>
      <c r="AK1222" s="277"/>
      <c r="AL1222" s="278"/>
      <c r="AM1222" s="277"/>
      <c r="AN1222" s="279"/>
      <c r="AO1222" s="279"/>
      <c r="AP1222" s="279"/>
      <c r="AQ1222" s="378"/>
      <c r="AR1222" s="305">
        <f>'预算书-初步'!$F$10</f>
        <v>0.09</v>
      </c>
      <c r="AT1222" s="272"/>
      <c r="BC1222" s="272" t="s">
        <v>521</v>
      </c>
      <c r="BD1222" s="380">
        <v>1124</v>
      </c>
      <c r="BE1222" s="347" t="s">
        <v>705</v>
      </c>
    </row>
    <row r="1223" s="52" customFormat="1" ht="15.75" customHeight="1" spans="1:57">
      <c r="A1223" s="227"/>
      <c r="B1223" s="332"/>
      <c r="C1223" s="228"/>
      <c r="D1223" s="333"/>
      <c r="E1223" s="334"/>
      <c r="F1223" s="229"/>
      <c r="G1223" s="333"/>
      <c r="H1223" s="335"/>
      <c r="I1223" s="229"/>
      <c r="J1223" s="229"/>
      <c r="K1223" s="336"/>
      <c r="L1223" s="337"/>
      <c r="M1223" s="337"/>
      <c r="N1223" s="337"/>
      <c r="O1223" s="337"/>
      <c r="P1223" s="337"/>
      <c r="Q1223" s="381">
        <v>8392</v>
      </c>
      <c r="R1223" s="271">
        <f t="shared" si="92"/>
        <v>0</v>
      </c>
      <c r="S1223" s="339">
        <f t="shared" si="91"/>
        <v>0</v>
      </c>
      <c r="T1223" s="373"/>
      <c r="U1223" s="373">
        <f>SUMIF(其他!$A$9:$A$65,"8392",其他!$Q$9:Q$65)</f>
        <v>0</v>
      </c>
      <c r="V1223" s="274"/>
      <c r="W1223" s="374"/>
      <c r="X1223" s="375"/>
      <c r="Y1223" s="45" t="s">
        <v>677</v>
      </c>
      <c r="Z1223" s="376"/>
      <c r="AA1223" s="240"/>
      <c r="AB1223" s="345">
        <v>1</v>
      </c>
      <c r="AC1223" s="271"/>
      <c r="AD1223" s="272"/>
      <c r="AE1223" s="273"/>
      <c r="AF1223" s="273"/>
      <c r="AG1223" s="274"/>
      <c r="AH1223" s="275"/>
      <c r="AI1223" s="272"/>
      <c r="AJ1223" s="276"/>
      <c r="AK1223" s="277"/>
      <c r="AL1223" s="278"/>
      <c r="AM1223" s="277"/>
      <c r="AN1223" s="279"/>
      <c r="AO1223" s="279"/>
      <c r="AP1223" s="279"/>
      <c r="AQ1223" s="378"/>
      <c r="AR1223" s="305">
        <f>'预算书-初步'!$F$10</f>
        <v>0.09</v>
      </c>
      <c r="AT1223" s="272"/>
      <c r="BC1223" s="272" t="s">
        <v>521</v>
      </c>
      <c r="BD1223" s="380">
        <v>1125</v>
      </c>
      <c r="BE1223" s="347" t="s">
        <v>705</v>
      </c>
    </row>
    <row r="1224" s="52" customFormat="1" ht="15.75" customHeight="1" spans="1:57">
      <c r="A1224" s="227"/>
      <c r="B1224" s="332"/>
      <c r="C1224" s="228"/>
      <c r="D1224" s="333"/>
      <c r="E1224" s="334"/>
      <c r="F1224" s="229"/>
      <c r="G1224" s="333"/>
      <c r="H1224" s="335"/>
      <c r="I1224" s="229"/>
      <c r="J1224" s="229"/>
      <c r="K1224" s="336"/>
      <c r="L1224" s="337"/>
      <c r="M1224" s="337"/>
      <c r="N1224" s="337"/>
      <c r="O1224" s="337"/>
      <c r="P1224" s="337"/>
      <c r="Q1224" s="381">
        <v>8393</v>
      </c>
      <c r="R1224" s="271">
        <f t="shared" si="92"/>
        <v>0</v>
      </c>
      <c r="S1224" s="339">
        <f t="shared" si="91"/>
        <v>0</v>
      </c>
      <c r="T1224" s="373"/>
      <c r="U1224" s="373">
        <f>SUMIF(其他!$A$9:$A$65,"8393",其他!$Q$9:Q$65)</f>
        <v>0</v>
      </c>
      <c r="V1224" s="274"/>
      <c r="W1224" s="374"/>
      <c r="X1224" s="375"/>
      <c r="Y1224" s="45" t="s">
        <v>678</v>
      </c>
      <c r="Z1224" s="376"/>
      <c r="AA1224" s="240"/>
      <c r="AB1224" s="345">
        <v>1</v>
      </c>
      <c r="AC1224" s="271"/>
      <c r="AD1224" s="272"/>
      <c r="AE1224" s="273"/>
      <c r="AF1224" s="273"/>
      <c r="AG1224" s="274"/>
      <c r="AH1224" s="275"/>
      <c r="AI1224" s="272"/>
      <c r="AJ1224" s="276"/>
      <c r="AK1224" s="277"/>
      <c r="AL1224" s="278"/>
      <c r="AM1224" s="277"/>
      <c r="AN1224" s="279"/>
      <c r="AO1224" s="279"/>
      <c r="AP1224" s="279"/>
      <c r="AQ1224" s="378"/>
      <c r="AR1224" s="305">
        <f>'预算书-初步'!$F$10</f>
        <v>0.09</v>
      </c>
      <c r="AT1224" s="272"/>
      <c r="BC1224" s="272" t="s">
        <v>521</v>
      </c>
      <c r="BD1224" s="380">
        <v>1125</v>
      </c>
      <c r="BE1224" s="347" t="s">
        <v>705</v>
      </c>
    </row>
    <row r="1225" s="52" customFormat="1" ht="15.75" customHeight="1" spans="1:57">
      <c r="A1225" s="227"/>
      <c r="B1225" s="332"/>
      <c r="C1225" s="228"/>
      <c r="D1225" s="333"/>
      <c r="E1225" s="334"/>
      <c r="F1225" s="229"/>
      <c r="G1225" s="333"/>
      <c r="H1225" s="335"/>
      <c r="I1225" s="229"/>
      <c r="J1225" s="229"/>
      <c r="K1225" s="336"/>
      <c r="L1225" s="337"/>
      <c r="M1225" s="337"/>
      <c r="N1225" s="337"/>
      <c r="O1225" s="337"/>
      <c r="P1225" s="337"/>
      <c r="Q1225" s="381">
        <v>8394</v>
      </c>
      <c r="R1225" s="271">
        <f t="shared" si="92"/>
        <v>0</v>
      </c>
      <c r="S1225" s="339">
        <f t="shared" si="91"/>
        <v>0</v>
      </c>
      <c r="T1225" s="373"/>
      <c r="U1225" s="373">
        <f>SUMIF(其他!$A$9:$A$65,"8394",其他!$Q$9:Q$65)</f>
        <v>0</v>
      </c>
      <c r="V1225" s="274"/>
      <c r="W1225" s="374"/>
      <c r="X1225" s="375"/>
      <c r="Y1225" s="45" t="s">
        <v>679</v>
      </c>
      <c r="Z1225" s="376"/>
      <c r="AA1225" s="240"/>
      <c r="AB1225" s="345">
        <v>1</v>
      </c>
      <c r="AC1225" s="271"/>
      <c r="AD1225" s="272"/>
      <c r="AE1225" s="273"/>
      <c r="AF1225" s="273"/>
      <c r="AG1225" s="274"/>
      <c r="AH1225" s="275"/>
      <c r="AI1225" s="272"/>
      <c r="AJ1225" s="276"/>
      <c r="AK1225" s="277"/>
      <c r="AL1225" s="278"/>
      <c r="AM1225" s="277"/>
      <c r="AN1225" s="279"/>
      <c r="AO1225" s="279"/>
      <c r="AP1225" s="279"/>
      <c r="AQ1225" s="378"/>
      <c r="AR1225" s="305">
        <f>'预算书-初步'!$F$10</f>
        <v>0.09</v>
      </c>
      <c r="AT1225" s="272"/>
      <c r="BC1225" s="272" t="s">
        <v>521</v>
      </c>
      <c r="BD1225" s="380">
        <v>1125</v>
      </c>
      <c r="BE1225" s="347" t="s">
        <v>705</v>
      </c>
    </row>
    <row r="1226" s="52" customFormat="1" ht="15.75" customHeight="1" spans="1:57">
      <c r="A1226" s="227"/>
      <c r="B1226" s="332"/>
      <c r="C1226" s="228"/>
      <c r="D1226" s="333"/>
      <c r="E1226" s="334"/>
      <c r="F1226" s="229"/>
      <c r="G1226" s="333"/>
      <c r="H1226" s="335"/>
      <c r="I1226" s="229"/>
      <c r="J1226" s="229"/>
      <c r="K1226" s="336"/>
      <c r="L1226" s="337"/>
      <c r="M1226" s="337"/>
      <c r="N1226" s="337"/>
      <c r="O1226" s="337"/>
      <c r="P1226" s="337"/>
      <c r="Q1226" s="381">
        <v>8329</v>
      </c>
      <c r="R1226" s="271">
        <f t="shared" si="92"/>
        <v>0</v>
      </c>
      <c r="S1226" s="339">
        <f t="shared" si="91"/>
        <v>0</v>
      </c>
      <c r="T1226" s="373"/>
      <c r="U1226" s="373">
        <f>FA!N$137</f>
        <v>0</v>
      </c>
      <c r="V1226" s="274"/>
      <c r="W1226" s="374"/>
      <c r="X1226" s="375"/>
      <c r="Y1226" s="388" t="s">
        <v>680</v>
      </c>
      <c r="Z1226" s="376"/>
      <c r="AA1226" s="240"/>
      <c r="AB1226" s="345">
        <v>1</v>
      </c>
      <c r="AC1226" s="271"/>
      <c r="AD1226" s="272"/>
      <c r="AE1226" s="273"/>
      <c r="AF1226" s="273"/>
      <c r="AG1226" s="274"/>
      <c r="AH1226" s="275"/>
      <c r="AI1226" s="272"/>
      <c r="AJ1226" s="276"/>
      <c r="AK1226" s="277"/>
      <c r="AL1226" s="278"/>
      <c r="AM1226" s="277"/>
      <c r="AN1226" s="279"/>
      <c r="AO1226" s="279"/>
      <c r="AP1226" s="279"/>
      <c r="AQ1226" s="378"/>
      <c r="AR1226" s="305">
        <f>'预算书-初步'!$F$10</f>
        <v>0.09</v>
      </c>
      <c r="AT1226" s="272"/>
      <c r="BC1226" s="272" t="s">
        <v>521</v>
      </c>
      <c r="BD1226" s="380">
        <v>1126</v>
      </c>
      <c r="BE1226" s="347" t="s">
        <v>705</v>
      </c>
    </row>
    <row r="1227" s="52" customFormat="1" ht="15.75" customHeight="1" spans="1:57">
      <c r="A1227" s="227"/>
      <c r="B1227" s="332"/>
      <c r="C1227" s="228"/>
      <c r="D1227" s="333"/>
      <c r="E1227" s="334"/>
      <c r="F1227" s="229"/>
      <c r="G1227" s="333"/>
      <c r="H1227" s="335"/>
      <c r="I1227" s="229"/>
      <c r="J1227" s="229"/>
      <c r="K1227" s="336"/>
      <c r="L1227" s="337"/>
      <c r="M1227" s="337"/>
      <c r="N1227" s="337"/>
      <c r="O1227" s="337"/>
      <c r="P1227" s="337"/>
      <c r="Q1227" s="381">
        <v>8330</v>
      </c>
      <c r="R1227" s="271">
        <f t="shared" si="92"/>
        <v>0</v>
      </c>
      <c r="S1227" s="339">
        <f t="shared" si="91"/>
        <v>0</v>
      </c>
      <c r="T1227" s="373"/>
      <c r="U1227" s="373">
        <f>FA!N$138</f>
        <v>0</v>
      </c>
      <c r="V1227" s="274"/>
      <c r="W1227" s="374"/>
      <c r="X1227" s="375"/>
      <c r="Y1227" s="45" t="s">
        <v>681</v>
      </c>
      <c r="Z1227" s="376"/>
      <c r="AA1227" s="240"/>
      <c r="AB1227" s="345">
        <v>1</v>
      </c>
      <c r="AC1227" s="271"/>
      <c r="AD1227" s="272"/>
      <c r="AE1227" s="273"/>
      <c r="AF1227" s="273"/>
      <c r="AG1227" s="274"/>
      <c r="AH1227" s="275"/>
      <c r="AI1227" s="272"/>
      <c r="AJ1227" s="276"/>
      <c r="AK1227" s="277"/>
      <c r="AL1227" s="278"/>
      <c r="AM1227" s="277"/>
      <c r="AN1227" s="279"/>
      <c r="AO1227" s="279"/>
      <c r="AP1227" s="279"/>
      <c r="AQ1227" s="378"/>
      <c r="AR1227" s="305">
        <f>'预算书-初步'!$F$10</f>
        <v>0.09</v>
      </c>
      <c r="AT1227" s="272"/>
      <c r="BC1227" s="272" t="s">
        <v>521</v>
      </c>
      <c r="BD1227" s="380">
        <v>1127</v>
      </c>
      <c r="BE1227" s="347" t="s">
        <v>705</v>
      </c>
    </row>
    <row r="1228" s="52" customFormat="1" ht="15.75" customHeight="1" spans="1:57">
      <c r="A1228" s="227"/>
      <c r="B1228" s="332"/>
      <c r="C1228" s="228"/>
      <c r="D1228" s="333"/>
      <c r="E1228" s="334"/>
      <c r="F1228" s="229"/>
      <c r="G1228" s="333"/>
      <c r="H1228" s="335"/>
      <c r="I1228" s="229"/>
      <c r="J1228" s="229"/>
      <c r="K1228" s="336"/>
      <c r="L1228" s="337"/>
      <c r="M1228" s="337"/>
      <c r="N1228" s="337"/>
      <c r="O1228" s="337"/>
      <c r="P1228" s="337"/>
      <c r="Q1228" s="381">
        <v>8440</v>
      </c>
      <c r="R1228" s="271">
        <f t="shared" si="92"/>
        <v>0</v>
      </c>
      <c r="S1228" s="339">
        <f t="shared" si="91"/>
        <v>0</v>
      </c>
      <c r="T1228" s="373"/>
      <c r="U1228" s="373">
        <f>FA!N$144</f>
        <v>0</v>
      </c>
      <c r="V1228" s="274"/>
      <c r="W1228" s="374"/>
      <c r="X1228" s="375"/>
      <c r="Y1228" s="385" t="s">
        <v>682</v>
      </c>
      <c r="Z1228" s="376"/>
      <c r="AA1228" s="240"/>
      <c r="AB1228" s="345">
        <v>1</v>
      </c>
      <c r="AC1228" s="271"/>
      <c r="AD1228" s="272"/>
      <c r="AE1228" s="273"/>
      <c r="AF1228" s="273"/>
      <c r="AG1228" s="274"/>
      <c r="AH1228" s="275"/>
      <c r="AI1228" s="272"/>
      <c r="AJ1228" s="276"/>
      <c r="AK1228" s="277"/>
      <c r="AL1228" s="278"/>
      <c r="AM1228" s="277"/>
      <c r="AN1228" s="279"/>
      <c r="AO1228" s="279"/>
      <c r="AP1228" s="279"/>
      <c r="AQ1228" s="378"/>
      <c r="AR1228" s="305">
        <f>'预算书-初步'!$F$10</f>
        <v>0.09</v>
      </c>
      <c r="AT1228" s="272"/>
      <c r="BC1228" s="272" t="s">
        <v>521</v>
      </c>
      <c r="BD1228" s="380">
        <v>1133</v>
      </c>
      <c r="BE1228" s="347" t="s">
        <v>705</v>
      </c>
    </row>
    <row r="1229" s="52" customFormat="1" ht="15.75" customHeight="1" spans="1:57">
      <c r="A1229" s="227"/>
      <c r="B1229" s="332"/>
      <c r="C1229" s="228"/>
      <c r="D1229" s="333"/>
      <c r="E1229" s="334"/>
      <c r="F1229" s="229"/>
      <c r="G1229" s="333"/>
      <c r="H1229" s="335"/>
      <c r="I1229" s="229"/>
      <c r="J1229" s="229"/>
      <c r="K1229" s="336"/>
      <c r="L1229" s="337"/>
      <c r="M1229" s="337"/>
      <c r="N1229" s="337"/>
      <c r="O1229" s="337"/>
      <c r="P1229" s="337"/>
      <c r="Q1229" s="381">
        <v>8437</v>
      </c>
      <c r="R1229" s="271">
        <f t="shared" si="92"/>
        <v>0</v>
      </c>
      <c r="S1229" s="339">
        <f t="shared" si="91"/>
        <v>0</v>
      </c>
      <c r="T1229" s="373"/>
      <c r="U1229" s="373">
        <f>FA!N$145</f>
        <v>0</v>
      </c>
      <c r="V1229" s="274"/>
      <c r="W1229" s="374"/>
      <c r="X1229" s="375"/>
      <c r="Y1229" s="45" t="s">
        <v>683</v>
      </c>
      <c r="Z1229" s="376"/>
      <c r="AA1229" s="240"/>
      <c r="AB1229" s="345">
        <v>1</v>
      </c>
      <c r="AC1229" s="271"/>
      <c r="AD1229" s="272"/>
      <c r="AE1229" s="273"/>
      <c r="AF1229" s="273"/>
      <c r="AG1229" s="274"/>
      <c r="AH1229" s="275"/>
      <c r="AI1229" s="272"/>
      <c r="AJ1229" s="276"/>
      <c r="AK1229" s="277"/>
      <c r="AL1229" s="278"/>
      <c r="AM1229" s="277"/>
      <c r="AN1229" s="279"/>
      <c r="AO1229" s="279"/>
      <c r="AP1229" s="279"/>
      <c r="AQ1229" s="378"/>
      <c r="AR1229" s="305">
        <f>'预算书-初步'!$F$10</f>
        <v>0.09</v>
      </c>
      <c r="AT1229" s="272"/>
      <c r="BC1229" s="272" t="s">
        <v>521</v>
      </c>
      <c r="BD1229" s="380">
        <v>1134</v>
      </c>
      <c r="BE1229" s="347" t="s">
        <v>705</v>
      </c>
    </row>
    <row r="1230" s="52" customFormat="1" ht="15.75" customHeight="1" spans="1:57">
      <c r="A1230" s="227"/>
      <c r="B1230" s="332"/>
      <c r="C1230" s="228"/>
      <c r="D1230" s="333"/>
      <c r="E1230" s="334"/>
      <c r="F1230" s="229"/>
      <c r="G1230" s="333"/>
      <c r="H1230" s="335"/>
      <c r="I1230" s="229"/>
      <c r="J1230" s="229"/>
      <c r="K1230" s="336"/>
      <c r="L1230" s="337"/>
      <c r="M1230" s="337"/>
      <c r="N1230" s="337"/>
      <c r="O1230" s="337"/>
      <c r="P1230" s="337"/>
      <c r="Q1230" s="381">
        <v>8441</v>
      </c>
      <c r="R1230" s="271">
        <f t="shared" si="92"/>
        <v>0</v>
      </c>
      <c r="S1230" s="339">
        <f t="shared" si="91"/>
        <v>0</v>
      </c>
      <c r="T1230" s="373"/>
      <c r="U1230" s="373">
        <f>FA!N$146</f>
        <v>0</v>
      </c>
      <c r="V1230" s="274"/>
      <c r="W1230" s="374"/>
      <c r="X1230" s="375"/>
      <c r="Y1230" s="388" t="s">
        <v>684</v>
      </c>
      <c r="Z1230" s="376"/>
      <c r="AA1230" s="240"/>
      <c r="AB1230" s="345">
        <v>1</v>
      </c>
      <c r="AC1230" s="271"/>
      <c r="AD1230" s="272"/>
      <c r="AE1230" s="273"/>
      <c r="AF1230" s="273"/>
      <c r="AG1230" s="274"/>
      <c r="AH1230" s="275"/>
      <c r="AI1230" s="272"/>
      <c r="AJ1230" s="276"/>
      <c r="AK1230" s="277"/>
      <c r="AL1230" s="278"/>
      <c r="AM1230" s="277"/>
      <c r="AN1230" s="279"/>
      <c r="AO1230" s="279"/>
      <c r="AP1230" s="279"/>
      <c r="AQ1230" s="378"/>
      <c r="AR1230" s="305">
        <f>'预算书-初步'!$F$10</f>
        <v>0.09</v>
      </c>
      <c r="AT1230" s="272"/>
      <c r="BC1230" s="272" t="s">
        <v>521</v>
      </c>
      <c r="BD1230" s="380">
        <v>1135</v>
      </c>
      <c r="BE1230" s="347" t="s">
        <v>705</v>
      </c>
    </row>
    <row r="1231" s="52" customFormat="1" ht="15.75" customHeight="1" spans="1:57">
      <c r="A1231" s="227"/>
      <c r="B1231" s="332"/>
      <c r="C1231" s="228"/>
      <c r="D1231" s="333"/>
      <c r="E1231" s="334"/>
      <c r="F1231" s="229"/>
      <c r="G1231" s="333"/>
      <c r="H1231" s="335"/>
      <c r="I1231" s="229"/>
      <c r="J1231" s="229"/>
      <c r="K1231" s="336"/>
      <c r="L1231" s="337"/>
      <c r="M1231" s="337"/>
      <c r="N1231" s="337"/>
      <c r="O1231" s="337"/>
      <c r="P1231" s="337"/>
      <c r="Q1231" s="381">
        <v>8420</v>
      </c>
      <c r="R1231" s="271">
        <f t="shared" si="92"/>
        <v>0</v>
      </c>
      <c r="S1231" s="339">
        <f t="shared" si="91"/>
        <v>0</v>
      </c>
      <c r="T1231" s="373"/>
      <c r="U1231" s="373">
        <f>FA!N$148</f>
        <v>0</v>
      </c>
      <c r="V1231" s="274"/>
      <c r="W1231" s="374"/>
      <c r="X1231" s="375"/>
      <c r="Y1231" s="45" t="s">
        <v>685</v>
      </c>
      <c r="Z1231" s="376"/>
      <c r="AA1231" s="240"/>
      <c r="AB1231" s="345">
        <v>1</v>
      </c>
      <c r="AC1231" s="271"/>
      <c r="AD1231" s="272"/>
      <c r="AE1231" s="273"/>
      <c r="AF1231" s="273"/>
      <c r="AG1231" s="274"/>
      <c r="AH1231" s="275"/>
      <c r="AI1231" s="272"/>
      <c r="AJ1231" s="276"/>
      <c r="AK1231" s="277"/>
      <c r="AL1231" s="278"/>
      <c r="AM1231" s="277"/>
      <c r="AN1231" s="279"/>
      <c r="AO1231" s="279"/>
      <c r="AP1231" s="279"/>
      <c r="AQ1231" s="378"/>
      <c r="AR1231" s="305">
        <f>'预算书-初步'!$F$10</f>
        <v>0.09</v>
      </c>
      <c r="AT1231" s="272"/>
      <c r="BC1231" s="272" t="s">
        <v>521</v>
      </c>
      <c r="BD1231" s="380">
        <v>1137</v>
      </c>
      <c r="BE1231" s="347" t="s">
        <v>705</v>
      </c>
    </row>
    <row r="1232" s="52" customFormat="1" ht="15.75" customHeight="1" spans="1:57">
      <c r="A1232" s="227"/>
      <c r="B1232" s="332"/>
      <c r="C1232" s="228"/>
      <c r="D1232" s="333"/>
      <c r="E1232" s="334"/>
      <c r="F1232" s="229"/>
      <c r="G1232" s="333"/>
      <c r="H1232" s="335"/>
      <c r="I1232" s="229"/>
      <c r="J1232" s="229"/>
      <c r="K1232" s="336"/>
      <c r="L1232" s="337"/>
      <c r="M1232" s="337"/>
      <c r="N1232" s="337"/>
      <c r="O1232" s="337"/>
      <c r="P1232" s="337"/>
      <c r="Q1232" s="381">
        <v>8450</v>
      </c>
      <c r="R1232" s="271">
        <f t="shared" si="92"/>
        <v>0</v>
      </c>
      <c r="S1232" s="339">
        <f t="shared" si="91"/>
        <v>0</v>
      </c>
      <c r="T1232" s="373"/>
      <c r="U1232" s="373">
        <f>FA!N$149</f>
        <v>0</v>
      </c>
      <c r="V1232" s="274"/>
      <c r="W1232" s="374"/>
      <c r="X1232" s="375"/>
      <c r="Y1232" s="388" t="s">
        <v>686</v>
      </c>
      <c r="Z1232" s="376"/>
      <c r="AA1232" s="240"/>
      <c r="AB1232" s="345">
        <v>1</v>
      </c>
      <c r="AC1232" s="271"/>
      <c r="AD1232" s="272"/>
      <c r="AE1232" s="273"/>
      <c r="AF1232" s="273"/>
      <c r="AG1232" s="274"/>
      <c r="AH1232" s="275"/>
      <c r="AI1232" s="272"/>
      <c r="AJ1232" s="276"/>
      <c r="AK1232" s="277"/>
      <c r="AL1232" s="278"/>
      <c r="AM1232" s="277"/>
      <c r="AN1232" s="279"/>
      <c r="AO1232" s="279"/>
      <c r="AP1232" s="279"/>
      <c r="AQ1232" s="378"/>
      <c r="AR1232" s="305">
        <f>'预算书-初步'!$F$10</f>
        <v>0.09</v>
      </c>
      <c r="AT1232" s="272"/>
      <c r="BC1232" s="272" t="s">
        <v>521</v>
      </c>
      <c r="BD1232" s="380">
        <v>1138</v>
      </c>
      <c r="BE1232" s="347" t="s">
        <v>705</v>
      </c>
    </row>
    <row r="1233" s="52" customFormat="1" ht="15.75" customHeight="1" spans="1:57">
      <c r="A1233" s="227"/>
      <c r="B1233" s="332"/>
      <c r="C1233" s="228"/>
      <c r="D1233" s="333"/>
      <c r="E1233" s="334"/>
      <c r="F1233" s="229"/>
      <c r="G1233" s="333"/>
      <c r="H1233" s="335"/>
      <c r="I1233" s="229"/>
      <c r="J1233" s="229"/>
      <c r="K1233" s="336"/>
      <c r="L1233" s="337"/>
      <c r="M1233" s="337"/>
      <c r="N1233" s="337"/>
      <c r="O1233" s="337"/>
      <c r="P1233" s="337"/>
      <c r="Q1233" s="381">
        <v>8493</v>
      </c>
      <c r="R1233" s="271">
        <f t="shared" si="92"/>
        <v>0</v>
      </c>
      <c r="S1233" s="339">
        <f t="shared" si="91"/>
        <v>0</v>
      </c>
      <c r="T1233" s="373"/>
      <c r="U1233" s="373">
        <f>FA!N$155</f>
        <v>0</v>
      </c>
      <c r="V1233" s="274"/>
      <c r="W1233" s="374"/>
      <c r="X1233" s="375"/>
      <c r="Y1233" s="365" t="s">
        <v>687</v>
      </c>
      <c r="Z1233" s="376"/>
      <c r="AA1233" s="240"/>
      <c r="AB1233" s="345">
        <v>1</v>
      </c>
      <c r="AC1233" s="271"/>
      <c r="AD1233" s="272"/>
      <c r="AE1233" s="273"/>
      <c r="AF1233" s="273"/>
      <c r="AG1233" s="274"/>
      <c r="AH1233" s="275"/>
      <c r="AI1233" s="272"/>
      <c r="AJ1233" s="276"/>
      <c r="AK1233" s="277"/>
      <c r="AL1233" s="278"/>
      <c r="AM1233" s="277"/>
      <c r="AN1233" s="279"/>
      <c r="AO1233" s="279"/>
      <c r="AP1233" s="279"/>
      <c r="AQ1233" s="378"/>
      <c r="AR1233" s="305">
        <f>'预算书-初步'!$F$10</f>
        <v>0.09</v>
      </c>
      <c r="AT1233" s="272"/>
      <c r="BC1233" s="272" t="s">
        <v>521</v>
      </c>
      <c r="BD1233" s="380">
        <v>1152</v>
      </c>
      <c r="BE1233" s="347" t="s">
        <v>705</v>
      </c>
    </row>
    <row r="1234" s="52" customFormat="1" ht="15.75" customHeight="1" spans="1:57">
      <c r="A1234" s="227"/>
      <c r="B1234" s="332"/>
      <c r="C1234" s="228"/>
      <c r="D1234" s="333"/>
      <c r="E1234" s="334"/>
      <c r="F1234" s="229"/>
      <c r="G1234" s="333"/>
      <c r="H1234" s="335"/>
      <c r="I1234" s="229"/>
      <c r="J1234" s="229"/>
      <c r="K1234" s="336"/>
      <c r="L1234" s="337"/>
      <c r="M1234" s="337"/>
      <c r="N1234" s="337"/>
      <c r="O1234" s="337"/>
      <c r="P1234" s="337"/>
      <c r="Q1234" s="381">
        <v>8494</v>
      </c>
      <c r="R1234" s="271">
        <f t="shared" si="92"/>
        <v>0</v>
      </c>
      <c r="S1234" s="339">
        <f t="shared" si="91"/>
        <v>0</v>
      </c>
      <c r="T1234" s="373"/>
      <c r="U1234" s="373">
        <f>FA!N$156</f>
        <v>0</v>
      </c>
      <c r="V1234" s="274"/>
      <c r="W1234" s="374"/>
      <c r="X1234" s="375"/>
      <c r="Y1234" s="365" t="s">
        <v>688</v>
      </c>
      <c r="Z1234" s="376"/>
      <c r="AA1234" s="240"/>
      <c r="AB1234" s="345">
        <v>1</v>
      </c>
      <c r="AC1234" s="271"/>
      <c r="AD1234" s="272"/>
      <c r="AE1234" s="273"/>
      <c r="AF1234" s="273"/>
      <c r="AG1234" s="274"/>
      <c r="AH1234" s="275"/>
      <c r="AI1234" s="272"/>
      <c r="AJ1234" s="276"/>
      <c r="AK1234" s="277"/>
      <c r="AL1234" s="278"/>
      <c r="AM1234" s="277"/>
      <c r="AN1234" s="279"/>
      <c r="AO1234" s="279"/>
      <c r="AP1234" s="279"/>
      <c r="AQ1234" s="378"/>
      <c r="AR1234" s="305">
        <f>'预算书-初步'!$F$10</f>
        <v>0.09</v>
      </c>
      <c r="AT1234" s="272"/>
      <c r="BC1234" s="272" t="s">
        <v>521</v>
      </c>
      <c r="BD1234" s="380">
        <v>1153</v>
      </c>
      <c r="BE1234" s="347" t="s">
        <v>705</v>
      </c>
    </row>
    <row r="1235" s="52" customFormat="1" ht="15.75" customHeight="1" spans="1:57">
      <c r="A1235" s="227"/>
      <c r="B1235" s="332"/>
      <c r="C1235" s="228"/>
      <c r="D1235" s="333"/>
      <c r="E1235" s="334"/>
      <c r="F1235" s="229"/>
      <c r="G1235" s="333"/>
      <c r="H1235" s="335"/>
      <c r="I1235" s="229"/>
      <c r="J1235" s="229"/>
      <c r="K1235" s="336"/>
      <c r="L1235" s="337"/>
      <c r="M1235" s="337"/>
      <c r="N1235" s="337"/>
      <c r="O1235" s="337"/>
      <c r="P1235" s="337"/>
      <c r="Q1235" s="384">
        <v>2910</v>
      </c>
      <c r="R1235" s="271">
        <f t="shared" si="92"/>
        <v>0</v>
      </c>
      <c r="S1235" s="339">
        <f t="shared" si="91"/>
        <v>0</v>
      </c>
      <c r="T1235" s="373"/>
      <c r="U1235" s="373">
        <f>SUMIF(其他!$A$9:$A$65,"2910",其他!$Q$9:Q$65)</f>
        <v>0</v>
      </c>
      <c r="V1235" s="274"/>
      <c r="W1235" s="374"/>
      <c r="X1235" s="375"/>
      <c r="Y1235" s="45" t="s">
        <v>689</v>
      </c>
      <c r="Z1235" s="376"/>
      <c r="AA1235" s="240"/>
      <c r="AB1235" s="345">
        <v>1</v>
      </c>
      <c r="AC1235" s="271"/>
      <c r="AD1235" s="272"/>
      <c r="AE1235" s="273"/>
      <c r="AF1235" s="273"/>
      <c r="AG1235" s="274"/>
      <c r="AH1235" s="275"/>
      <c r="AI1235" s="272"/>
      <c r="AJ1235" s="276"/>
      <c r="AK1235" s="277"/>
      <c r="AL1235" s="278"/>
      <c r="AM1235" s="277"/>
      <c r="AN1235" s="279"/>
      <c r="AO1235" s="279"/>
      <c r="AP1235" s="279"/>
      <c r="AQ1235" s="378"/>
      <c r="AR1235" s="305">
        <f>'预算书-初步'!$F$10</f>
        <v>0.09</v>
      </c>
      <c r="AT1235" s="272"/>
      <c r="BC1235" s="272" t="s">
        <v>521</v>
      </c>
      <c r="BD1235" s="380">
        <v>1160</v>
      </c>
      <c r="BE1235" s="347" t="s">
        <v>705</v>
      </c>
    </row>
    <row r="1236" s="52" customFormat="1" ht="15.75" customHeight="1" spans="1:57">
      <c r="A1236" s="227"/>
      <c r="B1236" s="332"/>
      <c r="C1236" s="228"/>
      <c r="D1236" s="333"/>
      <c r="E1236" s="334"/>
      <c r="F1236" s="229"/>
      <c r="G1236" s="333"/>
      <c r="H1236" s="335"/>
      <c r="I1236" s="229"/>
      <c r="J1236" s="229"/>
      <c r="K1236" s="336"/>
      <c r="L1236" s="337"/>
      <c r="M1236" s="337"/>
      <c r="N1236" s="337"/>
      <c r="O1236" s="337"/>
      <c r="P1236" s="337"/>
      <c r="Q1236" s="384">
        <v>2920</v>
      </c>
      <c r="R1236" s="271">
        <f t="shared" si="92"/>
        <v>0</v>
      </c>
      <c r="S1236" s="339">
        <f t="shared" si="91"/>
        <v>0</v>
      </c>
      <c r="T1236" s="373"/>
      <c r="U1236" s="373">
        <f>SUMIF(其他!$A$9:$A$65,"2920",其他!$Q$9:Q$65)</f>
        <v>0</v>
      </c>
      <c r="V1236" s="274"/>
      <c r="W1236" s="374"/>
      <c r="X1236" s="375"/>
      <c r="Y1236" s="45" t="s">
        <v>690</v>
      </c>
      <c r="Z1236" s="376"/>
      <c r="AA1236" s="240"/>
      <c r="AB1236" s="345">
        <v>1</v>
      </c>
      <c r="AC1236" s="271"/>
      <c r="AD1236" s="272"/>
      <c r="AE1236" s="273"/>
      <c r="AF1236" s="273"/>
      <c r="AG1236" s="274"/>
      <c r="AH1236" s="275"/>
      <c r="AI1236" s="272"/>
      <c r="AJ1236" s="276"/>
      <c r="AK1236" s="277"/>
      <c r="AL1236" s="278"/>
      <c r="AM1236" s="277"/>
      <c r="AN1236" s="279"/>
      <c r="AO1236" s="279"/>
      <c r="AP1236" s="279"/>
      <c r="AQ1236" s="378"/>
      <c r="AR1236" s="305">
        <f>'预算书-初步'!$F$10</f>
        <v>0.09</v>
      </c>
      <c r="AT1236" s="272"/>
      <c r="BC1236" s="272" t="s">
        <v>521</v>
      </c>
      <c r="BD1236" s="380">
        <v>1160</v>
      </c>
      <c r="BE1236" s="347" t="s">
        <v>705</v>
      </c>
    </row>
    <row r="1237" s="52" customFormat="1" ht="15.75" customHeight="1" spans="1:57">
      <c r="A1237" s="227"/>
      <c r="B1237" s="332"/>
      <c r="C1237" s="228"/>
      <c r="D1237" s="333"/>
      <c r="E1237" s="334"/>
      <c r="F1237" s="229"/>
      <c r="G1237" s="333"/>
      <c r="H1237" s="335"/>
      <c r="I1237" s="229"/>
      <c r="J1237" s="229"/>
      <c r="K1237" s="336"/>
      <c r="L1237" s="337"/>
      <c r="M1237" s="337"/>
      <c r="N1237" s="337"/>
      <c r="O1237" s="337"/>
      <c r="P1237" s="337"/>
      <c r="Q1237" s="384">
        <v>2930</v>
      </c>
      <c r="R1237" s="271">
        <f t="shared" si="92"/>
        <v>0</v>
      </c>
      <c r="S1237" s="339">
        <f t="shared" si="91"/>
        <v>0</v>
      </c>
      <c r="T1237" s="373"/>
      <c r="U1237" s="373">
        <f>SUMIF(其他!$A$9:$A$65,"2930",其他!$Q$9:Q$65)</f>
        <v>0</v>
      </c>
      <c r="V1237" s="274"/>
      <c r="W1237" s="374"/>
      <c r="X1237" s="375"/>
      <c r="Y1237" s="45" t="s">
        <v>691</v>
      </c>
      <c r="Z1237" s="376"/>
      <c r="AA1237" s="240"/>
      <c r="AB1237" s="345">
        <v>1</v>
      </c>
      <c r="AC1237" s="271"/>
      <c r="AD1237" s="272"/>
      <c r="AE1237" s="273"/>
      <c r="AF1237" s="273"/>
      <c r="AG1237" s="274"/>
      <c r="AH1237" s="275"/>
      <c r="AI1237" s="272"/>
      <c r="AJ1237" s="276"/>
      <c r="AK1237" s="277"/>
      <c r="AL1237" s="278"/>
      <c r="AM1237" s="277"/>
      <c r="AN1237" s="279"/>
      <c r="AO1237" s="279"/>
      <c r="AP1237" s="279"/>
      <c r="AQ1237" s="378"/>
      <c r="AR1237" s="305">
        <f>'预算书-初步'!$F$10</f>
        <v>0.09</v>
      </c>
      <c r="AT1237" s="272"/>
      <c r="BC1237" s="272" t="s">
        <v>521</v>
      </c>
      <c r="BD1237" s="380">
        <v>1160</v>
      </c>
      <c r="BE1237" s="347" t="s">
        <v>705</v>
      </c>
    </row>
    <row r="1238" s="52" customFormat="1" ht="15.75" customHeight="1" spans="1:57">
      <c r="A1238" s="227"/>
      <c r="B1238" s="332"/>
      <c r="C1238" s="228"/>
      <c r="D1238" s="333"/>
      <c r="E1238" s="334"/>
      <c r="F1238" s="229"/>
      <c r="G1238" s="333"/>
      <c r="H1238" s="335"/>
      <c r="I1238" s="229"/>
      <c r="J1238" s="229"/>
      <c r="K1238" s="336"/>
      <c r="L1238" s="337"/>
      <c r="M1238" s="337"/>
      <c r="N1238" s="337"/>
      <c r="O1238" s="337"/>
      <c r="P1238" s="337"/>
      <c r="Q1238" s="384">
        <v>2940</v>
      </c>
      <c r="R1238" s="271">
        <f t="shared" si="92"/>
        <v>0</v>
      </c>
      <c r="S1238" s="339">
        <f t="shared" si="91"/>
        <v>0</v>
      </c>
      <c r="T1238" s="373"/>
      <c r="U1238" s="373">
        <f>SUMIF(其他!$A$9:$A$65,"2940",其他!$Q$9:Q$65)</f>
        <v>0</v>
      </c>
      <c r="V1238" s="274"/>
      <c r="W1238" s="374"/>
      <c r="X1238" s="375"/>
      <c r="Y1238" s="45" t="s">
        <v>692</v>
      </c>
      <c r="Z1238" s="376"/>
      <c r="AA1238" s="240"/>
      <c r="AB1238" s="345">
        <v>1</v>
      </c>
      <c r="AC1238" s="271"/>
      <c r="AD1238" s="272"/>
      <c r="AE1238" s="273"/>
      <c r="AF1238" s="273"/>
      <c r="AG1238" s="274"/>
      <c r="AH1238" s="275"/>
      <c r="AI1238" s="272"/>
      <c r="AJ1238" s="276"/>
      <c r="AK1238" s="277"/>
      <c r="AL1238" s="278"/>
      <c r="AM1238" s="277"/>
      <c r="AN1238" s="279"/>
      <c r="AO1238" s="279"/>
      <c r="AP1238" s="279"/>
      <c r="AQ1238" s="378"/>
      <c r="AR1238" s="305">
        <f>'预算书-初步'!$F$10</f>
        <v>0.09</v>
      </c>
      <c r="AT1238" s="272"/>
      <c r="BC1238" s="272" t="s">
        <v>521</v>
      </c>
      <c r="BD1238" s="380">
        <v>1160</v>
      </c>
      <c r="BE1238" s="347" t="s">
        <v>705</v>
      </c>
    </row>
    <row r="1239" s="52" customFormat="1" ht="15.75" customHeight="1" spans="1:57">
      <c r="A1239" s="227"/>
      <c r="B1239" s="332"/>
      <c r="C1239" s="228"/>
      <c r="D1239" s="333"/>
      <c r="E1239" s="334"/>
      <c r="F1239" s="229"/>
      <c r="G1239" s="333"/>
      <c r="H1239" s="335"/>
      <c r="I1239" s="229"/>
      <c r="J1239" s="229"/>
      <c r="K1239" s="336"/>
      <c r="L1239" s="337"/>
      <c r="M1239" s="337"/>
      <c r="N1239" s="337"/>
      <c r="O1239" s="337"/>
      <c r="P1239" s="337"/>
      <c r="Q1239" s="384">
        <v>2950</v>
      </c>
      <c r="R1239" s="271">
        <f t="shared" si="92"/>
        <v>0</v>
      </c>
      <c r="S1239" s="339">
        <f t="shared" si="91"/>
        <v>0</v>
      </c>
      <c r="T1239" s="373"/>
      <c r="U1239" s="373">
        <f>SUMIF(其他!$A$9:$A$65,"2950",其他!$Q$9:Q$65)</f>
        <v>0</v>
      </c>
      <c r="V1239" s="274"/>
      <c r="W1239" s="374"/>
      <c r="X1239" s="375"/>
      <c r="Y1239" s="45" t="s">
        <v>693</v>
      </c>
      <c r="Z1239" s="376"/>
      <c r="AA1239" s="240"/>
      <c r="AB1239" s="345">
        <v>1</v>
      </c>
      <c r="AC1239" s="271"/>
      <c r="AD1239" s="272"/>
      <c r="AE1239" s="273"/>
      <c r="AF1239" s="273"/>
      <c r="AG1239" s="274"/>
      <c r="AH1239" s="275"/>
      <c r="AI1239" s="272"/>
      <c r="AJ1239" s="276"/>
      <c r="AK1239" s="277"/>
      <c r="AL1239" s="278"/>
      <c r="AM1239" s="277"/>
      <c r="AN1239" s="279"/>
      <c r="AO1239" s="279"/>
      <c r="AP1239" s="279"/>
      <c r="AQ1239" s="378"/>
      <c r="AR1239" s="305">
        <f>'预算书-初步'!$F$10</f>
        <v>0.09</v>
      </c>
      <c r="AT1239" s="272"/>
      <c r="BC1239" s="272" t="s">
        <v>521</v>
      </c>
      <c r="BD1239" s="380">
        <v>1160</v>
      </c>
      <c r="BE1239" s="347" t="s">
        <v>705</v>
      </c>
    </row>
    <row r="1240" s="52" customFormat="1" ht="15.75" customHeight="1" spans="1:57">
      <c r="A1240" s="227"/>
      <c r="B1240" s="332"/>
      <c r="C1240" s="228"/>
      <c r="D1240" s="333"/>
      <c r="E1240" s="334"/>
      <c r="F1240" s="229"/>
      <c r="G1240" s="333"/>
      <c r="H1240" s="335"/>
      <c r="I1240" s="229"/>
      <c r="J1240" s="229"/>
      <c r="K1240" s="336"/>
      <c r="L1240" s="337"/>
      <c r="M1240" s="337"/>
      <c r="N1240" s="337"/>
      <c r="O1240" s="337"/>
      <c r="P1240" s="337"/>
      <c r="Q1240" s="384">
        <v>2992</v>
      </c>
      <c r="R1240" s="271">
        <f t="shared" si="92"/>
        <v>0</v>
      </c>
      <c r="S1240" s="339">
        <f t="shared" si="91"/>
        <v>0</v>
      </c>
      <c r="T1240" s="373"/>
      <c r="U1240" s="373">
        <f>SUMIF(其他!$A$9:$A$65,"2992",其他!$Q$9:Q$65)</f>
        <v>0</v>
      </c>
      <c r="V1240" s="274"/>
      <c r="W1240" s="374"/>
      <c r="X1240" s="375"/>
      <c r="Y1240" s="45" t="s">
        <v>694</v>
      </c>
      <c r="Z1240" s="376"/>
      <c r="AA1240" s="240"/>
      <c r="AB1240" s="345">
        <v>1</v>
      </c>
      <c r="AC1240" s="271"/>
      <c r="AD1240" s="272"/>
      <c r="AE1240" s="273"/>
      <c r="AF1240" s="273"/>
      <c r="AG1240" s="274"/>
      <c r="AH1240" s="275"/>
      <c r="AI1240" s="272"/>
      <c r="AJ1240" s="276"/>
      <c r="AK1240" s="277"/>
      <c r="AL1240" s="278"/>
      <c r="AM1240" s="277"/>
      <c r="AN1240" s="279"/>
      <c r="AO1240" s="279"/>
      <c r="AP1240" s="279"/>
      <c r="AQ1240" s="378"/>
      <c r="AR1240" s="305">
        <f>'预算书-初步'!$F$10</f>
        <v>0.09</v>
      </c>
      <c r="AT1240" s="272"/>
      <c r="BC1240" s="272" t="s">
        <v>521</v>
      </c>
      <c r="BD1240" s="380">
        <v>1163</v>
      </c>
      <c r="BE1240" s="347" t="s">
        <v>705</v>
      </c>
    </row>
    <row r="1241" s="52" customFormat="1" ht="15.75" customHeight="1" spans="1:57">
      <c r="A1241" s="227"/>
      <c r="B1241" s="332"/>
      <c r="C1241" s="228"/>
      <c r="D1241" s="333"/>
      <c r="E1241" s="334"/>
      <c r="F1241" s="229"/>
      <c r="G1241" s="333"/>
      <c r="H1241" s="335"/>
      <c r="I1241" s="229"/>
      <c r="J1241" s="229"/>
      <c r="K1241" s="336"/>
      <c r="L1241" s="337"/>
      <c r="M1241" s="337"/>
      <c r="N1241" s="337"/>
      <c r="O1241" s="337"/>
      <c r="P1241" s="337"/>
      <c r="Q1241" s="384">
        <v>2993</v>
      </c>
      <c r="R1241" s="271">
        <f t="shared" si="92"/>
        <v>0</v>
      </c>
      <c r="S1241" s="339">
        <f t="shared" si="91"/>
        <v>0</v>
      </c>
      <c r="T1241" s="373"/>
      <c r="U1241" s="373">
        <f>SUMIF(其他!$A$9:$A$65,"2993",其他!$Q$9:Q$65)</f>
        <v>0</v>
      </c>
      <c r="V1241" s="274"/>
      <c r="W1241" s="374"/>
      <c r="X1241" s="375"/>
      <c r="Y1241" s="45" t="s">
        <v>695</v>
      </c>
      <c r="Z1241" s="376"/>
      <c r="AA1241" s="240"/>
      <c r="AB1241" s="345">
        <v>1</v>
      </c>
      <c r="AC1241" s="271"/>
      <c r="AD1241" s="272"/>
      <c r="AE1241" s="273"/>
      <c r="AF1241" s="273"/>
      <c r="AG1241" s="274"/>
      <c r="AH1241" s="275"/>
      <c r="AI1241" s="272"/>
      <c r="AJ1241" s="276"/>
      <c r="AK1241" s="277"/>
      <c r="AL1241" s="278"/>
      <c r="AM1241" s="277"/>
      <c r="AN1241" s="279"/>
      <c r="AO1241" s="279"/>
      <c r="AP1241" s="279"/>
      <c r="AQ1241" s="378"/>
      <c r="AR1241" s="305">
        <f>'预算书-初步'!$F$10</f>
        <v>0.09</v>
      </c>
      <c r="AT1241" s="272"/>
      <c r="BC1241" s="272" t="s">
        <v>521</v>
      </c>
      <c r="BD1241" s="380">
        <v>1163</v>
      </c>
      <c r="BE1241" s="347" t="s">
        <v>705</v>
      </c>
    </row>
    <row r="1242" s="52" customFormat="1" ht="15.75" customHeight="1" spans="1:57">
      <c r="A1242" s="227"/>
      <c r="B1242" s="332"/>
      <c r="C1242" s="228"/>
      <c r="D1242" s="333"/>
      <c r="E1242" s="334"/>
      <c r="F1242" s="229"/>
      <c r="G1242" s="333"/>
      <c r="H1242" s="335"/>
      <c r="I1242" s="229"/>
      <c r="J1242" s="229"/>
      <c r="K1242" s="336"/>
      <c r="L1242" s="337"/>
      <c r="M1242" s="337"/>
      <c r="N1242" s="337"/>
      <c r="O1242" s="337"/>
      <c r="P1242" s="337"/>
      <c r="Q1242" s="384">
        <v>2994</v>
      </c>
      <c r="R1242" s="271">
        <f t="shared" si="92"/>
        <v>0</v>
      </c>
      <c r="S1242" s="339">
        <f t="shared" si="91"/>
        <v>0</v>
      </c>
      <c r="T1242" s="373"/>
      <c r="U1242" s="373">
        <f>SUMIF(其他!$A$9:$A$65,"2994",其他!$Q$9:Q$65)</f>
        <v>0</v>
      </c>
      <c r="V1242" s="274"/>
      <c r="W1242" s="374"/>
      <c r="X1242" s="375"/>
      <c r="Y1242" s="45" t="s">
        <v>696</v>
      </c>
      <c r="Z1242" s="376"/>
      <c r="AA1242" s="240"/>
      <c r="AB1242" s="345">
        <v>1</v>
      </c>
      <c r="AC1242" s="271"/>
      <c r="AD1242" s="272"/>
      <c r="AE1242" s="273"/>
      <c r="AF1242" s="273"/>
      <c r="AG1242" s="274"/>
      <c r="AH1242" s="275"/>
      <c r="AI1242" s="272"/>
      <c r="AJ1242" s="276"/>
      <c r="AK1242" s="277"/>
      <c r="AL1242" s="278"/>
      <c r="AM1242" s="277"/>
      <c r="AN1242" s="279"/>
      <c r="AO1242" s="279"/>
      <c r="AP1242" s="279"/>
      <c r="AQ1242" s="378"/>
      <c r="AR1242" s="305">
        <f>'预算书-初步'!$F$10</f>
        <v>0.09</v>
      </c>
      <c r="AT1242" s="272"/>
      <c r="BC1242" s="272" t="s">
        <v>521</v>
      </c>
      <c r="BD1242" s="380">
        <v>1163</v>
      </c>
      <c r="BE1242" s="347" t="s">
        <v>705</v>
      </c>
    </row>
    <row r="1243" s="52" customFormat="1" spans="1:57">
      <c r="A1243" s="227"/>
      <c r="B1243" s="332"/>
      <c r="C1243" s="228"/>
      <c r="D1243" s="333"/>
      <c r="E1243" s="334"/>
      <c r="F1243" s="229"/>
      <c r="G1243" s="333"/>
      <c r="H1243" s="335"/>
      <c r="I1243" s="229"/>
      <c r="J1243" s="229"/>
      <c r="K1243" s="336"/>
      <c r="L1243" s="337"/>
      <c r="M1243" s="337"/>
      <c r="N1243" s="337"/>
      <c r="O1243" s="337"/>
      <c r="P1243" s="337"/>
      <c r="Q1243" s="384">
        <v>4992</v>
      </c>
      <c r="R1243" s="271">
        <f t="shared" si="92"/>
        <v>0</v>
      </c>
      <c r="S1243" s="339">
        <f t="shared" si="91"/>
        <v>0</v>
      </c>
      <c r="T1243" s="373"/>
      <c r="U1243" s="373">
        <f>SUMIF(其他!$A$9:$A$65,"4992",其他!$Q$9:Q$65)</f>
        <v>0</v>
      </c>
      <c r="V1243" s="274"/>
      <c r="W1243" s="374"/>
      <c r="X1243" s="375"/>
      <c r="Y1243" s="45" t="s">
        <v>697</v>
      </c>
      <c r="Z1243" s="376"/>
      <c r="AA1243" s="240"/>
      <c r="AB1243" s="345">
        <v>1</v>
      </c>
      <c r="AC1243" s="271"/>
      <c r="AD1243" s="272"/>
      <c r="AE1243" s="273"/>
      <c r="AF1243" s="273"/>
      <c r="AG1243" s="274"/>
      <c r="AH1243" s="275"/>
      <c r="AI1243" s="272"/>
      <c r="AJ1243" s="276"/>
      <c r="AK1243" s="277"/>
      <c r="AL1243" s="278"/>
      <c r="AM1243" s="277"/>
      <c r="AN1243" s="279"/>
      <c r="AO1243" s="279"/>
      <c r="AP1243" s="279"/>
      <c r="AQ1243" s="378"/>
      <c r="AR1243" s="305">
        <f>'预算书-初步'!$F$10</f>
        <v>0.09</v>
      </c>
      <c r="AT1243" s="272"/>
      <c r="BC1243" s="272" t="s">
        <v>521</v>
      </c>
      <c r="BD1243" s="380">
        <v>1174</v>
      </c>
      <c r="BE1243" s="347" t="s">
        <v>705</v>
      </c>
    </row>
    <row r="1244" s="52" customFormat="1" spans="1:57">
      <c r="A1244" s="227"/>
      <c r="B1244" s="332"/>
      <c r="C1244" s="228"/>
      <c r="D1244" s="333"/>
      <c r="E1244" s="334"/>
      <c r="F1244" s="229"/>
      <c r="G1244" s="333"/>
      <c r="H1244" s="335"/>
      <c r="I1244" s="229"/>
      <c r="J1244" s="229"/>
      <c r="K1244" s="336"/>
      <c r="L1244" s="337"/>
      <c r="M1244" s="337"/>
      <c r="N1244" s="337"/>
      <c r="O1244" s="337"/>
      <c r="P1244" s="337"/>
      <c r="Q1244" s="384">
        <v>4993</v>
      </c>
      <c r="R1244" s="271">
        <f t="shared" si="92"/>
        <v>0</v>
      </c>
      <c r="S1244" s="339">
        <f t="shared" si="91"/>
        <v>0</v>
      </c>
      <c r="T1244" s="373"/>
      <c r="U1244" s="373">
        <f>SUMIF(其他!$A$9:$A$65,"4993",其他!$Q$9:Q$65)</f>
        <v>0</v>
      </c>
      <c r="V1244" s="274"/>
      <c r="W1244" s="374"/>
      <c r="X1244" s="375"/>
      <c r="Y1244" s="45" t="s">
        <v>698</v>
      </c>
      <c r="Z1244" s="376"/>
      <c r="AA1244" s="240"/>
      <c r="AB1244" s="345">
        <v>1</v>
      </c>
      <c r="AC1244" s="271"/>
      <c r="AD1244" s="272"/>
      <c r="AE1244" s="273"/>
      <c r="AF1244" s="273"/>
      <c r="AG1244" s="274"/>
      <c r="AH1244" s="275"/>
      <c r="AI1244" s="272"/>
      <c r="AJ1244" s="276"/>
      <c r="AK1244" s="277"/>
      <c r="AL1244" s="278"/>
      <c r="AM1244" s="277"/>
      <c r="AN1244" s="279"/>
      <c r="AO1244" s="279"/>
      <c r="AP1244" s="279"/>
      <c r="AQ1244" s="378"/>
      <c r="AR1244" s="305">
        <f>'预算书-初步'!$F$10</f>
        <v>0.09</v>
      </c>
      <c r="AT1244" s="272"/>
      <c r="BC1244" s="272" t="s">
        <v>521</v>
      </c>
      <c r="BD1244" s="380">
        <v>1174</v>
      </c>
      <c r="BE1244" s="347" t="s">
        <v>705</v>
      </c>
    </row>
    <row r="1245" s="52" customFormat="1" spans="1:57">
      <c r="A1245" s="227"/>
      <c r="B1245" s="332"/>
      <c r="C1245" s="228"/>
      <c r="D1245" s="333"/>
      <c r="E1245" s="334"/>
      <c r="F1245" s="229"/>
      <c r="G1245" s="333"/>
      <c r="H1245" s="335"/>
      <c r="I1245" s="229"/>
      <c r="J1245" s="229"/>
      <c r="K1245" s="336"/>
      <c r="L1245" s="337"/>
      <c r="M1245" s="337"/>
      <c r="N1245" s="337"/>
      <c r="O1245" s="337"/>
      <c r="P1245" s="337"/>
      <c r="Q1245" s="384">
        <v>4994</v>
      </c>
      <c r="R1245" s="271">
        <f t="shared" si="92"/>
        <v>0</v>
      </c>
      <c r="S1245" s="339">
        <f t="shared" si="91"/>
        <v>0</v>
      </c>
      <c r="T1245" s="373"/>
      <c r="U1245" s="373">
        <f>SUMIF(其他!$A$9:$A$65,"4994",其他!$Q$9:Q$65)</f>
        <v>0</v>
      </c>
      <c r="V1245" s="274"/>
      <c r="W1245" s="374"/>
      <c r="X1245" s="375"/>
      <c r="Y1245" s="45" t="s">
        <v>699</v>
      </c>
      <c r="Z1245" s="376"/>
      <c r="AA1245" s="240"/>
      <c r="AB1245" s="345">
        <v>1</v>
      </c>
      <c r="AC1245" s="271"/>
      <c r="AD1245" s="272"/>
      <c r="AE1245" s="273"/>
      <c r="AF1245" s="273"/>
      <c r="AG1245" s="274"/>
      <c r="AH1245" s="275"/>
      <c r="AI1245" s="272"/>
      <c r="AJ1245" s="276"/>
      <c r="AK1245" s="277"/>
      <c r="AL1245" s="278"/>
      <c r="AM1245" s="277"/>
      <c r="AN1245" s="279"/>
      <c r="AO1245" s="279"/>
      <c r="AP1245" s="279"/>
      <c r="AQ1245" s="378"/>
      <c r="AR1245" s="305">
        <f>'预算书-初步'!$F$10</f>
        <v>0.09</v>
      </c>
      <c r="AT1245" s="272"/>
      <c r="BC1245" s="272" t="s">
        <v>521</v>
      </c>
      <c r="BD1245" s="380">
        <v>1174</v>
      </c>
      <c r="BE1245" s="347" t="s">
        <v>705</v>
      </c>
    </row>
  </sheetData>
  <sheetProtection autoFilter="0"/>
  <autoFilter xmlns:etc="http://www.wps.cn/officeDocument/2017/etCustomData" ref="A4:IT1245" etc:filterBottomFollowUsedRange="0">
    <extLst/>
  </autoFilter>
  <mergeCells count="1">
    <mergeCell ref="E3:F3"/>
  </mergeCells>
  <dataValidations count="2">
    <dataValidation type="list" allowBlank="1" showInputMessage="1" showErrorMessage="1" sqref="G2">
      <formula1>"Y,N"</formula1>
    </dataValidation>
    <dataValidation allowBlank="1" showInputMessage="1" showErrorMessage="1" sqref="H2"/>
  </dataValidations>
  <pageMargins left="0.7" right="0.7" top="0.75" bottom="0.75" header="0.3" footer="0.3"/>
  <pageSetup paperSize="9" orientation="portrait"/>
  <headerFooter/>
  <ignoredErrors>
    <ignoredError sqref="Q56" numberStoredAsText="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indexed="34"/>
    <outlinePr summaryBelow="0" summaryRight="0"/>
    <pageSetUpPr fitToPage="1"/>
  </sheetPr>
  <dimension ref="A1:AH2543"/>
  <sheetViews>
    <sheetView tabSelected="1" view="pageBreakPreview" zoomScale="140" zoomScaleNormal="100" workbookViewId="0">
      <pane xSplit="10" ySplit="12" topLeftCell="K145" activePane="bottomRight" state="frozen"/>
      <selection/>
      <selection pane="topRight"/>
      <selection pane="bottomLeft"/>
      <selection pane="bottomRight" activeCell="AG2531" sqref="AG2531"/>
    </sheetView>
  </sheetViews>
  <sheetFormatPr defaultColWidth="9" defaultRowHeight="13.6"/>
  <cols>
    <col min="1" max="1" width="4.7734375" style="98" hidden="1" customWidth="1"/>
    <col min="2" max="3" width="6.7734375" style="98" hidden="1" customWidth="1"/>
    <col min="4" max="4" width="4.6640625" style="99" customWidth="1"/>
    <col min="5" max="5" width="10.5625" style="100" customWidth="1"/>
    <col min="6" max="6" width="10.5625" style="101" customWidth="1"/>
    <col min="7" max="8" width="10.5625" style="102" customWidth="1"/>
    <col min="9" max="9" width="10.4453125" style="102" customWidth="1"/>
    <col min="10" max="10" width="41.84375" style="103" customWidth="1"/>
    <col min="11" max="12" width="10.6640625" style="104" hidden="1" customWidth="1"/>
    <col min="13" max="13" width="8" style="105" customWidth="1"/>
    <col min="14" max="14" width="11" style="104" hidden="1" customWidth="1"/>
    <col min="15" max="15" width="10.7734375" style="106" hidden="1" customWidth="1"/>
    <col min="16" max="17" width="12.3359375" style="107" hidden="1" customWidth="1"/>
    <col min="18" max="18" width="8.3359375" style="108" hidden="1" customWidth="1"/>
    <col min="19" max="19" width="15.3359375" style="101" hidden="1" customWidth="1"/>
    <col min="20" max="20" width="9" style="109" hidden="1" customWidth="1"/>
    <col min="21" max="21" width="9.25" style="109" hidden="1" customWidth="1"/>
    <col min="22" max="32" width="9" style="109" hidden="1" customWidth="1"/>
    <col min="33" max="235" width="9" style="109"/>
    <col min="236" max="236" width="5.109375" style="109" customWidth="1"/>
    <col min="237" max="237" width="4.6640625" style="109" customWidth="1"/>
    <col min="238" max="238" width="7.109375" style="109" customWidth="1"/>
    <col min="239" max="239" width="10.3359375" style="109" customWidth="1"/>
    <col min="240" max="240" width="12" style="109" customWidth="1"/>
    <col min="241" max="241" width="19.6640625" style="109" customWidth="1"/>
    <col min="242" max="242" width="42.6640625" style="109" customWidth="1"/>
    <col min="243" max="243" width="8.109375" style="109" customWidth="1"/>
    <col min="244" max="244" width="9" style="109" hidden="1" customWidth="1"/>
    <col min="245" max="245" width="4.8828125" style="109" customWidth="1"/>
    <col min="246" max="246" width="9" style="109" hidden="1" customWidth="1"/>
    <col min="247" max="249" width="8.3359375" style="109" customWidth="1"/>
    <col min="250" max="250" width="14.6640625" style="109" customWidth="1"/>
    <col min="251" max="252" width="9" style="109" hidden="1" customWidth="1"/>
    <col min="253" max="16384" width="9" style="109"/>
  </cols>
  <sheetData>
    <row r="1" s="96" customFormat="1" ht="35.25" hidden="1" customHeight="1" spans="1:34">
      <c r="A1" s="110" t="s">
        <v>706</v>
      </c>
      <c r="B1" s="110"/>
      <c r="C1" s="110"/>
      <c r="D1" s="110"/>
      <c r="E1" s="110"/>
      <c r="F1" s="110"/>
      <c r="G1" s="110"/>
      <c r="H1" s="110"/>
      <c r="I1" s="110"/>
      <c r="J1" s="110"/>
      <c r="K1" s="110"/>
      <c r="L1" s="110"/>
      <c r="M1" s="110"/>
      <c r="N1" s="110"/>
      <c r="O1" s="110"/>
      <c r="P1" s="110"/>
      <c r="Q1" s="110"/>
      <c r="R1" s="110"/>
      <c r="S1" s="110"/>
      <c r="T1" s="111"/>
      <c r="U1" s="111" t="s">
        <v>707</v>
      </c>
      <c r="V1" s="111"/>
      <c r="W1" s="111" t="s">
        <v>708</v>
      </c>
      <c r="X1" s="112"/>
      <c r="Y1" s="111" t="s">
        <v>709</v>
      </c>
      <c r="Z1" s="113"/>
      <c r="AA1" s="111"/>
      <c r="AB1" s="111" t="s">
        <v>710</v>
      </c>
      <c r="AC1" s="111"/>
      <c r="AD1" s="111"/>
      <c r="AE1" s="114" t="s">
        <v>711</v>
      </c>
      <c r="AF1" s="111"/>
    </row>
    <row r="2" s="96" customFormat="1" ht="15.6" hidden="1" customHeight="1" spans="1:34">
      <c r="A2" s="115"/>
      <c r="B2" s="115"/>
      <c r="C2" s="115"/>
      <c r="D2" s="116"/>
      <c r="E2" s="117" t="s">
        <v>712</v>
      </c>
      <c r="F2" s="118">
        <v>1</v>
      </c>
      <c r="G2" s="119"/>
      <c r="H2" s="120" t="s">
        <v>4</v>
      </c>
      <c r="I2" s="120"/>
      <c r="J2" s="121" t="s">
        <v>713</v>
      </c>
      <c r="K2" s="122"/>
      <c r="L2" s="122"/>
      <c r="M2" s="123" t="s">
        <v>5</v>
      </c>
      <c r="N2" s="124"/>
      <c r="O2" s="125" t="s">
        <v>714</v>
      </c>
      <c r="P2" s="125"/>
      <c r="Q2" s="125"/>
      <c r="R2" s="126"/>
      <c r="S2" s="126"/>
      <c r="T2" s="113"/>
      <c r="U2" s="127" t="s">
        <v>715</v>
      </c>
      <c r="V2" s="128" t="s">
        <v>716</v>
      </c>
      <c r="W2" s="128" t="s">
        <v>717</v>
      </c>
      <c r="X2" s="129" t="s">
        <v>718</v>
      </c>
      <c r="Y2" s="129" t="s">
        <v>719</v>
      </c>
      <c r="Z2" s="113"/>
      <c r="AA2" s="113" t="s">
        <v>720</v>
      </c>
      <c r="AB2" s="113" t="s">
        <v>721</v>
      </c>
      <c r="AC2" s="113" t="s">
        <v>722</v>
      </c>
      <c r="AD2" s="113" t="s">
        <v>723</v>
      </c>
      <c r="AE2" s="113"/>
      <c r="AF2" s="113"/>
    </row>
    <row r="3" s="96" customFormat="1" ht="15.6" hidden="1" customHeight="1" spans="1:34">
      <c r="A3" s="115"/>
      <c r="B3" s="115"/>
      <c r="C3" s="115"/>
      <c r="D3" s="116"/>
      <c r="E3" s="117" t="s">
        <v>724</v>
      </c>
      <c r="F3" s="130"/>
      <c r="G3" s="119"/>
      <c r="H3" s="120" t="s">
        <v>725</v>
      </c>
      <c r="I3" s="120"/>
      <c r="J3" s="217" t="s">
        <v>726</v>
      </c>
      <c r="K3" s="122"/>
      <c r="L3" s="122"/>
      <c r="M3" s="131" t="s">
        <v>7</v>
      </c>
      <c r="N3" s="124"/>
      <c r="O3" s="132" t="s">
        <v>727</v>
      </c>
      <c r="P3" s="133" t="s">
        <v>728</v>
      </c>
      <c r="Q3" s="133" t="s">
        <v>728</v>
      </c>
      <c r="R3" s="134"/>
      <c r="S3" s="135"/>
      <c r="T3" s="113" t="s">
        <v>729</v>
      </c>
      <c r="U3" s="113">
        <f>P2540</f>
        <v>603552.92</v>
      </c>
      <c r="V3" s="113"/>
      <c r="W3" s="113"/>
      <c r="X3" s="113"/>
      <c r="Y3" s="113"/>
      <c r="Z3" s="113"/>
      <c r="AB3" s="113">
        <v>28</v>
      </c>
      <c r="AC3" s="113"/>
      <c r="AD3" s="113"/>
      <c r="AF3" s="113"/>
    </row>
    <row r="4" s="96" customFormat="1" ht="13.8" hidden="1" customHeight="1" spans="1:34">
      <c r="A4" s="115"/>
      <c r="B4" s="115"/>
      <c r="C4" s="115"/>
      <c r="D4" s="116"/>
      <c r="E4" s="117" t="s">
        <v>730</v>
      </c>
      <c r="F4" s="130"/>
      <c r="G4" s="119"/>
      <c r="H4" s="120" t="s">
        <v>731</v>
      </c>
      <c r="I4" s="120"/>
      <c r="J4" s="136" t="s">
        <v>732</v>
      </c>
      <c r="K4" s="122"/>
      <c r="L4" s="122"/>
      <c r="M4" s="131" t="s">
        <v>9</v>
      </c>
      <c r="N4" s="137"/>
      <c r="O4" s="138" t="s">
        <v>733</v>
      </c>
      <c r="P4" s="139"/>
      <c r="Q4" s="139"/>
      <c r="R4" s="140"/>
      <c r="S4" s="141"/>
      <c r="T4" s="113" t="s">
        <v>734</v>
      </c>
      <c r="U4" s="113">
        <f>Q2540</f>
        <v>592962.58</v>
      </c>
      <c r="V4" s="113">
        <f>U3-U4</f>
        <v>10590.3400000003</v>
      </c>
      <c r="W4" s="142">
        <f>V4/U3</f>
        <v>0.0175466635137815</v>
      </c>
      <c r="X4" s="113">
        <f>V2540</f>
        <v>22875.06</v>
      </c>
      <c r="Y4" s="142">
        <f>X4/U3</f>
        <v>0.0379006699197147</v>
      </c>
      <c r="Z4" s="113"/>
      <c r="AB4" s="113"/>
      <c r="AF4" s="113"/>
    </row>
    <row r="5" s="96" customFormat="1" ht="13.8" hidden="1" customHeight="1" spans="1:34">
      <c r="A5" s="115"/>
      <c r="B5" s="115"/>
      <c r="C5" s="115"/>
      <c r="D5" s="116"/>
      <c r="E5" s="143" t="s">
        <v>24</v>
      </c>
      <c r="F5" s="130">
        <v>1</v>
      </c>
      <c r="G5" s="119"/>
      <c r="H5" s="120" t="s">
        <v>8</v>
      </c>
      <c r="I5" s="120"/>
      <c r="J5" s="136" t="s">
        <v>735</v>
      </c>
      <c r="K5" s="122"/>
      <c r="L5" s="122"/>
      <c r="M5" s="144" t="s">
        <v>11</v>
      </c>
      <c r="N5" s="145"/>
      <c r="O5" s="146" t="s">
        <v>736</v>
      </c>
      <c r="P5" s="139"/>
      <c r="Q5" s="139"/>
      <c r="R5" s="140"/>
      <c r="S5" s="141"/>
      <c r="T5" s="113"/>
      <c r="U5" s="113"/>
      <c r="V5" s="113"/>
      <c r="W5" s="113"/>
      <c r="X5" s="113"/>
      <c r="Y5" s="113"/>
      <c r="Z5" s="113"/>
      <c r="AB5" s="113"/>
      <c r="AC5" s="113"/>
      <c r="AD5" s="113"/>
      <c r="AE5" s="113"/>
      <c r="AF5" s="113"/>
    </row>
    <row r="6" s="96" customFormat="1" ht="13.8" hidden="1" customHeight="1" collapsed="1" spans="1:34">
      <c r="A6" s="115"/>
      <c r="B6" s="115"/>
      <c r="C6" s="115"/>
      <c r="D6" s="116"/>
      <c r="E6" s="143" t="s">
        <v>737</v>
      </c>
      <c r="F6" s="130"/>
      <c r="G6" s="119"/>
      <c r="H6" s="120" t="s">
        <v>738</v>
      </c>
      <c r="I6" s="120"/>
      <c r="J6" s="136" t="s">
        <v>739</v>
      </c>
      <c r="K6" s="122"/>
      <c r="L6" s="122"/>
      <c r="M6" s="144" t="s">
        <v>13</v>
      </c>
      <c r="N6" s="145"/>
      <c r="O6" s="147">
        <v>0</v>
      </c>
      <c r="P6" s="148"/>
      <c r="Q6" s="148"/>
      <c r="R6" s="148"/>
      <c r="S6" s="149"/>
      <c r="T6" s="113"/>
      <c r="U6" s="113"/>
      <c r="V6" s="113"/>
      <c r="W6" s="113"/>
      <c r="X6" s="113"/>
      <c r="Y6" s="113"/>
      <c r="Z6" s="113"/>
      <c r="AA6" s="113" t="s">
        <v>740</v>
      </c>
      <c r="AB6" s="113"/>
      <c r="AC6" s="113"/>
      <c r="AD6" s="113"/>
      <c r="AE6" s="113"/>
      <c r="AF6" s="113"/>
    </row>
    <row r="7" s="96" customFormat="1" ht="13.8" hidden="1" customHeight="1" outlineLevel="1" spans="1:34">
      <c r="A7" s="115"/>
      <c r="B7" s="115"/>
      <c r="C7" s="115"/>
      <c r="D7" s="116"/>
      <c r="E7" s="150" t="s">
        <v>741</v>
      </c>
      <c r="F7" s="130"/>
      <c r="G7" s="119"/>
      <c r="H7" s="120" t="s">
        <v>10</v>
      </c>
      <c r="I7" s="120"/>
      <c r="J7" s="121">
        <v>185</v>
      </c>
      <c r="K7" s="122"/>
      <c r="L7" s="122"/>
      <c r="M7" s="144"/>
      <c r="N7" s="145"/>
      <c r="O7" s="151"/>
      <c r="P7" s="151"/>
      <c r="Q7" s="151"/>
      <c r="R7" s="152"/>
      <c r="S7" s="153"/>
      <c r="T7" s="113"/>
      <c r="U7" s="154" t="s">
        <v>742</v>
      </c>
      <c r="X7" s="113"/>
      <c r="Y7" s="113"/>
      <c r="Z7" s="113"/>
      <c r="AA7" s="113" t="s">
        <v>743</v>
      </c>
      <c r="AB7" s="113"/>
      <c r="AC7" s="113"/>
      <c r="AD7" s="113"/>
      <c r="AE7" s="113"/>
      <c r="AF7" s="113"/>
    </row>
    <row r="8" s="96" customFormat="1" ht="13.8" hidden="1" customHeight="1" outlineLevel="1" spans="1:34">
      <c r="A8" s="115"/>
      <c r="B8" s="115"/>
      <c r="C8" s="115"/>
      <c r="D8" s="116"/>
      <c r="E8" s="155" t="s">
        <v>744</v>
      </c>
      <c r="F8" s="156"/>
      <c r="G8" s="119"/>
      <c r="H8" s="120" t="s">
        <v>12</v>
      </c>
      <c r="I8" s="120"/>
      <c r="J8" s="121">
        <v>40</v>
      </c>
      <c r="K8" s="122"/>
      <c r="L8" s="122"/>
      <c r="M8" s="131" t="s">
        <v>745</v>
      </c>
      <c r="N8" s="137"/>
      <c r="O8" s="157"/>
      <c r="P8" s="158"/>
      <c r="Q8" s="158"/>
      <c r="R8" s="159"/>
      <c r="S8" s="160"/>
      <c r="T8" s="113"/>
      <c r="U8" s="161" t="s">
        <v>746</v>
      </c>
      <c r="V8" s="113"/>
      <c r="W8" s="113"/>
      <c r="X8" s="113"/>
      <c r="Y8" s="113"/>
      <c r="Z8" s="113"/>
      <c r="AA8" s="113"/>
      <c r="AB8" s="113"/>
      <c r="AC8" s="113"/>
      <c r="AD8" s="113"/>
      <c r="AE8" s="113"/>
      <c r="AF8" s="113"/>
    </row>
    <row r="9" s="96" customFormat="1" ht="13.8" hidden="1" customHeight="1" outlineLevel="1" spans="1:34">
      <c r="A9" s="115"/>
      <c r="B9" s="115"/>
      <c r="C9" s="115"/>
      <c r="D9" s="116"/>
      <c r="E9" s="150" t="s">
        <v>613</v>
      </c>
      <c r="F9" s="130"/>
      <c r="G9" s="119"/>
      <c r="H9" s="120" t="s">
        <v>747</v>
      </c>
      <c r="I9" s="120"/>
      <c r="J9" s="121"/>
      <c r="K9" s="122"/>
      <c r="L9" s="122"/>
      <c r="M9" s="131" t="s">
        <v>748</v>
      </c>
      <c r="N9" s="137"/>
      <c r="O9" s="157"/>
      <c r="P9" s="158"/>
      <c r="Q9" s="158"/>
      <c r="R9" s="159"/>
      <c r="S9" s="160"/>
      <c r="T9" s="113"/>
      <c r="U9" s="162" t="s">
        <v>749</v>
      </c>
      <c r="V9" s="113"/>
      <c r="W9" s="113"/>
      <c r="X9" s="113"/>
      <c r="Y9" s="113" t="s">
        <v>750</v>
      </c>
      <c r="Z9" s="113" t="s">
        <v>751</v>
      </c>
      <c r="AA9" s="113"/>
      <c r="AB9" s="113"/>
      <c r="AC9" s="113"/>
      <c r="AD9" s="113"/>
      <c r="AE9" s="113"/>
      <c r="AF9" s="113"/>
    </row>
    <row r="10" s="96" customFormat="1" ht="13.8" hidden="1" customHeight="1" outlineLevel="1" spans="1:34">
      <c r="A10" s="115"/>
      <c r="B10" s="115"/>
      <c r="C10" s="115"/>
      <c r="D10" s="116"/>
      <c r="E10" s="74" t="s">
        <v>752</v>
      </c>
      <c r="F10" s="163">
        <v>0.09</v>
      </c>
      <c r="G10" s="119"/>
      <c r="H10" s="120" t="s">
        <v>753</v>
      </c>
      <c r="I10" s="120"/>
      <c r="J10" s="121" t="s">
        <v>754</v>
      </c>
      <c r="K10" s="122"/>
      <c r="L10" s="122"/>
      <c r="M10" s="131" t="s">
        <v>755</v>
      </c>
      <c r="N10" s="137"/>
      <c r="O10" s="157"/>
      <c r="P10" s="158"/>
      <c r="Q10" s="158"/>
      <c r="R10" s="159"/>
      <c r="S10" s="160"/>
      <c r="T10" s="113"/>
      <c r="U10" s="164" t="s">
        <v>756</v>
      </c>
      <c r="V10" s="113"/>
      <c r="W10" s="113"/>
      <c r="X10" s="113"/>
      <c r="Y10" s="142" t="e">
        <f>W9/(W7+W8+W9+W10)</f>
        <v>#DIV/0!</v>
      </c>
      <c r="Z10" s="142" t="e">
        <f>W9/(W9+W10)</f>
        <v>#DIV/0!</v>
      </c>
      <c r="AA10" s="113"/>
      <c r="AB10" s="113"/>
      <c r="AC10" s="113"/>
      <c r="AD10" s="113"/>
      <c r="AE10" s="113"/>
      <c r="AF10" s="113"/>
    </row>
    <row r="11" s="96" customFormat="1" ht="13.8" hidden="1" customHeight="1" spans="1:34">
      <c r="A11" s="115"/>
      <c r="B11" s="115"/>
      <c r="C11" s="115"/>
      <c r="D11" s="116"/>
      <c r="E11" s="150"/>
      <c r="F11" s="119"/>
      <c r="G11" s="119"/>
      <c r="H11" s="119"/>
      <c r="I11" s="119"/>
      <c r="J11" s="165"/>
      <c r="K11" s="122"/>
      <c r="L11" s="122"/>
      <c r="M11" s="165"/>
      <c r="N11" s="166"/>
      <c r="O11" s="167"/>
      <c r="P11" s="167"/>
      <c r="Q11" s="167"/>
      <c r="R11" s="119"/>
      <c r="S11" s="168"/>
    </row>
    <row r="12" s="97" customFormat="1" ht="27" customHeight="1" spans="1:34">
      <c r="A12" s="169" t="s">
        <v>757</v>
      </c>
      <c r="B12" s="170" t="s">
        <v>758</v>
      </c>
      <c r="C12" s="170" t="s">
        <v>759</v>
      </c>
      <c r="D12" s="171" t="s">
        <v>760</v>
      </c>
      <c r="E12" s="172" t="s">
        <v>761</v>
      </c>
      <c r="F12" s="172" t="s">
        <v>762</v>
      </c>
      <c r="G12" s="172" t="s">
        <v>763</v>
      </c>
      <c r="H12" s="172" t="s">
        <v>764</v>
      </c>
      <c r="I12" s="173" t="s">
        <v>765</v>
      </c>
      <c r="J12" s="174" t="s">
        <v>766</v>
      </c>
      <c r="K12" s="175" t="s">
        <v>767</v>
      </c>
      <c r="L12" s="176" t="s">
        <v>768</v>
      </c>
      <c r="M12" s="172" t="s">
        <v>769</v>
      </c>
      <c r="N12" s="177" t="s">
        <v>770</v>
      </c>
      <c r="O12" s="177" t="s">
        <v>771</v>
      </c>
      <c r="P12" s="178" t="s">
        <v>772</v>
      </c>
      <c r="Q12" s="175" t="s">
        <v>773</v>
      </c>
      <c r="R12" s="179" t="s">
        <v>774</v>
      </c>
      <c r="S12" s="180" t="s">
        <v>775</v>
      </c>
      <c r="T12" s="181" t="s">
        <v>776</v>
      </c>
      <c r="U12" s="181" t="s">
        <v>777</v>
      </c>
      <c r="V12" s="181" t="s">
        <v>778</v>
      </c>
      <c r="W12" s="182" t="s">
        <v>779</v>
      </c>
      <c r="X12" s="183" t="s">
        <v>780</v>
      </c>
      <c r="Y12" s="181" t="s">
        <v>781</v>
      </c>
      <c r="Z12" s="181" t="s">
        <v>782</v>
      </c>
      <c r="AA12" s="181" t="s">
        <v>783</v>
      </c>
      <c r="AG12" s="218" t="s">
        <v>784</v>
      </c>
      <c r="AH12" s="218" t="s">
        <v>785</v>
      </c>
    </row>
    <row r="13" ht="11.4" customHeight="1" spans="1:34">
      <c r="A13" s="184" t="s">
        <v>786</v>
      </c>
      <c r="B13" s="184" t="s">
        <v>787</v>
      </c>
      <c r="C13" s="184" t="s">
        <v>788</v>
      </c>
      <c r="D13" s="185" t="s">
        <v>522</v>
      </c>
      <c r="E13" s="186" t="s">
        <v>789</v>
      </c>
      <c r="F13" s="186" t="s">
        <v>790</v>
      </c>
      <c r="G13" s="186" t="s">
        <v>791</v>
      </c>
      <c r="H13" s="186" t="s">
        <v>791</v>
      </c>
      <c r="I13" s="187" t="s">
        <v>792</v>
      </c>
      <c r="J13" s="187" t="s">
        <v>791</v>
      </c>
      <c r="K13" s="188"/>
      <c r="L13" s="188"/>
      <c r="M13" s="189" t="s">
        <v>793</v>
      </c>
      <c r="N13" s="190"/>
      <c r="O13" s="190">
        <f t="shared" ref="O13:O76" si="0">ROUND(N13*(1+$F$10),2)</f>
        <v>0</v>
      </c>
      <c r="P13" s="191">
        <f t="shared" ref="P13:P76" si="1">ROUND(K13*N13,2)</f>
        <v>0</v>
      </c>
      <c r="Q13" s="192">
        <f>ROUND(L13*N13,2)</f>
        <v>0</v>
      </c>
      <c r="R13" s="193"/>
      <c r="S13" s="194"/>
      <c r="T13" s="195">
        <f>K13-L13</f>
        <v>0</v>
      </c>
      <c r="U13" s="195">
        <f>P13-Q13</f>
        <v>0</v>
      </c>
      <c r="V13" s="195">
        <f>ABS(U13)</f>
        <v>0</v>
      </c>
      <c r="W13" s="196" t="e">
        <f>T13/L13</f>
        <v>#DIV/0!</v>
      </c>
      <c r="X13" s="197" t="e">
        <f>ABS(W13)</f>
        <v>#DIV/0!</v>
      </c>
      <c r="AH13" s="219" t="s">
        <v>794</v>
      </c>
    </row>
    <row r="14" ht="11.4" customHeight="1" spans="1:34">
      <c r="A14" s="184" t="s">
        <v>795</v>
      </c>
      <c r="B14" s="184" t="s">
        <v>796</v>
      </c>
      <c r="C14" s="184" t="s">
        <v>788</v>
      </c>
      <c r="D14" s="185" t="s">
        <v>522</v>
      </c>
      <c r="E14" s="186" t="s">
        <v>789</v>
      </c>
      <c r="F14" s="186" t="s">
        <v>790</v>
      </c>
      <c r="G14" s="186" t="s">
        <v>797</v>
      </c>
      <c r="H14" s="186" t="s">
        <v>797</v>
      </c>
      <c r="I14" s="187" t="s">
        <v>798</v>
      </c>
      <c r="J14" s="187" t="s">
        <v>797</v>
      </c>
      <c r="K14" s="188"/>
      <c r="L14" s="188"/>
      <c r="M14" s="189" t="s">
        <v>793</v>
      </c>
      <c r="N14" s="190"/>
      <c r="O14" s="190">
        <f t="shared" si="0"/>
        <v>0</v>
      </c>
      <c r="P14" s="191">
        <f t="shared" si="1"/>
        <v>0</v>
      </c>
      <c r="Q14" s="192">
        <f t="shared" ref="Q14:Q77" si="2">ROUND(L14*N14,2)</f>
        <v>0</v>
      </c>
      <c r="R14" s="193"/>
      <c r="S14" s="194"/>
      <c r="T14" s="195">
        <f t="shared" ref="T14:T77" si="3">K14-L14</f>
        <v>0</v>
      </c>
      <c r="U14" s="195">
        <f t="shared" ref="U14:U77" si="4">P14-Q14</f>
        <v>0</v>
      </c>
      <c r="V14" s="195">
        <f t="shared" ref="V14:V77" si="5">ABS(U14)</f>
        <v>0</v>
      </c>
      <c r="W14" s="196" t="e">
        <f t="shared" ref="W14:W77" si="6">T14/L14</f>
        <v>#DIV/0!</v>
      </c>
      <c r="X14" s="197" t="e">
        <f t="shared" ref="X14:X77" si="7">ABS(W14)</f>
        <v>#DIV/0!</v>
      </c>
      <c r="AH14" s="219" t="s">
        <v>794</v>
      </c>
    </row>
    <row r="15" ht="11.4" customHeight="1" spans="1:34">
      <c r="A15" s="184" t="s">
        <v>799</v>
      </c>
      <c r="B15" s="184" t="s">
        <v>800</v>
      </c>
      <c r="C15" s="184" t="s">
        <v>801</v>
      </c>
      <c r="D15" s="185" t="s">
        <v>522</v>
      </c>
      <c r="E15" s="186" t="s">
        <v>802</v>
      </c>
      <c r="F15" s="186" t="s">
        <v>803</v>
      </c>
      <c r="G15" s="186" t="s">
        <v>804</v>
      </c>
      <c r="H15" s="186" t="s">
        <v>804</v>
      </c>
      <c r="I15" s="187" t="s">
        <v>805</v>
      </c>
      <c r="J15" s="187" t="s">
        <v>806</v>
      </c>
      <c r="K15" s="188"/>
      <c r="L15" s="188"/>
      <c r="M15" s="189" t="s">
        <v>807</v>
      </c>
      <c r="N15" s="190">
        <v>1000.44</v>
      </c>
      <c r="O15" s="190">
        <f t="shared" si="0"/>
        <v>1090.48</v>
      </c>
      <c r="P15" s="191">
        <f t="shared" si="1"/>
        <v>0</v>
      </c>
      <c r="Q15" s="192">
        <f t="shared" si="2"/>
        <v>0</v>
      </c>
      <c r="R15" s="193"/>
      <c r="S15" s="194"/>
      <c r="T15" s="195">
        <f t="shared" si="3"/>
        <v>0</v>
      </c>
      <c r="U15" s="195">
        <f t="shared" si="4"/>
        <v>0</v>
      </c>
      <c r="V15" s="195">
        <f t="shared" si="5"/>
        <v>0</v>
      </c>
      <c r="W15" s="196" t="e">
        <f t="shared" si="6"/>
        <v>#DIV/0!</v>
      </c>
      <c r="X15" s="197" t="e">
        <f t="shared" si="7"/>
        <v>#DIV/0!</v>
      </c>
      <c r="AH15" s="109" t="s">
        <v>794</v>
      </c>
    </row>
    <row r="16" ht="11.4" customHeight="1" spans="1:34">
      <c r="A16" s="184" t="s">
        <v>799</v>
      </c>
      <c r="B16" s="184" t="s">
        <v>800</v>
      </c>
      <c r="C16" s="184" t="s">
        <v>801</v>
      </c>
      <c r="D16" s="185" t="s">
        <v>522</v>
      </c>
      <c r="E16" s="186" t="s">
        <v>802</v>
      </c>
      <c r="F16" s="186" t="s">
        <v>803</v>
      </c>
      <c r="G16" s="186" t="s">
        <v>804</v>
      </c>
      <c r="H16" s="186" t="s">
        <v>804</v>
      </c>
      <c r="I16" s="187" t="s">
        <v>808</v>
      </c>
      <c r="J16" s="187" t="s">
        <v>809</v>
      </c>
      <c r="K16" s="188"/>
      <c r="L16" s="188"/>
      <c r="M16" s="189" t="s">
        <v>807</v>
      </c>
      <c r="N16" s="190">
        <v>872.84</v>
      </c>
      <c r="O16" s="190">
        <f t="shared" si="0"/>
        <v>951.4</v>
      </c>
      <c r="P16" s="191">
        <f t="shared" si="1"/>
        <v>0</v>
      </c>
      <c r="Q16" s="192">
        <f t="shared" si="2"/>
        <v>0</v>
      </c>
      <c r="R16" s="193"/>
      <c r="S16" s="194"/>
      <c r="T16" s="195">
        <f t="shared" si="3"/>
        <v>0</v>
      </c>
      <c r="U16" s="195">
        <f t="shared" si="4"/>
        <v>0</v>
      </c>
      <c r="V16" s="195">
        <f t="shared" si="5"/>
        <v>0</v>
      </c>
      <c r="W16" s="196" t="e">
        <f t="shared" si="6"/>
        <v>#DIV/0!</v>
      </c>
      <c r="X16" s="197" t="e">
        <f t="shared" si="7"/>
        <v>#DIV/0!</v>
      </c>
      <c r="AH16" s="109" t="s">
        <v>794</v>
      </c>
    </row>
    <row r="17" ht="11.4" customHeight="1" spans="1:34">
      <c r="A17" s="184" t="s">
        <v>799</v>
      </c>
      <c r="B17" s="184" t="s">
        <v>800</v>
      </c>
      <c r="C17" s="184" t="s">
        <v>801</v>
      </c>
      <c r="D17" s="185" t="s">
        <v>522</v>
      </c>
      <c r="E17" s="186" t="s">
        <v>802</v>
      </c>
      <c r="F17" s="186" t="s">
        <v>803</v>
      </c>
      <c r="G17" s="186" t="s">
        <v>804</v>
      </c>
      <c r="H17" s="186" t="s">
        <v>804</v>
      </c>
      <c r="I17" s="187" t="s">
        <v>810</v>
      </c>
      <c r="J17" s="187" t="s">
        <v>811</v>
      </c>
      <c r="K17" s="188"/>
      <c r="L17" s="188"/>
      <c r="M17" s="189" t="s">
        <v>807</v>
      </c>
      <c r="N17" s="190">
        <v>1000.44</v>
      </c>
      <c r="O17" s="190">
        <f t="shared" si="0"/>
        <v>1090.48</v>
      </c>
      <c r="P17" s="191">
        <f t="shared" si="1"/>
        <v>0</v>
      </c>
      <c r="Q17" s="192">
        <f t="shared" si="2"/>
        <v>0</v>
      </c>
      <c r="R17" s="193"/>
      <c r="S17" s="194"/>
      <c r="T17" s="195">
        <f t="shared" si="3"/>
        <v>0</v>
      </c>
      <c r="U17" s="195">
        <f t="shared" si="4"/>
        <v>0</v>
      </c>
      <c r="V17" s="195">
        <f t="shared" si="5"/>
        <v>0</v>
      </c>
      <c r="W17" s="196" t="e">
        <f t="shared" si="6"/>
        <v>#DIV/0!</v>
      </c>
      <c r="X17" s="197" t="e">
        <f t="shared" si="7"/>
        <v>#DIV/0!</v>
      </c>
      <c r="AH17" s="109" t="s">
        <v>794</v>
      </c>
    </row>
    <row r="18" ht="11.4" customHeight="1" spans="1:34">
      <c r="A18" s="184" t="s">
        <v>799</v>
      </c>
      <c r="B18" s="184" t="s">
        <v>800</v>
      </c>
      <c r="C18" s="184" t="s">
        <v>801</v>
      </c>
      <c r="D18" s="185" t="s">
        <v>522</v>
      </c>
      <c r="E18" s="186" t="s">
        <v>802</v>
      </c>
      <c r="F18" s="186" t="s">
        <v>803</v>
      </c>
      <c r="G18" s="186" t="s">
        <v>804</v>
      </c>
      <c r="H18" s="186" t="s">
        <v>804</v>
      </c>
      <c r="I18" s="187" t="s">
        <v>812</v>
      </c>
      <c r="J18" s="187" t="s">
        <v>813</v>
      </c>
      <c r="K18" s="188"/>
      <c r="L18" s="188"/>
      <c r="M18" s="189" t="s">
        <v>807</v>
      </c>
      <c r="N18" s="190">
        <v>872.84</v>
      </c>
      <c r="O18" s="190">
        <f t="shared" si="0"/>
        <v>951.4</v>
      </c>
      <c r="P18" s="191">
        <f t="shared" si="1"/>
        <v>0</v>
      </c>
      <c r="Q18" s="192">
        <f t="shared" si="2"/>
        <v>0</v>
      </c>
      <c r="R18" s="193"/>
      <c r="S18" s="194"/>
      <c r="T18" s="195">
        <f t="shared" si="3"/>
        <v>0</v>
      </c>
      <c r="U18" s="195">
        <f t="shared" si="4"/>
        <v>0</v>
      </c>
      <c r="V18" s="195">
        <f t="shared" si="5"/>
        <v>0</v>
      </c>
      <c r="W18" s="196" t="e">
        <f t="shared" si="6"/>
        <v>#DIV/0!</v>
      </c>
      <c r="X18" s="197" t="e">
        <f t="shared" si="7"/>
        <v>#DIV/0!</v>
      </c>
      <c r="AH18" s="109" t="s">
        <v>794</v>
      </c>
    </row>
    <row r="19" ht="11.4" customHeight="1" spans="1:34">
      <c r="A19" s="184" t="s">
        <v>799</v>
      </c>
      <c r="B19" s="184" t="s">
        <v>800</v>
      </c>
      <c r="C19" s="184" t="s">
        <v>801</v>
      </c>
      <c r="D19" s="185" t="s">
        <v>522</v>
      </c>
      <c r="E19" s="186" t="s">
        <v>802</v>
      </c>
      <c r="F19" s="186" t="s">
        <v>803</v>
      </c>
      <c r="G19" s="186" t="s">
        <v>804</v>
      </c>
      <c r="H19" s="186" t="s">
        <v>804</v>
      </c>
      <c r="I19" s="187" t="s">
        <v>814</v>
      </c>
      <c r="J19" s="187" t="s">
        <v>815</v>
      </c>
      <c r="K19" s="188"/>
      <c r="L19" s="188"/>
      <c r="M19" s="189" t="s">
        <v>807</v>
      </c>
      <c r="N19" s="190">
        <v>135.14</v>
      </c>
      <c r="O19" s="190">
        <f t="shared" si="0"/>
        <v>147.3</v>
      </c>
      <c r="P19" s="191">
        <f t="shared" si="1"/>
        <v>0</v>
      </c>
      <c r="Q19" s="192">
        <f t="shared" si="2"/>
        <v>0</v>
      </c>
      <c r="R19" s="193"/>
      <c r="S19" s="194"/>
      <c r="T19" s="195">
        <f t="shared" si="3"/>
        <v>0</v>
      </c>
      <c r="U19" s="195">
        <f t="shared" si="4"/>
        <v>0</v>
      </c>
      <c r="V19" s="195">
        <f t="shared" si="5"/>
        <v>0</v>
      </c>
      <c r="W19" s="196" t="e">
        <f t="shared" si="6"/>
        <v>#DIV/0!</v>
      </c>
      <c r="X19" s="197" t="e">
        <f t="shared" si="7"/>
        <v>#DIV/0!</v>
      </c>
      <c r="AH19" s="109" t="s">
        <v>794</v>
      </c>
    </row>
    <row r="20" ht="11.4" customHeight="1" spans="1:34">
      <c r="A20" s="184" t="s">
        <v>816</v>
      </c>
      <c r="B20" s="184" t="s">
        <v>817</v>
      </c>
      <c r="C20" s="184" t="s">
        <v>818</v>
      </c>
      <c r="D20" s="185" t="s">
        <v>522</v>
      </c>
      <c r="E20" s="186" t="s">
        <v>802</v>
      </c>
      <c r="F20" s="186" t="s">
        <v>819</v>
      </c>
      <c r="G20" s="186" t="s">
        <v>820</v>
      </c>
      <c r="H20" s="186" t="s">
        <v>820</v>
      </c>
      <c r="I20" s="187" t="s">
        <v>821</v>
      </c>
      <c r="J20" s="187" t="s">
        <v>822</v>
      </c>
      <c r="K20" s="188"/>
      <c r="L20" s="188"/>
      <c r="M20" s="189" t="s">
        <v>807</v>
      </c>
      <c r="N20" s="190">
        <v>96.36</v>
      </c>
      <c r="O20" s="190">
        <f t="shared" si="0"/>
        <v>105.03</v>
      </c>
      <c r="P20" s="191">
        <f t="shared" si="1"/>
        <v>0</v>
      </c>
      <c r="Q20" s="192">
        <f t="shared" si="2"/>
        <v>0</v>
      </c>
      <c r="R20" s="193"/>
      <c r="S20" s="194"/>
      <c r="T20" s="195">
        <f t="shared" si="3"/>
        <v>0</v>
      </c>
      <c r="U20" s="195">
        <f t="shared" si="4"/>
        <v>0</v>
      </c>
      <c r="V20" s="195">
        <f t="shared" si="5"/>
        <v>0</v>
      </c>
      <c r="W20" s="196" t="e">
        <f t="shared" si="6"/>
        <v>#DIV/0!</v>
      </c>
      <c r="X20" s="197" t="e">
        <f t="shared" si="7"/>
        <v>#DIV/0!</v>
      </c>
      <c r="AH20" s="109" t="s">
        <v>794</v>
      </c>
    </row>
    <row r="21" ht="11.4" customHeight="1" spans="1:34">
      <c r="A21" s="184" t="s">
        <v>816</v>
      </c>
      <c r="B21" s="184" t="s">
        <v>817</v>
      </c>
      <c r="C21" s="184" t="s">
        <v>818</v>
      </c>
      <c r="D21" s="185" t="s">
        <v>522</v>
      </c>
      <c r="E21" s="186" t="s">
        <v>802</v>
      </c>
      <c r="F21" s="186" t="s">
        <v>819</v>
      </c>
      <c r="G21" s="186" t="s">
        <v>820</v>
      </c>
      <c r="H21" s="186" t="s">
        <v>820</v>
      </c>
      <c r="I21" s="187" t="s">
        <v>823</v>
      </c>
      <c r="J21" s="187" t="s">
        <v>824</v>
      </c>
      <c r="K21" s="188"/>
      <c r="L21" s="188"/>
      <c r="M21" s="189" t="s">
        <v>807</v>
      </c>
      <c r="N21" s="190">
        <v>92.09</v>
      </c>
      <c r="O21" s="190">
        <f t="shared" si="0"/>
        <v>100.38</v>
      </c>
      <c r="P21" s="191">
        <f t="shared" si="1"/>
        <v>0</v>
      </c>
      <c r="Q21" s="192">
        <f t="shared" si="2"/>
        <v>0</v>
      </c>
      <c r="R21" s="193"/>
      <c r="S21" s="194"/>
      <c r="T21" s="195">
        <f t="shared" si="3"/>
        <v>0</v>
      </c>
      <c r="U21" s="195">
        <f t="shared" si="4"/>
        <v>0</v>
      </c>
      <c r="V21" s="195">
        <f t="shared" si="5"/>
        <v>0</v>
      </c>
      <c r="W21" s="196" t="e">
        <f t="shared" si="6"/>
        <v>#DIV/0!</v>
      </c>
      <c r="X21" s="197" t="e">
        <f t="shared" si="7"/>
        <v>#DIV/0!</v>
      </c>
      <c r="AH21" s="109" t="s">
        <v>794</v>
      </c>
    </row>
    <row r="22" ht="11.4" customHeight="1" spans="1:34">
      <c r="A22" s="184" t="s">
        <v>825</v>
      </c>
      <c r="B22" s="184" t="s">
        <v>826</v>
      </c>
      <c r="C22" s="184" t="s">
        <v>827</v>
      </c>
      <c r="D22" s="185" t="s">
        <v>522</v>
      </c>
      <c r="E22" s="186" t="s">
        <v>802</v>
      </c>
      <c r="F22" s="186" t="s">
        <v>828</v>
      </c>
      <c r="G22" s="186" t="s">
        <v>829</v>
      </c>
      <c r="H22" s="186" t="s">
        <v>829</v>
      </c>
      <c r="I22" s="187" t="s">
        <v>830</v>
      </c>
      <c r="J22" s="187" t="s">
        <v>829</v>
      </c>
      <c r="K22" s="188"/>
      <c r="L22" s="188"/>
      <c r="M22" s="189" t="s">
        <v>793</v>
      </c>
      <c r="N22" s="190">
        <v>1801.8</v>
      </c>
      <c r="O22" s="190">
        <f t="shared" si="0"/>
        <v>1963.96</v>
      </c>
      <c r="P22" s="191">
        <f t="shared" si="1"/>
        <v>0</v>
      </c>
      <c r="Q22" s="192">
        <f t="shared" si="2"/>
        <v>0</v>
      </c>
      <c r="R22" s="193"/>
      <c r="S22" s="194"/>
      <c r="T22" s="195">
        <f t="shared" si="3"/>
        <v>0</v>
      </c>
      <c r="U22" s="195">
        <f t="shared" si="4"/>
        <v>0</v>
      </c>
      <c r="V22" s="195">
        <f t="shared" si="5"/>
        <v>0</v>
      </c>
      <c r="W22" s="196" t="e">
        <f t="shared" si="6"/>
        <v>#DIV/0!</v>
      </c>
      <c r="X22" s="197" t="e">
        <f t="shared" si="7"/>
        <v>#DIV/0!</v>
      </c>
      <c r="AH22" s="109" t="s">
        <v>794</v>
      </c>
    </row>
    <row r="23" ht="11.4" customHeight="1" spans="1:34">
      <c r="A23" s="184" t="s">
        <v>831</v>
      </c>
      <c r="B23" s="184" t="s">
        <v>832</v>
      </c>
      <c r="C23" s="184" t="s">
        <v>833</v>
      </c>
      <c r="D23" s="185" t="s">
        <v>522</v>
      </c>
      <c r="E23" s="186" t="s">
        <v>802</v>
      </c>
      <c r="F23" s="186" t="s">
        <v>834</v>
      </c>
      <c r="G23" s="186" t="s">
        <v>835</v>
      </c>
      <c r="H23" s="186" t="s">
        <v>835</v>
      </c>
      <c r="I23" s="187" t="s">
        <v>836</v>
      </c>
      <c r="J23" s="187" t="s">
        <v>837</v>
      </c>
      <c r="K23" s="188"/>
      <c r="L23" s="188"/>
      <c r="M23" s="189" t="s">
        <v>793</v>
      </c>
      <c r="N23" s="190">
        <v>1351.35</v>
      </c>
      <c r="O23" s="190">
        <f t="shared" si="0"/>
        <v>1472.97</v>
      </c>
      <c r="P23" s="191">
        <f t="shared" si="1"/>
        <v>0</v>
      </c>
      <c r="Q23" s="192">
        <f t="shared" si="2"/>
        <v>0</v>
      </c>
      <c r="R23" s="193"/>
      <c r="S23" s="194"/>
      <c r="T23" s="195">
        <f t="shared" si="3"/>
        <v>0</v>
      </c>
      <c r="U23" s="195">
        <f t="shared" si="4"/>
        <v>0</v>
      </c>
      <c r="V23" s="195">
        <f t="shared" si="5"/>
        <v>0</v>
      </c>
      <c r="W23" s="196" t="e">
        <f t="shared" si="6"/>
        <v>#DIV/0!</v>
      </c>
      <c r="X23" s="197" t="e">
        <f t="shared" si="7"/>
        <v>#DIV/0!</v>
      </c>
      <c r="AH23" s="109" t="s">
        <v>794</v>
      </c>
    </row>
    <row r="24" ht="11.4" customHeight="1" spans="1:34">
      <c r="A24" s="184" t="s">
        <v>831</v>
      </c>
      <c r="B24" s="184" t="s">
        <v>832</v>
      </c>
      <c r="C24" s="184" t="s">
        <v>833</v>
      </c>
      <c r="D24" s="185" t="s">
        <v>522</v>
      </c>
      <c r="E24" s="186" t="s">
        <v>802</v>
      </c>
      <c r="F24" s="186" t="s">
        <v>834</v>
      </c>
      <c r="G24" s="186" t="s">
        <v>835</v>
      </c>
      <c r="H24" s="186" t="s">
        <v>835</v>
      </c>
      <c r="I24" s="187" t="s">
        <v>838</v>
      </c>
      <c r="J24" s="187" t="s">
        <v>839</v>
      </c>
      <c r="K24" s="188">
        <v>1</v>
      </c>
      <c r="L24" s="188">
        <v>1</v>
      </c>
      <c r="M24" s="189" t="s">
        <v>793</v>
      </c>
      <c r="N24" s="190">
        <v>41284.4</v>
      </c>
      <c r="O24" s="190">
        <f t="shared" si="0"/>
        <v>45000</v>
      </c>
      <c r="P24" s="191">
        <f t="shared" si="1"/>
        <v>41284.4</v>
      </c>
      <c r="Q24" s="192">
        <f t="shared" si="2"/>
        <v>41284.4</v>
      </c>
      <c r="R24" s="193"/>
      <c r="S24" s="194"/>
      <c r="T24" s="195">
        <f t="shared" si="3"/>
        <v>0</v>
      </c>
      <c r="U24" s="195">
        <f t="shared" si="4"/>
        <v>0</v>
      </c>
      <c r="V24" s="195">
        <f t="shared" si="5"/>
        <v>0</v>
      </c>
      <c r="W24" s="196">
        <f t="shared" si="6"/>
        <v>0</v>
      </c>
      <c r="X24" s="197">
        <f t="shared" si="7"/>
        <v>0</v>
      </c>
      <c r="AH24" s="109" t="s">
        <v>794</v>
      </c>
    </row>
    <row r="25" ht="11.4" customHeight="1" spans="1:34">
      <c r="A25" s="184" t="s">
        <v>840</v>
      </c>
      <c r="B25" s="184" t="s">
        <v>73</v>
      </c>
      <c r="C25" s="184" t="s">
        <v>841</v>
      </c>
      <c r="D25" s="185" t="s">
        <v>522</v>
      </c>
      <c r="E25" s="186" t="s">
        <v>842</v>
      </c>
      <c r="F25" s="186" t="s">
        <v>843</v>
      </c>
      <c r="G25" s="186" t="s">
        <v>844</v>
      </c>
      <c r="H25" s="186" t="s">
        <v>844</v>
      </c>
      <c r="I25" s="187" t="s">
        <v>845</v>
      </c>
      <c r="J25" s="187" t="s">
        <v>846</v>
      </c>
      <c r="K25" s="188">
        <v>185</v>
      </c>
      <c r="L25" s="188">
        <v>185</v>
      </c>
      <c r="M25" s="189" t="s">
        <v>847</v>
      </c>
      <c r="N25" s="190">
        <v>27.2</v>
      </c>
      <c r="O25" s="190">
        <f t="shared" si="0"/>
        <v>29.65</v>
      </c>
      <c r="P25" s="191">
        <f t="shared" si="1"/>
        <v>5032</v>
      </c>
      <c r="Q25" s="192">
        <f t="shared" si="2"/>
        <v>5032</v>
      </c>
      <c r="R25" s="193"/>
      <c r="S25" s="194"/>
      <c r="T25" s="195">
        <f t="shared" si="3"/>
        <v>0</v>
      </c>
      <c r="U25" s="195">
        <f t="shared" si="4"/>
        <v>0</v>
      </c>
      <c r="V25" s="195">
        <f t="shared" si="5"/>
        <v>0</v>
      </c>
      <c r="W25" s="196">
        <f t="shared" si="6"/>
        <v>0</v>
      </c>
      <c r="X25" s="197">
        <f t="shared" si="7"/>
        <v>0</v>
      </c>
      <c r="AH25" s="109" t="s">
        <v>794</v>
      </c>
    </row>
    <row r="26" ht="11.4" customHeight="1" spans="1:34">
      <c r="A26" s="184" t="s">
        <v>840</v>
      </c>
      <c r="B26" s="184" t="s">
        <v>73</v>
      </c>
      <c r="C26" s="184" t="s">
        <v>841</v>
      </c>
      <c r="D26" s="185" t="s">
        <v>522</v>
      </c>
      <c r="E26" s="186" t="s">
        <v>842</v>
      </c>
      <c r="F26" s="186" t="s">
        <v>843</v>
      </c>
      <c r="G26" s="186" t="s">
        <v>844</v>
      </c>
      <c r="H26" s="186" t="s">
        <v>844</v>
      </c>
      <c r="I26" s="187" t="s">
        <v>848</v>
      </c>
      <c r="J26" s="187" t="s">
        <v>849</v>
      </c>
      <c r="K26" s="188"/>
      <c r="L26" s="188"/>
      <c r="M26" s="189" t="s">
        <v>847</v>
      </c>
      <c r="N26" s="190">
        <v>73</v>
      </c>
      <c r="O26" s="190">
        <f t="shared" si="0"/>
        <v>79.57</v>
      </c>
      <c r="P26" s="191">
        <f t="shared" si="1"/>
        <v>0</v>
      </c>
      <c r="Q26" s="192">
        <f t="shared" si="2"/>
        <v>0</v>
      </c>
      <c r="R26" s="193"/>
      <c r="S26" s="194"/>
      <c r="T26" s="195">
        <f t="shared" si="3"/>
        <v>0</v>
      </c>
      <c r="U26" s="195">
        <f t="shared" si="4"/>
        <v>0</v>
      </c>
      <c r="V26" s="195">
        <f t="shared" si="5"/>
        <v>0</v>
      </c>
      <c r="W26" s="196" t="e">
        <f t="shared" si="6"/>
        <v>#DIV/0!</v>
      </c>
      <c r="X26" s="197" t="e">
        <f t="shared" si="7"/>
        <v>#DIV/0!</v>
      </c>
      <c r="AH26" s="109" t="s">
        <v>794</v>
      </c>
    </row>
    <row r="27" ht="11.4" customHeight="1" spans="1:34">
      <c r="A27" s="184" t="s">
        <v>840</v>
      </c>
      <c r="B27" s="184" t="s">
        <v>73</v>
      </c>
      <c r="C27" s="184" t="s">
        <v>841</v>
      </c>
      <c r="D27" s="185" t="s">
        <v>522</v>
      </c>
      <c r="E27" s="186" t="s">
        <v>842</v>
      </c>
      <c r="F27" s="186" t="s">
        <v>843</v>
      </c>
      <c r="G27" s="186" t="s">
        <v>844</v>
      </c>
      <c r="H27" s="186" t="s">
        <v>844</v>
      </c>
      <c r="I27" s="187" t="s">
        <v>850</v>
      </c>
      <c r="J27" s="187" t="s">
        <v>851</v>
      </c>
      <c r="K27" s="188"/>
      <c r="L27" s="188"/>
      <c r="M27" s="189" t="s">
        <v>847</v>
      </c>
      <c r="N27" s="190">
        <v>109</v>
      </c>
      <c r="O27" s="190">
        <f t="shared" si="0"/>
        <v>118.81</v>
      </c>
      <c r="P27" s="191">
        <f t="shared" si="1"/>
        <v>0</v>
      </c>
      <c r="Q27" s="192">
        <f t="shared" si="2"/>
        <v>0</v>
      </c>
      <c r="R27" s="193"/>
      <c r="S27" s="194"/>
      <c r="T27" s="195">
        <f t="shared" si="3"/>
        <v>0</v>
      </c>
      <c r="U27" s="195">
        <f t="shared" si="4"/>
        <v>0</v>
      </c>
      <c r="V27" s="195">
        <f t="shared" si="5"/>
        <v>0</v>
      </c>
      <c r="W27" s="196" t="e">
        <f t="shared" si="6"/>
        <v>#DIV/0!</v>
      </c>
      <c r="X27" s="197" t="e">
        <f t="shared" si="7"/>
        <v>#DIV/0!</v>
      </c>
      <c r="AH27" s="109" t="s">
        <v>794</v>
      </c>
    </row>
    <row r="28" ht="11.4" customHeight="1" spans="1:34">
      <c r="A28" s="184" t="s">
        <v>840</v>
      </c>
      <c r="B28" s="184" t="s">
        <v>73</v>
      </c>
      <c r="C28" s="184" t="s">
        <v>841</v>
      </c>
      <c r="D28" s="185" t="s">
        <v>522</v>
      </c>
      <c r="E28" s="186" t="s">
        <v>842</v>
      </c>
      <c r="F28" s="186" t="s">
        <v>843</v>
      </c>
      <c r="G28" s="186" t="s">
        <v>844</v>
      </c>
      <c r="H28" s="186" t="s">
        <v>844</v>
      </c>
      <c r="I28" s="187" t="s">
        <v>852</v>
      </c>
      <c r="J28" s="187" t="s">
        <v>853</v>
      </c>
      <c r="K28" s="188"/>
      <c r="L28" s="188"/>
      <c r="M28" s="189" t="s">
        <v>847</v>
      </c>
      <c r="N28" s="190">
        <v>54.5</v>
      </c>
      <c r="O28" s="190">
        <f t="shared" si="0"/>
        <v>59.41</v>
      </c>
      <c r="P28" s="191">
        <f t="shared" si="1"/>
        <v>0</v>
      </c>
      <c r="Q28" s="192">
        <f t="shared" si="2"/>
        <v>0</v>
      </c>
      <c r="R28" s="193"/>
      <c r="S28" s="194"/>
      <c r="T28" s="195">
        <f t="shared" si="3"/>
        <v>0</v>
      </c>
      <c r="U28" s="195">
        <f t="shared" si="4"/>
        <v>0</v>
      </c>
      <c r="V28" s="195">
        <f t="shared" si="5"/>
        <v>0</v>
      </c>
      <c r="W28" s="196" t="e">
        <f t="shared" si="6"/>
        <v>#DIV/0!</v>
      </c>
      <c r="X28" s="197" t="e">
        <f t="shared" si="7"/>
        <v>#DIV/0!</v>
      </c>
      <c r="AH28" s="109" t="s">
        <v>794</v>
      </c>
    </row>
    <row r="29" ht="11.4" customHeight="1" spans="1:34">
      <c r="A29" s="184" t="s">
        <v>840</v>
      </c>
      <c r="B29" s="184" t="s">
        <v>73</v>
      </c>
      <c r="C29" s="184" t="s">
        <v>841</v>
      </c>
      <c r="D29" s="185" t="s">
        <v>522</v>
      </c>
      <c r="E29" s="186" t="s">
        <v>842</v>
      </c>
      <c r="F29" s="186" t="s">
        <v>843</v>
      </c>
      <c r="G29" s="186" t="s">
        <v>844</v>
      </c>
      <c r="H29" s="186" t="s">
        <v>844</v>
      </c>
      <c r="I29" s="187" t="s">
        <v>854</v>
      </c>
      <c r="J29" s="187" t="s">
        <v>855</v>
      </c>
      <c r="K29" s="188"/>
      <c r="L29" s="188"/>
      <c r="M29" s="189" t="s">
        <v>847</v>
      </c>
      <c r="N29" s="190">
        <v>181.5</v>
      </c>
      <c r="O29" s="190">
        <f t="shared" si="0"/>
        <v>197.84</v>
      </c>
      <c r="P29" s="191">
        <f t="shared" si="1"/>
        <v>0</v>
      </c>
      <c r="Q29" s="192">
        <f t="shared" si="2"/>
        <v>0</v>
      </c>
      <c r="R29" s="193"/>
      <c r="S29" s="194"/>
      <c r="T29" s="195">
        <f t="shared" si="3"/>
        <v>0</v>
      </c>
      <c r="U29" s="195">
        <f t="shared" si="4"/>
        <v>0</v>
      </c>
      <c r="V29" s="195">
        <f t="shared" si="5"/>
        <v>0</v>
      </c>
      <c r="W29" s="196" t="e">
        <f t="shared" si="6"/>
        <v>#DIV/0!</v>
      </c>
      <c r="X29" s="197" t="e">
        <f t="shared" si="7"/>
        <v>#DIV/0!</v>
      </c>
      <c r="AH29" s="109" t="s">
        <v>794</v>
      </c>
    </row>
    <row r="30" ht="11.4" customHeight="1" spans="1:34">
      <c r="A30" s="184" t="s">
        <v>840</v>
      </c>
      <c r="B30" s="184" t="s">
        <v>73</v>
      </c>
      <c r="C30" s="184" t="s">
        <v>841</v>
      </c>
      <c r="D30" s="185" t="s">
        <v>522</v>
      </c>
      <c r="E30" s="186" t="s">
        <v>842</v>
      </c>
      <c r="F30" s="186" t="s">
        <v>843</v>
      </c>
      <c r="G30" s="186" t="s">
        <v>844</v>
      </c>
      <c r="H30" s="186" t="s">
        <v>844</v>
      </c>
      <c r="I30" s="187" t="s">
        <v>856</v>
      </c>
      <c r="J30" s="187" t="s">
        <v>857</v>
      </c>
      <c r="K30" s="188"/>
      <c r="L30" s="188"/>
      <c r="M30" s="189" t="s">
        <v>847</v>
      </c>
      <c r="N30" s="190">
        <v>284.5</v>
      </c>
      <c r="O30" s="190">
        <f t="shared" si="0"/>
        <v>310.11</v>
      </c>
      <c r="P30" s="191">
        <f t="shared" si="1"/>
        <v>0</v>
      </c>
      <c r="Q30" s="192">
        <f t="shared" si="2"/>
        <v>0</v>
      </c>
      <c r="R30" s="193"/>
      <c r="S30" s="194"/>
      <c r="T30" s="195">
        <f t="shared" si="3"/>
        <v>0</v>
      </c>
      <c r="U30" s="195">
        <f t="shared" si="4"/>
        <v>0</v>
      </c>
      <c r="V30" s="195">
        <f t="shared" si="5"/>
        <v>0</v>
      </c>
      <c r="W30" s="196" t="e">
        <f t="shared" si="6"/>
        <v>#DIV/0!</v>
      </c>
      <c r="X30" s="197" t="e">
        <f t="shared" si="7"/>
        <v>#DIV/0!</v>
      </c>
      <c r="AH30" s="109" t="s">
        <v>794</v>
      </c>
    </row>
    <row r="31" ht="11.4" customHeight="1" spans="1:34">
      <c r="A31" s="184" t="s">
        <v>840</v>
      </c>
      <c r="B31" s="184" t="s">
        <v>73</v>
      </c>
      <c r="C31" s="184" t="s">
        <v>841</v>
      </c>
      <c r="D31" s="185" t="s">
        <v>522</v>
      </c>
      <c r="E31" s="186" t="s">
        <v>842</v>
      </c>
      <c r="F31" s="186" t="s">
        <v>843</v>
      </c>
      <c r="G31" s="186" t="s">
        <v>844</v>
      </c>
      <c r="H31" s="186" t="s">
        <v>844</v>
      </c>
      <c r="I31" s="187" t="s">
        <v>858</v>
      </c>
      <c r="J31" s="187" t="s">
        <v>859</v>
      </c>
      <c r="K31" s="188">
        <v>185</v>
      </c>
      <c r="L31" s="188">
        <v>185</v>
      </c>
      <c r="M31" s="189" t="s">
        <v>847</v>
      </c>
      <c r="N31" s="190">
        <v>20</v>
      </c>
      <c r="O31" s="190">
        <f t="shared" si="0"/>
        <v>21.8</v>
      </c>
      <c r="P31" s="191">
        <f t="shared" si="1"/>
        <v>3700</v>
      </c>
      <c r="Q31" s="192">
        <f t="shared" si="2"/>
        <v>3700</v>
      </c>
      <c r="R31" s="193"/>
      <c r="S31" s="194"/>
      <c r="T31" s="195">
        <f t="shared" si="3"/>
        <v>0</v>
      </c>
      <c r="U31" s="195">
        <f t="shared" si="4"/>
        <v>0</v>
      </c>
      <c r="V31" s="195">
        <f t="shared" si="5"/>
        <v>0</v>
      </c>
      <c r="W31" s="196">
        <f t="shared" si="6"/>
        <v>0</v>
      </c>
      <c r="X31" s="197">
        <f t="shared" si="7"/>
        <v>0</v>
      </c>
      <c r="AH31" s="109" t="s">
        <v>794</v>
      </c>
    </row>
    <row r="32" ht="11.4" customHeight="1" spans="1:34">
      <c r="A32" s="184" t="s">
        <v>860</v>
      </c>
      <c r="B32" s="184" t="s">
        <v>75</v>
      </c>
      <c r="C32" s="184" t="s">
        <v>861</v>
      </c>
      <c r="D32" s="185" t="s">
        <v>522</v>
      </c>
      <c r="E32" s="186" t="s">
        <v>842</v>
      </c>
      <c r="F32" s="186" t="s">
        <v>862</v>
      </c>
      <c r="G32" s="186" t="s">
        <v>531</v>
      </c>
      <c r="H32" s="186" t="s">
        <v>531</v>
      </c>
      <c r="I32" s="187" t="s">
        <v>863</v>
      </c>
      <c r="J32" s="187" t="s">
        <v>864</v>
      </c>
      <c r="K32" s="188">
        <v>50.19</v>
      </c>
      <c r="L32" s="188">
        <v>49.9</v>
      </c>
      <c r="M32" s="189" t="s">
        <v>847</v>
      </c>
      <c r="N32" s="190">
        <v>58.7</v>
      </c>
      <c r="O32" s="190">
        <f t="shared" si="0"/>
        <v>63.98</v>
      </c>
      <c r="P32" s="191">
        <f t="shared" si="1"/>
        <v>2946.15</v>
      </c>
      <c r="Q32" s="192">
        <f t="shared" si="2"/>
        <v>2929.13</v>
      </c>
      <c r="R32" s="193"/>
      <c r="S32" s="194"/>
      <c r="T32" s="195">
        <f t="shared" si="3"/>
        <v>0.289999999999999</v>
      </c>
      <c r="U32" s="195">
        <f t="shared" si="4"/>
        <v>17.02</v>
      </c>
      <c r="V32" s="195">
        <f t="shared" si="5"/>
        <v>17.02</v>
      </c>
      <c r="W32" s="196">
        <f t="shared" si="6"/>
        <v>0.00581162324649297</v>
      </c>
      <c r="X32" s="197">
        <f t="shared" si="7"/>
        <v>0.00581162324649297</v>
      </c>
      <c r="AG32" s="219" t="s">
        <v>865</v>
      </c>
    </row>
    <row r="33" ht="11.4" customHeight="1" spans="1:34">
      <c r="A33" s="184" t="s">
        <v>866</v>
      </c>
      <c r="B33" s="184" t="s">
        <v>81</v>
      </c>
      <c r="C33" s="184" t="s">
        <v>867</v>
      </c>
      <c r="D33" s="185" t="s">
        <v>522</v>
      </c>
      <c r="E33" s="186" t="s">
        <v>868</v>
      </c>
      <c r="F33" s="186" t="s">
        <v>869</v>
      </c>
      <c r="G33" s="186" t="s">
        <v>870</v>
      </c>
      <c r="H33" s="186" t="s">
        <v>871</v>
      </c>
      <c r="I33" s="187" t="s">
        <v>872</v>
      </c>
      <c r="J33" s="187" t="s">
        <v>873</v>
      </c>
      <c r="K33" s="188">
        <v>1</v>
      </c>
      <c r="L33" s="188">
        <v>1</v>
      </c>
      <c r="M33" s="189" t="s">
        <v>793</v>
      </c>
      <c r="N33" s="190">
        <v>15380</v>
      </c>
      <c r="O33" s="190">
        <f t="shared" si="0"/>
        <v>16764.2</v>
      </c>
      <c r="P33" s="191">
        <f t="shared" si="1"/>
        <v>15380</v>
      </c>
      <c r="Q33" s="192">
        <f t="shared" si="2"/>
        <v>15380</v>
      </c>
      <c r="R33" s="193"/>
      <c r="S33" s="194"/>
      <c r="T33" s="195">
        <f t="shared" si="3"/>
        <v>0</v>
      </c>
      <c r="U33" s="195">
        <f t="shared" si="4"/>
        <v>0</v>
      </c>
      <c r="V33" s="195">
        <f t="shared" si="5"/>
        <v>0</v>
      </c>
      <c r="W33" s="196">
        <f t="shared" si="6"/>
        <v>0</v>
      </c>
      <c r="X33" s="197">
        <f t="shared" si="7"/>
        <v>0</v>
      </c>
      <c r="AH33" s="109" t="s">
        <v>794</v>
      </c>
    </row>
    <row r="34" ht="11.4" customHeight="1" spans="1:34">
      <c r="A34" s="184" t="s">
        <v>866</v>
      </c>
      <c r="B34" s="184" t="s">
        <v>81</v>
      </c>
      <c r="C34" s="184" t="s">
        <v>867</v>
      </c>
      <c r="D34" s="185" t="s">
        <v>522</v>
      </c>
      <c r="E34" s="186" t="s">
        <v>868</v>
      </c>
      <c r="F34" s="186" t="s">
        <v>869</v>
      </c>
      <c r="G34" s="186" t="s">
        <v>870</v>
      </c>
      <c r="H34" s="186" t="s">
        <v>871</v>
      </c>
      <c r="I34" s="187" t="s">
        <v>874</v>
      </c>
      <c r="J34" s="187" t="s">
        <v>875</v>
      </c>
      <c r="K34" s="188"/>
      <c r="L34" s="188"/>
      <c r="M34" s="189" t="s">
        <v>793</v>
      </c>
      <c r="N34" s="190">
        <v>26126.13</v>
      </c>
      <c r="O34" s="190">
        <f t="shared" si="0"/>
        <v>28477.48</v>
      </c>
      <c r="P34" s="191">
        <f t="shared" si="1"/>
        <v>0</v>
      </c>
      <c r="Q34" s="192">
        <f t="shared" si="2"/>
        <v>0</v>
      </c>
      <c r="R34" s="193"/>
      <c r="S34" s="194"/>
      <c r="T34" s="195">
        <f t="shared" si="3"/>
        <v>0</v>
      </c>
      <c r="U34" s="195">
        <f t="shared" si="4"/>
        <v>0</v>
      </c>
      <c r="V34" s="195">
        <f t="shared" si="5"/>
        <v>0</v>
      </c>
      <c r="W34" s="196" t="e">
        <f t="shared" si="6"/>
        <v>#DIV/0!</v>
      </c>
      <c r="X34" s="197" t="e">
        <f t="shared" si="7"/>
        <v>#DIV/0!</v>
      </c>
      <c r="AH34" s="109" t="s">
        <v>794</v>
      </c>
    </row>
    <row r="35" ht="11.4" customHeight="1" spans="1:34">
      <c r="A35" s="184" t="s">
        <v>866</v>
      </c>
      <c r="B35" s="184" t="s">
        <v>81</v>
      </c>
      <c r="C35" s="184" t="s">
        <v>867</v>
      </c>
      <c r="D35" s="185" t="s">
        <v>522</v>
      </c>
      <c r="E35" s="186" t="s">
        <v>868</v>
      </c>
      <c r="F35" s="186" t="s">
        <v>869</v>
      </c>
      <c r="G35" s="186" t="s">
        <v>870</v>
      </c>
      <c r="H35" s="186" t="s">
        <v>871</v>
      </c>
      <c r="I35" s="187" t="s">
        <v>876</v>
      </c>
      <c r="J35" s="187" t="s">
        <v>877</v>
      </c>
      <c r="K35" s="188"/>
      <c r="L35" s="188"/>
      <c r="M35" s="189" t="s">
        <v>793</v>
      </c>
      <c r="N35" s="190">
        <v>18018.02</v>
      </c>
      <c r="O35" s="190">
        <f t="shared" si="0"/>
        <v>19639.64</v>
      </c>
      <c r="P35" s="191">
        <f t="shared" si="1"/>
        <v>0</v>
      </c>
      <c r="Q35" s="192">
        <f t="shared" si="2"/>
        <v>0</v>
      </c>
      <c r="R35" s="193"/>
      <c r="S35" s="194"/>
      <c r="T35" s="195">
        <f t="shared" si="3"/>
        <v>0</v>
      </c>
      <c r="U35" s="195">
        <f t="shared" si="4"/>
        <v>0</v>
      </c>
      <c r="V35" s="195">
        <f t="shared" si="5"/>
        <v>0</v>
      </c>
      <c r="W35" s="196" t="e">
        <f t="shared" si="6"/>
        <v>#DIV/0!</v>
      </c>
      <c r="X35" s="197" t="e">
        <f t="shared" si="7"/>
        <v>#DIV/0!</v>
      </c>
      <c r="AH35" s="109" t="s">
        <v>794</v>
      </c>
    </row>
    <row r="36" ht="11.4" customHeight="1" spans="1:34">
      <c r="A36" s="184" t="s">
        <v>866</v>
      </c>
      <c r="B36" s="184" t="s">
        <v>81</v>
      </c>
      <c r="C36" s="184" t="s">
        <v>867</v>
      </c>
      <c r="D36" s="185" t="s">
        <v>522</v>
      </c>
      <c r="E36" s="186" t="s">
        <v>868</v>
      </c>
      <c r="F36" s="186" t="s">
        <v>869</v>
      </c>
      <c r="G36" s="186" t="s">
        <v>870</v>
      </c>
      <c r="H36" s="186" t="s">
        <v>871</v>
      </c>
      <c r="I36" s="187" t="s">
        <v>878</v>
      </c>
      <c r="J36" s="187" t="s">
        <v>879</v>
      </c>
      <c r="K36" s="188"/>
      <c r="L36" s="188"/>
      <c r="M36" s="189" t="s">
        <v>793</v>
      </c>
      <c r="N36" s="190"/>
      <c r="O36" s="190">
        <f t="shared" si="0"/>
        <v>0</v>
      </c>
      <c r="P36" s="191">
        <f t="shared" si="1"/>
        <v>0</v>
      </c>
      <c r="Q36" s="192">
        <f t="shared" si="2"/>
        <v>0</v>
      </c>
      <c r="R36" s="193"/>
      <c r="S36" s="194"/>
      <c r="T36" s="195">
        <f t="shared" si="3"/>
        <v>0</v>
      </c>
      <c r="U36" s="195">
        <f t="shared" si="4"/>
        <v>0</v>
      </c>
      <c r="V36" s="195">
        <f t="shared" si="5"/>
        <v>0</v>
      </c>
      <c r="W36" s="196" t="e">
        <f t="shared" si="6"/>
        <v>#DIV/0!</v>
      </c>
      <c r="X36" s="197" t="e">
        <f t="shared" si="7"/>
        <v>#DIV/0!</v>
      </c>
      <c r="AH36" s="109" t="s">
        <v>794</v>
      </c>
    </row>
    <row r="37" ht="11.4" customHeight="1" spans="1:34">
      <c r="A37" s="184" t="s">
        <v>866</v>
      </c>
      <c r="B37" s="184" t="s">
        <v>81</v>
      </c>
      <c r="C37" s="184" t="s">
        <v>867</v>
      </c>
      <c r="D37" s="185" t="s">
        <v>522</v>
      </c>
      <c r="E37" s="186" t="s">
        <v>868</v>
      </c>
      <c r="F37" s="186" t="s">
        <v>869</v>
      </c>
      <c r="G37" s="186" t="s">
        <v>870</v>
      </c>
      <c r="H37" s="186" t="s">
        <v>880</v>
      </c>
      <c r="I37" s="187" t="s">
        <v>881</v>
      </c>
      <c r="J37" s="187" t="s">
        <v>882</v>
      </c>
      <c r="K37" s="188"/>
      <c r="L37" s="188"/>
      <c r="M37" s="189" t="s">
        <v>847</v>
      </c>
      <c r="N37" s="190">
        <v>88.25</v>
      </c>
      <c r="O37" s="190">
        <f t="shared" si="0"/>
        <v>96.19</v>
      </c>
      <c r="P37" s="191">
        <f t="shared" si="1"/>
        <v>0</v>
      </c>
      <c r="Q37" s="192">
        <f t="shared" si="2"/>
        <v>0</v>
      </c>
      <c r="R37" s="193"/>
      <c r="S37" s="194"/>
      <c r="T37" s="195">
        <f t="shared" si="3"/>
        <v>0</v>
      </c>
      <c r="U37" s="195">
        <f t="shared" si="4"/>
        <v>0</v>
      </c>
      <c r="V37" s="195">
        <f t="shared" si="5"/>
        <v>0</v>
      </c>
      <c r="W37" s="196" t="e">
        <f t="shared" si="6"/>
        <v>#DIV/0!</v>
      </c>
      <c r="X37" s="197" t="e">
        <f t="shared" si="7"/>
        <v>#DIV/0!</v>
      </c>
      <c r="AG37" s="219" t="s">
        <v>883</v>
      </c>
    </row>
    <row r="38" ht="11.4" customHeight="1" spans="1:34">
      <c r="A38" s="184" t="s">
        <v>866</v>
      </c>
      <c r="B38" s="184" t="s">
        <v>81</v>
      </c>
      <c r="C38" s="184" t="s">
        <v>867</v>
      </c>
      <c r="D38" s="185" t="s">
        <v>522</v>
      </c>
      <c r="E38" s="186" t="s">
        <v>868</v>
      </c>
      <c r="F38" s="186" t="s">
        <v>869</v>
      </c>
      <c r="G38" s="186" t="s">
        <v>870</v>
      </c>
      <c r="H38" s="186" t="s">
        <v>880</v>
      </c>
      <c r="I38" s="187" t="s">
        <v>884</v>
      </c>
      <c r="J38" s="187" t="s">
        <v>885</v>
      </c>
      <c r="K38" s="188">
        <v>12.77</v>
      </c>
      <c r="L38" s="188">
        <v>12.72</v>
      </c>
      <c r="M38" s="189" t="s">
        <v>847</v>
      </c>
      <c r="N38" s="190">
        <v>52.68</v>
      </c>
      <c r="O38" s="190">
        <f t="shared" si="0"/>
        <v>57.42</v>
      </c>
      <c r="P38" s="191">
        <f t="shared" si="1"/>
        <v>672.72</v>
      </c>
      <c r="Q38" s="192">
        <f t="shared" si="2"/>
        <v>670.09</v>
      </c>
      <c r="R38" s="193"/>
      <c r="S38" s="194"/>
      <c r="T38" s="195">
        <f t="shared" si="3"/>
        <v>0.0499999999999989</v>
      </c>
      <c r="U38" s="195">
        <f t="shared" si="4"/>
        <v>2.63</v>
      </c>
      <c r="V38" s="195">
        <f t="shared" si="5"/>
        <v>2.63</v>
      </c>
      <c r="W38" s="196">
        <f t="shared" si="6"/>
        <v>0.00393081761006281</v>
      </c>
      <c r="X38" s="197">
        <f t="shared" si="7"/>
        <v>0.00393081761006281</v>
      </c>
      <c r="AG38" s="219" t="s">
        <v>883</v>
      </c>
    </row>
    <row r="39" ht="11.4" customHeight="1" spans="1:34">
      <c r="A39" s="184" t="s">
        <v>866</v>
      </c>
      <c r="B39" s="184" t="s">
        <v>81</v>
      </c>
      <c r="C39" s="184" t="s">
        <v>867</v>
      </c>
      <c r="D39" s="185" t="s">
        <v>522</v>
      </c>
      <c r="E39" s="186" t="s">
        <v>868</v>
      </c>
      <c r="F39" s="186" t="s">
        <v>869</v>
      </c>
      <c r="G39" s="186" t="s">
        <v>870</v>
      </c>
      <c r="H39" s="186" t="s">
        <v>886</v>
      </c>
      <c r="I39" s="187" t="s">
        <v>887</v>
      </c>
      <c r="J39" s="187" t="s">
        <v>888</v>
      </c>
      <c r="K39" s="188">
        <v>85.2</v>
      </c>
      <c r="L39" s="188">
        <v>85.17</v>
      </c>
      <c r="M39" s="189" t="s">
        <v>847</v>
      </c>
      <c r="N39" s="190">
        <v>60.46</v>
      </c>
      <c r="O39" s="190">
        <f t="shared" si="0"/>
        <v>65.9</v>
      </c>
      <c r="P39" s="191">
        <f t="shared" si="1"/>
        <v>5151.19</v>
      </c>
      <c r="Q39" s="192">
        <f t="shared" si="2"/>
        <v>5149.38</v>
      </c>
      <c r="R39" s="193"/>
      <c r="S39" s="194"/>
      <c r="T39" s="195">
        <f t="shared" si="3"/>
        <v>0.0300000000000011</v>
      </c>
      <c r="U39" s="195">
        <f t="shared" si="4"/>
        <v>1.80999999999949</v>
      </c>
      <c r="V39" s="195">
        <f t="shared" si="5"/>
        <v>1.80999999999949</v>
      </c>
      <c r="W39" s="196">
        <f t="shared" si="6"/>
        <v>0.000352236703064473</v>
      </c>
      <c r="X39" s="197">
        <f t="shared" si="7"/>
        <v>0.000352236703064473</v>
      </c>
      <c r="AG39" s="219" t="s">
        <v>889</v>
      </c>
    </row>
    <row r="40" ht="11.4" customHeight="1" spans="1:34">
      <c r="A40" s="184" t="s">
        <v>866</v>
      </c>
      <c r="B40" s="184" t="s">
        <v>81</v>
      </c>
      <c r="C40" s="184" t="s">
        <v>867</v>
      </c>
      <c r="D40" s="185" t="s">
        <v>522</v>
      </c>
      <c r="E40" s="186" t="s">
        <v>868</v>
      </c>
      <c r="F40" s="186" t="s">
        <v>869</v>
      </c>
      <c r="G40" s="186" t="s">
        <v>870</v>
      </c>
      <c r="H40" s="186" t="s">
        <v>886</v>
      </c>
      <c r="I40" s="187" t="s">
        <v>890</v>
      </c>
      <c r="J40" s="187" t="s">
        <v>891</v>
      </c>
      <c r="K40" s="188"/>
      <c r="L40" s="188"/>
      <c r="M40" s="189" t="s">
        <v>847</v>
      </c>
      <c r="N40" s="190">
        <v>71.58</v>
      </c>
      <c r="O40" s="190">
        <f t="shared" si="0"/>
        <v>78.02</v>
      </c>
      <c r="P40" s="191">
        <f t="shared" si="1"/>
        <v>0</v>
      </c>
      <c r="Q40" s="192">
        <f t="shared" si="2"/>
        <v>0</v>
      </c>
      <c r="R40" s="193"/>
      <c r="S40" s="194"/>
      <c r="T40" s="195">
        <f t="shared" si="3"/>
        <v>0</v>
      </c>
      <c r="U40" s="195">
        <f t="shared" si="4"/>
        <v>0</v>
      </c>
      <c r="V40" s="195">
        <f t="shared" si="5"/>
        <v>0</v>
      </c>
      <c r="W40" s="196" t="e">
        <f t="shared" si="6"/>
        <v>#DIV/0!</v>
      </c>
      <c r="X40" s="197" t="e">
        <f t="shared" si="7"/>
        <v>#DIV/0!</v>
      </c>
      <c r="AH40" s="219" t="s">
        <v>892</v>
      </c>
    </row>
    <row r="41" ht="11.4" customHeight="1" spans="1:34">
      <c r="A41" s="184" t="s">
        <v>866</v>
      </c>
      <c r="B41" s="184" t="s">
        <v>81</v>
      </c>
      <c r="C41" s="184" t="s">
        <v>867</v>
      </c>
      <c r="D41" s="185" t="s">
        <v>522</v>
      </c>
      <c r="E41" s="186" t="s">
        <v>868</v>
      </c>
      <c r="F41" s="186" t="s">
        <v>869</v>
      </c>
      <c r="G41" s="186" t="s">
        <v>870</v>
      </c>
      <c r="H41" s="186" t="s">
        <v>886</v>
      </c>
      <c r="I41" s="187" t="s">
        <v>893</v>
      </c>
      <c r="J41" s="187" t="s">
        <v>894</v>
      </c>
      <c r="K41" s="188"/>
      <c r="L41" s="188"/>
      <c r="M41" s="189" t="s">
        <v>895</v>
      </c>
      <c r="N41" s="190">
        <v>11207.21</v>
      </c>
      <c r="O41" s="190">
        <f t="shared" si="0"/>
        <v>12215.86</v>
      </c>
      <c r="P41" s="191">
        <f t="shared" si="1"/>
        <v>0</v>
      </c>
      <c r="Q41" s="192">
        <f t="shared" si="2"/>
        <v>0</v>
      </c>
      <c r="R41" s="193"/>
      <c r="S41" s="194"/>
      <c r="T41" s="195">
        <f t="shared" si="3"/>
        <v>0</v>
      </c>
      <c r="U41" s="195">
        <f t="shared" si="4"/>
        <v>0</v>
      </c>
      <c r="V41" s="195">
        <f t="shared" si="5"/>
        <v>0</v>
      </c>
      <c r="W41" s="196" t="e">
        <f t="shared" si="6"/>
        <v>#DIV/0!</v>
      </c>
      <c r="X41" s="197" t="e">
        <f t="shared" si="7"/>
        <v>#DIV/0!</v>
      </c>
      <c r="AG41" s="220" t="s">
        <v>896</v>
      </c>
    </row>
    <row r="42" ht="11.4" customHeight="1" spans="1:34">
      <c r="A42" s="184" t="s">
        <v>897</v>
      </c>
      <c r="B42" s="184" t="s">
        <v>83</v>
      </c>
      <c r="C42" s="184" t="s">
        <v>898</v>
      </c>
      <c r="D42" s="185" t="s">
        <v>522</v>
      </c>
      <c r="E42" s="186" t="s">
        <v>868</v>
      </c>
      <c r="F42" s="186" t="s">
        <v>899</v>
      </c>
      <c r="G42" s="186" t="s">
        <v>900</v>
      </c>
      <c r="H42" s="186" t="s">
        <v>901</v>
      </c>
      <c r="I42" s="187" t="s">
        <v>902</v>
      </c>
      <c r="J42" s="187" t="s">
        <v>903</v>
      </c>
      <c r="K42" s="188"/>
      <c r="L42" s="188"/>
      <c r="M42" s="189" t="s">
        <v>847</v>
      </c>
      <c r="N42" s="190">
        <v>14</v>
      </c>
      <c r="O42" s="190">
        <f t="shared" si="0"/>
        <v>15.26</v>
      </c>
      <c r="P42" s="191">
        <f t="shared" si="1"/>
        <v>0</v>
      </c>
      <c r="Q42" s="192">
        <f t="shared" si="2"/>
        <v>0</v>
      </c>
      <c r="R42" s="193"/>
      <c r="S42" s="194"/>
      <c r="T42" s="195">
        <f t="shared" si="3"/>
        <v>0</v>
      </c>
      <c r="U42" s="195">
        <f t="shared" si="4"/>
        <v>0</v>
      </c>
      <c r="V42" s="195">
        <f t="shared" si="5"/>
        <v>0</v>
      </c>
      <c r="W42" s="196" t="e">
        <f t="shared" si="6"/>
        <v>#DIV/0!</v>
      </c>
      <c r="X42" s="197" t="e">
        <f t="shared" si="7"/>
        <v>#DIV/0!</v>
      </c>
      <c r="AH42" s="219" t="s">
        <v>892</v>
      </c>
    </row>
    <row r="43" ht="11.4" customHeight="1" spans="1:34">
      <c r="A43" s="184" t="s">
        <v>904</v>
      </c>
      <c r="B43" s="184" t="s">
        <v>153</v>
      </c>
      <c r="C43" s="184" t="s">
        <v>905</v>
      </c>
      <c r="D43" s="185" t="s">
        <v>522</v>
      </c>
      <c r="E43" s="186" t="s">
        <v>906</v>
      </c>
      <c r="F43" s="186" t="s">
        <v>907</v>
      </c>
      <c r="G43" s="186" t="s">
        <v>908</v>
      </c>
      <c r="H43" s="186" t="s">
        <v>909</v>
      </c>
      <c r="I43" s="187" t="s">
        <v>910</v>
      </c>
      <c r="J43" s="187" t="s">
        <v>911</v>
      </c>
      <c r="K43" s="188">
        <v>0.5</v>
      </c>
      <c r="L43" s="188">
        <v>0.5</v>
      </c>
      <c r="M43" s="189" t="s">
        <v>895</v>
      </c>
      <c r="N43" s="190">
        <v>8999.8</v>
      </c>
      <c r="O43" s="190">
        <f t="shared" si="0"/>
        <v>9809.78</v>
      </c>
      <c r="P43" s="191">
        <f t="shared" si="1"/>
        <v>4499.9</v>
      </c>
      <c r="Q43" s="192">
        <f t="shared" si="2"/>
        <v>4499.9</v>
      </c>
      <c r="R43" s="193"/>
      <c r="S43" s="194"/>
      <c r="T43" s="195">
        <f t="shared" si="3"/>
        <v>0</v>
      </c>
      <c r="U43" s="195">
        <f t="shared" si="4"/>
        <v>0</v>
      </c>
      <c r="V43" s="195">
        <f t="shared" si="5"/>
        <v>0</v>
      </c>
      <c r="W43" s="196">
        <f t="shared" si="6"/>
        <v>0</v>
      </c>
      <c r="X43" s="197">
        <f t="shared" si="7"/>
        <v>0</v>
      </c>
      <c r="AH43" s="219" t="s">
        <v>794</v>
      </c>
    </row>
    <row r="44" ht="11.4" customHeight="1" spans="1:34">
      <c r="A44" s="184" t="s">
        <v>904</v>
      </c>
      <c r="B44" s="184" t="s">
        <v>153</v>
      </c>
      <c r="C44" s="184" t="s">
        <v>905</v>
      </c>
      <c r="D44" s="185" t="s">
        <v>522</v>
      </c>
      <c r="E44" s="186" t="s">
        <v>906</v>
      </c>
      <c r="F44" s="186" t="s">
        <v>907</v>
      </c>
      <c r="G44" s="186" t="s">
        <v>908</v>
      </c>
      <c r="H44" s="186" t="s">
        <v>909</v>
      </c>
      <c r="I44" s="187" t="s">
        <v>912</v>
      </c>
      <c r="J44" s="187" t="s">
        <v>913</v>
      </c>
      <c r="K44" s="188"/>
      <c r="L44" s="188"/>
      <c r="M44" s="189" t="s">
        <v>793</v>
      </c>
      <c r="N44" s="190">
        <v>3313.15</v>
      </c>
      <c r="O44" s="190">
        <f t="shared" si="0"/>
        <v>3611.33</v>
      </c>
      <c r="P44" s="191">
        <f t="shared" si="1"/>
        <v>0</v>
      </c>
      <c r="Q44" s="192">
        <f t="shared" si="2"/>
        <v>0</v>
      </c>
      <c r="R44" s="193"/>
      <c r="S44" s="194"/>
      <c r="T44" s="195">
        <f t="shared" si="3"/>
        <v>0</v>
      </c>
      <c r="U44" s="195">
        <f t="shared" si="4"/>
        <v>0</v>
      </c>
      <c r="V44" s="195">
        <f t="shared" si="5"/>
        <v>0</v>
      </c>
      <c r="W44" s="196" t="e">
        <f t="shared" si="6"/>
        <v>#DIV/0!</v>
      </c>
      <c r="X44" s="197" t="e">
        <f t="shared" si="7"/>
        <v>#DIV/0!</v>
      </c>
      <c r="AH44" s="219" t="s">
        <v>794</v>
      </c>
    </row>
    <row r="45" ht="11.4" customHeight="1" spans="1:34">
      <c r="A45" s="184" t="s">
        <v>904</v>
      </c>
      <c r="B45" s="184" t="s">
        <v>153</v>
      </c>
      <c r="C45" s="184" t="s">
        <v>905</v>
      </c>
      <c r="D45" s="185" t="s">
        <v>522</v>
      </c>
      <c r="E45" s="186" t="s">
        <v>906</v>
      </c>
      <c r="F45" s="186" t="s">
        <v>907</v>
      </c>
      <c r="G45" s="186" t="s">
        <v>908</v>
      </c>
      <c r="H45" s="186" t="s">
        <v>909</v>
      </c>
      <c r="I45" s="187" t="s">
        <v>914</v>
      </c>
      <c r="J45" s="187" t="s">
        <v>915</v>
      </c>
      <c r="K45" s="188"/>
      <c r="L45" s="188"/>
      <c r="M45" s="189" t="s">
        <v>847</v>
      </c>
      <c r="N45" s="190">
        <v>114.79</v>
      </c>
      <c r="O45" s="190">
        <f t="shared" si="0"/>
        <v>125.12</v>
      </c>
      <c r="P45" s="191">
        <f t="shared" si="1"/>
        <v>0</v>
      </c>
      <c r="Q45" s="192">
        <f t="shared" si="2"/>
        <v>0</v>
      </c>
      <c r="R45" s="193"/>
      <c r="S45" s="194"/>
      <c r="T45" s="195">
        <f t="shared" si="3"/>
        <v>0</v>
      </c>
      <c r="U45" s="195">
        <f t="shared" si="4"/>
        <v>0</v>
      </c>
      <c r="V45" s="195">
        <f t="shared" si="5"/>
        <v>0</v>
      </c>
      <c r="W45" s="196" t="e">
        <f t="shared" si="6"/>
        <v>#DIV/0!</v>
      </c>
      <c r="X45" s="197" t="e">
        <f t="shared" si="7"/>
        <v>#DIV/0!</v>
      </c>
      <c r="AG45" s="219" t="s">
        <v>865</v>
      </c>
    </row>
    <row r="46" ht="11.4" customHeight="1" spans="1:34">
      <c r="A46" s="184" t="s">
        <v>897</v>
      </c>
      <c r="B46" s="184" t="s">
        <v>83</v>
      </c>
      <c r="C46" s="184" t="s">
        <v>898</v>
      </c>
      <c r="D46" s="185" t="s">
        <v>522</v>
      </c>
      <c r="E46" s="186" t="s">
        <v>868</v>
      </c>
      <c r="F46" s="186" t="s">
        <v>899</v>
      </c>
      <c r="G46" s="186" t="s">
        <v>900</v>
      </c>
      <c r="H46" s="186" t="s">
        <v>901</v>
      </c>
      <c r="I46" s="187" t="s">
        <v>916</v>
      </c>
      <c r="J46" s="187" t="s">
        <v>917</v>
      </c>
      <c r="K46" s="188"/>
      <c r="L46" s="188"/>
      <c r="M46" s="189" t="s">
        <v>793</v>
      </c>
      <c r="N46" s="190"/>
      <c r="O46" s="190">
        <f t="shared" si="0"/>
        <v>0</v>
      </c>
      <c r="P46" s="191">
        <f t="shared" si="1"/>
        <v>0</v>
      </c>
      <c r="Q46" s="192">
        <f t="shared" si="2"/>
        <v>0</v>
      </c>
      <c r="R46" s="193"/>
      <c r="S46" s="194"/>
      <c r="T46" s="195">
        <f t="shared" si="3"/>
        <v>0</v>
      </c>
      <c r="U46" s="195">
        <f t="shared" si="4"/>
        <v>0</v>
      </c>
      <c r="V46" s="195">
        <f t="shared" si="5"/>
        <v>0</v>
      </c>
      <c r="W46" s="196" t="e">
        <f t="shared" si="6"/>
        <v>#DIV/0!</v>
      </c>
      <c r="X46" s="197" t="e">
        <f t="shared" si="7"/>
        <v>#DIV/0!</v>
      </c>
      <c r="AH46" s="219" t="s">
        <v>794</v>
      </c>
    </row>
    <row r="47" ht="11.4" customHeight="1" spans="1:34">
      <c r="A47" s="184" t="s">
        <v>897</v>
      </c>
      <c r="B47" s="184" t="s">
        <v>83</v>
      </c>
      <c r="C47" s="184" t="s">
        <v>898</v>
      </c>
      <c r="D47" s="185" t="s">
        <v>522</v>
      </c>
      <c r="E47" s="186" t="s">
        <v>868</v>
      </c>
      <c r="F47" s="186" t="s">
        <v>899</v>
      </c>
      <c r="G47" s="186" t="s">
        <v>900</v>
      </c>
      <c r="H47" s="186" t="s">
        <v>900</v>
      </c>
      <c r="I47" s="187" t="s">
        <v>918</v>
      </c>
      <c r="J47" s="187" t="s">
        <v>900</v>
      </c>
      <c r="K47" s="188"/>
      <c r="L47" s="188"/>
      <c r="M47" s="189" t="s">
        <v>793</v>
      </c>
      <c r="N47" s="190"/>
      <c r="O47" s="190">
        <f t="shared" si="0"/>
        <v>0</v>
      </c>
      <c r="P47" s="191">
        <f t="shared" si="1"/>
        <v>0</v>
      </c>
      <c r="Q47" s="192">
        <f t="shared" si="2"/>
        <v>0</v>
      </c>
      <c r="R47" s="193"/>
      <c r="S47" s="194"/>
      <c r="T47" s="195">
        <f t="shared" si="3"/>
        <v>0</v>
      </c>
      <c r="U47" s="195">
        <f t="shared" si="4"/>
        <v>0</v>
      </c>
      <c r="V47" s="195">
        <f t="shared" si="5"/>
        <v>0</v>
      </c>
      <c r="W47" s="196" t="e">
        <f t="shared" si="6"/>
        <v>#DIV/0!</v>
      </c>
      <c r="X47" s="197" t="e">
        <f t="shared" si="7"/>
        <v>#DIV/0!</v>
      </c>
      <c r="AH47" s="219" t="s">
        <v>892</v>
      </c>
    </row>
    <row r="48" ht="11.4" customHeight="1" spans="1:34">
      <c r="A48" s="184" t="s">
        <v>919</v>
      </c>
      <c r="B48" s="184" t="s">
        <v>85</v>
      </c>
      <c r="C48" s="184" t="s">
        <v>920</v>
      </c>
      <c r="D48" s="185" t="s">
        <v>522</v>
      </c>
      <c r="E48" s="186" t="s">
        <v>868</v>
      </c>
      <c r="F48" s="186" t="s">
        <v>921</v>
      </c>
      <c r="G48" s="186" t="s">
        <v>534</v>
      </c>
      <c r="H48" s="186" t="s">
        <v>922</v>
      </c>
      <c r="I48" s="187" t="s">
        <v>923</v>
      </c>
      <c r="J48" s="187" t="s">
        <v>924</v>
      </c>
      <c r="K48" s="188"/>
      <c r="L48" s="188"/>
      <c r="M48" s="189" t="s">
        <v>847</v>
      </c>
      <c r="N48" s="190">
        <v>174.03</v>
      </c>
      <c r="O48" s="190">
        <f t="shared" si="0"/>
        <v>189.69</v>
      </c>
      <c r="P48" s="191">
        <f t="shared" si="1"/>
        <v>0</v>
      </c>
      <c r="Q48" s="192">
        <f t="shared" si="2"/>
        <v>0</v>
      </c>
      <c r="R48" s="193"/>
      <c r="S48" s="194"/>
      <c r="T48" s="195">
        <f t="shared" si="3"/>
        <v>0</v>
      </c>
      <c r="U48" s="195">
        <f t="shared" si="4"/>
        <v>0</v>
      </c>
      <c r="V48" s="195">
        <f t="shared" si="5"/>
        <v>0</v>
      </c>
      <c r="W48" s="196" t="e">
        <f t="shared" si="6"/>
        <v>#DIV/0!</v>
      </c>
      <c r="X48" s="197" t="e">
        <f t="shared" si="7"/>
        <v>#DIV/0!</v>
      </c>
      <c r="AG48" s="219" t="s">
        <v>925</v>
      </c>
    </row>
    <row r="49" ht="11.4" customHeight="1" spans="1:34">
      <c r="A49" s="184" t="s">
        <v>919</v>
      </c>
      <c r="B49" s="184" t="s">
        <v>85</v>
      </c>
      <c r="C49" s="184" t="s">
        <v>920</v>
      </c>
      <c r="D49" s="185" t="s">
        <v>522</v>
      </c>
      <c r="E49" s="186" t="s">
        <v>868</v>
      </c>
      <c r="F49" s="186" t="s">
        <v>921</v>
      </c>
      <c r="G49" s="186" t="s">
        <v>534</v>
      </c>
      <c r="H49" s="186" t="s">
        <v>922</v>
      </c>
      <c r="I49" s="187" t="s">
        <v>926</v>
      </c>
      <c r="J49" s="187" t="s">
        <v>927</v>
      </c>
      <c r="K49" s="188"/>
      <c r="L49" s="188"/>
      <c r="M49" s="189" t="s">
        <v>847</v>
      </c>
      <c r="N49" s="190">
        <v>159.51</v>
      </c>
      <c r="O49" s="190">
        <f t="shared" si="0"/>
        <v>173.87</v>
      </c>
      <c r="P49" s="191">
        <f t="shared" si="1"/>
        <v>0</v>
      </c>
      <c r="Q49" s="192">
        <f t="shared" si="2"/>
        <v>0</v>
      </c>
      <c r="R49" s="193"/>
      <c r="S49" s="194"/>
      <c r="T49" s="195">
        <f t="shared" si="3"/>
        <v>0</v>
      </c>
      <c r="U49" s="195">
        <f t="shared" si="4"/>
        <v>0</v>
      </c>
      <c r="V49" s="195">
        <f t="shared" si="5"/>
        <v>0</v>
      </c>
      <c r="W49" s="196" t="e">
        <f t="shared" si="6"/>
        <v>#DIV/0!</v>
      </c>
      <c r="X49" s="197" t="e">
        <f t="shared" si="7"/>
        <v>#DIV/0!</v>
      </c>
      <c r="AG49" s="219" t="s">
        <v>928</v>
      </c>
    </row>
    <row r="50" ht="11.4" customHeight="1" spans="1:34">
      <c r="A50" s="184" t="s">
        <v>919</v>
      </c>
      <c r="B50" s="184" t="s">
        <v>85</v>
      </c>
      <c r="C50" s="184" t="s">
        <v>920</v>
      </c>
      <c r="D50" s="185" t="s">
        <v>522</v>
      </c>
      <c r="E50" s="186" t="s">
        <v>868</v>
      </c>
      <c r="F50" s="186" t="s">
        <v>921</v>
      </c>
      <c r="G50" s="186" t="s">
        <v>534</v>
      </c>
      <c r="H50" s="186" t="s">
        <v>922</v>
      </c>
      <c r="I50" s="187" t="s">
        <v>929</v>
      </c>
      <c r="J50" s="187" t="s">
        <v>930</v>
      </c>
      <c r="K50" s="188"/>
      <c r="L50" s="188"/>
      <c r="M50" s="189" t="s">
        <v>847</v>
      </c>
      <c r="N50" s="190">
        <v>184.92</v>
      </c>
      <c r="O50" s="190">
        <f t="shared" si="0"/>
        <v>201.56</v>
      </c>
      <c r="P50" s="191">
        <f t="shared" si="1"/>
        <v>0</v>
      </c>
      <c r="Q50" s="192">
        <f t="shared" si="2"/>
        <v>0</v>
      </c>
      <c r="R50" s="193"/>
      <c r="S50" s="194"/>
      <c r="T50" s="195">
        <f t="shared" si="3"/>
        <v>0</v>
      </c>
      <c r="U50" s="195">
        <f t="shared" si="4"/>
        <v>0</v>
      </c>
      <c r="V50" s="195">
        <f t="shared" si="5"/>
        <v>0</v>
      </c>
      <c r="W50" s="196" t="e">
        <f t="shared" si="6"/>
        <v>#DIV/0!</v>
      </c>
      <c r="X50" s="197" t="e">
        <f t="shared" si="7"/>
        <v>#DIV/0!</v>
      </c>
      <c r="AG50" s="219" t="s">
        <v>928</v>
      </c>
    </row>
    <row r="51" ht="11.4" customHeight="1" spans="1:34">
      <c r="A51" s="184" t="s">
        <v>919</v>
      </c>
      <c r="B51" s="184" t="s">
        <v>85</v>
      </c>
      <c r="C51" s="184" t="s">
        <v>920</v>
      </c>
      <c r="D51" s="185" t="s">
        <v>522</v>
      </c>
      <c r="E51" s="186" t="s">
        <v>868</v>
      </c>
      <c r="F51" s="186" t="s">
        <v>921</v>
      </c>
      <c r="G51" s="186" t="s">
        <v>534</v>
      </c>
      <c r="H51" s="186" t="s">
        <v>922</v>
      </c>
      <c r="I51" s="187" t="s">
        <v>931</v>
      </c>
      <c r="J51" s="187" t="s">
        <v>932</v>
      </c>
      <c r="K51" s="188"/>
      <c r="L51" s="188"/>
      <c r="M51" s="189" t="s">
        <v>847</v>
      </c>
      <c r="N51" s="190">
        <v>288.05</v>
      </c>
      <c r="O51" s="190">
        <f t="shared" si="0"/>
        <v>313.97</v>
      </c>
      <c r="P51" s="191">
        <f t="shared" si="1"/>
        <v>0</v>
      </c>
      <c r="Q51" s="192">
        <f t="shared" si="2"/>
        <v>0</v>
      </c>
      <c r="R51" s="193"/>
      <c r="S51" s="194"/>
      <c r="T51" s="195">
        <f t="shared" si="3"/>
        <v>0</v>
      </c>
      <c r="U51" s="195">
        <f t="shared" si="4"/>
        <v>0</v>
      </c>
      <c r="V51" s="195">
        <f t="shared" si="5"/>
        <v>0</v>
      </c>
      <c r="W51" s="196" t="e">
        <f t="shared" si="6"/>
        <v>#DIV/0!</v>
      </c>
      <c r="X51" s="197" t="e">
        <f t="shared" si="7"/>
        <v>#DIV/0!</v>
      </c>
      <c r="AG51" s="219" t="s">
        <v>928</v>
      </c>
    </row>
    <row r="52" ht="11.4" customHeight="1" spans="1:34">
      <c r="A52" s="184" t="s">
        <v>919</v>
      </c>
      <c r="B52" s="184" t="s">
        <v>85</v>
      </c>
      <c r="C52" s="184" t="s">
        <v>920</v>
      </c>
      <c r="D52" s="185" t="s">
        <v>522</v>
      </c>
      <c r="E52" s="186" t="s">
        <v>868</v>
      </c>
      <c r="F52" s="186" t="s">
        <v>921</v>
      </c>
      <c r="G52" s="186" t="s">
        <v>534</v>
      </c>
      <c r="H52" s="186" t="s">
        <v>922</v>
      </c>
      <c r="I52" s="187" t="s">
        <v>933</v>
      </c>
      <c r="J52" s="187" t="s">
        <v>934</v>
      </c>
      <c r="K52" s="188"/>
      <c r="L52" s="188"/>
      <c r="M52" s="189" t="s">
        <v>935</v>
      </c>
      <c r="N52" s="190">
        <v>531.74</v>
      </c>
      <c r="O52" s="190">
        <f t="shared" si="0"/>
        <v>579.6</v>
      </c>
      <c r="P52" s="191">
        <f t="shared" si="1"/>
        <v>0</v>
      </c>
      <c r="Q52" s="192">
        <f t="shared" si="2"/>
        <v>0</v>
      </c>
      <c r="R52" s="193"/>
      <c r="S52" s="194"/>
      <c r="T52" s="195">
        <f t="shared" si="3"/>
        <v>0</v>
      </c>
      <c r="U52" s="195">
        <f t="shared" si="4"/>
        <v>0</v>
      </c>
      <c r="V52" s="195">
        <f t="shared" si="5"/>
        <v>0</v>
      </c>
      <c r="W52" s="196" t="e">
        <f t="shared" si="6"/>
        <v>#DIV/0!</v>
      </c>
      <c r="X52" s="197" t="e">
        <f t="shared" si="7"/>
        <v>#DIV/0!</v>
      </c>
      <c r="AG52" s="219" t="s">
        <v>936</v>
      </c>
    </row>
    <row r="53" ht="11.4" customHeight="1" spans="1:34">
      <c r="A53" s="184" t="s">
        <v>919</v>
      </c>
      <c r="B53" s="184" t="s">
        <v>85</v>
      </c>
      <c r="C53" s="184" t="s">
        <v>920</v>
      </c>
      <c r="D53" s="185" t="s">
        <v>522</v>
      </c>
      <c r="E53" s="186" t="s">
        <v>868</v>
      </c>
      <c r="F53" s="186" t="s">
        <v>921</v>
      </c>
      <c r="G53" s="186" t="s">
        <v>534</v>
      </c>
      <c r="H53" s="186" t="s">
        <v>922</v>
      </c>
      <c r="I53" s="187" t="s">
        <v>937</v>
      </c>
      <c r="J53" s="187" t="s">
        <v>938</v>
      </c>
      <c r="K53" s="188"/>
      <c r="L53" s="188"/>
      <c r="M53" s="189" t="s">
        <v>807</v>
      </c>
      <c r="N53" s="190">
        <v>47.51</v>
      </c>
      <c r="O53" s="190">
        <f t="shared" si="0"/>
        <v>51.79</v>
      </c>
      <c r="P53" s="191">
        <f t="shared" si="1"/>
        <v>0</v>
      </c>
      <c r="Q53" s="192">
        <f t="shared" si="2"/>
        <v>0</v>
      </c>
      <c r="R53" s="193"/>
      <c r="S53" s="194"/>
      <c r="T53" s="195">
        <f t="shared" si="3"/>
        <v>0</v>
      </c>
      <c r="U53" s="195">
        <f t="shared" si="4"/>
        <v>0</v>
      </c>
      <c r="V53" s="195">
        <f t="shared" si="5"/>
        <v>0</v>
      </c>
      <c r="W53" s="196" t="e">
        <f t="shared" si="6"/>
        <v>#DIV/0!</v>
      </c>
      <c r="X53" s="197" t="e">
        <f t="shared" si="7"/>
        <v>#DIV/0!</v>
      </c>
      <c r="AG53" s="219" t="s">
        <v>939</v>
      </c>
    </row>
    <row r="54" ht="11.4" customHeight="1" spans="1:34">
      <c r="A54" s="184" t="s">
        <v>919</v>
      </c>
      <c r="B54" s="184" t="s">
        <v>85</v>
      </c>
      <c r="C54" s="184" t="s">
        <v>920</v>
      </c>
      <c r="D54" s="185" t="s">
        <v>522</v>
      </c>
      <c r="E54" s="186" t="s">
        <v>868</v>
      </c>
      <c r="F54" s="186" t="s">
        <v>921</v>
      </c>
      <c r="G54" s="186" t="s">
        <v>534</v>
      </c>
      <c r="H54" s="186" t="s">
        <v>922</v>
      </c>
      <c r="I54" s="187" t="s">
        <v>940</v>
      </c>
      <c r="J54" s="187" t="s">
        <v>941</v>
      </c>
      <c r="K54" s="188"/>
      <c r="L54" s="188"/>
      <c r="M54" s="189" t="s">
        <v>807</v>
      </c>
      <c r="N54" s="190">
        <v>43.88</v>
      </c>
      <c r="O54" s="190">
        <f t="shared" si="0"/>
        <v>47.83</v>
      </c>
      <c r="P54" s="191">
        <f t="shared" si="1"/>
        <v>0</v>
      </c>
      <c r="Q54" s="192">
        <f t="shared" si="2"/>
        <v>0</v>
      </c>
      <c r="R54" s="193"/>
      <c r="S54" s="194"/>
      <c r="T54" s="195">
        <f t="shared" si="3"/>
        <v>0</v>
      </c>
      <c r="U54" s="195">
        <f t="shared" si="4"/>
        <v>0</v>
      </c>
      <c r="V54" s="195">
        <f t="shared" si="5"/>
        <v>0</v>
      </c>
      <c r="W54" s="196" t="e">
        <f t="shared" si="6"/>
        <v>#DIV/0!</v>
      </c>
      <c r="X54" s="197" t="e">
        <f t="shared" si="7"/>
        <v>#DIV/0!</v>
      </c>
      <c r="AG54" s="219" t="s">
        <v>939</v>
      </c>
    </row>
    <row r="55" ht="11.4" customHeight="1" spans="1:34">
      <c r="A55" s="184" t="s">
        <v>919</v>
      </c>
      <c r="B55" s="184" t="s">
        <v>85</v>
      </c>
      <c r="C55" s="184" t="s">
        <v>920</v>
      </c>
      <c r="D55" s="185" t="s">
        <v>522</v>
      </c>
      <c r="E55" s="186" t="s">
        <v>868</v>
      </c>
      <c r="F55" s="186" t="s">
        <v>921</v>
      </c>
      <c r="G55" s="186" t="s">
        <v>534</v>
      </c>
      <c r="H55" s="186" t="s">
        <v>922</v>
      </c>
      <c r="I55" s="187" t="s">
        <v>942</v>
      </c>
      <c r="J55" s="187" t="s">
        <v>943</v>
      </c>
      <c r="K55" s="188"/>
      <c r="L55" s="188"/>
      <c r="M55" s="189" t="s">
        <v>807</v>
      </c>
      <c r="N55" s="190">
        <v>43.88</v>
      </c>
      <c r="O55" s="190">
        <f t="shared" si="0"/>
        <v>47.83</v>
      </c>
      <c r="P55" s="191">
        <f t="shared" si="1"/>
        <v>0</v>
      </c>
      <c r="Q55" s="192">
        <f t="shared" si="2"/>
        <v>0</v>
      </c>
      <c r="R55" s="193"/>
      <c r="S55" s="194"/>
      <c r="T55" s="195">
        <f t="shared" si="3"/>
        <v>0</v>
      </c>
      <c r="U55" s="195">
        <f t="shared" si="4"/>
        <v>0</v>
      </c>
      <c r="V55" s="195">
        <f t="shared" si="5"/>
        <v>0</v>
      </c>
      <c r="W55" s="196" t="e">
        <f t="shared" si="6"/>
        <v>#DIV/0!</v>
      </c>
      <c r="X55" s="197" t="e">
        <f t="shared" si="7"/>
        <v>#DIV/0!</v>
      </c>
      <c r="AG55" s="219" t="s">
        <v>939</v>
      </c>
    </row>
    <row r="56" ht="11.4" customHeight="1" spans="1:34">
      <c r="A56" s="184" t="s">
        <v>919</v>
      </c>
      <c r="B56" s="184" t="s">
        <v>85</v>
      </c>
      <c r="C56" s="184" t="s">
        <v>920</v>
      </c>
      <c r="D56" s="185" t="s">
        <v>522</v>
      </c>
      <c r="E56" s="186" t="s">
        <v>868</v>
      </c>
      <c r="F56" s="186" t="s">
        <v>921</v>
      </c>
      <c r="G56" s="186" t="s">
        <v>534</v>
      </c>
      <c r="H56" s="186" t="s">
        <v>944</v>
      </c>
      <c r="I56" s="187" t="s">
        <v>945</v>
      </c>
      <c r="J56" s="187" t="s">
        <v>946</v>
      </c>
      <c r="K56" s="188"/>
      <c r="L56" s="188"/>
      <c r="M56" s="189" t="s">
        <v>847</v>
      </c>
      <c r="N56" s="190">
        <v>167.98</v>
      </c>
      <c r="O56" s="190">
        <f t="shared" si="0"/>
        <v>183.1</v>
      </c>
      <c r="P56" s="191">
        <f t="shared" si="1"/>
        <v>0</v>
      </c>
      <c r="Q56" s="192">
        <f t="shared" si="2"/>
        <v>0</v>
      </c>
      <c r="R56" s="193"/>
      <c r="S56" s="194"/>
      <c r="T56" s="195">
        <f t="shared" si="3"/>
        <v>0</v>
      </c>
      <c r="U56" s="195">
        <f t="shared" si="4"/>
        <v>0</v>
      </c>
      <c r="V56" s="195">
        <f t="shared" si="5"/>
        <v>0</v>
      </c>
      <c r="W56" s="196" t="e">
        <f t="shared" si="6"/>
        <v>#DIV/0!</v>
      </c>
      <c r="X56" s="197" t="e">
        <f t="shared" si="7"/>
        <v>#DIV/0!</v>
      </c>
      <c r="AG56" s="219" t="s">
        <v>865</v>
      </c>
    </row>
    <row r="57" ht="11.4" customHeight="1" spans="1:34">
      <c r="A57" s="184" t="s">
        <v>919</v>
      </c>
      <c r="B57" s="184" t="s">
        <v>85</v>
      </c>
      <c r="C57" s="184" t="s">
        <v>920</v>
      </c>
      <c r="D57" s="185" t="s">
        <v>522</v>
      </c>
      <c r="E57" s="186" t="s">
        <v>868</v>
      </c>
      <c r="F57" s="186" t="s">
        <v>921</v>
      </c>
      <c r="G57" s="186" t="s">
        <v>534</v>
      </c>
      <c r="H57" s="186" t="s">
        <v>944</v>
      </c>
      <c r="I57" s="187" t="s">
        <v>947</v>
      </c>
      <c r="J57" s="187" t="s">
        <v>948</v>
      </c>
      <c r="K57" s="188"/>
      <c r="L57" s="188"/>
      <c r="M57" s="189" t="s">
        <v>847</v>
      </c>
      <c r="N57" s="190">
        <v>147.41</v>
      </c>
      <c r="O57" s="190">
        <f t="shared" si="0"/>
        <v>160.68</v>
      </c>
      <c r="P57" s="191">
        <f t="shared" si="1"/>
        <v>0</v>
      </c>
      <c r="Q57" s="192">
        <f t="shared" si="2"/>
        <v>0</v>
      </c>
      <c r="R57" s="193"/>
      <c r="S57" s="194"/>
      <c r="T57" s="195">
        <f t="shared" si="3"/>
        <v>0</v>
      </c>
      <c r="U57" s="195">
        <f t="shared" si="4"/>
        <v>0</v>
      </c>
      <c r="V57" s="195">
        <f t="shared" si="5"/>
        <v>0</v>
      </c>
      <c r="W57" s="196" t="e">
        <f t="shared" si="6"/>
        <v>#DIV/0!</v>
      </c>
      <c r="X57" s="197" t="e">
        <f t="shared" si="7"/>
        <v>#DIV/0!</v>
      </c>
      <c r="AG57" s="219" t="s">
        <v>865</v>
      </c>
    </row>
    <row r="58" ht="11.4" customHeight="1" spans="1:34">
      <c r="A58" s="184" t="s">
        <v>919</v>
      </c>
      <c r="B58" s="184" t="s">
        <v>85</v>
      </c>
      <c r="C58" s="184" t="s">
        <v>920</v>
      </c>
      <c r="D58" s="185" t="s">
        <v>522</v>
      </c>
      <c r="E58" s="186" t="s">
        <v>868</v>
      </c>
      <c r="F58" s="186" t="s">
        <v>921</v>
      </c>
      <c r="G58" s="186" t="s">
        <v>534</v>
      </c>
      <c r="H58" s="186" t="s">
        <v>944</v>
      </c>
      <c r="I58" s="187" t="s">
        <v>949</v>
      </c>
      <c r="J58" s="187" t="s">
        <v>950</v>
      </c>
      <c r="K58" s="188"/>
      <c r="L58" s="188"/>
      <c r="M58" s="189" t="s">
        <v>847</v>
      </c>
      <c r="N58" s="190">
        <v>169.19</v>
      </c>
      <c r="O58" s="190">
        <f t="shared" si="0"/>
        <v>184.42</v>
      </c>
      <c r="P58" s="191">
        <f t="shared" si="1"/>
        <v>0</v>
      </c>
      <c r="Q58" s="192">
        <f t="shared" si="2"/>
        <v>0</v>
      </c>
      <c r="R58" s="193"/>
      <c r="S58" s="194"/>
      <c r="T58" s="195">
        <f t="shared" si="3"/>
        <v>0</v>
      </c>
      <c r="U58" s="195">
        <f t="shared" si="4"/>
        <v>0</v>
      </c>
      <c r="V58" s="195">
        <f t="shared" si="5"/>
        <v>0</v>
      </c>
      <c r="W58" s="196" t="e">
        <f t="shared" si="6"/>
        <v>#DIV/0!</v>
      </c>
      <c r="X58" s="197" t="e">
        <f t="shared" si="7"/>
        <v>#DIV/0!</v>
      </c>
      <c r="AG58" s="219" t="s">
        <v>865</v>
      </c>
    </row>
    <row r="59" ht="11.4" customHeight="1" spans="1:34">
      <c r="A59" s="184" t="s">
        <v>919</v>
      </c>
      <c r="B59" s="184" t="s">
        <v>85</v>
      </c>
      <c r="C59" s="184" t="s">
        <v>920</v>
      </c>
      <c r="D59" s="185" t="s">
        <v>522</v>
      </c>
      <c r="E59" s="186" t="s">
        <v>868</v>
      </c>
      <c r="F59" s="186" t="s">
        <v>921</v>
      </c>
      <c r="G59" s="186" t="s">
        <v>534</v>
      </c>
      <c r="H59" s="186" t="s">
        <v>944</v>
      </c>
      <c r="I59" s="187" t="s">
        <v>951</v>
      </c>
      <c r="J59" s="187" t="s">
        <v>952</v>
      </c>
      <c r="K59" s="188"/>
      <c r="L59" s="188"/>
      <c r="M59" s="189" t="s">
        <v>847</v>
      </c>
      <c r="N59" s="190">
        <v>376.58</v>
      </c>
      <c r="O59" s="190">
        <f t="shared" si="0"/>
        <v>410.47</v>
      </c>
      <c r="P59" s="191">
        <f t="shared" si="1"/>
        <v>0</v>
      </c>
      <c r="Q59" s="192">
        <f t="shared" si="2"/>
        <v>0</v>
      </c>
      <c r="R59" s="193"/>
      <c r="S59" s="194"/>
      <c r="T59" s="195">
        <f t="shared" si="3"/>
        <v>0</v>
      </c>
      <c r="U59" s="195">
        <f t="shared" si="4"/>
        <v>0</v>
      </c>
      <c r="V59" s="195">
        <f t="shared" si="5"/>
        <v>0</v>
      </c>
      <c r="W59" s="196" t="e">
        <f t="shared" si="6"/>
        <v>#DIV/0!</v>
      </c>
      <c r="X59" s="197" t="e">
        <f t="shared" si="7"/>
        <v>#DIV/0!</v>
      </c>
      <c r="AG59" s="219" t="s">
        <v>865</v>
      </c>
    </row>
    <row r="60" ht="11.4" customHeight="1" spans="1:34">
      <c r="A60" s="184" t="s">
        <v>919</v>
      </c>
      <c r="B60" s="184" t="s">
        <v>85</v>
      </c>
      <c r="C60" s="184" t="s">
        <v>920</v>
      </c>
      <c r="D60" s="185" t="s">
        <v>522</v>
      </c>
      <c r="E60" s="186" t="s">
        <v>868</v>
      </c>
      <c r="F60" s="186" t="s">
        <v>921</v>
      </c>
      <c r="G60" s="186" t="s">
        <v>534</v>
      </c>
      <c r="H60" s="186" t="s">
        <v>944</v>
      </c>
      <c r="I60" s="187" t="s">
        <v>953</v>
      </c>
      <c r="J60" s="187" t="s">
        <v>954</v>
      </c>
      <c r="K60" s="188"/>
      <c r="L60" s="188"/>
      <c r="M60" s="189" t="s">
        <v>793</v>
      </c>
      <c r="N60" s="190"/>
      <c r="O60" s="190">
        <f t="shared" si="0"/>
        <v>0</v>
      </c>
      <c r="P60" s="191">
        <f t="shared" si="1"/>
        <v>0</v>
      </c>
      <c r="Q60" s="192">
        <f t="shared" si="2"/>
        <v>0</v>
      </c>
      <c r="R60" s="193"/>
      <c r="S60" s="194"/>
      <c r="T60" s="195">
        <f t="shared" si="3"/>
        <v>0</v>
      </c>
      <c r="U60" s="195">
        <f t="shared" si="4"/>
        <v>0</v>
      </c>
      <c r="V60" s="195">
        <f t="shared" si="5"/>
        <v>0</v>
      </c>
      <c r="W60" s="196" t="e">
        <f t="shared" si="6"/>
        <v>#DIV/0!</v>
      </c>
      <c r="X60" s="197" t="e">
        <f t="shared" si="7"/>
        <v>#DIV/0!</v>
      </c>
      <c r="AH60" s="219" t="s">
        <v>892</v>
      </c>
    </row>
    <row r="61" ht="11.4" customHeight="1" spans="1:34">
      <c r="A61" s="184" t="s">
        <v>919</v>
      </c>
      <c r="B61" s="184" t="s">
        <v>85</v>
      </c>
      <c r="C61" s="184" t="s">
        <v>920</v>
      </c>
      <c r="D61" s="185" t="s">
        <v>522</v>
      </c>
      <c r="E61" s="186" t="s">
        <v>868</v>
      </c>
      <c r="F61" s="186" t="s">
        <v>921</v>
      </c>
      <c r="G61" s="186" t="s">
        <v>534</v>
      </c>
      <c r="H61" s="186" t="s">
        <v>944</v>
      </c>
      <c r="I61" s="187" t="s">
        <v>955</v>
      </c>
      <c r="J61" s="187" t="s">
        <v>956</v>
      </c>
      <c r="K61" s="188"/>
      <c r="L61" s="188"/>
      <c r="M61" s="189" t="s">
        <v>793</v>
      </c>
      <c r="N61" s="190"/>
      <c r="O61" s="190">
        <f t="shared" si="0"/>
        <v>0</v>
      </c>
      <c r="P61" s="191">
        <f t="shared" si="1"/>
        <v>0</v>
      </c>
      <c r="Q61" s="192">
        <f t="shared" si="2"/>
        <v>0</v>
      </c>
      <c r="R61" s="193"/>
      <c r="S61" s="194"/>
      <c r="T61" s="195">
        <f t="shared" si="3"/>
        <v>0</v>
      </c>
      <c r="U61" s="195">
        <f t="shared" si="4"/>
        <v>0</v>
      </c>
      <c r="V61" s="195">
        <f t="shared" si="5"/>
        <v>0</v>
      </c>
      <c r="W61" s="196" t="e">
        <f t="shared" si="6"/>
        <v>#DIV/0!</v>
      </c>
      <c r="X61" s="197" t="e">
        <f t="shared" si="7"/>
        <v>#DIV/0!</v>
      </c>
      <c r="AH61" s="219" t="s">
        <v>892</v>
      </c>
    </row>
    <row r="62" ht="11.4" customHeight="1" spans="1:34">
      <c r="A62" s="184" t="s">
        <v>919</v>
      </c>
      <c r="B62" s="184" t="s">
        <v>85</v>
      </c>
      <c r="C62" s="184" t="s">
        <v>920</v>
      </c>
      <c r="D62" s="185" t="s">
        <v>522</v>
      </c>
      <c r="E62" s="186" t="s">
        <v>868</v>
      </c>
      <c r="F62" s="186" t="s">
        <v>921</v>
      </c>
      <c r="G62" s="186" t="s">
        <v>534</v>
      </c>
      <c r="H62" s="186" t="s">
        <v>957</v>
      </c>
      <c r="I62" s="187" t="s">
        <v>958</v>
      </c>
      <c r="J62" s="187" t="s">
        <v>959</v>
      </c>
      <c r="K62" s="188"/>
      <c r="L62" s="188"/>
      <c r="M62" s="189" t="s">
        <v>847</v>
      </c>
      <c r="N62" s="190">
        <v>172.07</v>
      </c>
      <c r="O62" s="190">
        <f t="shared" si="0"/>
        <v>187.56</v>
      </c>
      <c r="P62" s="191">
        <f t="shared" si="1"/>
        <v>0</v>
      </c>
      <c r="Q62" s="192">
        <f t="shared" si="2"/>
        <v>0</v>
      </c>
      <c r="R62" s="193"/>
      <c r="S62" s="194"/>
      <c r="T62" s="195">
        <f t="shared" si="3"/>
        <v>0</v>
      </c>
      <c r="U62" s="195">
        <f t="shared" si="4"/>
        <v>0</v>
      </c>
      <c r="V62" s="195">
        <f t="shared" si="5"/>
        <v>0</v>
      </c>
      <c r="W62" s="196" t="e">
        <f t="shared" si="6"/>
        <v>#DIV/0!</v>
      </c>
      <c r="X62" s="197" t="e">
        <f t="shared" si="7"/>
        <v>#DIV/0!</v>
      </c>
      <c r="AH62" s="219" t="s">
        <v>892</v>
      </c>
    </row>
    <row r="63" ht="11.4" customHeight="1" spans="1:34">
      <c r="A63" s="184" t="s">
        <v>919</v>
      </c>
      <c r="B63" s="184" t="s">
        <v>85</v>
      </c>
      <c r="C63" s="184" t="s">
        <v>920</v>
      </c>
      <c r="D63" s="185" t="s">
        <v>522</v>
      </c>
      <c r="E63" s="186" t="s">
        <v>868</v>
      </c>
      <c r="F63" s="186" t="s">
        <v>921</v>
      </c>
      <c r="G63" s="186" t="s">
        <v>534</v>
      </c>
      <c r="H63" s="186" t="s">
        <v>960</v>
      </c>
      <c r="I63" s="187" t="s">
        <v>961</v>
      </c>
      <c r="J63" s="187" t="s">
        <v>962</v>
      </c>
      <c r="K63" s="188"/>
      <c r="L63" s="188"/>
      <c r="M63" s="189" t="s">
        <v>963</v>
      </c>
      <c r="N63" s="190">
        <v>1635.14</v>
      </c>
      <c r="O63" s="190">
        <f t="shared" si="0"/>
        <v>1782.3</v>
      </c>
      <c r="P63" s="191">
        <f t="shared" si="1"/>
        <v>0</v>
      </c>
      <c r="Q63" s="192">
        <f t="shared" si="2"/>
        <v>0</v>
      </c>
      <c r="R63" s="193"/>
      <c r="S63" s="194"/>
      <c r="T63" s="195">
        <f t="shared" si="3"/>
        <v>0</v>
      </c>
      <c r="U63" s="195">
        <f t="shared" si="4"/>
        <v>0</v>
      </c>
      <c r="V63" s="195">
        <f t="shared" si="5"/>
        <v>0</v>
      </c>
      <c r="W63" s="196" t="e">
        <f t="shared" si="6"/>
        <v>#DIV/0!</v>
      </c>
      <c r="X63" s="197" t="e">
        <f t="shared" si="7"/>
        <v>#DIV/0!</v>
      </c>
      <c r="AH63" s="219" t="s">
        <v>892</v>
      </c>
    </row>
    <row r="64" ht="11.4" customHeight="1" spans="1:34">
      <c r="A64" s="184" t="s">
        <v>919</v>
      </c>
      <c r="B64" s="184" t="s">
        <v>85</v>
      </c>
      <c r="C64" s="184" t="s">
        <v>920</v>
      </c>
      <c r="D64" s="185" t="s">
        <v>522</v>
      </c>
      <c r="E64" s="186" t="s">
        <v>868</v>
      </c>
      <c r="F64" s="186" t="s">
        <v>921</v>
      </c>
      <c r="G64" s="186" t="s">
        <v>534</v>
      </c>
      <c r="H64" s="186" t="s">
        <v>964</v>
      </c>
      <c r="I64" s="187" t="s">
        <v>965</v>
      </c>
      <c r="J64" s="187" t="s">
        <v>966</v>
      </c>
      <c r="K64" s="188"/>
      <c r="L64" s="188"/>
      <c r="M64" s="189" t="s">
        <v>793</v>
      </c>
      <c r="N64" s="190">
        <v>1355</v>
      </c>
      <c r="O64" s="190">
        <f t="shared" si="0"/>
        <v>1476.95</v>
      </c>
      <c r="P64" s="191">
        <f t="shared" si="1"/>
        <v>0</v>
      </c>
      <c r="Q64" s="192">
        <f t="shared" si="2"/>
        <v>0</v>
      </c>
      <c r="R64" s="193"/>
      <c r="S64" s="194"/>
      <c r="T64" s="195">
        <f t="shared" si="3"/>
        <v>0</v>
      </c>
      <c r="U64" s="195">
        <f t="shared" si="4"/>
        <v>0</v>
      </c>
      <c r="V64" s="195">
        <f t="shared" si="5"/>
        <v>0</v>
      </c>
      <c r="W64" s="196" t="e">
        <f t="shared" si="6"/>
        <v>#DIV/0!</v>
      </c>
      <c r="X64" s="197" t="e">
        <f t="shared" si="7"/>
        <v>#DIV/0!</v>
      </c>
      <c r="AH64" s="219" t="s">
        <v>794</v>
      </c>
    </row>
    <row r="65" ht="11.4" customHeight="1" spans="1:34">
      <c r="A65" s="184" t="s">
        <v>967</v>
      </c>
      <c r="B65" s="184" t="s">
        <v>88</v>
      </c>
      <c r="C65" s="184" t="s">
        <v>87</v>
      </c>
      <c r="D65" s="185" t="s">
        <v>522</v>
      </c>
      <c r="E65" s="186" t="s">
        <v>868</v>
      </c>
      <c r="F65" s="186" t="s">
        <v>968</v>
      </c>
      <c r="G65" s="186" t="s">
        <v>969</v>
      </c>
      <c r="H65" s="186" t="s">
        <v>970</v>
      </c>
      <c r="I65" s="187" t="s">
        <v>971</v>
      </c>
      <c r="J65" s="187" t="s">
        <v>972</v>
      </c>
      <c r="K65" s="188"/>
      <c r="L65" s="188"/>
      <c r="M65" s="189" t="s">
        <v>793</v>
      </c>
      <c r="N65" s="190"/>
      <c r="O65" s="190">
        <f t="shared" si="0"/>
        <v>0</v>
      </c>
      <c r="P65" s="191">
        <f t="shared" si="1"/>
        <v>0</v>
      </c>
      <c r="Q65" s="192">
        <f t="shared" si="2"/>
        <v>0</v>
      </c>
      <c r="R65" s="193"/>
      <c r="S65" s="194"/>
      <c r="T65" s="195">
        <f t="shared" si="3"/>
        <v>0</v>
      </c>
      <c r="U65" s="195">
        <f t="shared" si="4"/>
        <v>0</v>
      </c>
      <c r="V65" s="195">
        <f t="shared" si="5"/>
        <v>0</v>
      </c>
      <c r="W65" s="196" t="e">
        <f t="shared" si="6"/>
        <v>#DIV/0!</v>
      </c>
      <c r="X65" s="197" t="e">
        <f t="shared" si="7"/>
        <v>#DIV/0!</v>
      </c>
      <c r="AH65" s="219" t="s">
        <v>794</v>
      </c>
    </row>
    <row r="66" ht="11.4" customHeight="1" spans="1:34">
      <c r="A66" s="184" t="s">
        <v>967</v>
      </c>
      <c r="B66" s="184" t="s">
        <v>88</v>
      </c>
      <c r="C66" s="184" t="s">
        <v>87</v>
      </c>
      <c r="D66" s="185" t="s">
        <v>522</v>
      </c>
      <c r="E66" s="186" t="s">
        <v>868</v>
      </c>
      <c r="F66" s="186" t="s">
        <v>968</v>
      </c>
      <c r="G66" s="186" t="s">
        <v>969</v>
      </c>
      <c r="H66" s="186" t="s">
        <v>973</v>
      </c>
      <c r="I66" s="187" t="s">
        <v>974</v>
      </c>
      <c r="J66" s="187" t="s">
        <v>975</v>
      </c>
      <c r="K66" s="188"/>
      <c r="L66" s="188"/>
      <c r="M66" s="189" t="s">
        <v>793</v>
      </c>
      <c r="N66" s="190"/>
      <c r="O66" s="190">
        <f t="shared" si="0"/>
        <v>0</v>
      </c>
      <c r="P66" s="191">
        <f t="shared" si="1"/>
        <v>0</v>
      </c>
      <c r="Q66" s="192">
        <f t="shared" si="2"/>
        <v>0</v>
      </c>
      <c r="R66" s="193"/>
      <c r="S66" s="194"/>
      <c r="T66" s="195">
        <f t="shared" si="3"/>
        <v>0</v>
      </c>
      <c r="U66" s="195">
        <f t="shared" si="4"/>
        <v>0</v>
      </c>
      <c r="V66" s="195">
        <f t="shared" si="5"/>
        <v>0</v>
      </c>
      <c r="W66" s="196" t="e">
        <f t="shared" si="6"/>
        <v>#DIV/0!</v>
      </c>
      <c r="X66" s="197" t="e">
        <f t="shared" si="7"/>
        <v>#DIV/0!</v>
      </c>
      <c r="AH66" s="219" t="s">
        <v>794</v>
      </c>
    </row>
    <row r="67" ht="11.4" customHeight="1" spans="1:34">
      <c r="A67" s="184" t="s">
        <v>967</v>
      </c>
      <c r="B67" s="184" t="s">
        <v>88</v>
      </c>
      <c r="C67" s="184" t="s">
        <v>87</v>
      </c>
      <c r="D67" s="185" t="s">
        <v>522</v>
      </c>
      <c r="E67" s="186" t="s">
        <v>868</v>
      </c>
      <c r="F67" s="186" t="s">
        <v>968</v>
      </c>
      <c r="G67" s="186" t="s">
        <v>969</v>
      </c>
      <c r="H67" s="186" t="s">
        <v>976</v>
      </c>
      <c r="I67" s="187" t="s">
        <v>977</v>
      </c>
      <c r="J67" s="187" t="s">
        <v>978</v>
      </c>
      <c r="K67" s="188"/>
      <c r="L67" s="188"/>
      <c r="M67" s="189" t="s">
        <v>807</v>
      </c>
      <c r="N67" s="190">
        <v>101.02</v>
      </c>
      <c r="O67" s="190">
        <f t="shared" si="0"/>
        <v>110.11</v>
      </c>
      <c r="P67" s="191">
        <f t="shared" si="1"/>
        <v>0</v>
      </c>
      <c r="Q67" s="192">
        <f t="shared" si="2"/>
        <v>0</v>
      </c>
      <c r="R67" s="193"/>
      <c r="S67" s="194"/>
      <c r="T67" s="195">
        <f t="shared" si="3"/>
        <v>0</v>
      </c>
      <c r="U67" s="195">
        <f t="shared" si="4"/>
        <v>0</v>
      </c>
      <c r="V67" s="195">
        <f t="shared" si="5"/>
        <v>0</v>
      </c>
      <c r="W67" s="196" t="e">
        <f t="shared" si="6"/>
        <v>#DIV/0!</v>
      </c>
      <c r="X67" s="197" t="e">
        <f t="shared" si="7"/>
        <v>#DIV/0!</v>
      </c>
      <c r="AG67" s="219" t="s">
        <v>939</v>
      </c>
    </row>
    <row r="68" ht="11.4" customHeight="1" spans="1:34">
      <c r="A68" s="184" t="s">
        <v>967</v>
      </c>
      <c r="B68" s="184" t="s">
        <v>88</v>
      </c>
      <c r="C68" s="184" t="s">
        <v>87</v>
      </c>
      <c r="D68" s="185" t="s">
        <v>522</v>
      </c>
      <c r="E68" s="186" t="s">
        <v>868</v>
      </c>
      <c r="F68" s="186" t="s">
        <v>968</v>
      </c>
      <c r="G68" s="186" t="s">
        <v>969</v>
      </c>
      <c r="H68" s="186" t="s">
        <v>976</v>
      </c>
      <c r="I68" s="187" t="s">
        <v>979</v>
      </c>
      <c r="J68" s="187" t="s">
        <v>980</v>
      </c>
      <c r="K68" s="188"/>
      <c r="L68" s="188"/>
      <c r="M68" s="189" t="s">
        <v>847</v>
      </c>
      <c r="N68" s="190">
        <v>108.25</v>
      </c>
      <c r="O68" s="190">
        <f t="shared" si="0"/>
        <v>117.99</v>
      </c>
      <c r="P68" s="191">
        <f t="shared" si="1"/>
        <v>0</v>
      </c>
      <c r="Q68" s="192">
        <f t="shared" si="2"/>
        <v>0</v>
      </c>
      <c r="R68" s="193"/>
      <c r="S68" s="194"/>
      <c r="T68" s="195">
        <f t="shared" si="3"/>
        <v>0</v>
      </c>
      <c r="U68" s="195">
        <f t="shared" si="4"/>
        <v>0</v>
      </c>
      <c r="V68" s="195">
        <f t="shared" si="5"/>
        <v>0</v>
      </c>
      <c r="W68" s="196" t="e">
        <f t="shared" si="6"/>
        <v>#DIV/0!</v>
      </c>
      <c r="X68" s="197" t="e">
        <f t="shared" si="7"/>
        <v>#DIV/0!</v>
      </c>
      <c r="AG68" s="219" t="s">
        <v>883</v>
      </c>
    </row>
    <row r="69" ht="11.4" customHeight="1" spans="1:34">
      <c r="A69" s="184" t="s">
        <v>967</v>
      </c>
      <c r="B69" s="184" t="s">
        <v>88</v>
      </c>
      <c r="C69" s="184" t="s">
        <v>87</v>
      </c>
      <c r="D69" s="185" t="s">
        <v>522</v>
      </c>
      <c r="E69" s="186" t="s">
        <v>868</v>
      </c>
      <c r="F69" s="186" t="s">
        <v>968</v>
      </c>
      <c r="G69" s="186" t="s">
        <v>969</v>
      </c>
      <c r="H69" s="186" t="s">
        <v>976</v>
      </c>
      <c r="I69" s="187" t="s">
        <v>981</v>
      </c>
      <c r="J69" s="187" t="s">
        <v>982</v>
      </c>
      <c r="K69" s="188"/>
      <c r="L69" s="188"/>
      <c r="M69" s="189" t="s">
        <v>847</v>
      </c>
      <c r="N69" s="190">
        <v>119.55</v>
      </c>
      <c r="O69" s="190">
        <f t="shared" si="0"/>
        <v>130.31</v>
      </c>
      <c r="P69" s="191">
        <f t="shared" si="1"/>
        <v>0</v>
      </c>
      <c r="Q69" s="192">
        <f t="shared" si="2"/>
        <v>0</v>
      </c>
      <c r="R69" s="193"/>
      <c r="S69" s="194"/>
      <c r="T69" s="195">
        <f t="shared" si="3"/>
        <v>0</v>
      </c>
      <c r="U69" s="195">
        <f t="shared" si="4"/>
        <v>0</v>
      </c>
      <c r="V69" s="195">
        <f t="shared" si="5"/>
        <v>0</v>
      </c>
      <c r="W69" s="196" t="e">
        <f t="shared" si="6"/>
        <v>#DIV/0!</v>
      </c>
      <c r="X69" s="197" t="e">
        <f t="shared" si="7"/>
        <v>#DIV/0!</v>
      </c>
      <c r="AG69" s="219" t="s">
        <v>883</v>
      </c>
    </row>
    <row r="70" ht="11.4" customHeight="1" spans="1:34">
      <c r="A70" s="184" t="s">
        <v>967</v>
      </c>
      <c r="B70" s="184" t="s">
        <v>88</v>
      </c>
      <c r="C70" s="184" t="s">
        <v>87</v>
      </c>
      <c r="D70" s="185" t="s">
        <v>522</v>
      </c>
      <c r="E70" s="186" t="s">
        <v>868</v>
      </c>
      <c r="F70" s="186" t="s">
        <v>968</v>
      </c>
      <c r="G70" s="186" t="s">
        <v>969</v>
      </c>
      <c r="H70" s="186" t="s">
        <v>976</v>
      </c>
      <c r="I70" s="187" t="s">
        <v>983</v>
      </c>
      <c r="J70" s="187" t="s">
        <v>984</v>
      </c>
      <c r="K70" s="188"/>
      <c r="L70" s="188"/>
      <c r="M70" s="189" t="s">
        <v>847</v>
      </c>
      <c r="N70" s="190">
        <v>140.3</v>
      </c>
      <c r="O70" s="190">
        <f t="shared" si="0"/>
        <v>152.93</v>
      </c>
      <c r="P70" s="191">
        <f t="shared" si="1"/>
        <v>0</v>
      </c>
      <c r="Q70" s="192">
        <f t="shared" si="2"/>
        <v>0</v>
      </c>
      <c r="R70" s="193"/>
      <c r="S70" s="194"/>
      <c r="T70" s="195">
        <f t="shared" si="3"/>
        <v>0</v>
      </c>
      <c r="U70" s="195">
        <f t="shared" si="4"/>
        <v>0</v>
      </c>
      <c r="V70" s="195">
        <f t="shared" si="5"/>
        <v>0</v>
      </c>
      <c r="W70" s="196" t="e">
        <f t="shared" si="6"/>
        <v>#DIV/0!</v>
      </c>
      <c r="X70" s="197" t="e">
        <f t="shared" si="7"/>
        <v>#DIV/0!</v>
      </c>
      <c r="AG70" s="219" t="s">
        <v>883</v>
      </c>
    </row>
    <row r="71" ht="11.4" customHeight="1" spans="1:34">
      <c r="A71" s="184" t="s">
        <v>967</v>
      </c>
      <c r="B71" s="184" t="s">
        <v>88</v>
      </c>
      <c r="C71" s="184" t="s">
        <v>87</v>
      </c>
      <c r="D71" s="185" t="s">
        <v>522</v>
      </c>
      <c r="E71" s="186" t="s">
        <v>868</v>
      </c>
      <c r="F71" s="186" t="s">
        <v>968</v>
      </c>
      <c r="G71" s="186" t="s">
        <v>969</v>
      </c>
      <c r="H71" s="186" t="s">
        <v>976</v>
      </c>
      <c r="I71" s="187" t="s">
        <v>985</v>
      </c>
      <c r="J71" s="187" t="s">
        <v>986</v>
      </c>
      <c r="K71" s="188"/>
      <c r="L71" s="188"/>
      <c r="M71" s="189" t="s">
        <v>847</v>
      </c>
      <c r="N71" s="190">
        <v>28.27</v>
      </c>
      <c r="O71" s="190">
        <f t="shared" si="0"/>
        <v>30.81</v>
      </c>
      <c r="P71" s="191">
        <f t="shared" si="1"/>
        <v>0</v>
      </c>
      <c r="Q71" s="192">
        <f t="shared" si="2"/>
        <v>0</v>
      </c>
      <c r="R71" s="193"/>
      <c r="S71" s="194"/>
      <c r="T71" s="195">
        <f t="shared" si="3"/>
        <v>0</v>
      </c>
      <c r="U71" s="195">
        <f t="shared" si="4"/>
        <v>0</v>
      </c>
      <c r="V71" s="195">
        <f t="shared" si="5"/>
        <v>0</v>
      </c>
      <c r="W71" s="196" t="e">
        <f t="shared" si="6"/>
        <v>#DIV/0!</v>
      </c>
      <c r="X71" s="197" t="e">
        <f t="shared" si="7"/>
        <v>#DIV/0!</v>
      </c>
      <c r="AG71" s="219" t="s">
        <v>883</v>
      </c>
    </row>
    <row r="72" ht="11.4" customHeight="1" spans="1:34">
      <c r="A72" s="184" t="s">
        <v>967</v>
      </c>
      <c r="B72" s="184" t="s">
        <v>88</v>
      </c>
      <c r="C72" s="184" t="s">
        <v>87</v>
      </c>
      <c r="D72" s="185" t="s">
        <v>522</v>
      </c>
      <c r="E72" s="186" t="s">
        <v>868</v>
      </c>
      <c r="F72" s="186" t="s">
        <v>968</v>
      </c>
      <c r="G72" s="186" t="s">
        <v>969</v>
      </c>
      <c r="H72" s="186" t="s">
        <v>976</v>
      </c>
      <c r="I72" s="187" t="s">
        <v>987</v>
      </c>
      <c r="J72" s="187" t="s">
        <v>988</v>
      </c>
      <c r="K72" s="188"/>
      <c r="L72" s="188"/>
      <c r="M72" s="189" t="s">
        <v>989</v>
      </c>
      <c r="N72" s="190">
        <v>106.03</v>
      </c>
      <c r="O72" s="190">
        <f t="shared" si="0"/>
        <v>115.57</v>
      </c>
      <c r="P72" s="191">
        <f t="shared" si="1"/>
        <v>0</v>
      </c>
      <c r="Q72" s="192">
        <f t="shared" si="2"/>
        <v>0</v>
      </c>
      <c r="R72" s="193"/>
      <c r="S72" s="194"/>
      <c r="T72" s="195">
        <f t="shared" si="3"/>
        <v>0</v>
      </c>
      <c r="U72" s="195">
        <f t="shared" si="4"/>
        <v>0</v>
      </c>
      <c r="V72" s="195">
        <f t="shared" si="5"/>
        <v>0</v>
      </c>
      <c r="W72" s="196" t="e">
        <f t="shared" si="6"/>
        <v>#DIV/0!</v>
      </c>
      <c r="X72" s="197" t="e">
        <f t="shared" si="7"/>
        <v>#DIV/0!</v>
      </c>
      <c r="AG72" s="219" t="s">
        <v>990</v>
      </c>
    </row>
    <row r="73" ht="11.4" customHeight="1" spans="1:34">
      <c r="A73" s="184" t="s">
        <v>967</v>
      </c>
      <c r="B73" s="184" t="s">
        <v>88</v>
      </c>
      <c r="C73" s="184" t="s">
        <v>87</v>
      </c>
      <c r="D73" s="185" t="s">
        <v>522</v>
      </c>
      <c r="E73" s="186" t="s">
        <v>868</v>
      </c>
      <c r="F73" s="186" t="s">
        <v>968</v>
      </c>
      <c r="G73" s="186" t="s">
        <v>969</v>
      </c>
      <c r="H73" s="186" t="s">
        <v>976</v>
      </c>
      <c r="I73" s="187" t="s">
        <v>991</v>
      </c>
      <c r="J73" s="187" t="s">
        <v>992</v>
      </c>
      <c r="K73" s="188"/>
      <c r="L73" s="188"/>
      <c r="M73" s="189" t="s">
        <v>793</v>
      </c>
      <c r="N73" s="190">
        <v>15300</v>
      </c>
      <c r="O73" s="190">
        <f t="shared" si="0"/>
        <v>16677</v>
      </c>
      <c r="P73" s="191">
        <f t="shared" si="1"/>
        <v>0</v>
      </c>
      <c r="Q73" s="192">
        <f t="shared" si="2"/>
        <v>0</v>
      </c>
      <c r="R73" s="193"/>
      <c r="S73" s="194"/>
      <c r="T73" s="195">
        <f t="shared" si="3"/>
        <v>0</v>
      </c>
      <c r="U73" s="195">
        <f t="shared" si="4"/>
        <v>0</v>
      </c>
      <c r="V73" s="195">
        <f t="shared" si="5"/>
        <v>0</v>
      </c>
      <c r="W73" s="196" t="e">
        <f t="shared" si="6"/>
        <v>#DIV/0!</v>
      </c>
      <c r="X73" s="197" t="e">
        <f t="shared" si="7"/>
        <v>#DIV/0!</v>
      </c>
      <c r="AH73" s="219" t="s">
        <v>794</v>
      </c>
    </row>
    <row r="74" ht="11.4" customHeight="1" spans="1:34">
      <c r="A74" s="184" t="s">
        <v>967</v>
      </c>
      <c r="B74" s="184" t="s">
        <v>88</v>
      </c>
      <c r="C74" s="184" t="s">
        <v>87</v>
      </c>
      <c r="D74" s="185" t="s">
        <v>522</v>
      </c>
      <c r="E74" s="186" t="s">
        <v>868</v>
      </c>
      <c r="F74" s="186" t="s">
        <v>968</v>
      </c>
      <c r="G74" s="186" t="s">
        <v>969</v>
      </c>
      <c r="H74" s="186" t="s">
        <v>976</v>
      </c>
      <c r="I74" s="187" t="s">
        <v>993</v>
      </c>
      <c r="J74" s="187" t="s">
        <v>994</v>
      </c>
      <c r="K74" s="188"/>
      <c r="L74" s="188"/>
      <c r="M74" s="189" t="s">
        <v>989</v>
      </c>
      <c r="N74" s="190">
        <v>60.99</v>
      </c>
      <c r="O74" s="190">
        <f t="shared" si="0"/>
        <v>66.48</v>
      </c>
      <c r="P74" s="191">
        <f t="shared" si="1"/>
        <v>0</v>
      </c>
      <c r="Q74" s="192">
        <f t="shared" si="2"/>
        <v>0</v>
      </c>
      <c r="R74" s="193"/>
      <c r="S74" s="194"/>
      <c r="T74" s="195">
        <f t="shared" si="3"/>
        <v>0</v>
      </c>
      <c r="U74" s="195">
        <f t="shared" si="4"/>
        <v>0</v>
      </c>
      <c r="V74" s="195">
        <f t="shared" si="5"/>
        <v>0</v>
      </c>
      <c r="W74" s="196" t="e">
        <f t="shared" si="6"/>
        <v>#DIV/0!</v>
      </c>
      <c r="X74" s="197" t="e">
        <f t="shared" si="7"/>
        <v>#DIV/0!</v>
      </c>
      <c r="AG74" s="109" t="s">
        <v>990</v>
      </c>
    </row>
    <row r="75" ht="11.4" customHeight="1" spans="1:34">
      <c r="A75" s="184" t="s">
        <v>967</v>
      </c>
      <c r="B75" s="184" t="s">
        <v>88</v>
      </c>
      <c r="C75" s="184" t="s">
        <v>87</v>
      </c>
      <c r="D75" s="185" t="s">
        <v>522</v>
      </c>
      <c r="E75" s="186" t="s">
        <v>868</v>
      </c>
      <c r="F75" s="186" t="s">
        <v>968</v>
      </c>
      <c r="G75" s="186" t="s">
        <v>969</v>
      </c>
      <c r="H75" s="186" t="s">
        <v>976</v>
      </c>
      <c r="I75" s="187" t="s">
        <v>995</v>
      </c>
      <c r="J75" s="187" t="s">
        <v>996</v>
      </c>
      <c r="K75" s="188"/>
      <c r="L75" s="188"/>
      <c r="M75" s="189" t="s">
        <v>807</v>
      </c>
      <c r="N75" s="190">
        <v>146.19</v>
      </c>
      <c r="O75" s="190">
        <f t="shared" si="0"/>
        <v>159.35</v>
      </c>
      <c r="P75" s="191">
        <f t="shared" si="1"/>
        <v>0</v>
      </c>
      <c r="Q75" s="192">
        <f t="shared" si="2"/>
        <v>0</v>
      </c>
      <c r="R75" s="193"/>
      <c r="S75" s="194"/>
      <c r="T75" s="195">
        <f t="shared" si="3"/>
        <v>0</v>
      </c>
      <c r="U75" s="195">
        <f t="shared" si="4"/>
        <v>0</v>
      </c>
      <c r="V75" s="195">
        <f t="shared" si="5"/>
        <v>0</v>
      </c>
      <c r="W75" s="196" t="e">
        <f t="shared" si="6"/>
        <v>#DIV/0!</v>
      </c>
      <c r="X75" s="197" t="e">
        <f t="shared" si="7"/>
        <v>#DIV/0!</v>
      </c>
      <c r="AG75" s="219" t="s">
        <v>997</v>
      </c>
    </row>
    <row r="76" ht="11.4" customHeight="1" spans="1:34">
      <c r="A76" s="184" t="s">
        <v>967</v>
      </c>
      <c r="B76" s="184" t="s">
        <v>88</v>
      </c>
      <c r="C76" s="184" t="s">
        <v>87</v>
      </c>
      <c r="D76" s="185" t="s">
        <v>522</v>
      </c>
      <c r="E76" s="186" t="s">
        <v>868</v>
      </c>
      <c r="F76" s="186" t="s">
        <v>968</v>
      </c>
      <c r="G76" s="186" t="s">
        <v>969</v>
      </c>
      <c r="H76" s="186" t="s">
        <v>998</v>
      </c>
      <c r="I76" s="187" t="s">
        <v>999</v>
      </c>
      <c r="J76" s="187" t="s">
        <v>1000</v>
      </c>
      <c r="K76" s="188"/>
      <c r="L76" s="188"/>
      <c r="M76" s="189" t="s">
        <v>847</v>
      </c>
      <c r="N76" s="190">
        <v>265.42</v>
      </c>
      <c r="O76" s="190">
        <f t="shared" si="0"/>
        <v>289.31</v>
      </c>
      <c r="P76" s="191">
        <f t="shared" si="1"/>
        <v>0</v>
      </c>
      <c r="Q76" s="192">
        <f t="shared" si="2"/>
        <v>0</v>
      </c>
      <c r="R76" s="193"/>
      <c r="S76" s="194"/>
      <c r="T76" s="195">
        <f t="shared" si="3"/>
        <v>0</v>
      </c>
      <c r="U76" s="195">
        <f t="shared" si="4"/>
        <v>0</v>
      </c>
      <c r="V76" s="195">
        <f t="shared" si="5"/>
        <v>0</v>
      </c>
      <c r="W76" s="196" t="e">
        <f t="shared" si="6"/>
        <v>#DIV/0!</v>
      </c>
      <c r="X76" s="197" t="e">
        <f t="shared" si="7"/>
        <v>#DIV/0!</v>
      </c>
      <c r="AG76" s="219" t="s">
        <v>883</v>
      </c>
    </row>
    <row r="77" ht="11.4" customHeight="1" spans="1:34">
      <c r="A77" s="184" t="s">
        <v>967</v>
      </c>
      <c r="B77" s="184" t="s">
        <v>88</v>
      </c>
      <c r="C77" s="184" t="s">
        <v>87</v>
      </c>
      <c r="D77" s="185" t="s">
        <v>522</v>
      </c>
      <c r="E77" s="186" t="s">
        <v>868</v>
      </c>
      <c r="F77" s="186" t="s">
        <v>968</v>
      </c>
      <c r="G77" s="186" t="s">
        <v>969</v>
      </c>
      <c r="H77" s="186" t="s">
        <v>998</v>
      </c>
      <c r="I77" s="187" t="s">
        <v>1001</v>
      </c>
      <c r="J77" s="187" t="s">
        <v>1002</v>
      </c>
      <c r="K77" s="188"/>
      <c r="L77" s="188"/>
      <c r="M77" s="189" t="s">
        <v>847</v>
      </c>
      <c r="N77" s="190">
        <v>40.55</v>
      </c>
      <c r="O77" s="190">
        <f t="shared" ref="O77:O140" si="8">ROUND(N77*(1+$F$10),2)</f>
        <v>44.2</v>
      </c>
      <c r="P77" s="191">
        <f t="shared" ref="P77:P140" si="9">ROUND(K77*N77,2)</f>
        <v>0</v>
      </c>
      <c r="Q77" s="192">
        <f t="shared" si="2"/>
        <v>0</v>
      </c>
      <c r="R77" s="193"/>
      <c r="S77" s="194"/>
      <c r="T77" s="195">
        <f t="shared" si="3"/>
        <v>0</v>
      </c>
      <c r="U77" s="195">
        <f t="shared" si="4"/>
        <v>0</v>
      </c>
      <c r="V77" s="195">
        <f t="shared" si="5"/>
        <v>0</v>
      </c>
      <c r="W77" s="196" t="e">
        <f t="shared" si="6"/>
        <v>#DIV/0!</v>
      </c>
      <c r="X77" s="197" t="e">
        <f t="shared" si="7"/>
        <v>#DIV/0!</v>
      </c>
      <c r="AG77" s="109" t="s">
        <v>883</v>
      </c>
    </row>
    <row r="78" ht="11.4" customHeight="1" spans="1:34">
      <c r="A78" s="184" t="s">
        <v>967</v>
      </c>
      <c r="B78" s="184" t="s">
        <v>88</v>
      </c>
      <c r="C78" s="184" t="s">
        <v>87</v>
      </c>
      <c r="D78" s="185" t="s">
        <v>522</v>
      </c>
      <c r="E78" s="186" t="s">
        <v>868</v>
      </c>
      <c r="F78" s="186" t="s">
        <v>968</v>
      </c>
      <c r="G78" s="186" t="s">
        <v>969</v>
      </c>
      <c r="H78" s="186" t="s">
        <v>1003</v>
      </c>
      <c r="I78" s="187" t="s">
        <v>1004</v>
      </c>
      <c r="J78" s="187" t="s">
        <v>1005</v>
      </c>
      <c r="K78" s="188"/>
      <c r="L78" s="188"/>
      <c r="M78" s="189" t="s">
        <v>963</v>
      </c>
      <c r="N78" s="190">
        <v>257.95</v>
      </c>
      <c r="O78" s="190">
        <f t="shared" si="8"/>
        <v>281.17</v>
      </c>
      <c r="P78" s="191">
        <f t="shared" si="9"/>
        <v>0</v>
      </c>
      <c r="Q78" s="192">
        <f t="shared" ref="Q78:Q141" si="10">ROUND(L78*N78,2)</f>
        <v>0</v>
      </c>
      <c r="R78" s="193"/>
      <c r="S78" s="194"/>
      <c r="T78" s="195">
        <f t="shared" ref="T78:T141" si="11">K78-L78</f>
        <v>0</v>
      </c>
      <c r="U78" s="195">
        <f t="shared" ref="U78:U141" si="12">P78-Q78</f>
        <v>0</v>
      </c>
      <c r="V78" s="195">
        <f t="shared" ref="V78:V141" si="13">ABS(U78)</f>
        <v>0</v>
      </c>
      <c r="W78" s="196" t="e">
        <f t="shared" ref="W78:W141" si="14">T78/L78</f>
        <v>#DIV/0!</v>
      </c>
      <c r="X78" s="197" t="e">
        <f t="shared" ref="X78:X141" si="15">ABS(W78)</f>
        <v>#DIV/0!</v>
      </c>
      <c r="AG78" s="109" t="s">
        <v>990</v>
      </c>
    </row>
    <row r="79" ht="11.4" customHeight="1" spans="1:34">
      <c r="A79" s="184" t="s">
        <v>967</v>
      </c>
      <c r="B79" s="184" t="s">
        <v>88</v>
      </c>
      <c r="C79" s="184" t="s">
        <v>87</v>
      </c>
      <c r="D79" s="185" t="s">
        <v>522</v>
      </c>
      <c r="E79" s="186" t="s">
        <v>868</v>
      </c>
      <c r="F79" s="186" t="s">
        <v>968</v>
      </c>
      <c r="G79" s="186" t="s">
        <v>969</v>
      </c>
      <c r="H79" s="186" t="s">
        <v>1003</v>
      </c>
      <c r="I79" s="187" t="s">
        <v>1006</v>
      </c>
      <c r="J79" s="187" t="s">
        <v>1007</v>
      </c>
      <c r="K79" s="188"/>
      <c r="L79" s="188"/>
      <c r="M79" s="189" t="s">
        <v>963</v>
      </c>
      <c r="N79" s="190">
        <v>81.83</v>
      </c>
      <c r="O79" s="190">
        <f t="shared" si="8"/>
        <v>89.19</v>
      </c>
      <c r="P79" s="191">
        <f t="shared" si="9"/>
        <v>0</v>
      </c>
      <c r="Q79" s="192">
        <f t="shared" si="10"/>
        <v>0</v>
      </c>
      <c r="R79" s="193"/>
      <c r="S79" s="194"/>
      <c r="T79" s="195">
        <f t="shared" si="11"/>
        <v>0</v>
      </c>
      <c r="U79" s="195">
        <f t="shared" si="12"/>
        <v>0</v>
      </c>
      <c r="V79" s="195">
        <f t="shared" si="13"/>
        <v>0</v>
      </c>
      <c r="W79" s="196" t="e">
        <f t="shared" si="14"/>
        <v>#DIV/0!</v>
      </c>
      <c r="X79" s="197" t="e">
        <f t="shared" si="15"/>
        <v>#DIV/0!</v>
      </c>
      <c r="AG79" s="109" t="s">
        <v>990</v>
      </c>
    </row>
    <row r="80" ht="11.4" customHeight="1" spans="1:34">
      <c r="A80" s="184" t="s">
        <v>967</v>
      </c>
      <c r="B80" s="184" t="s">
        <v>88</v>
      </c>
      <c r="C80" s="184" t="s">
        <v>87</v>
      </c>
      <c r="D80" s="185" t="s">
        <v>522</v>
      </c>
      <c r="E80" s="186" t="s">
        <v>868</v>
      </c>
      <c r="F80" s="186" t="s">
        <v>968</v>
      </c>
      <c r="G80" s="186" t="s">
        <v>969</v>
      </c>
      <c r="H80" s="186" t="s">
        <v>1008</v>
      </c>
      <c r="I80" s="187" t="s">
        <v>1009</v>
      </c>
      <c r="J80" s="187" t="s">
        <v>1010</v>
      </c>
      <c r="K80" s="188"/>
      <c r="L80" s="188"/>
      <c r="M80" s="189" t="s">
        <v>807</v>
      </c>
      <c r="N80" s="190">
        <v>35.3</v>
      </c>
      <c r="O80" s="190">
        <f t="shared" si="8"/>
        <v>38.48</v>
      </c>
      <c r="P80" s="191">
        <f t="shared" si="9"/>
        <v>0</v>
      </c>
      <c r="Q80" s="192">
        <f t="shared" si="10"/>
        <v>0</v>
      </c>
      <c r="R80" s="193"/>
      <c r="S80" s="194"/>
      <c r="T80" s="195">
        <f t="shared" si="11"/>
        <v>0</v>
      </c>
      <c r="U80" s="195">
        <f t="shared" si="12"/>
        <v>0</v>
      </c>
      <c r="V80" s="195">
        <f t="shared" si="13"/>
        <v>0</v>
      </c>
      <c r="W80" s="196" t="e">
        <f t="shared" si="14"/>
        <v>#DIV/0!</v>
      </c>
      <c r="X80" s="197" t="e">
        <f t="shared" si="15"/>
        <v>#DIV/0!</v>
      </c>
      <c r="AG80" s="219" t="s">
        <v>1011</v>
      </c>
    </row>
    <row r="81" ht="11.4" customHeight="1" spans="1:33">
      <c r="A81" s="184" t="s">
        <v>1012</v>
      </c>
      <c r="B81" s="184" t="s">
        <v>91</v>
      </c>
      <c r="C81" s="184" t="s">
        <v>90</v>
      </c>
      <c r="D81" s="185" t="s">
        <v>522</v>
      </c>
      <c r="E81" s="186" t="s">
        <v>868</v>
      </c>
      <c r="F81" s="186" t="s">
        <v>1013</v>
      </c>
      <c r="G81" s="186" t="s">
        <v>1014</v>
      </c>
      <c r="H81" s="186" t="s">
        <v>1015</v>
      </c>
      <c r="I81" s="187" t="s">
        <v>1016</v>
      </c>
      <c r="J81" s="187" t="s">
        <v>1017</v>
      </c>
      <c r="K81" s="188"/>
      <c r="L81" s="188"/>
      <c r="M81" s="189" t="s">
        <v>1018</v>
      </c>
      <c r="N81" s="190">
        <v>723.44</v>
      </c>
      <c r="O81" s="190">
        <f t="shared" si="8"/>
        <v>788.55</v>
      </c>
      <c r="P81" s="191">
        <f t="shared" si="9"/>
        <v>0</v>
      </c>
      <c r="Q81" s="192">
        <f t="shared" si="10"/>
        <v>0</v>
      </c>
      <c r="R81" s="193"/>
      <c r="S81" s="194"/>
      <c r="T81" s="195">
        <f t="shared" si="11"/>
        <v>0</v>
      </c>
      <c r="U81" s="195">
        <f t="shared" si="12"/>
        <v>0</v>
      </c>
      <c r="V81" s="195">
        <f t="shared" si="13"/>
        <v>0</v>
      </c>
      <c r="W81" s="196" t="e">
        <f t="shared" si="14"/>
        <v>#DIV/0!</v>
      </c>
      <c r="X81" s="197" t="e">
        <f t="shared" si="15"/>
        <v>#DIV/0!</v>
      </c>
      <c r="AG81" s="219" t="s">
        <v>990</v>
      </c>
    </row>
    <row r="82" ht="11.4" customHeight="1" spans="1:33">
      <c r="A82" s="184" t="s">
        <v>1012</v>
      </c>
      <c r="B82" s="184" t="s">
        <v>91</v>
      </c>
      <c r="C82" s="184" t="s">
        <v>90</v>
      </c>
      <c r="D82" s="185" t="s">
        <v>522</v>
      </c>
      <c r="E82" s="186" t="s">
        <v>868</v>
      </c>
      <c r="F82" s="186" t="s">
        <v>1013</v>
      </c>
      <c r="G82" s="186" t="s">
        <v>1014</v>
      </c>
      <c r="H82" s="186" t="s">
        <v>1015</v>
      </c>
      <c r="I82" s="187" t="s">
        <v>1019</v>
      </c>
      <c r="J82" s="187" t="s">
        <v>1020</v>
      </c>
      <c r="K82" s="188"/>
      <c r="L82" s="188"/>
      <c r="M82" s="189" t="s">
        <v>1018</v>
      </c>
      <c r="N82" s="190">
        <v>723.44</v>
      </c>
      <c r="O82" s="190">
        <f t="shared" si="8"/>
        <v>788.55</v>
      </c>
      <c r="P82" s="191">
        <f t="shared" si="9"/>
        <v>0</v>
      </c>
      <c r="Q82" s="192">
        <f t="shared" si="10"/>
        <v>0</v>
      </c>
      <c r="R82" s="193"/>
      <c r="S82" s="194"/>
      <c r="T82" s="195">
        <f t="shared" si="11"/>
        <v>0</v>
      </c>
      <c r="U82" s="195">
        <f t="shared" si="12"/>
        <v>0</v>
      </c>
      <c r="V82" s="195">
        <f t="shared" si="13"/>
        <v>0</v>
      </c>
      <c r="W82" s="196" t="e">
        <f t="shared" si="14"/>
        <v>#DIV/0!</v>
      </c>
      <c r="X82" s="197" t="e">
        <f t="shared" si="15"/>
        <v>#DIV/0!</v>
      </c>
      <c r="AG82" s="219" t="s">
        <v>990</v>
      </c>
    </row>
    <row r="83" ht="11.4" customHeight="1" spans="1:33">
      <c r="A83" s="184" t="s">
        <v>1012</v>
      </c>
      <c r="B83" s="184" t="s">
        <v>91</v>
      </c>
      <c r="C83" s="184" t="s">
        <v>90</v>
      </c>
      <c r="D83" s="185" t="s">
        <v>522</v>
      </c>
      <c r="E83" s="186" t="s">
        <v>868</v>
      </c>
      <c r="F83" s="186" t="s">
        <v>1013</v>
      </c>
      <c r="G83" s="186" t="s">
        <v>1014</v>
      </c>
      <c r="H83" s="186" t="s">
        <v>1015</v>
      </c>
      <c r="I83" s="187" t="s">
        <v>1021</v>
      </c>
      <c r="J83" s="187" t="s">
        <v>1022</v>
      </c>
      <c r="K83" s="188"/>
      <c r="L83" s="188"/>
      <c r="M83" s="189" t="s">
        <v>1018</v>
      </c>
      <c r="N83" s="190">
        <v>137.35</v>
      </c>
      <c r="O83" s="190">
        <f t="shared" si="8"/>
        <v>149.71</v>
      </c>
      <c r="P83" s="191">
        <f t="shared" si="9"/>
        <v>0</v>
      </c>
      <c r="Q83" s="192">
        <f t="shared" si="10"/>
        <v>0</v>
      </c>
      <c r="R83" s="193"/>
      <c r="S83" s="194"/>
      <c r="T83" s="195">
        <f t="shared" si="11"/>
        <v>0</v>
      </c>
      <c r="U83" s="195">
        <f t="shared" si="12"/>
        <v>0</v>
      </c>
      <c r="V83" s="195">
        <f t="shared" si="13"/>
        <v>0</v>
      </c>
      <c r="W83" s="196" t="e">
        <f t="shared" si="14"/>
        <v>#DIV/0!</v>
      </c>
      <c r="X83" s="197" t="e">
        <f t="shared" si="15"/>
        <v>#DIV/0!</v>
      </c>
      <c r="AG83" s="219" t="s">
        <v>990</v>
      </c>
    </row>
    <row r="84" ht="11.4" customHeight="1" spans="1:33">
      <c r="A84" s="184" t="s">
        <v>1012</v>
      </c>
      <c r="B84" s="184" t="s">
        <v>91</v>
      </c>
      <c r="C84" s="184" t="s">
        <v>90</v>
      </c>
      <c r="D84" s="185" t="s">
        <v>522</v>
      </c>
      <c r="E84" s="186" t="s">
        <v>868</v>
      </c>
      <c r="F84" s="186" t="s">
        <v>1013</v>
      </c>
      <c r="G84" s="186" t="s">
        <v>1014</v>
      </c>
      <c r="H84" s="186" t="s">
        <v>1015</v>
      </c>
      <c r="I84" s="187" t="s">
        <v>1023</v>
      </c>
      <c r="J84" s="187" t="s">
        <v>1024</v>
      </c>
      <c r="K84" s="188"/>
      <c r="L84" s="188"/>
      <c r="M84" s="189" t="s">
        <v>1018</v>
      </c>
      <c r="N84" s="190">
        <v>151.65</v>
      </c>
      <c r="O84" s="190">
        <f t="shared" si="8"/>
        <v>165.3</v>
      </c>
      <c r="P84" s="191">
        <f t="shared" si="9"/>
        <v>0</v>
      </c>
      <c r="Q84" s="192">
        <f t="shared" si="10"/>
        <v>0</v>
      </c>
      <c r="R84" s="193"/>
      <c r="S84" s="194"/>
      <c r="T84" s="195">
        <f t="shared" si="11"/>
        <v>0</v>
      </c>
      <c r="U84" s="195">
        <f t="shared" si="12"/>
        <v>0</v>
      </c>
      <c r="V84" s="195">
        <f t="shared" si="13"/>
        <v>0</v>
      </c>
      <c r="W84" s="196" t="e">
        <f t="shared" si="14"/>
        <v>#DIV/0!</v>
      </c>
      <c r="X84" s="197" t="e">
        <f t="shared" si="15"/>
        <v>#DIV/0!</v>
      </c>
      <c r="AG84" s="219" t="s">
        <v>990</v>
      </c>
    </row>
    <row r="85" ht="11.4" customHeight="1" spans="1:33">
      <c r="A85" s="184" t="s">
        <v>1012</v>
      </c>
      <c r="B85" s="184" t="s">
        <v>91</v>
      </c>
      <c r="C85" s="184" t="s">
        <v>90</v>
      </c>
      <c r="D85" s="185" t="s">
        <v>522</v>
      </c>
      <c r="E85" s="186" t="s">
        <v>868</v>
      </c>
      <c r="F85" s="186" t="s">
        <v>1013</v>
      </c>
      <c r="G85" s="186" t="s">
        <v>1014</v>
      </c>
      <c r="H85" s="186" t="s">
        <v>1015</v>
      </c>
      <c r="I85" s="187" t="s">
        <v>1025</v>
      </c>
      <c r="J85" s="187" t="s">
        <v>1026</v>
      </c>
      <c r="K85" s="188"/>
      <c r="L85" s="188"/>
      <c r="M85" s="189" t="s">
        <v>1018</v>
      </c>
      <c r="N85" s="190">
        <v>151.65</v>
      </c>
      <c r="O85" s="190">
        <f t="shared" si="8"/>
        <v>165.3</v>
      </c>
      <c r="P85" s="191">
        <f t="shared" si="9"/>
        <v>0</v>
      </c>
      <c r="Q85" s="192">
        <f t="shared" si="10"/>
        <v>0</v>
      </c>
      <c r="R85" s="193"/>
      <c r="S85" s="194"/>
      <c r="T85" s="195">
        <f t="shared" si="11"/>
        <v>0</v>
      </c>
      <c r="U85" s="195">
        <f t="shared" si="12"/>
        <v>0</v>
      </c>
      <c r="V85" s="195">
        <f t="shared" si="13"/>
        <v>0</v>
      </c>
      <c r="W85" s="196" t="e">
        <f t="shared" si="14"/>
        <v>#DIV/0!</v>
      </c>
      <c r="X85" s="197" t="e">
        <f t="shared" si="15"/>
        <v>#DIV/0!</v>
      </c>
      <c r="AG85" s="219" t="s">
        <v>990</v>
      </c>
    </row>
    <row r="86" ht="11.4" customHeight="1" spans="1:33">
      <c r="A86" s="184" t="s">
        <v>1012</v>
      </c>
      <c r="B86" s="184" t="s">
        <v>91</v>
      </c>
      <c r="C86" s="184" t="s">
        <v>90</v>
      </c>
      <c r="D86" s="185" t="s">
        <v>522</v>
      </c>
      <c r="E86" s="186" t="s">
        <v>868</v>
      </c>
      <c r="F86" s="186" t="s">
        <v>1013</v>
      </c>
      <c r="G86" s="186" t="s">
        <v>1014</v>
      </c>
      <c r="H86" s="186" t="s">
        <v>1027</v>
      </c>
      <c r="I86" s="187" t="s">
        <v>1028</v>
      </c>
      <c r="J86" s="187" t="s">
        <v>1029</v>
      </c>
      <c r="K86" s="188"/>
      <c r="L86" s="188"/>
      <c r="M86" s="189" t="s">
        <v>807</v>
      </c>
      <c r="N86" s="190">
        <v>56.98</v>
      </c>
      <c r="O86" s="190">
        <f t="shared" si="8"/>
        <v>62.11</v>
      </c>
      <c r="P86" s="191">
        <f t="shared" si="9"/>
        <v>0</v>
      </c>
      <c r="Q86" s="192">
        <f t="shared" si="10"/>
        <v>0</v>
      </c>
      <c r="R86" s="193"/>
      <c r="S86" s="194"/>
      <c r="T86" s="195">
        <f t="shared" si="11"/>
        <v>0</v>
      </c>
      <c r="U86" s="195">
        <f t="shared" si="12"/>
        <v>0</v>
      </c>
      <c r="V86" s="195">
        <f t="shared" si="13"/>
        <v>0</v>
      </c>
      <c r="W86" s="196" t="e">
        <f t="shared" si="14"/>
        <v>#DIV/0!</v>
      </c>
      <c r="X86" s="197" t="e">
        <f t="shared" si="15"/>
        <v>#DIV/0!</v>
      </c>
      <c r="AG86" s="219" t="s">
        <v>1011</v>
      </c>
    </row>
    <row r="87" ht="11.4" customHeight="1" spans="1:33">
      <c r="A87" s="184" t="s">
        <v>1012</v>
      </c>
      <c r="B87" s="184" t="s">
        <v>91</v>
      </c>
      <c r="C87" s="184" t="s">
        <v>90</v>
      </c>
      <c r="D87" s="185" t="s">
        <v>522</v>
      </c>
      <c r="E87" s="186" t="s">
        <v>868</v>
      </c>
      <c r="F87" s="186" t="s">
        <v>1013</v>
      </c>
      <c r="G87" s="186" t="s">
        <v>1014</v>
      </c>
      <c r="H87" s="186" t="s">
        <v>1030</v>
      </c>
      <c r="I87" s="187" t="s">
        <v>1031</v>
      </c>
      <c r="J87" s="187" t="s">
        <v>1032</v>
      </c>
      <c r="K87" s="188"/>
      <c r="L87" s="188"/>
      <c r="M87" s="189" t="s">
        <v>1018</v>
      </c>
      <c r="N87" s="190">
        <v>3230.77</v>
      </c>
      <c r="O87" s="190">
        <f t="shared" si="8"/>
        <v>3521.54</v>
      </c>
      <c r="P87" s="191">
        <f t="shared" si="9"/>
        <v>0</v>
      </c>
      <c r="Q87" s="192">
        <f t="shared" si="10"/>
        <v>0</v>
      </c>
      <c r="R87" s="193"/>
      <c r="S87" s="194"/>
      <c r="T87" s="195">
        <f t="shared" si="11"/>
        <v>0</v>
      </c>
      <c r="U87" s="195">
        <f t="shared" si="12"/>
        <v>0</v>
      </c>
      <c r="V87" s="195">
        <f t="shared" si="13"/>
        <v>0</v>
      </c>
      <c r="W87" s="196" t="e">
        <f t="shared" si="14"/>
        <v>#DIV/0!</v>
      </c>
      <c r="X87" s="197" t="e">
        <f t="shared" si="15"/>
        <v>#DIV/0!</v>
      </c>
      <c r="AG87" s="109" t="s">
        <v>990</v>
      </c>
    </row>
    <row r="88" ht="11.4" customHeight="1" spans="1:33">
      <c r="A88" s="184" t="s">
        <v>1012</v>
      </c>
      <c r="B88" s="184" t="s">
        <v>91</v>
      </c>
      <c r="C88" s="184" t="s">
        <v>90</v>
      </c>
      <c r="D88" s="185" t="s">
        <v>522</v>
      </c>
      <c r="E88" s="186" t="s">
        <v>868</v>
      </c>
      <c r="F88" s="186" t="s">
        <v>1013</v>
      </c>
      <c r="G88" s="186" t="s">
        <v>1014</v>
      </c>
      <c r="H88" s="186" t="s">
        <v>1030</v>
      </c>
      <c r="I88" s="187" t="s">
        <v>1033</v>
      </c>
      <c r="J88" s="187" t="s">
        <v>1034</v>
      </c>
      <c r="K88" s="188"/>
      <c r="L88" s="188"/>
      <c r="M88" s="189" t="s">
        <v>1018</v>
      </c>
      <c r="N88" s="190">
        <v>5115.38</v>
      </c>
      <c r="O88" s="190">
        <f t="shared" si="8"/>
        <v>5575.76</v>
      </c>
      <c r="P88" s="191">
        <f t="shared" si="9"/>
        <v>0</v>
      </c>
      <c r="Q88" s="192">
        <f t="shared" si="10"/>
        <v>0</v>
      </c>
      <c r="R88" s="193"/>
      <c r="S88" s="194"/>
      <c r="T88" s="195">
        <f t="shared" si="11"/>
        <v>0</v>
      </c>
      <c r="U88" s="195">
        <f t="shared" si="12"/>
        <v>0</v>
      </c>
      <c r="V88" s="195">
        <f t="shared" si="13"/>
        <v>0</v>
      </c>
      <c r="W88" s="196" t="e">
        <f t="shared" si="14"/>
        <v>#DIV/0!</v>
      </c>
      <c r="X88" s="197" t="e">
        <f t="shared" si="15"/>
        <v>#DIV/0!</v>
      </c>
      <c r="AG88" s="109" t="s">
        <v>990</v>
      </c>
    </row>
    <row r="89" ht="11.4" customHeight="1" spans="1:33">
      <c r="A89" s="184" t="s">
        <v>1012</v>
      </c>
      <c r="B89" s="184" t="s">
        <v>91</v>
      </c>
      <c r="C89" s="184" t="s">
        <v>90</v>
      </c>
      <c r="D89" s="185" t="s">
        <v>522</v>
      </c>
      <c r="E89" s="186" t="s">
        <v>868</v>
      </c>
      <c r="F89" s="186" t="s">
        <v>1013</v>
      </c>
      <c r="G89" s="186" t="s">
        <v>1014</v>
      </c>
      <c r="H89" s="186" t="s">
        <v>1030</v>
      </c>
      <c r="I89" s="187" t="s">
        <v>1035</v>
      </c>
      <c r="J89" s="187" t="s">
        <v>1036</v>
      </c>
      <c r="K89" s="188"/>
      <c r="L89" s="188"/>
      <c r="M89" s="189" t="s">
        <v>1018</v>
      </c>
      <c r="N89" s="190">
        <v>565.38</v>
      </c>
      <c r="O89" s="190">
        <f t="shared" si="8"/>
        <v>616.26</v>
      </c>
      <c r="P89" s="191">
        <f t="shared" si="9"/>
        <v>0</v>
      </c>
      <c r="Q89" s="192">
        <f t="shared" si="10"/>
        <v>0</v>
      </c>
      <c r="R89" s="193"/>
      <c r="S89" s="194"/>
      <c r="T89" s="195">
        <f t="shared" si="11"/>
        <v>0</v>
      </c>
      <c r="U89" s="195">
        <f t="shared" si="12"/>
        <v>0</v>
      </c>
      <c r="V89" s="195">
        <f t="shared" si="13"/>
        <v>0</v>
      </c>
      <c r="W89" s="196" t="e">
        <f t="shared" si="14"/>
        <v>#DIV/0!</v>
      </c>
      <c r="X89" s="197" t="e">
        <f t="shared" si="15"/>
        <v>#DIV/0!</v>
      </c>
      <c r="AG89" s="109" t="s">
        <v>990</v>
      </c>
    </row>
    <row r="90" ht="11.4" customHeight="1" spans="1:33">
      <c r="A90" s="184" t="s">
        <v>1012</v>
      </c>
      <c r="B90" s="184" t="s">
        <v>91</v>
      </c>
      <c r="C90" s="184" t="s">
        <v>90</v>
      </c>
      <c r="D90" s="185" t="s">
        <v>522</v>
      </c>
      <c r="E90" s="186" t="s">
        <v>868</v>
      </c>
      <c r="F90" s="186" t="s">
        <v>1013</v>
      </c>
      <c r="G90" s="186" t="s">
        <v>1014</v>
      </c>
      <c r="H90" s="186" t="s">
        <v>1030</v>
      </c>
      <c r="I90" s="187" t="s">
        <v>1037</v>
      </c>
      <c r="J90" s="187" t="s">
        <v>1038</v>
      </c>
      <c r="K90" s="188"/>
      <c r="L90" s="188"/>
      <c r="M90" s="189" t="s">
        <v>1018</v>
      </c>
      <c r="N90" s="190">
        <v>2789.23</v>
      </c>
      <c r="O90" s="190">
        <f t="shared" si="8"/>
        <v>3040.26</v>
      </c>
      <c r="P90" s="191">
        <f t="shared" si="9"/>
        <v>0</v>
      </c>
      <c r="Q90" s="192">
        <f t="shared" si="10"/>
        <v>0</v>
      </c>
      <c r="R90" s="193"/>
      <c r="S90" s="194"/>
      <c r="T90" s="195">
        <f t="shared" si="11"/>
        <v>0</v>
      </c>
      <c r="U90" s="195">
        <f t="shared" si="12"/>
        <v>0</v>
      </c>
      <c r="V90" s="195">
        <f t="shared" si="13"/>
        <v>0</v>
      </c>
      <c r="W90" s="196" t="e">
        <f t="shared" si="14"/>
        <v>#DIV/0!</v>
      </c>
      <c r="X90" s="197" t="e">
        <f t="shared" si="15"/>
        <v>#DIV/0!</v>
      </c>
      <c r="AG90" s="109" t="s">
        <v>990</v>
      </c>
    </row>
    <row r="91" ht="11.4" customHeight="1" spans="1:33">
      <c r="A91" s="184" t="s">
        <v>1012</v>
      </c>
      <c r="B91" s="184" t="s">
        <v>91</v>
      </c>
      <c r="C91" s="184" t="s">
        <v>90</v>
      </c>
      <c r="D91" s="185" t="s">
        <v>522</v>
      </c>
      <c r="E91" s="186" t="s">
        <v>868</v>
      </c>
      <c r="F91" s="186" t="s">
        <v>1013</v>
      </c>
      <c r="G91" s="186" t="s">
        <v>1014</v>
      </c>
      <c r="H91" s="186" t="s">
        <v>1030</v>
      </c>
      <c r="I91" s="187" t="s">
        <v>1039</v>
      </c>
      <c r="J91" s="187" t="s">
        <v>1040</v>
      </c>
      <c r="K91" s="188"/>
      <c r="L91" s="188"/>
      <c r="M91" s="189" t="s">
        <v>1018</v>
      </c>
      <c r="N91" s="190">
        <v>4173.08</v>
      </c>
      <c r="O91" s="190">
        <f t="shared" si="8"/>
        <v>4548.66</v>
      </c>
      <c r="P91" s="191">
        <f t="shared" si="9"/>
        <v>0</v>
      </c>
      <c r="Q91" s="192">
        <f t="shared" si="10"/>
        <v>0</v>
      </c>
      <c r="R91" s="193"/>
      <c r="S91" s="194"/>
      <c r="T91" s="195">
        <f t="shared" si="11"/>
        <v>0</v>
      </c>
      <c r="U91" s="195">
        <f t="shared" si="12"/>
        <v>0</v>
      </c>
      <c r="V91" s="195">
        <f t="shared" si="13"/>
        <v>0</v>
      </c>
      <c r="W91" s="196" t="e">
        <f t="shared" si="14"/>
        <v>#DIV/0!</v>
      </c>
      <c r="X91" s="197" t="e">
        <f t="shared" si="15"/>
        <v>#DIV/0!</v>
      </c>
      <c r="AG91" s="109" t="s">
        <v>990</v>
      </c>
    </row>
    <row r="92" ht="11.4" customHeight="1" spans="1:33">
      <c r="A92" s="184" t="s">
        <v>1012</v>
      </c>
      <c r="B92" s="184" t="s">
        <v>91</v>
      </c>
      <c r="C92" s="184" t="s">
        <v>90</v>
      </c>
      <c r="D92" s="185" t="s">
        <v>522</v>
      </c>
      <c r="E92" s="186" t="s">
        <v>868</v>
      </c>
      <c r="F92" s="186" t="s">
        <v>1013</v>
      </c>
      <c r="G92" s="186" t="s">
        <v>1014</v>
      </c>
      <c r="H92" s="186" t="s">
        <v>1030</v>
      </c>
      <c r="I92" s="187" t="s">
        <v>1041</v>
      </c>
      <c r="J92" s="187" t="s">
        <v>1042</v>
      </c>
      <c r="K92" s="188"/>
      <c r="L92" s="188"/>
      <c r="M92" s="189" t="s">
        <v>1018</v>
      </c>
      <c r="N92" s="190">
        <v>338.78</v>
      </c>
      <c r="O92" s="190">
        <f t="shared" si="8"/>
        <v>369.27</v>
      </c>
      <c r="P92" s="191">
        <f t="shared" si="9"/>
        <v>0</v>
      </c>
      <c r="Q92" s="192">
        <f t="shared" si="10"/>
        <v>0</v>
      </c>
      <c r="R92" s="193"/>
      <c r="S92" s="194"/>
      <c r="T92" s="195">
        <f t="shared" si="11"/>
        <v>0</v>
      </c>
      <c r="U92" s="195">
        <f t="shared" si="12"/>
        <v>0</v>
      </c>
      <c r="V92" s="195">
        <f t="shared" si="13"/>
        <v>0</v>
      </c>
      <c r="W92" s="196" t="e">
        <f t="shared" si="14"/>
        <v>#DIV/0!</v>
      </c>
      <c r="X92" s="197" t="e">
        <f t="shared" si="15"/>
        <v>#DIV/0!</v>
      </c>
      <c r="AG92" s="109" t="s">
        <v>990</v>
      </c>
    </row>
    <row r="93" ht="11.4" customHeight="1" spans="1:33">
      <c r="A93" s="184" t="s">
        <v>1012</v>
      </c>
      <c r="B93" s="184" t="s">
        <v>91</v>
      </c>
      <c r="C93" s="184" t="s">
        <v>90</v>
      </c>
      <c r="D93" s="185" t="s">
        <v>522</v>
      </c>
      <c r="E93" s="186" t="s">
        <v>868</v>
      </c>
      <c r="F93" s="186" t="s">
        <v>1013</v>
      </c>
      <c r="G93" s="186" t="s">
        <v>1014</v>
      </c>
      <c r="H93" s="186" t="s">
        <v>1030</v>
      </c>
      <c r="I93" s="187" t="s">
        <v>1043</v>
      </c>
      <c r="J93" s="187" t="s">
        <v>1044</v>
      </c>
      <c r="K93" s="188"/>
      <c r="L93" s="188"/>
      <c r="M93" s="189" t="s">
        <v>1018</v>
      </c>
      <c r="N93" s="190">
        <v>179.49</v>
      </c>
      <c r="O93" s="190">
        <f t="shared" si="8"/>
        <v>195.64</v>
      </c>
      <c r="P93" s="191">
        <f t="shared" si="9"/>
        <v>0</v>
      </c>
      <c r="Q93" s="192">
        <f t="shared" si="10"/>
        <v>0</v>
      </c>
      <c r="R93" s="193"/>
      <c r="S93" s="194"/>
      <c r="T93" s="195">
        <f t="shared" si="11"/>
        <v>0</v>
      </c>
      <c r="U93" s="195">
        <f t="shared" si="12"/>
        <v>0</v>
      </c>
      <c r="V93" s="195">
        <f t="shared" si="13"/>
        <v>0</v>
      </c>
      <c r="W93" s="196" t="e">
        <f t="shared" si="14"/>
        <v>#DIV/0!</v>
      </c>
      <c r="X93" s="197" t="e">
        <f t="shared" si="15"/>
        <v>#DIV/0!</v>
      </c>
      <c r="AG93" s="109" t="s">
        <v>990</v>
      </c>
    </row>
    <row r="94" ht="11.4" customHeight="1" spans="1:33">
      <c r="A94" s="184" t="s">
        <v>1012</v>
      </c>
      <c r="B94" s="184" t="s">
        <v>91</v>
      </c>
      <c r="C94" s="184" t="s">
        <v>90</v>
      </c>
      <c r="D94" s="185" t="s">
        <v>522</v>
      </c>
      <c r="E94" s="186" t="s">
        <v>868</v>
      </c>
      <c r="F94" s="186" t="s">
        <v>1013</v>
      </c>
      <c r="G94" s="186" t="s">
        <v>1014</v>
      </c>
      <c r="H94" s="186" t="s">
        <v>1030</v>
      </c>
      <c r="I94" s="187" t="s">
        <v>1045</v>
      </c>
      <c r="J94" s="187" t="s">
        <v>1046</v>
      </c>
      <c r="K94" s="188"/>
      <c r="L94" s="188"/>
      <c r="M94" s="189" t="s">
        <v>1018</v>
      </c>
      <c r="N94" s="190">
        <v>287.18</v>
      </c>
      <c r="O94" s="190">
        <f t="shared" si="8"/>
        <v>313.03</v>
      </c>
      <c r="P94" s="191">
        <f t="shared" si="9"/>
        <v>0</v>
      </c>
      <c r="Q94" s="192">
        <f t="shared" si="10"/>
        <v>0</v>
      </c>
      <c r="R94" s="193"/>
      <c r="S94" s="194"/>
      <c r="T94" s="195">
        <f t="shared" si="11"/>
        <v>0</v>
      </c>
      <c r="U94" s="195">
        <f t="shared" si="12"/>
        <v>0</v>
      </c>
      <c r="V94" s="195">
        <f t="shared" si="13"/>
        <v>0</v>
      </c>
      <c r="W94" s="196" t="e">
        <f t="shared" si="14"/>
        <v>#DIV/0!</v>
      </c>
      <c r="X94" s="197" t="e">
        <f t="shared" si="15"/>
        <v>#DIV/0!</v>
      </c>
      <c r="AG94" s="109" t="s">
        <v>990</v>
      </c>
    </row>
    <row r="95" ht="11.4" customHeight="1" spans="1:33">
      <c r="A95" s="184" t="s">
        <v>1012</v>
      </c>
      <c r="B95" s="184" t="s">
        <v>91</v>
      </c>
      <c r="C95" s="184" t="s">
        <v>90</v>
      </c>
      <c r="D95" s="185" t="s">
        <v>522</v>
      </c>
      <c r="E95" s="186" t="s">
        <v>868</v>
      </c>
      <c r="F95" s="186" t="s">
        <v>1013</v>
      </c>
      <c r="G95" s="186" t="s">
        <v>1014</v>
      </c>
      <c r="H95" s="186" t="s">
        <v>1047</v>
      </c>
      <c r="I95" s="187" t="s">
        <v>1048</v>
      </c>
      <c r="J95" s="187" t="s">
        <v>1049</v>
      </c>
      <c r="K95" s="188"/>
      <c r="L95" s="188"/>
      <c r="M95" s="189" t="s">
        <v>963</v>
      </c>
      <c r="N95" s="190">
        <v>537.89</v>
      </c>
      <c r="O95" s="190">
        <f t="shared" si="8"/>
        <v>586.3</v>
      </c>
      <c r="P95" s="191">
        <f t="shared" si="9"/>
        <v>0</v>
      </c>
      <c r="Q95" s="192">
        <f t="shared" si="10"/>
        <v>0</v>
      </c>
      <c r="R95" s="193"/>
      <c r="S95" s="194"/>
      <c r="T95" s="195">
        <f t="shared" si="11"/>
        <v>0</v>
      </c>
      <c r="U95" s="195">
        <f t="shared" si="12"/>
        <v>0</v>
      </c>
      <c r="V95" s="195">
        <f t="shared" si="13"/>
        <v>0</v>
      </c>
      <c r="W95" s="196" t="e">
        <f t="shared" si="14"/>
        <v>#DIV/0!</v>
      </c>
      <c r="X95" s="197" t="e">
        <f t="shared" si="15"/>
        <v>#DIV/0!</v>
      </c>
      <c r="AG95" s="109" t="s">
        <v>990</v>
      </c>
    </row>
    <row r="96" ht="11.4" customHeight="1" spans="1:33">
      <c r="A96" s="184" t="s">
        <v>1050</v>
      </c>
      <c r="B96" s="184" t="s">
        <v>94</v>
      </c>
      <c r="C96" s="184" t="s">
        <v>93</v>
      </c>
      <c r="D96" s="185" t="s">
        <v>522</v>
      </c>
      <c r="E96" s="186" t="s">
        <v>868</v>
      </c>
      <c r="F96" s="186" t="s">
        <v>1051</v>
      </c>
      <c r="G96" s="186" t="s">
        <v>1052</v>
      </c>
      <c r="H96" s="186" t="s">
        <v>1053</v>
      </c>
      <c r="I96" s="187" t="s">
        <v>1054</v>
      </c>
      <c r="J96" s="187" t="s">
        <v>1055</v>
      </c>
      <c r="K96" s="188"/>
      <c r="L96" s="188"/>
      <c r="M96" s="189" t="s">
        <v>807</v>
      </c>
      <c r="N96" s="190">
        <v>219.82</v>
      </c>
      <c r="O96" s="190">
        <f t="shared" si="8"/>
        <v>239.6</v>
      </c>
      <c r="P96" s="191">
        <f t="shared" si="9"/>
        <v>0</v>
      </c>
      <c r="Q96" s="192">
        <f t="shared" si="10"/>
        <v>0</v>
      </c>
      <c r="R96" s="193"/>
      <c r="S96" s="194"/>
      <c r="T96" s="195">
        <f t="shared" si="11"/>
        <v>0</v>
      </c>
      <c r="U96" s="195">
        <f t="shared" si="12"/>
        <v>0</v>
      </c>
      <c r="V96" s="195">
        <f t="shared" si="13"/>
        <v>0</v>
      </c>
      <c r="W96" s="196" t="e">
        <f t="shared" si="14"/>
        <v>#DIV/0!</v>
      </c>
      <c r="X96" s="197" t="e">
        <f t="shared" si="15"/>
        <v>#DIV/0!</v>
      </c>
      <c r="AG96" s="219" t="s">
        <v>1056</v>
      </c>
    </row>
    <row r="97" ht="11.4" customHeight="1" spans="1:34">
      <c r="A97" s="184" t="s">
        <v>1050</v>
      </c>
      <c r="B97" s="184" t="s">
        <v>94</v>
      </c>
      <c r="C97" s="184" t="s">
        <v>93</v>
      </c>
      <c r="D97" s="185" t="s">
        <v>522</v>
      </c>
      <c r="E97" s="186" t="s">
        <v>868</v>
      </c>
      <c r="F97" s="186" t="s">
        <v>1051</v>
      </c>
      <c r="G97" s="186" t="s">
        <v>1052</v>
      </c>
      <c r="H97" s="186" t="s">
        <v>1053</v>
      </c>
      <c r="I97" s="187" t="s">
        <v>1057</v>
      </c>
      <c r="J97" s="187" t="s">
        <v>1058</v>
      </c>
      <c r="K97" s="188"/>
      <c r="L97" s="188"/>
      <c r="M97" s="189" t="s">
        <v>807</v>
      </c>
      <c r="N97" s="190">
        <v>135.14</v>
      </c>
      <c r="O97" s="190">
        <f t="shared" si="8"/>
        <v>147.3</v>
      </c>
      <c r="P97" s="191">
        <f t="shared" si="9"/>
        <v>0</v>
      </c>
      <c r="Q97" s="192">
        <f t="shared" si="10"/>
        <v>0</v>
      </c>
      <c r="R97" s="193"/>
      <c r="S97" s="194"/>
      <c r="T97" s="195">
        <f t="shared" si="11"/>
        <v>0</v>
      </c>
      <c r="U97" s="195">
        <f t="shared" si="12"/>
        <v>0</v>
      </c>
      <c r="V97" s="195">
        <f t="shared" si="13"/>
        <v>0</v>
      </c>
      <c r="W97" s="196" t="e">
        <f t="shared" si="14"/>
        <v>#DIV/0!</v>
      </c>
      <c r="X97" s="197" t="e">
        <f t="shared" si="15"/>
        <v>#DIV/0!</v>
      </c>
      <c r="AG97" s="219" t="s">
        <v>1056</v>
      </c>
    </row>
    <row r="98" ht="11.4" customHeight="1" spans="1:34">
      <c r="A98" s="184" t="s">
        <v>1050</v>
      </c>
      <c r="B98" s="184" t="s">
        <v>94</v>
      </c>
      <c r="C98" s="184" t="s">
        <v>93</v>
      </c>
      <c r="D98" s="185" t="s">
        <v>522</v>
      </c>
      <c r="E98" s="186" t="s">
        <v>868</v>
      </c>
      <c r="F98" s="186" t="s">
        <v>1051</v>
      </c>
      <c r="G98" s="186" t="s">
        <v>1052</v>
      </c>
      <c r="H98" s="186" t="s">
        <v>1053</v>
      </c>
      <c r="I98" s="187" t="s">
        <v>1059</v>
      </c>
      <c r="J98" s="187" t="s">
        <v>1060</v>
      </c>
      <c r="K98" s="188"/>
      <c r="L98" s="188"/>
      <c r="M98" s="189" t="s">
        <v>807</v>
      </c>
      <c r="N98" s="190">
        <v>68.47</v>
      </c>
      <c r="O98" s="190">
        <f t="shared" si="8"/>
        <v>74.63</v>
      </c>
      <c r="P98" s="191">
        <f t="shared" si="9"/>
        <v>0</v>
      </c>
      <c r="Q98" s="192">
        <f t="shared" si="10"/>
        <v>0</v>
      </c>
      <c r="R98" s="193"/>
      <c r="S98" s="194"/>
      <c r="T98" s="195">
        <f t="shared" si="11"/>
        <v>0</v>
      </c>
      <c r="U98" s="195">
        <f t="shared" si="12"/>
        <v>0</v>
      </c>
      <c r="V98" s="195">
        <f t="shared" si="13"/>
        <v>0</v>
      </c>
      <c r="W98" s="196" t="e">
        <f t="shared" si="14"/>
        <v>#DIV/0!</v>
      </c>
      <c r="X98" s="197" t="e">
        <f t="shared" si="15"/>
        <v>#DIV/0!</v>
      </c>
      <c r="AG98" s="219" t="s">
        <v>1056</v>
      </c>
    </row>
    <row r="99" ht="11.4" customHeight="1" spans="1:34">
      <c r="A99" s="184" t="s">
        <v>1050</v>
      </c>
      <c r="B99" s="184" t="s">
        <v>94</v>
      </c>
      <c r="C99" s="184" t="s">
        <v>93</v>
      </c>
      <c r="D99" s="185" t="s">
        <v>522</v>
      </c>
      <c r="E99" s="186" t="s">
        <v>868</v>
      </c>
      <c r="F99" s="186" t="s">
        <v>1051</v>
      </c>
      <c r="G99" s="186" t="s">
        <v>1052</v>
      </c>
      <c r="H99" s="186" t="s">
        <v>1053</v>
      </c>
      <c r="I99" s="187" t="s">
        <v>1061</v>
      </c>
      <c r="J99" s="187" t="s">
        <v>1062</v>
      </c>
      <c r="K99" s="188"/>
      <c r="L99" s="188"/>
      <c r="M99" s="189" t="s">
        <v>1018</v>
      </c>
      <c r="N99" s="190">
        <v>3154.85</v>
      </c>
      <c r="O99" s="190">
        <f t="shared" si="8"/>
        <v>3438.79</v>
      </c>
      <c r="P99" s="191">
        <f t="shared" si="9"/>
        <v>0</v>
      </c>
      <c r="Q99" s="192">
        <f t="shared" si="10"/>
        <v>0</v>
      </c>
      <c r="R99" s="193"/>
      <c r="S99" s="194"/>
      <c r="T99" s="195">
        <f t="shared" si="11"/>
        <v>0</v>
      </c>
      <c r="U99" s="195">
        <f t="shared" si="12"/>
        <v>0</v>
      </c>
      <c r="V99" s="195">
        <f t="shared" si="13"/>
        <v>0</v>
      </c>
      <c r="W99" s="196" t="e">
        <f t="shared" si="14"/>
        <v>#DIV/0!</v>
      </c>
      <c r="X99" s="197" t="e">
        <f t="shared" si="15"/>
        <v>#DIV/0!</v>
      </c>
      <c r="AG99" s="219" t="s">
        <v>990</v>
      </c>
    </row>
    <row r="100" ht="11.4" customHeight="1" spans="1:34">
      <c r="A100" s="184" t="s">
        <v>1050</v>
      </c>
      <c r="B100" s="184" t="s">
        <v>94</v>
      </c>
      <c r="C100" s="184" t="s">
        <v>93</v>
      </c>
      <c r="D100" s="185" t="s">
        <v>522</v>
      </c>
      <c r="E100" s="186" t="s">
        <v>868</v>
      </c>
      <c r="F100" s="186" t="s">
        <v>1051</v>
      </c>
      <c r="G100" s="186" t="s">
        <v>1052</v>
      </c>
      <c r="H100" s="186" t="s">
        <v>1063</v>
      </c>
      <c r="I100" s="187" t="s">
        <v>1064</v>
      </c>
      <c r="J100" s="187" t="s">
        <v>1065</v>
      </c>
      <c r="K100" s="188"/>
      <c r="L100" s="188"/>
      <c r="M100" s="189" t="s">
        <v>807</v>
      </c>
      <c r="N100" s="190">
        <v>219.82</v>
      </c>
      <c r="O100" s="190">
        <f t="shared" si="8"/>
        <v>239.6</v>
      </c>
      <c r="P100" s="191">
        <f t="shared" si="9"/>
        <v>0</v>
      </c>
      <c r="Q100" s="192">
        <f t="shared" si="10"/>
        <v>0</v>
      </c>
      <c r="R100" s="193"/>
      <c r="S100" s="194"/>
      <c r="T100" s="195">
        <f t="shared" si="11"/>
        <v>0</v>
      </c>
      <c r="U100" s="195">
        <f t="shared" si="12"/>
        <v>0</v>
      </c>
      <c r="V100" s="195">
        <f t="shared" si="13"/>
        <v>0</v>
      </c>
      <c r="W100" s="196" t="e">
        <f t="shared" si="14"/>
        <v>#DIV/0!</v>
      </c>
      <c r="X100" s="197" t="e">
        <f t="shared" si="15"/>
        <v>#DIV/0!</v>
      </c>
      <c r="AG100" s="219" t="s">
        <v>1056</v>
      </c>
    </row>
    <row r="101" ht="11.4" customHeight="1" spans="1:34">
      <c r="A101" s="184" t="s">
        <v>1050</v>
      </c>
      <c r="B101" s="184" t="s">
        <v>94</v>
      </c>
      <c r="C101" s="184" t="s">
        <v>93</v>
      </c>
      <c r="D101" s="185" t="s">
        <v>522</v>
      </c>
      <c r="E101" s="186" t="s">
        <v>868</v>
      </c>
      <c r="F101" s="186" t="s">
        <v>1051</v>
      </c>
      <c r="G101" s="186" t="s">
        <v>1052</v>
      </c>
      <c r="H101" s="186" t="s">
        <v>1063</v>
      </c>
      <c r="I101" s="187" t="s">
        <v>1066</v>
      </c>
      <c r="J101" s="187" t="s">
        <v>1067</v>
      </c>
      <c r="K101" s="188"/>
      <c r="L101" s="188"/>
      <c r="M101" s="189" t="s">
        <v>807</v>
      </c>
      <c r="N101" s="190">
        <v>135.14</v>
      </c>
      <c r="O101" s="190">
        <f t="shared" si="8"/>
        <v>147.3</v>
      </c>
      <c r="P101" s="191">
        <f t="shared" si="9"/>
        <v>0</v>
      </c>
      <c r="Q101" s="192">
        <f t="shared" si="10"/>
        <v>0</v>
      </c>
      <c r="R101" s="193"/>
      <c r="S101" s="194"/>
      <c r="T101" s="195">
        <f t="shared" si="11"/>
        <v>0</v>
      </c>
      <c r="U101" s="195">
        <f t="shared" si="12"/>
        <v>0</v>
      </c>
      <c r="V101" s="195">
        <f t="shared" si="13"/>
        <v>0</v>
      </c>
      <c r="W101" s="196" t="e">
        <f t="shared" si="14"/>
        <v>#DIV/0!</v>
      </c>
      <c r="X101" s="197" t="e">
        <f t="shared" si="15"/>
        <v>#DIV/0!</v>
      </c>
      <c r="AG101" s="219" t="s">
        <v>1056</v>
      </c>
    </row>
    <row r="102" ht="11.4" customHeight="1" spans="1:34">
      <c r="A102" s="184" t="s">
        <v>1050</v>
      </c>
      <c r="B102" s="184" t="s">
        <v>94</v>
      </c>
      <c r="C102" s="184" t="s">
        <v>93</v>
      </c>
      <c r="D102" s="185" t="s">
        <v>522</v>
      </c>
      <c r="E102" s="186" t="s">
        <v>868</v>
      </c>
      <c r="F102" s="186" t="s">
        <v>1051</v>
      </c>
      <c r="G102" s="186" t="s">
        <v>1052</v>
      </c>
      <c r="H102" s="186" t="s">
        <v>1063</v>
      </c>
      <c r="I102" s="187" t="s">
        <v>1068</v>
      </c>
      <c r="J102" s="187" t="s">
        <v>1069</v>
      </c>
      <c r="K102" s="188"/>
      <c r="L102" s="188"/>
      <c r="M102" s="189" t="s">
        <v>807</v>
      </c>
      <c r="N102" s="190">
        <v>68.47</v>
      </c>
      <c r="O102" s="190">
        <f t="shared" si="8"/>
        <v>74.63</v>
      </c>
      <c r="P102" s="191">
        <f t="shared" si="9"/>
        <v>0</v>
      </c>
      <c r="Q102" s="192">
        <f t="shared" si="10"/>
        <v>0</v>
      </c>
      <c r="R102" s="193"/>
      <c r="S102" s="194"/>
      <c r="T102" s="195">
        <f t="shared" si="11"/>
        <v>0</v>
      </c>
      <c r="U102" s="195">
        <f t="shared" si="12"/>
        <v>0</v>
      </c>
      <c r="V102" s="195">
        <f t="shared" si="13"/>
        <v>0</v>
      </c>
      <c r="W102" s="196" t="e">
        <f t="shared" si="14"/>
        <v>#DIV/0!</v>
      </c>
      <c r="X102" s="197" t="e">
        <f t="shared" si="15"/>
        <v>#DIV/0!</v>
      </c>
      <c r="AG102" s="219" t="s">
        <v>1056</v>
      </c>
    </row>
    <row r="103" ht="11.4" customHeight="1" spans="1:34">
      <c r="A103" s="184" t="s">
        <v>1050</v>
      </c>
      <c r="B103" s="184" t="s">
        <v>94</v>
      </c>
      <c r="C103" s="184" t="s">
        <v>93</v>
      </c>
      <c r="D103" s="185" t="s">
        <v>522</v>
      </c>
      <c r="E103" s="186" t="s">
        <v>868</v>
      </c>
      <c r="F103" s="186" t="s">
        <v>1051</v>
      </c>
      <c r="G103" s="186" t="s">
        <v>1052</v>
      </c>
      <c r="H103" s="186" t="s">
        <v>1063</v>
      </c>
      <c r="I103" s="187" t="s">
        <v>1070</v>
      </c>
      <c r="J103" s="187" t="s">
        <v>1071</v>
      </c>
      <c r="K103" s="188"/>
      <c r="L103" s="188"/>
      <c r="M103" s="189" t="s">
        <v>1018</v>
      </c>
      <c r="N103" s="190">
        <v>3154.85</v>
      </c>
      <c r="O103" s="190">
        <f t="shared" si="8"/>
        <v>3438.79</v>
      </c>
      <c r="P103" s="191">
        <f t="shared" si="9"/>
        <v>0</v>
      </c>
      <c r="Q103" s="192">
        <f t="shared" si="10"/>
        <v>0</v>
      </c>
      <c r="R103" s="193"/>
      <c r="S103" s="194"/>
      <c r="T103" s="195">
        <f t="shared" si="11"/>
        <v>0</v>
      </c>
      <c r="U103" s="195">
        <f t="shared" si="12"/>
        <v>0</v>
      </c>
      <c r="V103" s="195">
        <f t="shared" si="13"/>
        <v>0</v>
      </c>
      <c r="W103" s="196" t="e">
        <f t="shared" si="14"/>
        <v>#DIV/0!</v>
      </c>
      <c r="X103" s="197" t="e">
        <f t="shared" si="15"/>
        <v>#DIV/0!</v>
      </c>
      <c r="AG103" s="219" t="s">
        <v>990</v>
      </c>
    </row>
    <row r="104" ht="11.4" customHeight="1" spans="1:34">
      <c r="A104" s="184" t="s">
        <v>1050</v>
      </c>
      <c r="B104" s="184" t="s">
        <v>94</v>
      </c>
      <c r="C104" s="184" t="s">
        <v>93</v>
      </c>
      <c r="D104" s="185" t="s">
        <v>522</v>
      </c>
      <c r="E104" s="186" t="s">
        <v>868</v>
      </c>
      <c r="F104" s="186" t="s">
        <v>1051</v>
      </c>
      <c r="G104" s="186" t="s">
        <v>1052</v>
      </c>
      <c r="H104" s="186" t="s">
        <v>1063</v>
      </c>
      <c r="I104" s="187" t="s">
        <v>1072</v>
      </c>
      <c r="J104" s="187" t="s">
        <v>1073</v>
      </c>
      <c r="K104" s="188"/>
      <c r="L104" s="188"/>
      <c r="M104" s="189" t="s">
        <v>1018</v>
      </c>
      <c r="N104" s="190">
        <v>63.96</v>
      </c>
      <c r="O104" s="190">
        <f t="shared" si="8"/>
        <v>69.72</v>
      </c>
      <c r="P104" s="191">
        <f t="shared" si="9"/>
        <v>0</v>
      </c>
      <c r="Q104" s="192">
        <f t="shared" si="10"/>
        <v>0</v>
      </c>
      <c r="R104" s="193"/>
      <c r="S104" s="194"/>
      <c r="T104" s="195">
        <f t="shared" si="11"/>
        <v>0</v>
      </c>
      <c r="U104" s="195">
        <f t="shared" si="12"/>
        <v>0</v>
      </c>
      <c r="V104" s="195">
        <f t="shared" si="13"/>
        <v>0</v>
      </c>
      <c r="W104" s="196" t="e">
        <f t="shared" si="14"/>
        <v>#DIV/0!</v>
      </c>
      <c r="X104" s="197" t="e">
        <f t="shared" si="15"/>
        <v>#DIV/0!</v>
      </c>
      <c r="AG104" s="219" t="s">
        <v>990</v>
      </c>
    </row>
    <row r="105" ht="11.4" customHeight="1" spans="1:34">
      <c r="A105" s="184" t="s">
        <v>1050</v>
      </c>
      <c r="B105" s="184" t="s">
        <v>94</v>
      </c>
      <c r="C105" s="184" t="s">
        <v>93</v>
      </c>
      <c r="D105" s="185" t="s">
        <v>522</v>
      </c>
      <c r="E105" s="186" t="s">
        <v>868</v>
      </c>
      <c r="F105" s="186" t="s">
        <v>1051</v>
      </c>
      <c r="G105" s="186" t="s">
        <v>1052</v>
      </c>
      <c r="H105" s="186" t="s">
        <v>1074</v>
      </c>
      <c r="I105" s="187" t="s">
        <v>1075</v>
      </c>
      <c r="J105" s="187" t="s">
        <v>1076</v>
      </c>
      <c r="K105" s="188"/>
      <c r="L105" s="188"/>
      <c r="M105" s="189" t="s">
        <v>807</v>
      </c>
      <c r="N105" s="190">
        <v>81.08</v>
      </c>
      <c r="O105" s="190">
        <f t="shared" si="8"/>
        <v>88.38</v>
      </c>
      <c r="P105" s="191">
        <f t="shared" si="9"/>
        <v>0</v>
      </c>
      <c r="Q105" s="192">
        <f t="shared" si="10"/>
        <v>0</v>
      </c>
      <c r="R105" s="193"/>
      <c r="S105" s="194"/>
      <c r="T105" s="195">
        <f t="shared" si="11"/>
        <v>0</v>
      </c>
      <c r="U105" s="195">
        <f t="shared" si="12"/>
        <v>0</v>
      </c>
      <c r="V105" s="195">
        <f t="shared" si="13"/>
        <v>0</v>
      </c>
      <c r="W105" s="196" t="e">
        <f t="shared" si="14"/>
        <v>#DIV/0!</v>
      </c>
      <c r="X105" s="197" t="e">
        <f t="shared" si="15"/>
        <v>#DIV/0!</v>
      </c>
      <c r="AG105" s="219" t="s">
        <v>1056</v>
      </c>
    </row>
    <row r="106" ht="11.4" customHeight="1" spans="1:34">
      <c r="A106" s="184" t="s">
        <v>1050</v>
      </c>
      <c r="B106" s="184" t="s">
        <v>94</v>
      </c>
      <c r="C106" s="184" t="s">
        <v>93</v>
      </c>
      <c r="D106" s="185" t="s">
        <v>522</v>
      </c>
      <c r="E106" s="186" t="s">
        <v>868</v>
      </c>
      <c r="F106" s="186" t="s">
        <v>1051</v>
      </c>
      <c r="G106" s="186" t="s">
        <v>1052</v>
      </c>
      <c r="H106" s="186" t="s">
        <v>1074</v>
      </c>
      <c r="I106" s="187" t="s">
        <v>1077</v>
      </c>
      <c r="J106" s="187" t="s">
        <v>1078</v>
      </c>
      <c r="K106" s="188"/>
      <c r="L106" s="188"/>
      <c r="M106" s="189" t="s">
        <v>807</v>
      </c>
      <c r="N106" s="190">
        <v>70.27</v>
      </c>
      <c r="O106" s="190">
        <f t="shared" si="8"/>
        <v>76.59</v>
      </c>
      <c r="P106" s="191">
        <f t="shared" si="9"/>
        <v>0</v>
      </c>
      <c r="Q106" s="192">
        <f t="shared" si="10"/>
        <v>0</v>
      </c>
      <c r="R106" s="193"/>
      <c r="S106" s="194"/>
      <c r="T106" s="195">
        <f t="shared" si="11"/>
        <v>0</v>
      </c>
      <c r="U106" s="195">
        <f t="shared" si="12"/>
        <v>0</v>
      </c>
      <c r="V106" s="195">
        <f t="shared" si="13"/>
        <v>0</v>
      </c>
      <c r="W106" s="196" t="e">
        <f t="shared" si="14"/>
        <v>#DIV/0!</v>
      </c>
      <c r="X106" s="197" t="e">
        <f t="shared" si="15"/>
        <v>#DIV/0!</v>
      </c>
      <c r="AG106" s="219" t="s">
        <v>1056</v>
      </c>
    </row>
    <row r="107" ht="11.4" customHeight="1" spans="1:34">
      <c r="A107" s="184" t="s">
        <v>1050</v>
      </c>
      <c r="B107" s="184" t="s">
        <v>94</v>
      </c>
      <c r="C107" s="184" t="s">
        <v>93</v>
      </c>
      <c r="D107" s="185" t="s">
        <v>522</v>
      </c>
      <c r="E107" s="186" t="s">
        <v>868</v>
      </c>
      <c r="F107" s="186" t="s">
        <v>1051</v>
      </c>
      <c r="G107" s="186" t="s">
        <v>1052</v>
      </c>
      <c r="H107" s="186" t="s">
        <v>1074</v>
      </c>
      <c r="I107" s="187" t="s">
        <v>1079</v>
      </c>
      <c r="J107" s="187" t="s">
        <v>1080</v>
      </c>
      <c r="K107" s="188"/>
      <c r="L107" s="188"/>
      <c r="M107" s="189" t="s">
        <v>807</v>
      </c>
      <c r="N107" s="190">
        <v>63.06</v>
      </c>
      <c r="O107" s="190">
        <f t="shared" si="8"/>
        <v>68.74</v>
      </c>
      <c r="P107" s="191">
        <f t="shared" si="9"/>
        <v>0</v>
      </c>
      <c r="Q107" s="192">
        <f t="shared" si="10"/>
        <v>0</v>
      </c>
      <c r="R107" s="193"/>
      <c r="S107" s="194"/>
      <c r="T107" s="195">
        <f t="shared" si="11"/>
        <v>0</v>
      </c>
      <c r="U107" s="195">
        <f t="shared" si="12"/>
        <v>0</v>
      </c>
      <c r="V107" s="195">
        <f t="shared" si="13"/>
        <v>0</v>
      </c>
      <c r="W107" s="196" t="e">
        <f t="shared" si="14"/>
        <v>#DIV/0!</v>
      </c>
      <c r="X107" s="197" t="e">
        <f t="shared" si="15"/>
        <v>#DIV/0!</v>
      </c>
      <c r="AG107" s="219" t="s">
        <v>1056</v>
      </c>
    </row>
    <row r="108" ht="11.4" customHeight="1" spans="1:34">
      <c r="A108" s="184" t="s">
        <v>1050</v>
      </c>
      <c r="B108" s="184" t="s">
        <v>94</v>
      </c>
      <c r="C108" s="184" t="s">
        <v>93</v>
      </c>
      <c r="D108" s="185" t="s">
        <v>522</v>
      </c>
      <c r="E108" s="186" t="s">
        <v>868</v>
      </c>
      <c r="F108" s="186" t="s">
        <v>1051</v>
      </c>
      <c r="G108" s="186" t="s">
        <v>1052</v>
      </c>
      <c r="H108" s="186" t="s">
        <v>1074</v>
      </c>
      <c r="I108" s="187" t="s">
        <v>1081</v>
      </c>
      <c r="J108" s="187" t="s">
        <v>1082</v>
      </c>
      <c r="K108" s="188"/>
      <c r="L108" s="188"/>
      <c r="M108" s="189" t="s">
        <v>989</v>
      </c>
      <c r="N108" s="190">
        <v>891.89</v>
      </c>
      <c r="O108" s="190">
        <f t="shared" si="8"/>
        <v>972.16</v>
      </c>
      <c r="P108" s="191">
        <f t="shared" si="9"/>
        <v>0</v>
      </c>
      <c r="Q108" s="192">
        <f t="shared" si="10"/>
        <v>0</v>
      </c>
      <c r="R108" s="193"/>
      <c r="S108" s="194"/>
      <c r="T108" s="195">
        <f t="shared" si="11"/>
        <v>0</v>
      </c>
      <c r="U108" s="195">
        <f t="shared" si="12"/>
        <v>0</v>
      </c>
      <c r="V108" s="195">
        <f t="shared" si="13"/>
        <v>0</v>
      </c>
      <c r="W108" s="196" t="e">
        <f t="shared" si="14"/>
        <v>#DIV/0!</v>
      </c>
      <c r="X108" s="197" t="e">
        <f t="shared" si="15"/>
        <v>#DIV/0!</v>
      </c>
      <c r="AG108" s="219" t="s">
        <v>990</v>
      </c>
    </row>
    <row r="109" ht="11.4" customHeight="1" spans="1:34">
      <c r="A109" s="184" t="s">
        <v>1083</v>
      </c>
      <c r="B109" s="184" t="s">
        <v>97</v>
      </c>
      <c r="C109" s="184" t="s">
        <v>96</v>
      </c>
      <c r="D109" s="185" t="s">
        <v>522</v>
      </c>
      <c r="E109" s="186" t="s">
        <v>868</v>
      </c>
      <c r="F109" s="186" t="s">
        <v>1051</v>
      </c>
      <c r="G109" s="186" t="s">
        <v>1084</v>
      </c>
      <c r="H109" s="186" t="s">
        <v>1084</v>
      </c>
      <c r="I109" s="187" t="s">
        <v>1085</v>
      </c>
      <c r="J109" s="187" t="s">
        <v>1086</v>
      </c>
      <c r="K109" s="188"/>
      <c r="L109" s="188"/>
      <c r="M109" s="189" t="s">
        <v>847</v>
      </c>
      <c r="N109" s="190">
        <v>172.07</v>
      </c>
      <c r="O109" s="190">
        <f t="shared" si="8"/>
        <v>187.56</v>
      </c>
      <c r="P109" s="191">
        <f t="shared" si="9"/>
        <v>0</v>
      </c>
      <c r="Q109" s="192">
        <f t="shared" si="10"/>
        <v>0</v>
      </c>
      <c r="R109" s="193"/>
      <c r="S109" s="194"/>
      <c r="T109" s="195">
        <f t="shared" si="11"/>
        <v>0</v>
      </c>
      <c r="U109" s="195">
        <f t="shared" si="12"/>
        <v>0</v>
      </c>
      <c r="V109" s="195">
        <f t="shared" si="13"/>
        <v>0</v>
      </c>
      <c r="W109" s="196" t="e">
        <f t="shared" si="14"/>
        <v>#DIV/0!</v>
      </c>
      <c r="X109" s="197" t="e">
        <f t="shared" si="15"/>
        <v>#DIV/0!</v>
      </c>
      <c r="AH109" s="219" t="s">
        <v>794</v>
      </c>
    </row>
    <row r="110" ht="11.4" customHeight="1" spans="1:34">
      <c r="A110" s="184" t="s">
        <v>1087</v>
      </c>
      <c r="B110" s="184" t="s">
        <v>99</v>
      </c>
      <c r="C110" s="184" t="s">
        <v>1088</v>
      </c>
      <c r="D110" s="185" t="s">
        <v>522</v>
      </c>
      <c r="E110" s="186" t="s">
        <v>868</v>
      </c>
      <c r="F110" s="186" t="s">
        <v>1089</v>
      </c>
      <c r="G110" s="186" t="s">
        <v>1090</v>
      </c>
      <c r="H110" s="186" t="s">
        <v>1090</v>
      </c>
      <c r="I110" s="187" t="s">
        <v>1091</v>
      </c>
      <c r="J110" s="187" t="s">
        <v>1092</v>
      </c>
      <c r="K110" s="188"/>
      <c r="L110" s="188"/>
      <c r="M110" s="189" t="s">
        <v>895</v>
      </c>
      <c r="N110" s="190">
        <v>9020</v>
      </c>
      <c r="O110" s="190">
        <f t="shared" si="8"/>
        <v>9831.8</v>
      </c>
      <c r="P110" s="191">
        <f t="shared" si="9"/>
        <v>0</v>
      </c>
      <c r="Q110" s="192">
        <f t="shared" si="10"/>
        <v>0</v>
      </c>
      <c r="R110" s="193"/>
      <c r="S110" s="194"/>
      <c r="T110" s="195">
        <f t="shared" si="11"/>
        <v>0</v>
      </c>
      <c r="U110" s="195">
        <f t="shared" si="12"/>
        <v>0</v>
      </c>
      <c r="V110" s="195">
        <f t="shared" si="13"/>
        <v>0</v>
      </c>
      <c r="W110" s="196" t="e">
        <f t="shared" si="14"/>
        <v>#DIV/0!</v>
      </c>
      <c r="X110" s="197" t="e">
        <f t="shared" si="15"/>
        <v>#DIV/0!</v>
      </c>
      <c r="AH110" s="109" t="s">
        <v>1093</v>
      </c>
    </row>
    <row r="111" ht="11.4" customHeight="1" spans="1:34">
      <c r="A111" s="184" t="s">
        <v>1087</v>
      </c>
      <c r="B111" s="184" t="s">
        <v>99</v>
      </c>
      <c r="C111" s="184" t="s">
        <v>1088</v>
      </c>
      <c r="D111" s="185" t="s">
        <v>522</v>
      </c>
      <c r="E111" s="186" t="s">
        <v>868</v>
      </c>
      <c r="F111" s="186" t="s">
        <v>1089</v>
      </c>
      <c r="G111" s="186" t="s">
        <v>1090</v>
      </c>
      <c r="H111" s="186" t="s">
        <v>1090</v>
      </c>
      <c r="I111" s="187" t="s">
        <v>1094</v>
      </c>
      <c r="J111" s="187" t="s">
        <v>1095</v>
      </c>
      <c r="K111" s="188"/>
      <c r="L111" s="188"/>
      <c r="M111" s="189" t="s">
        <v>793</v>
      </c>
      <c r="N111" s="190"/>
      <c r="O111" s="190">
        <f t="shared" si="8"/>
        <v>0</v>
      </c>
      <c r="P111" s="191">
        <f t="shared" si="9"/>
        <v>0</v>
      </c>
      <c r="Q111" s="192">
        <f t="shared" si="10"/>
        <v>0</v>
      </c>
      <c r="R111" s="193"/>
      <c r="S111" s="194"/>
      <c r="T111" s="195">
        <f t="shared" si="11"/>
        <v>0</v>
      </c>
      <c r="U111" s="195">
        <f t="shared" si="12"/>
        <v>0</v>
      </c>
      <c r="V111" s="195">
        <f t="shared" si="13"/>
        <v>0</v>
      </c>
      <c r="W111" s="196" t="e">
        <f t="shared" si="14"/>
        <v>#DIV/0!</v>
      </c>
      <c r="X111" s="197" t="e">
        <f t="shared" si="15"/>
        <v>#DIV/0!</v>
      </c>
      <c r="AH111" s="219" t="s">
        <v>794</v>
      </c>
    </row>
    <row r="112" ht="11.4" customHeight="1" spans="1:34">
      <c r="A112" s="184" t="s">
        <v>1087</v>
      </c>
      <c r="B112" s="184" t="s">
        <v>99</v>
      </c>
      <c r="C112" s="184" t="s">
        <v>1088</v>
      </c>
      <c r="D112" s="185" t="s">
        <v>522</v>
      </c>
      <c r="E112" s="186" t="s">
        <v>868</v>
      </c>
      <c r="F112" s="186" t="s">
        <v>1089</v>
      </c>
      <c r="G112" s="186" t="s">
        <v>1090</v>
      </c>
      <c r="H112" s="186" t="s">
        <v>1090</v>
      </c>
      <c r="I112" s="187" t="s">
        <v>1096</v>
      </c>
      <c r="J112" s="187" t="s">
        <v>1097</v>
      </c>
      <c r="K112" s="188"/>
      <c r="L112" s="188"/>
      <c r="M112" s="189" t="s">
        <v>793</v>
      </c>
      <c r="N112" s="190"/>
      <c r="O112" s="190">
        <f t="shared" si="8"/>
        <v>0</v>
      </c>
      <c r="P112" s="191">
        <f t="shared" si="9"/>
        <v>0</v>
      </c>
      <c r="Q112" s="192">
        <f t="shared" si="10"/>
        <v>0</v>
      </c>
      <c r="R112" s="193"/>
      <c r="S112" s="194"/>
      <c r="T112" s="195">
        <f t="shared" si="11"/>
        <v>0</v>
      </c>
      <c r="U112" s="195">
        <f t="shared" si="12"/>
        <v>0</v>
      </c>
      <c r="V112" s="195">
        <f t="shared" si="13"/>
        <v>0</v>
      </c>
      <c r="W112" s="196" t="e">
        <f t="shared" si="14"/>
        <v>#DIV/0!</v>
      </c>
      <c r="X112" s="197" t="e">
        <f t="shared" si="15"/>
        <v>#DIV/0!</v>
      </c>
      <c r="AH112" s="219" t="s">
        <v>794</v>
      </c>
    </row>
    <row r="113" ht="11.4" customHeight="1" spans="1:34">
      <c r="A113" s="184" t="s">
        <v>1087</v>
      </c>
      <c r="B113" s="184" t="s">
        <v>99</v>
      </c>
      <c r="C113" s="184" t="s">
        <v>1088</v>
      </c>
      <c r="D113" s="185" t="s">
        <v>522</v>
      </c>
      <c r="E113" s="186" t="s">
        <v>868</v>
      </c>
      <c r="F113" s="186" t="s">
        <v>1089</v>
      </c>
      <c r="G113" s="186" t="s">
        <v>1090</v>
      </c>
      <c r="H113" s="186" t="s">
        <v>1090</v>
      </c>
      <c r="I113" s="187" t="s">
        <v>1098</v>
      </c>
      <c r="J113" s="187" t="s">
        <v>1099</v>
      </c>
      <c r="K113" s="188"/>
      <c r="L113" s="188"/>
      <c r="M113" s="189" t="s">
        <v>793</v>
      </c>
      <c r="N113" s="190"/>
      <c r="O113" s="190">
        <f t="shared" si="8"/>
        <v>0</v>
      </c>
      <c r="P113" s="191">
        <f t="shared" si="9"/>
        <v>0</v>
      </c>
      <c r="Q113" s="192">
        <f t="shared" si="10"/>
        <v>0</v>
      </c>
      <c r="R113" s="193"/>
      <c r="S113" s="194"/>
      <c r="T113" s="195">
        <f t="shared" si="11"/>
        <v>0</v>
      </c>
      <c r="U113" s="195">
        <f t="shared" si="12"/>
        <v>0</v>
      </c>
      <c r="V113" s="195">
        <f t="shared" si="13"/>
        <v>0</v>
      </c>
      <c r="W113" s="196" t="e">
        <f t="shared" si="14"/>
        <v>#DIV/0!</v>
      </c>
      <c r="X113" s="197" t="e">
        <f t="shared" si="15"/>
        <v>#DIV/0!</v>
      </c>
      <c r="AH113" s="219" t="s">
        <v>794</v>
      </c>
    </row>
    <row r="114" ht="11.4" customHeight="1" spans="1:34">
      <c r="A114" s="184" t="s">
        <v>1100</v>
      </c>
      <c r="B114" s="184" t="s">
        <v>111</v>
      </c>
      <c r="C114" s="184" t="s">
        <v>1101</v>
      </c>
      <c r="D114" s="185" t="s">
        <v>522</v>
      </c>
      <c r="E114" s="186" t="s">
        <v>906</v>
      </c>
      <c r="F114" s="186" t="s">
        <v>907</v>
      </c>
      <c r="G114" s="186" t="s">
        <v>1102</v>
      </c>
      <c r="H114" s="186" t="s">
        <v>1103</v>
      </c>
      <c r="I114" s="187" t="s">
        <v>1104</v>
      </c>
      <c r="J114" s="187" t="s">
        <v>1105</v>
      </c>
      <c r="K114" s="188"/>
      <c r="L114" s="188"/>
      <c r="M114" s="189" t="s">
        <v>847</v>
      </c>
      <c r="N114" s="190">
        <v>180.78</v>
      </c>
      <c r="O114" s="190">
        <f t="shared" si="8"/>
        <v>197.05</v>
      </c>
      <c r="P114" s="191">
        <f t="shared" si="9"/>
        <v>0</v>
      </c>
      <c r="Q114" s="192">
        <f t="shared" si="10"/>
        <v>0</v>
      </c>
      <c r="R114" s="193"/>
      <c r="S114" s="194"/>
      <c r="T114" s="195">
        <f t="shared" si="11"/>
        <v>0</v>
      </c>
      <c r="U114" s="195">
        <f t="shared" si="12"/>
        <v>0</v>
      </c>
      <c r="V114" s="195">
        <f t="shared" si="13"/>
        <v>0</v>
      </c>
      <c r="W114" s="196" t="e">
        <f t="shared" si="14"/>
        <v>#DIV/0!</v>
      </c>
      <c r="X114" s="197" t="e">
        <f t="shared" si="15"/>
        <v>#DIV/0!</v>
      </c>
      <c r="AG114" s="219" t="s">
        <v>883</v>
      </c>
    </row>
    <row r="115" ht="11.4" customHeight="1" spans="1:34">
      <c r="A115" s="184" t="s">
        <v>1100</v>
      </c>
      <c r="B115" s="184" t="s">
        <v>111</v>
      </c>
      <c r="C115" s="184" t="s">
        <v>1101</v>
      </c>
      <c r="D115" s="185" t="s">
        <v>522</v>
      </c>
      <c r="E115" s="186" t="s">
        <v>906</v>
      </c>
      <c r="F115" s="186" t="s">
        <v>907</v>
      </c>
      <c r="G115" s="186" t="s">
        <v>1102</v>
      </c>
      <c r="H115" s="186" t="s">
        <v>1103</v>
      </c>
      <c r="I115" s="187" t="s">
        <v>1106</v>
      </c>
      <c r="J115" s="187" t="s">
        <v>1107</v>
      </c>
      <c r="K115" s="188"/>
      <c r="L115" s="188"/>
      <c r="M115" s="189" t="s">
        <v>807</v>
      </c>
      <c r="N115" s="190">
        <v>41.36</v>
      </c>
      <c r="O115" s="190">
        <f t="shared" si="8"/>
        <v>45.08</v>
      </c>
      <c r="P115" s="191">
        <f t="shared" si="9"/>
        <v>0</v>
      </c>
      <c r="Q115" s="192">
        <f t="shared" si="10"/>
        <v>0</v>
      </c>
      <c r="R115" s="193"/>
      <c r="S115" s="194"/>
      <c r="T115" s="195">
        <f t="shared" si="11"/>
        <v>0</v>
      </c>
      <c r="U115" s="195">
        <f t="shared" si="12"/>
        <v>0</v>
      </c>
      <c r="V115" s="195">
        <f t="shared" si="13"/>
        <v>0</v>
      </c>
      <c r="W115" s="196" t="e">
        <f t="shared" si="14"/>
        <v>#DIV/0!</v>
      </c>
      <c r="X115" s="197" t="e">
        <f t="shared" si="15"/>
        <v>#DIV/0!</v>
      </c>
      <c r="AG115" s="219" t="s">
        <v>1108</v>
      </c>
    </row>
    <row r="116" ht="11.4" customHeight="1" spans="1:34">
      <c r="A116" s="184" t="s">
        <v>1100</v>
      </c>
      <c r="B116" s="184" t="s">
        <v>111</v>
      </c>
      <c r="C116" s="184" t="s">
        <v>1101</v>
      </c>
      <c r="D116" s="185" t="s">
        <v>522</v>
      </c>
      <c r="E116" s="186" t="s">
        <v>906</v>
      </c>
      <c r="F116" s="186" t="s">
        <v>907</v>
      </c>
      <c r="G116" s="186" t="s">
        <v>1102</v>
      </c>
      <c r="H116" s="186" t="s">
        <v>1103</v>
      </c>
      <c r="I116" s="187" t="s">
        <v>1109</v>
      </c>
      <c r="J116" s="187" t="s">
        <v>1110</v>
      </c>
      <c r="K116" s="188"/>
      <c r="L116" s="188"/>
      <c r="M116" s="189" t="s">
        <v>847</v>
      </c>
      <c r="N116" s="190">
        <v>160.21</v>
      </c>
      <c r="O116" s="190">
        <f t="shared" si="8"/>
        <v>174.63</v>
      </c>
      <c r="P116" s="191">
        <f t="shared" si="9"/>
        <v>0</v>
      </c>
      <c r="Q116" s="192">
        <f t="shared" si="10"/>
        <v>0</v>
      </c>
      <c r="R116" s="193"/>
      <c r="S116" s="194"/>
      <c r="T116" s="195">
        <f t="shared" si="11"/>
        <v>0</v>
      </c>
      <c r="U116" s="195">
        <f t="shared" si="12"/>
        <v>0</v>
      </c>
      <c r="V116" s="195">
        <f t="shared" si="13"/>
        <v>0</v>
      </c>
      <c r="W116" s="196" t="e">
        <f t="shared" si="14"/>
        <v>#DIV/0!</v>
      </c>
      <c r="X116" s="197" t="e">
        <f t="shared" si="15"/>
        <v>#DIV/0!</v>
      </c>
      <c r="AG116" s="219" t="s">
        <v>883</v>
      </c>
    </row>
    <row r="117" ht="11.4" customHeight="1" spans="1:34">
      <c r="A117" s="184" t="s">
        <v>1100</v>
      </c>
      <c r="B117" s="184" t="s">
        <v>111</v>
      </c>
      <c r="C117" s="184" t="s">
        <v>1101</v>
      </c>
      <c r="D117" s="185" t="s">
        <v>522</v>
      </c>
      <c r="E117" s="186" t="s">
        <v>906</v>
      </c>
      <c r="F117" s="186" t="s">
        <v>907</v>
      </c>
      <c r="G117" s="186" t="s">
        <v>1102</v>
      </c>
      <c r="H117" s="186" t="s">
        <v>1103</v>
      </c>
      <c r="I117" s="187" t="s">
        <v>1111</v>
      </c>
      <c r="J117" s="187" t="s">
        <v>1112</v>
      </c>
      <c r="K117" s="188"/>
      <c r="L117" s="188"/>
      <c r="M117" s="189" t="s">
        <v>807</v>
      </c>
      <c r="N117" s="190">
        <v>38.94</v>
      </c>
      <c r="O117" s="190">
        <f t="shared" si="8"/>
        <v>42.44</v>
      </c>
      <c r="P117" s="191">
        <f t="shared" si="9"/>
        <v>0</v>
      </c>
      <c r="Q117" s="192">
        <f t="shared" si="10"/>
        <v>0</v>
      </c>
      <c r="R117" s="193"/>
      <c r="S117" s="194"/>
      <c r="T117" s="195">
        <f t="shared" si="11"/>
        <v>0</v>
      </c>
      <c r="U117" s="195">
        <f t="shared" si="12"/>
        <v>0</v>
      </c>
      <c r="V117" s="195">
        <f t="shared" si="13"/>
        <v>0</v>
      </c>
      <c r="W117" s="196" t="e">
        <f t="shared" si="14"/>
        <v>#DIV/0!</v>
      </c>
      <c r="X117" s="197" t="e">
        <f t="shared" si="15"/>
        <v>#DIV/0!</v>
      </c>
      <c r="AG117" s="219" t="s">
        <v>1108</v>
      </c>
    </row>
    <row r="118" ht="11.4" customHeight="1" spans="1:34">
      <c r="A118" s="184" t="s">
        <v>1100</v>
      </c>
      <c r="B118" s="184" t="s">
        <v>111</v>
      </c>
      <c r="C118" s="184" t="s">
        <v>1101</v>
      </c>
      <c r="D118" s="185" t="s">
        <v>522</v>
      </c>
      <c r="E118" s="186" t="s">
        <v>906</v>
      </c>
      <c r="F118" s="186" t="s">
        <v>907</v>
      </c>
      <c r="G118" s="186" t="s">
        <v>1102</v>
      </c>
      <c r="H118" s="186" t="s">
        <v>1103</v>
      </c>
      <c r="I118" s="187" t="s">
        <v>1113</v>
      </c>
      <c r="J118" s="187" t="s">
        <v>1114</v>
      </c>
      <c r="K118" s="188"/>
      <c r="L118" s="188"/>
      <c r="M118" s="189" t="s">
        <v>847</v>
      </c>
      <c r="N118" s="190">
        <v>181.99</v>
      </c>
      <c r="O118" s="190">
        <f t="shared" si="8"/>
        <v>198.37</v>
      </c>
      <c r="P118" s="191">
        <f t="shared" si="9"/>
        <v>0</v>
      </c>
      <c r="Q118" s="192">
        <f t="shared" si="10"/>
        <v>0</v>
      </c>
      <c r="R118" s="193"/>
      <c r="S118" s="194"/>
      <c r="T118" s="195">
        <f t="shared" si="11"/>
        <v>0</v>
      </c>
      <c r="U118" s="195">
        <f t="shared" si="12"/>
        <v>0</v>
      </c>
      <c r="V118" s="195">
        <f t="shared" si="13"/>
        <v>0</v>
      </c>
      <c r="W118" s="196" t="e">
        <f t="shared" si="14"/>
        <v>#DIV/0!</v>
      </c>
      <c r="X118" s="197" t="e">
        <f t="shared" si="15"/>
        <v>#DIV/0!</v>
      </c>
      <c r="AG118" s="219" t="s">
        <v>883</v>
      </c>
    </row>
    <row r="119" ht="11.4" customHeight="1" spans="1:34">
      <c r="A119" s="184" t="s">
        <v>1100</v>
      </c>
      <c r="B119" s="184" t="s">
        <v>111</v>
      </c>
      <c r="C119" s="184" t="s">
        <v>1101</v>
      </c>
      <c r="D119" s="185" t="s">
        <v>522</v>
      </c>
      <c r="E119" s="186" t="s">
        <v>906</v>
      </c>
      <c r="F119" s="186" t="s">
        <v>907</v>
      </c>
      <c r="G119" s="186" t="s">
        <v>1102</v>
      </c>
      <c r="H119" s="186" t="s">
        <v>1103</v>
      </c>
      <c r="I119" s="187" t="s">
        <v>1115</v>
      </c>
      <c r="J119" s="187" t="s">
        <v>1116</v>
      </c>
      <c r="K119" s="188"/>
      <c r="L119" s="188"/>
      <c r="M119" s="189" t="s">
        <v>807</v>
      </c>
      <c r="N119" s="190">
        <v>42.57</v>
      </c>
      <c r="O119" s="190">
        <f t="shared" si="8"/>
        <v>46.4</v>
      </c>
      <c r="P119" s="191">
        <f t="shared" si="9"/>
        <v>0</v>
      </c>
      <c r="Q119" s="192">
        <f t="shared" si="10"/>
        <v>0</v>
      </c>
      <c r="R119" s="193"/>
      <c r="S119" s="194"/>
      <c r="T119" s="195">
        <f t="shared" si="11"/>
        <v>0</v>
      </c>
      <c r="U119" s="195">
        <f t="shared" si="12"/>
        <v>0</v>
      </c>
      <c r="V119" s="195">
        <f t="shared" si="13"/>
        <v>0</v>
      </c>
      <c r="W119" s="196" t="e">
        <f t="shared" si="14"/>
        <v>#DIV/0!</v>
      </c>
      <c r="X119" s="197" t="e">
        <f t="shared" si="15"/>
        <v>#DIV/0!</v>
      </c>
      <c r="AG119" s="219" t="s">
        <v>1108</v>
      </c>
    </row>
    <row r="120" ht="11.4" customHeight="1" spans="1:34">
      <c r="A120" s="184" t="s">
        <v>1100</v>
      </c>
      <c r="B120" s="184" t="s">
        <v>111</v>
      </c>
      <c r="C120" s="184" t="s">
        <v>1101</v>
      </c>
      <c r="D120" s="185" t="s">
        <v>522</v>
      </c>
      <c r="E120" s="186" t="s">
        <v>906</v>
      </c>
      <c r="F120" s="186" t="s">
        <v>907</v>
      </c>
      <c r="G120" s="186" t="s">
        <v>1102</v>
      </c>
      <c r="H120" s="186" t="s">
        <v>1103</v>
      </c>
      <c r="I120" s="187" t="s">
        <v>1117</v>
      </c>
      <c r="J120" s="187" t="s">
        <v>1118</v>
      </c>
      <c r="K120" s="188"/>
      <c r="L120" s="188"/>
      <c r="M120" s="189" t="s">
        <v>847</v>
      </c>
      <c r="N120" s="190">
        <v>187.98</v>
      </c>
      <c r="O120" s="190">
        <f t="shared" si="8"/>
        <v>204.9</v>
      </c>
      <c r="P120" s="191">
        <f t="shared" si="9"/>
        <v>0</v>
      </c>
      <c r="Q120" s="192">
        <f t="shared" si="10"/>
        <v>0</v>
      </c>
      <c r="R120" s="193"/>
      <c r="S120" s="194"/>
      <c r="T120" s="195">
        <f t="shared" si="11"/>
        <v>0</v>
      </c>
      <c r="U120" s="195">
        <f t="shared" si="12"/>
        <v>0</v>
      </c>
      <c r="V120" s="195">
        <f t="shared" si="13"/>
        <v>0</v>
      </c>
      <c r="W120" s="196" t="e">
        <f t="shared" si="14"/>
        <v>#DIV/0!</v>
      </c>
      <c r="X120" s="197" t="e">
        <f t="shared" si="15"/>
        <v>#DIV/0!</v>
      </c>
      <c r="AG120" s="219" t="s">
        <v>883</v>
      </c>
    </row>
    <row r="121" ht="11.4" customHeight="1" spans="1:34">
      <c r="A121" s="184" t="s">
        <v>1100</v>
      </c>
      <c r="B121" s="184" t="s">
        <v>111</v>
      </c>
      <c r="C121" s="184" t="s">
        <v>1101</v>
      </c>
      <c r="D121" s="185" t="s">
        <v>522</v>
      </c>
      <c r="E121" s="186" t="s">
        <v>906</v>
      </c>
      <c r="F121" s="186" t="s">
        <v>907</v>
      </c>
      <c r="G121" s="186" t="s">
        <v>1102</v>
      </c>
      <c r="H121" s="186" t="s">
        <v>1103</v>
      </c>
      <c r="I121" s="187" t="s">
        <v>1119</v>
      </c>
      <c r="J121" s="187" t="s">
        <v>1120</v>
      </c>
      <c r="K121" s="188"/>
      <c r="L121" s="188"/>
      <c r="M121" s="189" t="s">
        <v>847</v>
      </c>
      <c r="N121" s="190">
        <v>171.66</v>
      </c>
      <c r="O121" s="190">
        <f t="shared" si="8"/>
        <v>187.11</v>
      </c>
      <c r="P121" s="191">
        <f t="shared" si="9"/>
        <v>0</v>
      </c>
      <c r="Q121" s="192">
        <f t="shared" si="10"/>
        <v>0</v>
      </c>
      <c r="R121" s="193"/>
      <c r="S121" s="194"/>
      <c r="T121" s="195">
        <f t="shared" si="11"/>
        <v>0</v>
      </c>
      <c r="U121" s="195">
        <f t="shared" si="12"/>
        <v>0</v>
      </c>
      <c r="V121" s="195">
        <f t="shared" si="13"/>
        <v>0</v>
      </c>
      <c r="W121" s="196" t="e">
        <f t="shared" si="14"/>
        <v>#DIV/0!</v>
      </c>
      <c r="X121" s="197" t="e">
        <f t="shared" si="15"/>
        <v>#DIV/0!</v>
      </c>
      <c r="AG121" s="219" t="s">
        <v>883</v>
      </c>
    </row>
    <row r="122" ht="11.4" customHeight="1" spans="1:34">
      <c r="A122" s="184" t="s">
        <v>1100</v>
      </c>
      <c r="B122" s="184" t="s">
        <v>111</v>
      </c>
      <c r="C122" s="184" t="s">
        <v>1101</v>
      </c>
      <c r="D122" s="185" t="s">
        <v>522</v>
      </c>
      <c r="E122" s="186" t="s">
        <v>906</v>
      </c>
      <c r="F122" s="186" t="s">
        <v>907</v>
      </c>
      <c r="G122" s="186" t="s">
        <v>1102</v>
      </c>
      <c r="H122" s="186" t="s">
        <v>1103</v>
      </c>
      <c r="I122" s="187" t="s">
        <v>1121</v>
      </c>
      <c r="J122" s="187" t="s">
        <v>1122</v>
      </c>
      <c r="K122" s="188"/>
      <c r="L122" s="188"/>
      <c r="M122" s="189" t="s">
        <v>847</v>
      </c>
      <c r="N122" s="190">
        <v>189.15</v>
      </c>
      <c r="O122" s="190">
        <f t="shared" si="8"/>
        <v>206.17</v>
      </c>
      <c r="P122" s="191">
        <f t="shared" si="9"/>
        <v>0</v>
      </c>
      <c r="Q122" s="192">
        <f t="shared" si="10"/>
        <v>0</v>
      </c>
      <c r="R122" s="193"/>
      <c r="S122" s="194"/>
      <c r="T122" s="195">
        <f t="shared" si="11"/>
        <v>0</v>
      </c>
      <c r="U122" s="195">
        <f t="shared" si="12"/>
        <v>0</v>
      </c>
      <c r="V122" s="195">
        <f t="shared" si="13"/>
        <v>0</v>
      </c>
      <c r="W122" s="196" t="e">
        <f t="shared" si="14"/>
        <v>#DIV/0!</v>
      </c>
      <c r="X122" s="197" t="e">
        <f t="shared" si="15"/>
        <v>#DIV/0!</v>
      </c>
      <c r="AG122" s="219" t="s">
        <v>883</v>
      </c>
    </row>
    <row r="123" ht="11.4" customHeight="1" spans="1:34">
      <c r="A123" s="184" t="s">
        <v>1100</v>
      </c>
      <c r="B123" s="184" t="s">
        <v>111</v>
      </c>
      <c r="C123" s="184" t="s">
        <v>1101</v>
      </c>
      <c r="D123" s="185" t="s">
        <v>522</v>
      </c>
      <c r="E123" s="186" t="s">
        <v>906</v>
      </c>
      <c r="F123" s="186" t="s">
        <v>907</v>
      </c>
      <c r="G123" s="186" t="s">
        <v>1102</v>
      </c>
      <c r="H123" s="186" t="s">
        <v>1103</v>
      </c>
      <c r="I123" s="187" t="s">
        <v>1123</v>
      </c>
      <c r="J123" s="187" t="s">
        <v>1124</v>
      </c>
      <c r="K123" s="188"/>
      <c r="L123" s="188"/>
      <c r="M123" s="189" t="s">
        <v>807</v>
      </c>
      <c r="N123" s="190">
        <v>41.36</v>
      </c>
      <c r="O123" s="190">
        <f t="shared" si="8"/>
        <v>45.08</v>
      </c>
      <c r="P123" s="191">
        <f t="shared" si="9"/>
        <v>0</v>
      </c>
      <c r="Q123" s="192">
        <f t="shared" si="10"/>
        <v>0</v>
      </c>
      <c r="R123" s="193"/>
      <c r="S123" s="194"/>
      <c r="T123" s="195">
        <f t="shared" si="11"/>
        <v>0</v>
      </c>
      <c r="U123" s="195">
        <f t="shared" si="12"/>
        <v>0</v>
      </c>
      <c r="V123" s="195">
        <f t="shared" si="13"/>
        <v>0</v>
      </c>
      <c r="W123" s="196" t="e">
        <f t="shared" si="14"/>
        <v>#DIV/0!</v>
      </c>
      <c r="X123" s="197" t="e">
        <f t="shared" si="15"/>
        <v>#DIV/0!</v>
      </c>
      <c r="AG123" s="219" t="s">
        <v>1108</v>
      </c>
    </row>
    <row r="124" ht="11.4" customHeight="1" spans="1:34">
      <c r="A124" s="184" t="s">
        <v>1100</v>
      </c>
      <c r="B124" s="184" t="s">
        <v>111</v>
      </c>
      <c r="C124" s="184" t="s">
        <v>1101</v>
      </c>
      <c r="D124" s="185" t="s">
        <v>522</v>
      </c>
      <c r="E124" s="186" t="s">
        <v>906</v>
      </c>
      <c r="F124" s="186" t="s">
        <v>907</v>
      </c>
      <c r="G124" s="186" t="s">
        <v>1102</v>
      </c>
      <c r="H124" s="186" t="s">
        <v>1103</v>
      </c>
      <c r="I124" s="187" t="s">
        <v>1125</v>
      </c>
      <c r="J124" s="187" t="s">
        <v>1126</v>
      </c>
      <c r="K124" s="188"/>
      <c r="L124" s="188"/>
      <c r="M124" s="189" t="s">
        <v>807</v>
      </c>
      <c r="N124" s="190">
        <v>38.94</v>
      </c>
      <c r="O124" s="190">
        <f t="shared" si="8"/>
        <v>42.44</v>
      </c>
      <c r="P124" s="191">
        <f t="shared" si="9"/>
        <v>0</v>
      </c>
      <c r="Q124" s="192">
        <f t="shared" si="10"/>
        <v>0</v>
      </c>
      <c r="R124" s="193"/>
      <c r="S124" s="194"/>
      <c r="T124" s="195">
        <f t="shared" si="11"/>
        <v>0</v>
      </c>
      <c r="U124" s="195">
        <f t="shared" si="12"/>
        <v>0</v>
      </c>
      <c r="V124" s="195">
        <f t="shared" si="13"/>
        <v>0</v>
      </c>
      <c r="W124" s="196" t="e">
        <f t="shared" si="14"/>
        <v>#DIV/0!</v>
      </c>
      <c r="X124" s="197" t="e">
        <f t="shared" si="15"/>
        <v>#DIV/0!</v>
      </c>
      <c r="AG124" s="219" t="s">
        <v>1108</v>
      </c>
    </row>
    <row r="125" ht="11.4" customHeight="1" spans="1:34">
      <c r="A125" s="184" t="s">
        <v>1100</v>
      </c>
      <c r="B125" s="184" t="s">
        <v>111</v>
      </c>
      <c r="C125" s="184" t="s">
        <v>1101</v>
      </c>
      <c r="D125" s="185" t="s">
        <v>522</v>
      </c>
      <c r="E125" s="186" t="s">
        <v>906</v>
      </c>
      <c r="F125" s="186" t="s">
        <v>907</v>
      </c>
      <c r="G125" s="186" t="s">
        <v>1102</v>
      </c>
      <c r="H125" s="186" t="s">
        <v>1103</v>
      </c>
      <c r="I125" s="187" t="s">
        <v>1127</v>
      </c>
      <c r="J125" s="187" t="s">
        <v>1128</v>
      </c>
      <c r="K125" s="188"/>
      <c r="L125" s="188"/>
      <c r="M125" s="189" t="s">
        <v>807</v>
      </c>
      <c r="N125" s="190">
        <v>40.15</v>
      </c>
      <c r="O125" s="190">
        <f t="shared" si="8"/>
        <v>43.76</v>
      </c>
      <c r="P125" s="191">
        <f t="shared" si="9"/>
        <v>0</v>
      </c>
      <c r="Q125" s="192">
        <f t="shared" si="10"/>
        <v>0</v>
      </c>
      <c r="R125" s="193"/>
      <c r="S125" s="194"/>
      <c r="T125" s="195">
        <f t="shared" si="11"/>
        <v>0</v>
      </c>
      <c r="U125" s="195">
        <f t="shared" si="12"/>
        <v>0</v>
      </c>
      <c r="V125" s="195">
        <f t="shared" si="13"/>
        <v>0</v>
      </c>
      <c r="W125" s="196" t="e">
        <f t="shared" si="14"/>
        <v>#DIV/0!</v>
      </c>
      <c r="X125" s="197" t="e">
        <f t="shared" si="15"/>
        <v>#DIV/0!</v>
      </c>
      <c r="AG125" s="219" t="s">
        <v>1108</v>
      </c>
    </row>
    <row r="126" ht="11.4" customHeight="1" spans="1:34">
      <c r="A126" s="184" t="s">
        <v>1100</v>
      </c>
      <c r="B126" s="184" t="s">
        <v>111</v>
      </c>
      <c r="C126" s="184" t="s">
        <v>1101</v>
      </c>
      <c r="D126" s="185" t="s">
        <v>522</v>
      </c>
      <c r="E126" s="186" t="s">
        <v>906</v>
      </c>
      <c r="F126" s="186" t="s">
        <v>907</v>
      </c>
      <c r="G126" s="186" t="s">
        <v>1102</v>
      </c>
      <c r="H126" s="186" t="s">
        <v>1103</v>
      </c>
      <c r="I126" s="187" t="s">
        <v>1129</v>
      </c>
      <c r="J126" s="187" t="s">
        <v>1130</v>
      </c>
      <c r="K126" s="188"/>
      <c r="L126" s="188"/>
      <c r="M126" s="189" t="s">
        <v>847</v>
      </c>
      <c r="N126" s="190">
        <v>219.86</v>
      </c>
      <c r="O126" s="190">
        <f t="shared" si="8"/>
        <v>239.65</v>
      </c>
      <c r="P126" s="191">
        <f t="shared" si="9"/>
        <v>0</v>
      </c>
      <c r="Q126" s="192">
        <f t="shared" si="10"/>
        <v>0</v>
      </c>
      <c r="R126" s="193"/>
      <c r="S126" s="194"/>
      <c r="T126" s="195">
        <f t="shared" si="11"/>
        <v>0</v>
      </c>
      <c r="U126" s="195">
        <f t="shared" si="12"/>
        <v>0</v>
      </c>
      <c r="V126" s="195">
        <f t="shared" si="13"/>
        <v>0</v>
      </c>
      <c r="W126" s="196" t="e">
        <f t="shared" si="14"/>
        <v>#DIV/0!</v>
      </c>
      <c r="X126" s="197" t="e">
        <f t="shared" si="15"/>
        <v>#DIV/0!</v>
      </c>
      <c r="AG126" s="109" t="s">
        <v>883</v>
      </c>
    </row>
    <row r="127" ht="11.4" customHeight="1" spans="1:34">
      <c r="A127" s="184" t="s">
        <v>1100</v>
      </c>
      <c r="B127" s="184" t="s">
        <v>111</v>
      </c>
      <c r="C127" s="184" t="s">
        <v>1101</v>
      </c>
      <c r="D127" s="185" t="s">
        <v>522</v>
      </c>
      <c r="E127" s="186" t="s">
        <v>906</v>
      </c>
      <c r="F127" s="186" t="s">
        <v>907</v>
      </c>
      <c r="G127" s="186" t="s">
        <v>1102</v>
      </c>
      <c r="H127" s="186" t="s">
        <v>1103</v>
      </c>
      <c r="I127" s="187" t="s">
        <v>1131</v>
      </c>
      <c r="J127" s="187" t="s">
        <v>1132</v>
      </c>
      <c r="K127" s="188"/>
      <c r="L127" s="188"/>
      <c r="M127" s="189" t="s">
        <v>847</v>
      </c>
      <c r="N127" s="190">
        <v>203.42</v>
      </c>
      <c r="O127" s="190">
        <f t="shared" si="8"/>
        <v>221.73</v>
      </c>
      <c r="P127" s="191">
        <f t="shared" si="9"/>
        <v>0</v>
      </c>
      <c r="Q127" s="192">
        <f t="shared" si="10"/>
        <v>0</v>
      </c>
      <c r="R127" s="193"/>
      <c r="S127" s="194"/>
      <c r="T127" s="195">
        <f t="shared" si="11"/>
        <v>0</v>
      </c>
      <c r="U127" s="195">
        <f t="shared" si="12"/>
        <v>0</v>
      </c>
      <c r="V127" s="195">
        <f t="shared" si="13"/>
        <v>0</v>
      </c>
      <c r="W127" s="196" t="e">
        <f t="shared" si="14"/>
        <v>#DIV/0!</v>
      </c>
      <c r="X127" s="197" t="e">
        <f t="shared" si="15"/>
        <v>#DIV/0!</v>
      </c>
      <c r="AG127" s="109" t="s">
        <v>883</v>
      </c>
    </row>
    <row r="128" ht="11.4" customHeight="1" spans="1:34">
      <c r="A128" s="184" t="s">
        <v>1100</v>
      </c>
      <c r="B128" s="184" t="s">
        <v>111</v>
      </c>
      <c r="C128" s="184" t="s">
        <v>1101</v>
      </c>
      <c r="D128" s="185" t="s">
        <v>522</v>
      </c>
      <c r="E128" s="186" t="s">
        <v>906</v>
      </c>
      <c r="F128" s="186" t="s">
        <v>907</v>
      </c>
      <c r="G128" s="186" t="s">
        <v>1102</v>
      </c>
      <c r="H128" s="186" t="s">
        <v>1103</v>
      </c>
      <c r="I128" s="187" t="s">
        <v>1133</v>
      </c>
      <c r="J128" s="187" t="s">
        <v>1134</v>
      </c>
      <c r="K128" s="188">
        <v>81.33</v>
      </c>
      <c r="L128" s="188">
        <v>81.12</v>
      </c>
      <c r="M128" s="189" t="s">
        <v>847</v>
      </c>
      <c r="N128" s="190">
        <v>222.39</v>
      </c>
      <c r="O128" s="190">
        <f t="shared" si="8"/>
        <v>242.41</v>
      </c>
      <c r="P128" s="191">
        <f t="shared" si="9"/>
        <v>18086.98</v>
      </c>
      <c r="Q128" s="192">
        <f t="shared" si="10"/>
        <v>18040.28</v>
      </c>
      <c r="R128" s="193"/>
      <c r="S128" s="194"/>
      <c r="T128" s="195">
        <f t="shared" si="11"/>
        <v>0.209999999999994</v>
      </c>
      <c r="U128" s="195">
        <f t="shared" si="12"/>
        <v>46.7000000000007</v>
      </c>
      <c r="V128" s="195">
        <f t="shared" si="13"/>
        <v>46.7000000000007</v>
      </c>
      <c r="W128" s="196">
        <f t="shared" si="14"/>
        <v>0.00258875739644963</v>
      </c>
      <c r="X128" s="197">
        <f t="shared" si="15"/>
        <v>0.00258875739644963</v>
      </c>
      <c r="AG128" s="109" t="s">
        <v>883</v>
      </c>
    </row>
    <row r="129" ht="11.4" customHeight="1" spans="1:33">
      <c r="A129" s="184" t="s">
        <v>1100</v>
      </c>
      <c r="B129" s="184" t="s">
        <v>111</v>
      </c>
      <c r="C129" s="184" t="s">
        <v>1101</v>
      </c>
      <c r="D129" s="185" t="s">
        <v>522</v>
      </c>
      <c r="E129" s="186" t="s">
        <v>906</v>
      </c>
      <c r="F129" s="186" t="s">
        <v>907</v>
      </c>
      <c r="G129" s="186" t="s">
        <v>1102</v>
      </c>
      <c r="H129" s="186" t="s">
        <v>1103</v>
      </c>
      <c r="I129" s="187" t="s">
        <v>1135</v>
      </c>
      <c r="J129" s="187" t="s">
        <v>1136</v>
      </c>
      <c r="K129" s="188"/>
      <c r="L129" s="188"/>
      <c r="M129" s="189" t="s">
        <v>807</v>
      </c>
      <c r="N129" s="190">
        <v>41.36</v>
      </c>
      <c r="O129" s="190">
        <f t="shared" si="8"/>
        <v>45.08</v>
      </c>
      <c r="P129" s="191">
        <f t="shared" si="9"/>
        <v>0</v>
      </c>
      <c r="Q129" s="192">
        <f t="shared" si="10"/>
        <v>0</v>
      </c>
      <c r="R129" s="193"/>
      <c r="S129" s="194"/>
      <c r="T129" s="195">
        <f t="shared" si="11"/>
        <v>0</v>
      </c>
      <c r="U129" s="195">
        <f t="shared" si="12"/>
        <v>0</v>
      </c>
      <c r="V129" s="195">
        <f t="shared" si="13"/>
        <v>0</v>
      </c>
      <c r="W129" s="196" t="e">
        <f t="shared" si="14"/>
        <v>#DIV/0!</v>
      </c>
      <c r="X129" s="197" t="e">
        <f t="shared" si="15"/>
        <v>#DIV/0!</v>
      </c>
      <c r="AG129" s="219" t="s">
        <v>1108</v>
      </c>
    </row>
    <row r="130" ht="11.4" customHeight="1" spans="1:33">
      <c r="A130" s="184" t="s">
        <v>1100</v>
      </c>
      <c r="B130" s="184" t="s">
        <v>111</v>
      </c>
      <c r="C130" s="184" t="s">
        <v>1101</v>
      </c>
      <c r="D130" s="185" t="s">
        <v>522</v>
      </c>
      <c r="E130" s="186" t="s">
        <v>906</v>
      </c>
      <c r="F130" s="186" t="s">
        <v>907</v>
      </c>
      <c r="G130" s="186" t="s">
        <v>1102</v>
      </c>
      <c r="H130" s="186" t="s">
        <v>1103</v>
      </c>
      <c r="I130" s="187" t="s">
        <v>1137</v>
      </c>
      <c r="J130" s="187" t="s">
        <v>1138</v>
      </c>
      <c r="K130" s="188"/>
      <c r="L130" s="188"/>
      <c r="M130" s="189" t="s">
        <v>807</v>
      </c>
      <c r="N130" s="190">
        <v>40.15</v>
      </c>
      <c r="O130" s="190">
        <f t="shared" si="8"/>
        <v>43.76</v>
      </c>
      <c r="P130" s="191">
        <f t="shared" si="9"/>
        <v>0</v>
      </c>
      <c r="Q130" s="192">
        <f t="shared" si="10"/>
        <v>0</v>
      </c>
      <c r="R130" s="193"/>
      <c r="S130" s="194"/>
      <c r="T130" s="195">
        <f t="shared" si="11"/>
        <v>0</v>
      </c>
      <c r="U130" s="195">
        <f t="shared" si="12"/>
        <v>0</v>
      </c>
      <c r="V130" s="195">
        <f t="shared" si="13"/>
        <v>0</v>
      </c>
      <c r="W130" s="196" t="e">
        <f t="shared" si="14"/>
        <v>#DIV/0!</v>
      </c>
      <c r="X130" s="197" t="e">
        <f t="shared" si="15"/>
        <v>#DIV/0!</v>
      </c>
      <c r="AG130" s="219" t="s">
        <v>1108</v>
      </c>
    </row>
    <row r="131" ht="11.4" customHeight="1" spans="1:33">
      <c r="A131" s="184" t="s">
        <v>1100</v>
      </c>
      <c r="B131" s="184" t="s">
        <v>111</v>
      </c>
      <c r="C131" s="184" t="s">
        <v>1101</v>
      </c>
      <c r="D131" s="185" t="s">
        <v>522</v>
      </c>
      <c r="E131" s="186" t="s">
        <v>906</v>
      </c>
      <c r="F131" s="186" t="s">
        <v>907</v>
      </c>
      <c r="G131" s="186" t="s">
        <v>1102</v>
      </c>
      <c r="H131" s="186" t="s">
        <v>1103</v>
      </c>
      <c r="I131" s="187" t="s">
        <v>1139</v>
      </c>
      <c r="J131" s="198" t="s">
        <v>1140</v>
      </c>
      <c r="K131" s="221">
        <v>72.34</v>
      </c>
      <c r="L131" s="188">
        <v>77.15</v>
      </c>
      <c r="M131" s="189" t="s">
        <v>807</v>
      </c>
      <c r="N131" s="190">
        <v>41.36</v>
      </c>
      <c r="O131" s="190">
        <f t="shared" si="8"/>
        <v>45.08</v>
      </c>
      <c r="P131" s="191">
        <f t="shared" si="9"/>
        <v>2991.98</v>
      </c>
      <c r="Q131" s="192">
        <f t="shared" si="10"/>
        <v>3190.92</v>
      </c>
      <c r="R131" s="193"/>
      <c r="S131" s="194"/>
      <c r="T131" s="195">
        <f t="shared" si="11"/>
        <v>-4.81</v>
      </c>
      <c r="U131" s="195">
        <f t="shared" si="12"/>
        <v>-198.94</v>
      </c>
      <c r="V131" s="195">
        <f t="shared" si="13"/>
        <v>198.94</v>
      </c>
      <c r="W131" s="196">
        <f t="shared" si="14"/>
        <v>-0.0623460790667531</v>
      </c>
      <c r="X131" s="197">
        <f t="shared" si="15"/>
        <v>0.0623460790667531</v>
      </c>
      <c r="AG131" s="219" t="s">
        <v>1108</v>
      </c>
    </row>
    <row r="132" ht="11.4" customHeight="1" spans="1:33">
      <c r="A132" s="184" t="s">
        <v>1100</v>
      </c>
      <c r="B132" s="184" t="s">
        <v>111</v>
      </c>
      <c r="C132" s="184" t="s">
        <v>1101</v>
      </c>
      <c r="D132" s="185" t="s">
        <v>522</v>
      </c>
      <c r="E132" s="186" t="s">
        <v>906</v>
      </c>
      <c r="F132" s="186" t="s">
        <v>907</v>
      </c>
      <c r="G132" s="186" t="s">
        <v>1102</v>
      </c>
      <c r="H132" s="186" t="s">
        <v>1103</v>
      </c>
      <c r="I132" s="187" t="s">
        <v>1141</v>
      </c>
      <c r="J132" s="187" t="s">
        <v>1142</v>
      </c>
      <c r="K132" s="188"/>
      <c r="L132" s="188"/>
      <c r="M132" s="189" t="s">
        <v>847</v>
      </c>
      <c r="N132" s="190">
        <v>196.14</v>
      </c>
      <c r="O132" s="190">
        <f t="shared" si="8"/>
        <v>213.79</v>
      </c>
      <c r="P132" s="191">
        <f t="shared" si="9"/>
        <v>0</v>
      </c>
      <c r="Q132" s="192">
        <f t="shared" si="10"/>
        <v>0</v>
      </c>
      <c r="R132" s="193"/>
      <c r="S132" s="194"/>
      <c r="T132" s="195">
        <f t="shared" si="11"/>
        <v>0</v>
      </c>
      <c r="U132" s="195">
        <f t="shared" si="12"/>
        <v>0</v>
      </c>
      <c r="V132" s="195">
        <f t="shared" si="13"/>
        <v>0</v>
      </c>
      <c r="W132" s="196" t="e">
        <f t="shared" si="14"/>
        <v>#DIV/0!</v>
      </c>
      <c r="X132" s="197" t="e">
        <f t="shared" si="15"/>
        <v>#DIV/0!</v>
      </c>
    </row>
    <row r="133" ht="11.4" customHeight="1" spans="1:33">
      <c r="A133" s="184" t="s">
        <v>1100</v>
      </c>
      <c r="B133" s="184" t="s">
        <v>111</v>
      </c>
      <c r="C133" s="184" t="s">
        <v>1101</v>
      </c>
      <c r="D133" s="185" t="s">
        <v>522</v>
      </c>
      <c r="E133" s="186" t="s">
        <v>906</v>
      </c>
      <c r="F133" s="186" t="s">
        <v>907</v>
      </c>
      <c r="G133" s="186" t="s">
        <v>1102</v>
      </c>
      <c r="H133" s="186" t="s">
        <v>1103</v>
      </c>
      <c r="I133" s="187" t="s">
        <v>1143</v>
      </c>
      <c r="J133" s="187" t="s">
        <v>1144</v>
      </c>
      <c r="K133" s="188"/>
      <c r="L133" s="188"/>
      <c r="M133" s="189" t="s">
        <v>807</v>
      </c>
      <c r="N133" s="190">
        <v>41.47</v>
      </c>
      <c r="O133" s="190">
        <f t="shared" si="8"/>
        <v>45.2</v>
      </c>
      <c r="P133" s="191">
        <f t="shared" si="9"/>
        <v>0</v>
      </c>
      <c r="Q133" s="192">
        <f t="shared" si="10"/>
        <v>0</v>
      </c>
      <c r="R133" s="193"/>
      <c r="S133" s="194"/>
      <c r="T133" s="195">
        <f t="shared" si="11"/>
        <v>0</v>
      </c>
      <c r="U133" s="195">
        <f t="shared" si="12"/>
        <v>0</v>
      </c>
      <c r="V133" s="195">
        <f t="shared" si="13"/>
        <v>0</v>
      </c>
      <c r="W133" s="196" t="e">
        <f t="shared" si="14"/>
        <v>#DIV/0!</v>
      </c>
      <c r="X133" s="197" t="e">
        <f t="shared" si="15"/>
        <v>#DIV/0!</v>
      </c>
    </row>
    <row r="134" ht="11.4" customHeight="1" spans="1:33">
      <c r="A134" s="184" t="s">
        <v>1100</v>
      </c>
      <c r="B134" s="184" t="s">
        <v>111</v>
      </c>
      <c r="C134" s="184" t="s">
        <v>1101</v>
      </c>
      <c r="D134" s="185" t="s">
        <v>522</v>
      </c>
      <c r="E134" s="186" t="s">
        <v>906</v>
      </c>
      <c r="F134" s="186" t="s">
        <v>907</v>
      </c>
      <c r="G134" s="186" t="s">
        <v>1102</v>
      </c>
      <c r="H134" s="186" t="s">
        <v>1103</v>
      </c>
      <c r="I134" s="187" t="s">
        <v>1145</v>
      </c>
      <c r="J134" s="187" t="s">
        <v>1146</v>
      </c>
      <c r="K134" s="188"/>
      <c r="L134" s="188"/>
      <c r="M134" s="189" t="s">
        <v>847</v>
      </c>
      <c r="N134" s="190">
        <v>179.82</v>
      </c>
      <c r="O134" s="190">
        <f t="shared" si="8"/>
        <v>196</v>
      </c>
      <c r="P134" s="191">
        <f t="shared" si="9"/>
        <v>0</v>
      </c>
      <c r="Q134" s="192">
        <f t="shared" si="10"/>
        <v>0</v>
      </c>
      <c r="R134" s="193"/>
      <c r="S134" s="194"/>
      <c r="T134" s="195">
        <f t="shared" si="11"/>
        <v>0</v>
      </c>
      <c r="U134" s="195">
        <f t="shared" si="12"/>
        <v>0</v>
      </c>
      <c r="V134" s="195">
        <f t="shared" si="13"/>
        <v>0</v>
      </c>
      <c r="W134" s="196" t="e">
        <f t="shared" si="14"/>
        <v>#DIV/0!</v>
      </c>
      <c r="X134" s="197" t="e">
        <f t="shared" si="15"/>
        <v>#DIV/0!</v>
      </c>
    </row>
    <row r="135" ht="11.4" customHeight="1" spans="1:33">
      <c r="A135" s="184" t="s">
        <v>1100</v>
      </c>
      <c r="B135" s="184" t="s">
        <v>111</v>
      </c>
      <c r="C135" s="184" t="s">
        <v>1101</v>
      </c>
      <c r="D135" s="185" t="s">
        <v>522</v>
      </c>
      <c r="E135" s="186" t="s">
        <v>906</v>
      </c>
      <c r="F135" s="186" t="s">
        <v>907</v>
      </c>
      <c r="G135" s="186" t="s">
        <v>1102</v>
      </c>
      <c r="H135" s="186" t="s">
        <v>1103</v>
      </c>
      <c r="I135" s="187" t="s">
        <v>1147</v>
      </c>
      <c r="J135" s="187" t="s">
        <v>1148</v>
      </c>
      <c r="K135" s="188"/>
      <c r="L135" s="188"/>
      <c r="M135" s="189" t="s">
        <v>807</v>
      </c>
      <c r="N135" s="190">
        <v>37.84</v>
      </c>
      <c r="O135" s="190">
        <f t="shared" si="8"/>
        <v>41.25</v>
      </c>
      <c r="P135" s="191">
        <f t="shared" si="9"/>
        <v>0</v>
      </c>
      <c r="Q135" s="192">
        <f t="shared" si="10"/>
        <v>0</v>
      </c>
      <c r="R135" s="193"/>
      <c r="S135" s="194"/>
      <c r="T135" s="195">
        <f t="shared" si="11"/>
        <v>0</v>
      </c>
      <c r="U135" s="195">
        <f t="shared" si="12"/>
        <v>0</v>
      </c>
      <c r="V135" s="195">
        <f t="shared" si="13"/>
        <v>0</v>
      </c>
      <c r="W135" s="196" t="e">
        <f t="shared" si="14"/>
        <v>#DIV/0!</v>
      </c>
      <c r="X135" s="197" t="e">
        <f t="shared" si="15"/>
        <v>#DIV/0!</v>
      </c>
    </row>
    <row r="136" ht="11.4" customHeight="1" spans="1:33">
      <c r="A136" s="184" t="s">
        <v>1100</v>
      </c>
      <c r="B136" s="184" t="s">
        <v>111</v>
      </c>
      <c r="C136" s="184" t="s">
        <v>1101</v>
      </c>
      <c r="D136" s="185" t="s">
        <v>522</v>
      </c>
      <c r="E136" s="186" t="s">
        <v>906</v>
      </c>
      <c r="F136" s="186" t="s">
        <v>907</v>
      </c>
      <c r="G136" s="186" t="s">
        <v>1102</v>
      </c>
      <c r="H136" s="186" t="s">
        <v>1103</v>
      </c>
      <c r="I136" s="187" t="s">
        <v>1149</v>
      </c>
      <c r="J136" s="187" t="s">
        <v>1150</v>
      </c>
      <c r="K136" s="188"/>
      <c r="L136" s="188"/>
      <c r="M136" s="189" t="s">
        <v>847</v>
      </c>
      <c r="N136" s="190">
        <v>193.81</v>
      </c>
      <c r="O136" s="190">
        <f t="shared" si="8"/>
        <v>211.25</v>
      </c>
      <c r="P136" s="191">
        <f t="shared" si="9"/>
        <v>0</v>
      </c>
      <c r="Q136" s="192">
        <f t="shared" si="10"/>
        <v>0</v>
      </c>
      <c r="R136" s="193"/>
      <c r="S136" s="194"/>
      <c r="T136" s="195">
        <f t="shared" si="11"/>
        <v>0</v>
      </c>
      <c r="U136" s="195">
        <f t="shared" si="12"/>
        <v>0</v>
      </c>
      <c r="V136" s="195">
        <f t="shared" si="13"/>
        <v>0</v>
      </c>
      <c r="W136" s="196" t="e">
        <f t="shared" si="14"/>
        <v>#DIV/0!</v>
      </c>
      <c r="X136" s="197" t="e">
        <f t="shared" si="15"/>
        <v>#DIV/0!</v>
      </c>
    </row>
    <row r="137" ht="11.4" customHeight="1" spans="1:33">
      <c r="A137" s="184" t="s">
        <v>1100</v>
      </c>
      <c r="B137" s="184" t="s">
        <v>111</v>
      </c>
      <c r="C137" s="184" t="s">
        <v>1101</v>
      </c>
      <c r="D137" s="185" t="s">
        <v>522</v>
      </c>
      <c r="E137" s="186" t="s">
        <v>906</v>
      </c>
      <c r="F137" s="186" t="s">
        <v>907</v>
      </c>
      <c r="G137" s="186" t="s">
        <v>1102</v>
      </c>
      <c r="H137" s="186" t="s">
        <v>1103</v>
      </c>
      <c r="I137" s="187" t="s">
        <v>1151</v>
      </c>
      <c r="J137" s="187" t="s">
        <v>1152</v>
      </c>
      <c r="K137" s="188"/>
      <c r="L137" s="188"/>
      <c r="M137" s="189" t="s">
        <v>807</v>
      </c>
      <c r="N137" s="190">
        <v>39.05</v>
      </c>
      <c r="O137" s="190">
        <f t="shared" si="8"/>
        <v>42.56</v>
      </c>
      <c r="P137" s="191">
        <f t="shared" si="9"/>
        <v>0</v>
      </c>
      <c r="Q137" s="192">
        <f t="shared" si="10"/>
        <v>0</v>
      </c>
      <c r="R137" s="193"/>
      <c r="S137" s="194"/>
      <c r="T137" s="195">
        <f t="shared" si="11"/>
        <v>0</v>
      </c>
      <c r="U137" s="195">
        <f t="shared" si="12"/>
        <v>0</v>
      </c>
      <c r="V137" s="195">
        <f t="shared" si="13"/>
        <v>0</v>
      </c>
      <c r="W137" s="196" t="e">
        <f t="shared" si="14"/>
        <v>#DIV/0!</v>
      </c>
      <c r="X137" s="197" t="e">
        <f t="shared" si="15"/>
        <v>#DIV/0!</v>
      </c>
    </row>
    <row r="138" ht="11.4" customHeight="1" spans="1:33">
      <c r="A138" s="184" t="s">
        <v>1100</v>
      </c>
      <c r="B138" s="184" t="s">
        <v>111</v>
      </c>
      <c r="C138" s="184" t="s">
        <v>1101</v>
      </c>
      <c r="D138" s="185" t="s">
        <v>522</v>
      </c>
      <c r="E138" s="186" t="s">
        <v>906</v>
      </c>
      <c r="F138" s="186" t="s">
        <v>907</v>
      </c>
      <c r="G138" s="186" t="s">
        <v>1102</v>
      </c>
      <c r="H138" s="186" t="s">
        <v>1103</v>
      </c>
      <c r="I138" s="187" t="s">
        <v>1153</v>
      </c>
      <c r="J138" s="187" t="s">
        <v>1154</v>
      </c>
      <c r="K138" s="188"/>
      <c r="L138" s="188"/>
      <c r="M138" s="189" t="s">
        <v>847</v>
      </c>
      <c r="N138" s="190">
        <v>178.2</v>
      </c>
      <c r="O138" s="190">
        <f t="shared" si="8"/>
        <v>194.24</v>
      </c>
      <c r="P138" s="191">
        <f t="shared" si="9"/>
        <v>0</v>
      </c>
      <c r="Q138" s="192">
        <f t="shared" si="10"/>
        <v>0</v>
      </c>
      <c r="R138" s="193"/>
      <c r="S138" s="194"/>
      <c r="T138" s="195">
        <f t="shared" si="11"/>
        <v>0</v>
      </c>
      <c r="U138" s="195">
        <f t="shared" si="12"/>
        <v>0</v>
      </c>
      <c r="V138" s="195">
        <f t="shared" si="13"/>
        <v>0</v>
      </c>
      <c r="W138" s="196" t="e">
        <f t="shared" si="14"/>
        <v>#DIV/0!</v>
      </c>
      <c r="X138" s="197" t="e">
        <f t="shared" si="15"/>
        <v>#DIV/0!</v>
      </c>
    </row>
    <row r="139" ht="11.4" customHeight="1" spans="1:33">
      <c r="A139" s="184" t="s">
        <v>1100</v>
      </c>
      <c r="B139" s="184" t="s">
        <v>111</v>
      </c>
      <c r="C139" s="184" t="s">
        <v>1101</v>
      </c>
      <c r="D139" s="185" t="s">
        <v>522</v>
      </c>
      <c r="E139" s="186" t="s">
        <v>906</v>
      </c>
      <c r="F139" s="186" t="s">
        <v>907</v>
      </c>
      <c r="G139" s="186" t="s">
        <v>1102</v>
      </c>
      <c r="H139" s="186" t="s">
        <v>1103</v>
      </c>
      <c r="I139" s="187" t="s">
        <v>1155</v>
      </c>
      <c r="J139" s="187" t="s">
        <v>1156</v>
      </c>
      <c r="K139" s="188"/>
      <c r="L139" s="188"/>
      <c r="M139" s="189" t="s">
        <v>847</v>
      </c>
      <c r="N139" s="190">
        <v>170.67</v>
      </c>
      <c r="O139" s="190">
        <f t="shared" si="8"/>
        <v>186.03</v>
      </c>
      <c r="P139" s="191">
        <f t="shared" si="9"/>
        <v>0</v>
      </c>
      <c r="Q139" s="192">
        <f t="shared" si="10"/>
        <v>0</v>
      </c>
      <c r="R139" s="193"/>
      <c r="S139" s="194"/>
      <c r="T139" s="195">
        <f t="shared" si="11"/>
        <v>0</v>
      </c>
      <c r="U139" s="195">
        <f t="shared" si="12"/>
        <v>0</v>
      </c>
      <c r="V139" s="195">
        <f t="shared" si="13"/>
        <v>0</v>
      </c>
      <c r="W139" s="196" t="e">
        <f t="shared" si="14"/>
        <v>#DIV/0!</v>
      </c>
      <c r="X139" s="197" t="e">
        <f t="shared" si="15"/>
        <v>#DIV/0!</v>
      </c>
    </row>
    <row r="140" ht="11.4" customHeight="1" spans="1:33">
      <c r="A140" s="184" t="s">
        <v>1100</v>
      </c>
      <c r="B140" s="184" t="s">
        <v>111</v>
      </c>
      <c r="C140" s="184" t="s">
        <v>1101</v>
      </c>
      <c r="D140" s="185" t="s">
        <v>522</v>
      </c>
      <c r="E140" s="186" t="s">
        <v>906</v>
      </c>
      <c r="F140" s="186" t="s">
        <v>907</v>
      </c>
      <c r="G140" s="186" t="s">
        <v>1102</v>
      </c>
      <c r="H140" s="186" t="s">
        <v>1103</v>
      </c>
      <c r="I140" s="187" t="s">
        <v>1157</v>
      </c>
      <c r="J140" s="187" t="s">
        <v>1158</v>
      </c>
      <c r="K140" s="188"/>
      <c r="L140" s="188"/>
      <c r="M140" s="189" t="s">
        <v>847</v>
      </c>
      <c r="N140" s="190">
        <v>181.7</v>
      </c>
      <c r="O140" s="190">
        <f t="shared" si="8"/>
        <v>198.05</v>
      </c>
      <c r="P140" s="191">
        <f t="shared" si="9"/>
        <v>0</v>
      </c>
      <c r="Q140" s="192">
        <f t="shared" si="10"/>
        <v>0</v>
      </c>
      <c r="R140" s="193"/>
      <c r="S140" s="194"/>
      <c r="T140" s="195">
        <f t="shared" si="11"/>
        <v>0</v>
      </c>
      <c r="U140" s="195">
        <f t="shared" si="12"/>
        <v>0</v>
      </c>
      <c r="V140" s="195">
        <f t="shared" si="13"/>
        <v>0</v>
      </c>
      <c r="W140" s="196" t="e">
        <f t="shared" si="14"/>
        <v>#DIV/0!</v>
      </c>
      <c r="X140" s="197" t="e">
        <f t="shared" si="15"/>
        <v>#DIV/0!</v>
      </c>
    </row>
    <row r="141" ht="11.4" customHeight="1" spans="1:33">
      <c r="A141" s="184" t="s">
        <v>1100</v>
      </c>
      <c r="B141" s="184" t="s">
        <v>111</v>
      </c>
      <c r="C141" s="184" t="s">
        <v>1101</v>
      </c>
      <c r="D141" s="185" t="s">
        <v>522</v>
      </c>
      <c r="E141" s="186" t="s">
        <v>906</v>
      </c>
      <c r="F141" s="186" t="s">
        <v>907</v>
      </c>
      <c r="G141" s="186" t="s">
        <v>1102</v>
      </c>
      <c r="H141" s="186" t="s">
        <v>1103</v>
      </c>
      <c r="I141" s="187" t="s">
        <v>1159</v>
      </c>
      <c r="J141" s="187" t="s">
        <v>1160</v>
      </c>
      <c r="K141" s="188"/>
      <c r="L141" s="188"/>
      <c r="M141" s="189" t="s">
        <v>847</v>
      </c>
      <c r="N141" s="190">
        <v>180.78</v>
      </c>
      <c r="O141" s="190">
        <f t="shared" ref="O141:O204" si="16">ROUND(N141*(1+$F$10),2)</f>
        <v>197.05</v>
      </c>
      <c r="P141" s="191">
        <f t="shared" ref="P141:P204" si="17">ROUND(K141*N141,2)</f>
        <v>0</v>
      </c>
      <c r="Q141" s="192">
        <f t="shared" si="10"/>
        <v>0</v>
      </c>
      <c r="R141" s="193"/>
      <c r="S141" s="194"/>
      <c r="T141" s="195">
        <f t="shared" si="11"/>
        <v>0</v>
      </c>
      <c r="U141" s="195">
        <f t="shared" si="12"/>
        <v>0</v>
      </c>
      <c r="V141" s="195">
        <f t="shared" si="13"/>
        <v>0</v>
      </c>
      <c r="W141" s="196" t="e">
        <f t="shared" si="14"/>
        <v>#DIV/0!</v>
      </c>
      <c r="X141" s="197" t="e">
        <f t="shared" si="15"/>
        <v>#DIV/0!</v>
      </c>
    </row>
    <row r="142" ht="11.4" customHeight="1" spans="1:33">
      <c r="A142" s="184" t="s">
        <v>1100</v>
      </c>
      <c r="B142" s="184" t="s">
        <v>111</v>
      </c>
      <c r="C142" s="184" t="s">
        <v>1101</v>
      </c>
      <c r="D142" s="185" t="s">
        <v>522</v>
      </c>
      <c r="E142" s="186" t="s">
        <v>906</v>
      </c>
      <c r="F142" s="186" t="s">
        <v>907</v>
      </c>
      <c r="G142" s="186" t="s">
        <v>1102</v>
      </c>
      <c r="H142" s="186" t="s">
        <v>1103</v>
      </c>
      <c r="I142" s="187" t="s">
        <v>1161</v>
      </c>
      <c r="J142" s="187" t="s">
        <v>1162</v>
      </c>
      <c r="K142" s="188"/>
      <c r="L142" s="188"/>
      <c r="M142" s="189" t="s">
        <v>847</v>
      </c>
      <c r="N142" s="190">
        <v>162.63</v>
      </c>
      <c r="O142" s="190">
        <f t="shared" si="16"/>
        <v>177.27</v>
      </c>
      <c r="P142" s="191">
        <f t="shared" si="17"/>
        <v>0</v>
      </c>
      <c r="Q142" s="192">
        <f t="shared" ref="Q142:Q205" si="18">ROUND(L142*N142,2)</f>
        <v>0</v>
      </c>
      <c r="R142" s="193"/>
      <c r="S142" s="194"/>
      <c r="T142" s="195">
        <f t="shared" ref="T142:T205" si="19">K142-L142</f>
        <v>0</v>
      </c>
      <c r="U142" s="195">
        <f t="shared" ref="U142:U205" si="20">P142-Q142</f>
        <v>0</v>
      </c>
      <c r="V142" s="195">
        <f t="shared" ref="V142:V205" si="21">ABS(U142)</f>
        <v>0</v>
      </c>
      <c r="W142" s="196" t="e">
        <f t="shared" ref="W142:W205" si="22">T142/L142</f>
        <v>#DIV/0!</v>
      </c>
      <c r="X142" s="197" t="e">
        <f t="shared" ref="X142:X205" si="23">ABS(W142)</f>
        <v>#DIV/0!</v>
      </c>
    </row>
    <row r="143" ht="11.4" customHeight="1" spans="1:33">
      <c r="A143" s="184" t="s">
        <v>1100</v>
      </c>
      <c r="B143" s="184" t="s">
        <v>111</v>
      </c>
      <c r="C143" s="184" t="s">
        <v>1101</v>
      </c>
      <c r="D143" s="185" t="s">
        <v>522</v>
      </c>
      <c r="E143" s="186" t="s">
        <v>906</v>
      </c>
      <c r="F143" s="186" t="s">
        <v>907</v>
      </c>
      <c r="G143" s="186" t="s">
        <v>1102</v>
      </c>
      <c r="H143" s="186" t="s">
        <v>1103</v>
      </c>
      <c r="I143" s="187" t="s">
        <v>1163</v>
      </c>
      <c r="J143" s="187" t="s">
        <v>1164</v>
      </c>
      <c r="K143" s="188"/>
      <c r="L143" s="188"/>
      <c r="M143" s="189" t="s">
        <v>847</v>
      </c>
      <c r="N143" s="190">
        <v>183.2</v>
      </c>
      <c r="O143" s="190">
        <f t="shared" si="16"/>
        <v>199.69</v>
      </c>
      <c r="P143" s="191">
        <f t="shared" si="17"/>
        <v>0</v>
      </c>
      <c r="Q143" s="192">
        <f t="shared" si="18"/>
        <v>0</v>
      </c>
      <c r="R143" s="193"/>
      <c r="S143" s="194"/>
      <c r="T143" s="195">
        <f t="shared" si="19"/>
        <v>0</v>
      </c>
      <c r="U143" s="195">
        <f t="shared" si="20"/>
        <v>0</v>
      </c>
      <c r="V143" s="195">
        <f t="shared" si="21"/>
        <v>0</v>
      </c>
      <c r="W143" s="196" t="e">
        <f t="shared" si="22"/>
        <v>#DIV/0!</v>
      </c>
      <c r="X143" s="197" t="e">
        <f t="shared" si="23"/>
        <v>#DIV/0!</v>
      </c>
    </row>
    <row r="144" ht="11.4" customHeight="1" spans="1:33">
      <c r="A144" s="184" t="s">
        <v>1100</v>
      </c>
      <c r="B144" s="184" t="s">
        <v>111</v>
      </c>
      <c r="C144" s="184" t="s">
        <v>1101</v>
      </c>
      <c r="D144" s="185" t="s">
        <v>522</v>
      </c>
      <c r="E144" s="186" t="s">
        <v>906</v>
      </c>
      <c r="F144" s="186" t="s">
        <v>907</v>
      </c>
      <c r="G144" s="186" t="s">
        <v>1102</v>
      </c>
      <c r="H144" s="186" t="s">
        <v>1103</v>
      </c>
      <c r="I144" s="187" t="s">
        <v>1165</v>
      </c>
      <c r="J144" s="187" t="s">
        <v>1166</v>
      </c>
      <c r="K144" s="188"/>
      <c r="L144" s="188"/>
      <c r="M144" s="189" t="s">
        <v>847</v>
      </c>
      <c r="N144" s="190">
        <v>205.46</v>
      </c>
      <c r="O144" s="190">
        <f t="shared" si="16"/>
        <v>223.95</v>
      </c>
      <c r="P144" s="191">
        <f t="shared" si="17"/>
        <v>0</v>
      </c>
      <c r="Q144" s="192">
        <f t="shared" si="18"/>
        <v>0</v>
      </c>
      <c r="R144" s="193"/>
      <c r="S144" s="194"/>
      <c r="T144" s="195">
        <f t="shared" si="19"/>
        <v>0</v>
      </c>
      <c r="U144" s="195">
        <f t="shared" si="20"/>
        <v>0</v>
      </c>
      <c r="V144" s="195">
        <f t="shared" si="21"/>
        <v>0</v>
      </c>
      <c r="W144" s="196" t="e">
        <f t="shared" si="22"/>
        <v>#DIV/0!</v>
      </c>
      <c r="X144" s="197" t="e">
        <f t="shared" si="23"/>
        <v>#DIV/0!</v>
      </c>
    </row>
    <row r="145" ht="11.4" customHeight="1" spans="1:34">
      <c r="A145" s="184" t="s">
        <v>1100</v>
      </c>
      <c r="B145" s="184" t="s">
        <v>111</v>
      </c>
      <c r="C145" s="184" t="s">
        <v>1101</v>
      </c>
      <c r="D145" s="185" t="s">
        <v>522</v>
      </c>
      <c r="E145" s="186" t="s">
        <v>906</v>
      </c>
      <c r="F145" s="186" t="s">
        <v>907</v>
      </c>
      <c r="G145" s="186" t="s">
        <v>1102</v>
      </c>
      <c r="H145" s="186" t="s">
        <v>1103</v>
      </c>
      <c r="I145" s="187" t="s">
        <v>1167</v>
      </c>
      <c r="J145" s="187" t="s">
        <v>1168</v>
      </c>
      <c r="K145" s="188"/>
      <c r="L145" s="188"/>
      <c r="M145" s="189" t="s">
        <v>847</v>
      </c>
      <c r="N145" s="190">
        <v>195.26</v>
      </c>
      <c r="O145" s="190">
        <f t="shared" si="16"/>
        <v>212.83</v>
      </c>
      <c r="P145" s="191">
        <f t="shared" si="17"/>
        <v>0</v>
      </c>
      <c r="Q145" s="192">
        <f t="shared" si="18"/>
        <v>0</v>
      </c>
      <c r="R145" s="193"/>
      <c r="S145" s="194"/>
      <c r="T145" s="195">
        <f t="shared" si="19"/>
        <v>0</v>
      </c>
      <c r="U145" s="195">
        <f t="shared" si="20"/>
        <v>0</v>
      </c>
      <c r="V145" s="195">
        <f t="shared" si="21"/>
        <v>0</v>
      </c>
      <c r="W145" s="196" t="e">
        <f t="shared" si="22"/>
        <v>#DIV/0!</v>
      </c>
      <c r="X145" s="197" t="e">
        <f t="shared" si="23"/>
        <v>#DIV/0!</v>
      </c>
    </row>
    <row r="146" ht="11.4" customHeight="1" spans="1:34">
      <c r="A146" s="184" t="s">
        <v>1100</v>
      </c>
      <c r="B146" s="184" t="s">
        <v>111</v>
      </c>
      <c r="C146" s="184" t="s">
        <v>1101</v>
      </c>
      <c r="D146" s="185" t="s">
        <v>522</v>
      </c>
      <c r="E146" s="186" t="s">
        <v>906</v>
      </c>
      <c r="F146" s="186" t="s">
        <v>907</v>
      </c>
      <c r="G146" s="186" t="s">
        <v>1102</v>
      </c>
      <c r="H146" s="186" t="s">
        <v>1103</v>
      </c>
      <c r="I146" s="187" t="s">
        <v>1169</v>
      </c>
      <c r="J146" s="187" t="s">
        <v>1170</v>
      </c>
      <c r="K146" s="188"/>
      <c r="L146" s="188"/>
      <c r="M146" s="189" t="s">
        <v>847</v>
      </c>
      <c r="N146" s="190">
        <v>205.46</v>
      </c>
      <c r="O146" s="190">
        <f t="shared" si="16"/>
        <v>223.95</v>
      </c>
      <c r="P146" s="191">
        <f t="shared" si="17"/>
        <v>0</v>
      </c>
      <c r="Q146" s="192">
        <f t="shared" si="18"/>
        <v>0</v>
      </c>
      <c r="R146" s="193"/>
      <c r="S146" s="194"/>
      <c r="T146" s="195">
        <f t="shared" si="19"/>
        <v>0</v>
      </c>
      <c r="U146" s="195">
        <f t="shared" si="20"/>
        <v>0</v>
      </c>
      <c r="V146" s="195">
        <f t="shared" si="21"/>
        <v>0</v>
      </c>
      <c r="W146" s="196" t="e">
        <f t="shared" si="22"/>
        <v>#DIV/0!</v>
      </c>
      <c r="X146" s="197" t="e">
        <f t="shared" si="23"/>
        <v>#DIV/0!</v>
      </c>
    </row>
    <row r="147" ht="11.4" customHeight="1" spans="1:34">
      <c r="A147" s="184" t="s">
        <v>1100</v>
      </c>
      <c r="B147" s="184" t="s">
        <v>111</v>
      </c>
      <c r="C147" s="184" t="s">
        <v>1101</v>
      </c>
      <c r="D147" s="185" t="s">
        <v>522</v>
      </c>
      <c r="E147" s="186" t="s">
        <v>906</v>
      </c>
      <c r="F147" s="186" t="s">
        <v>907</v>
      </c>
      <c r="G147" s="186" t="s">
        <v>1102</v>
      </c>
      <c r="H147" s="186" t="s">
        <v>1103</v>
      </c>
      <c r="I147" s="187" t="s">
        <v>1171</v>
      </c>
      <c r="J147" s="187" t="s">
        <v>1172</v>
      </c>
      <c r="K147" s="188"/>
      <c r="L147" s="188"/>
      <c r="M147" s="189" t="s">
        <v>847</v>
      </c>
      <c r="N147" s="190">
        <v>607.91</v>
      </c>
      <c r="O147" s="190">
        <f t="shared" si="16"/>
        <v>662.62</v>
      </c>
      <c r="P147" s="191">
        <f t="shared" si="17"/>
        <v>0</v>
      </c>
      <c r="Q147" s="192">
        <f t="shared" si="18"/>
        <v>0</v>
      </c>
      <c r="R147" s="193"/>
      <c r="S147" s="194"/>
      <c r="T147" s="195">
        <f t="shared" si="19"/>
        <v>0</v>
      </c>
      <c r="U147" s="195">
        <f t="shared" si="20"/>
        <v>0</v>
      </c>
      <c r="V147" s="195">
        <f t="shared" si="21"/>
        <v>0</v>
      </c>
      <c r="W147" s="196" t="e">
        <f t="shared" si="22"/>
        <v>#DIV/0!</v>
      </c>
      <c r="X147" s="197" t="e">
        <f t="shared" si="23"/>
        <v>#DIV/0!</v>
      </c>
    </row>
    <row r="148" ht="11.4" customHeight="1" spans="1:34">
      <c r="A148" s="184" t="s">
        <v>1173</v>
      </c>
      <c r="B148" s="184" t="s">
        <v>113</v>
      </c>
      <c r="C148" s="184" t="s">
        <v>1101</v>
      </c>
      <c r="D148" s="185" t="s">
        <v>522</v>
      </c>
      <c r="E148" s="186" t="s">
        <v>906</v>
      </c>
      <c r="F148" s="186" t="s">
        <v>907</v>
      </c>
      <c r="G148" s="186" t="s">
        <v>1102</v>
      </c>
      <c r="H148" s="186" t="s">
        <v>1174</v>
      </c>
      <c r="I148" s="187" t="s">
        <v>1175</v>
      </c>
      <c r="J148" s="187" t="s">
        <v>1176</v>
      </c>
      <c r="K148" s="188">
        <v>89.34</v>
      </c>
      <c r="L148" s="188">
        <v>90.12</v>
      </c>
      <c r="M148" s="189" t="s">
        <v>847</v>
      </c>
      <c r="N148" s="190">
        <v>114.06</v>
      </c>
      <c r="O148" s="190">
        <f t="shared" si="16"/>
        <v>124.33</v>
      </c>
      <c r="P148" s="191">
        <f t="shared" si="17"/>
        <v>10190.12</v>
      </c>
      <c r="Q148" s="192">
        <f t="shared" si="18"/>
        <v>10279.09</v>
      </c>
      <c r="R148" s="193"/>
      <c r="S148" s="194"/>
      <c r="T148" s="195">
        <f t="shared" si="19"/>
        <v>-0.780000000000001</v>
      </c>
      <c r="U148" s="195">
        <f t="shared" si="20"/>
        <v>-88.9699999999993</v>
      </c>
      <c r="V148" s="195">
        <f t="shared" si="21"/>
        <v>88.9699999999993</v>
      </c>
      <c r="W148" s="196">
        <f t="shared" si="22"/>
        <v>-0.00865512649800267</v>
      </c>
      <c r="X148" s="197">
        <f t="shared" si="23"/>
        <v>0.00865512649800267</v>
      </c>
      <c r="AH148" s="219" t="s">
        <v>1177</v>
      </c>
    </row>
    <row r="149" ht="11.4" customHeight="1" spans="1:34">
      <c r="A149" s="184" t="s">
        <v>1173</v>
      </c>
      <c r="B149" s="184" t="s">
        <v>113</v>
      </c>
      <c r="C149" s="184" t="s">
        <v>1101</v>
      </c>
      <c r="D149" s="185" t="s">
        <v>522</v>
      </c>
      <c r="E149" s="186" t="s">
        <v>906</v>
      </c>
      <c r="F149" s="186" t="s">
        <v>907</v>
      </c>
      <c r="G149" s="186" t="s">
        <v>1102</v>
      </c>
      <c r="H149" s="186" t="s">
        <v>1174</v>
      </c>
      <c r="I149" s="187" t="s">
        <v>1178</v>
      </c>
      <c r="J149" s="187" t="s">
        <v>1179</v>
      </c>
      <c r="K149" s="188"/>
      <c r="L149" s="188"/>
      <c r="M149" s="189" t="s">
        <v>847</v>
      </c>
      <c r="N149" s="190">
        <v>197.83</v>
      </c>
      <c r="O149" s="190">
        <f t="shared" si="16"/>
        <v>215.63</v>
      </c>
      <c r="P149" s="191">
        <f t="shared" si="17"/>
        <v>0</v>
      </c>
      <c r="Q149" s="192">
        <f t="shared" si="18"/>
        <v>0</v>
      </c>
      <c r="R149" s="193"/>
      <c r="S149" s="194"/>
      <c r="T149" s="195">
        <f t="shared" si="19"/>
        <v>0</v>
      </c>
      <c r="U149" s="195">
        <f t="shared" si="20"/>
        <v>0</v>
      </c>
      <c r="V149" s="195">
        <f t="shared" si="21"/>
        <v>0</v>
      </c>
      <c r="W149" s="196" t="e">
        <f t="shared" si="22"/>
        <v>#DIV/0!</v>
      </c>
      <c r="X149" s="197" t="e">
        <f t="shared" si="23"/>
        <v>#DIV/0!</v>
      </c>
      <c r="AG149" s="219" t="s">
        <v>1180</v>
      </c>
    </row>
    <row r="150" ht="11.4" customHeight="1" spans="1:34">
      <c r="A150" s="184" t="s">
        <v>1173</v>
      </c>
      <c r="B150" s="184" t="s">
        <v>113</v>
      </c>
      <c r="C150" s="184" t="s">
        <v>1101</v>
      </c>
      <c r="D150" s="185" t="s">
        <v>522</v>
      </c>
      <c r="E150" s="186" t="s">
        <v>906</v>
      </c>
      <c r="F150" s="186" t="s">
        <v>907</v>
      </c>
      <c r="G150" s="186" t="s">
        <v>1102</v>
      </c>
      <c r="H150" s="186" t="s">
        <v>1174</v>
      </c>
      <c r="I150" s="187" t="s">
        <v>1181</v>
      </c>
      <c r="J150" s="187" t="s">
        <v>1182</v>
      </c>
      <c r="K150" s="188"/>
      <c r="L150" s="188"/>
      <c r="M150" s="189" t="s">
        <v>847</v>
      </c>
      <c r="N150" s="190">
        <v>182.9</v>
      </c>
      <c r="O150" s="190">
        <f t="shared" si="16"/>
        <v>199.36</v>
      </c>
      <c r="P150" s="191">
        <f t="shared" si="17"/>
        <v>0</v>
      </c>
      <c r="Q150" s="192">
        <f t="shared" si="18"/>
        <v>0</v>
      </c>
      <c r="R150" s="193"/>
      <c r="S150" s="194"/>
      <c r="T150" s="195">
        <f t="shared" si="19"/>
        <v>0</v>
      </c>
      <c r="U150" s="195">
        <f t="shared" si="20"/>
        <v>0</v>
      </c>
      <c r="V150" s="195">
        <f t="shared" si="21"/>
        <v>0</v>
      </c>
      <c r="W150" s="196" t="e">
        <f t="shared" si="22"/>
        <v>#DIV/0!</v>
      </c>
      <c r="X150" s="197" t="e">
        <f t="shared" si="23"/>
        <v>#DIV/0!</v>
      </c>
      <c r="AG150" s="219" t="s">
        <v>1180</v>
      </c>
    </row>
    <row r="151" ht="11.4" customHeight="1" spans="1:34">
      <c r="A151" s="184" t="s">
        <v>1173</v>
      </c>
      <c r="B151" s="184" t="s">
        <v>113</v>
      </c>
      <c r="C151" s="184" t="s">
        <v>1101</v>
      </c>
      <c r="D151" s="185" t="s">
        <v>522</v>
      </c>
      <c r="E151" s="186" t="s">
        <v>906</v>
      </c>
      <c r="F151" s="186" t="s">
        <v>907</v>
      </c>
      <c r="G151" s="186" t="s">
        <v>1102</v>
      </c>
      <c r="H151" s="186" t="s">
        <v>1174</v>
      </c>
      <c r="I151" s="187" t="s">
        <v>1183</v>
      </c>
      <c r="J151" s="187" t="s">
        <v>1184</v>
      </c>
      <c r="K151" s="188">
        <v>89.34</v>
      </c>
      <c r="L151" s="188">
        <v>90.12</v>
      </c>
      <c r="M151" s="189" t="s">
        <v>847</v>
      </c>
      <c r="N151" s="190">
        <v>186.66</v>
      </c>
      <c r="O151" s="190">
        <f t="shared" si="16"/>
        <v>203.46</v>
      </c>
      <c r="P151" s="191">
        <f t="shared" si="17"/>
        <v>16676.2</v>
      </c>
      <c r="Q151" s="192">
        <f t="shared" si="18"/>
        <v>16821.8</v>
      </c>
      <c r="R151" s="193"/>
      <c r="S151" s="194"/>
      <c r="T151" s="195">
        <f t="shared" si="19"/>
        <v>-0.780000000000001</v>
      </c>
      <c r="U151" s="195">
        <f t="shared" si="20"/>
        <v>-145.599999999999</v>
      </c>
      <c r="V151" s="195">
        <f t="shared" si="21"/>
        <v>145.599999999999</v>
      </c>
      <c r="W151" s="196">
        <f t="shared" si="22"/>
        <v>-0.00865512649800267</v>
      </c>
      <c r="X151" s="197">
        <f t="shared" si="23"/>
        <v>0.00865512649800267</v>
      </c>
      <c r="AG151" s="219" t="s">
        <v>1180</v>
      </c>
    </row>
    <row r="152" ht="11.4" customHeight="1" spans="1:34">
      <c r="A152" s="184" t="s">
        <v>1173</v>
      </c>
      <c r="B152" s="184" t="s">
        <v>113</v>
      </c>
      <c r="C152" s="184" t="s">
        <v>1101</v>
      </c>
      <c r="D152" s="185" t="s">
        <v>522</v>
      </c>
      <c r="E152" s="186" t="s">
        <v>906</v>
      </c>
      <c r="F152" s="186" t="s">
        <v>907</v>
      </c>
      <c r="G152" s="186" t="s">
        <v>1102</v>
      </c>
      <c r="H152" s="186" t="s">
        <v>1174</v>
      </c>
      <c r="I152" s="187" t="s">
        <v>1185</v>
      </c>
      <c r="J152" s="187" t="s">
        <v>1186</v>
      </c>
      <c r="K152" s="188"/>
      <c r="L152" s="188"/>
      <c r="M152" s="189" t="s">
        <v>847</v>
      </c>
      <c r="N152" s="190">
        <v>174.35</v>
      </c>
      <c r="O152" s="190">
        <f t="shared" si="16"/>
        <v>190.04</v>
      </c>
      <c r="P152" s="191">
        <f t="shared" si="17"/>
        <v>0</v>
      </c>
      <c r="Q152" s="192">
        <f t="shared" si="18"/>
        <v>0</v>
      </c>
      <c r="R152" s="193"/>
      <c r="S152" s="194"/>
      <c r="T152" s="195">
        <f t="shared" si="19"/>
        <v>0</v>
      </c>
      <c r="U152" s="195">
        <f t="shared" si="20"/>
        <v>0</v>
      </c>
      <c r="V152" s="195">
        <f t="shared" si="21"/>
        <v>0</v>
      </c>
      <c r="W152" s="196" t="e">
        <f t="shared" si="22"/>
        <v>#DIV/0!</v>
      </c>
      <c r="X152" s="197" t="e">
        <f t="shared" si="23"/>
        <v>#DIV/0!</v>
      </c>
      <c r="AG152" s="219" t="s">
        <v>1180</v>
      </c>
    </row>
    <row r="153" ht="11.4" customHeight="1" spans="1:34">
      <c r="A153" s="184" t="s">
        <v>1173</v>
      </c>
      <c r="B153" s="184" t="s">
        <v>113</v>
      </c>
      <c r="C153" s="184" t="s">
        <v>1101</v>
      </c>
      <c r="D153" s="185" t="s">
        <v>522</v>
      </c>
      <c r="E153" s="186" t="s">
        <v>906</v>
      </c>
      <c r="F153" s="186" t="s">
        <v>907</v>
      </c>
      <c r="G153" s="186" t="s">
        <v>1102</v>
      </c>
      <c r="H153" s="186" t="s">
        <v>1174</v>
      </c>
      <c r="I153" s="187" t="s">
        <v>1187</v>
      </c>
      <c r="J153" s="187" t="s">
        <v>1188</v>
      </c>
      <c r="K153" s="188"/>
      <c r="L153" s="188"/>
      <c r="M153" s="189" t="s">
        <v>847</v>
      </c>
      <c r="N153" s="190">
        <v>379.89</v>
      </c>
      <c r="O153" s="190">
        <f t="shared" si="16"/>
        <v>414.08</v>
      </c>
      <c r="P153" s="191">
        <f t="shared" si="17"/>
        <v>0</v>
      </c>
      <c r="Q153" s="192">
        <f t="shared" si="18"/>
        <v>0</v>
      </c>
      <c r="R153" s="193"/>
      <c r="S153" s="194"/>
      <c r="T153" s="195">
        <f t="shared" si="19"/>
        <v>0</v>
      </c>
      <c r="U153" s="195">
        <f t="shared" si="20"/>
        <v>0</v>
      </c>
      <c r="V153" s="195">
        <f t="shared" si="21"/>
        <v>0</v>
      </c>
      <c r="W153" s="196" t="e">
        <f t="shared" si="22"/>
        <v>#DIV/0!</v>
      </c>
      <c r="X153" s="197" t="e">
        <f t="shared" si="23"/>
        <v>#DIV/0!</v>
      </c>
      <c r="AG153" s="219" t="s">
        <v>1180</v>
      </c>
    </row>
    <row r="154" ht="11.4" customHeight="1" spans="1:34">
      <c r="A154" s="184" t="s">
        <v>1173</v>
      </c>
      <c r="B154" s="184" t="s">
        <v>113</v>
      </c>
      <c r="C154" s="184" t="s">
        <v>1101</v>
      </c>
      <c r="D154" s="185" t="s">
        <v>522</v>
      </c>
      <c r="E154" s="186" t="s">
        <v>906</v>
      </c>
      <c r="F154" s="186" t="s">
        <v>907</v>
      </c>
      <c r="G154" s="186" t="s">
        <v>1102</v>
      </c>
      <c r="H154" s="186" t="s">
        <v>1174</v>
      </c>
      <c r="I154" s="187" t="s">
        <v>1189</v>
      </c>
      <c r="J154" s="187" t="s">
        <v>1190</v>
      </c>
      <c r="K154" s="188"/>
      <c r="L154" s="188"/>
      <c r="M154" s="189" t="s">
        <v>847</v>
      </c>
      <c r="N154" s="190">
        <v>219.2</v>
      </c>
      <c r="O154" s="190">
        <f t="shared" si="16"/>
        <v>238.93</v>
      </c>
      <c r="P154" s="191">
        <f t="shared" si="17"/>
        <v>0</v>
      </c>
      <c r="Q154" s="192">
        <f t="shared" si="18"/>
        <v>0</v>
      </c>
      <c r="R154" s="193"/>
      <c r="S154" s="194"/>
      <c r="T154" s="195">
        <f t="shared" si="19"/>
        <v>0</v>
      </c>
      <c r="U154" s="195">
        <f t="shared" si="20"/>
        <v>0</v>
      </c>
      <c r="V154" s="195">
        <f t="shared" si="21"/>
        <v>0</v>
      </c>
      <c r="W154" s="196" t="e">
        <f t="shared" si="22"/>
        <v>#DIV/0!</v>
      </c>
      <c r="X154" s="197" t="e">
        <f t="shared" si="23"/>
        <v>#DIV/0!</v>
      </c>
      <c r="AG154" s="219" t="s">
        <v>1180</v>
      </c>
    </row>
    <row r="155" ht="11.4" customHeight="1" spans="1:34">
      <c r="A155" s="184" t="s">
        <v>1173</v>
      </c>
      <c r="B155" s="184" t="s">
        <v>113</v>
      </c>
      <c r="C155" s="184" t="s">
        <v>1101</v>
      </c>
      <c r="D155" s="185" t="s">
        <v>522</v>
      </c>
      <c r="E155" s="186" t="s">
        <v>906</v>
      </c>
      <c r="F155" s="186" t="s">
        <v>907</v>
      </c>
      <c r="G155" s="186" t="s">
        <v>1102</v>
      </c>
      <c r="H155" s="186" t="s">
        <v>1174</v>
      </c>
      <c r="I155" s="187" t="s">
        <v>1191</v>
      </c>
      <c r="J155" s="187" t="s">
        <v>1192</v>
      </c>
      <c r="K155" s="188"/>
      <c r="L155" s="188"/>
      <c r="M155" s="189" t="s">
        <v>847</v>
      </c>
      <c r="N155" s="190">
        <v>402.43</v>
      </c>
      <c r="O155" s="190">
        <f t="shared" si="16"/>
        <v>438.65</v>
      </c>
      <c r="P155" s="191">
        <f t="shared" si="17"/>
        <v>0</v>
      </c>
      <c r="Q155" s="192">
        <f t="shared" si="18"/>
        <v>0</v>
      </c>
      <c r="R155" s="193"/>
      <c r="S155" s="194"/>
      <c r="T155" s="195">
        <f t="shared" si="19"/>
        <v>0</v>
      </c>
      <c r="U155" s="195">
        <f t="shared" si="20"/>
        <v>0</v>
      </c>
      <c r="V155" s="195">
        <f t="shared" si="21"/>
        <v>0</v>
      </c>
      <c r="W155" s="196" t="e">
        <f t="shared" si="22"/>
        <v>#DIV/0!</v>
      </c>
      <c r="X155" s="197" t="e">
        <f t="shared" si="23"/>
        <v>#DIV/0!</v>
      </c>
      <c r="AG155" s="219" t="s">
        <v>1180</v>
      </c>
    </row>
    <row r="156" ht="11.4" customHeight="1" spans="1:34">
      <c r="A156" s="184" t="s">
        <v>1173</v>
      </c>
      <c r="B156" s="184" t="s">
        <v>113</v>
      </c>
      <c r="C156" s="184" t="s">
        <v>1101</v>
      </c>
      <c r="D156" s="185" t="s">
        <v>522</v>
      </c>
      <c r="E156" s="186" t="s">
        <v>906</v>
      </c>
      <c r="F156" s="186" t="s">
        <v>907</v>
      </c>
      <c r="G156" s="186" t="s">
        <v>1102</v>
      </c>
      <c r="H156" s="186" t="s">
        <v>1174</v>
      </c>
      <c r="I156" s="187" t="s">
        <v>1193</v>
      </c>
      <c r="J156" s="187" t="s">
        <v>1194</v>
      </c>
      <c r="K156" s="188"/>
      <c r="L156" s="188"/>
      <c r="M156" s="189" t="s">
        <v>847</v>
      </c>
      <c r="N156" s="190">
        <v>70.85</v>
      </c>
      <c r="O156" s="190">
        <f t="shared" si="16"/>
        <v>77.23</v>
      </c>
      <c r="P156" s="191">
        <f t="shared" si="17"/>
        <v>0</v>
      </c>
      <c r="Q156" s="192">
        <f t="shared" si="18"/>
        <v>0</v>
      </c>
      <c r="R156" s="193"/>
      <c r="S156" s="194"/>
      <c r="T156" s="195">
        <f t="shared" si="19"/>
        <v>0</v>
      </c>
      <c r="U156" s="195">
        <f t="shared" si="20"/>
        <v>0</v>
      </c>
      <c r="V156" s="195">
        <f t="shared" si="21"/>
        <v>0</v>
      </c>
      <c r="W156" s="196" t="e">
        <f t="shared" si="22"/>
        <v>#DIV/0!</v>
      </c>
      <c r="X156" s="197" t="e">
        <f t="shared" si="23"/>
        <v>#DIV/0!</v>
      </c>
      <c r="AG156" s="219" t="s">
        <v>1180</v>
      </c>
    </row>
    <row r="157" ht="11.4" customHeight="1" spans="1:34">
      <c r="A157" s="184" t="s">
        <v>1173</v>
      </c>
      <c r="B157" s="184" t="s">
        <v>113</v>
      </c>
      <c r="C157" s="184" t="s">
        <v>1101</v>
      </c>
      <c r="D157" s="185" t="s">
        <v>522</v>
      </c>
      <c r="E157" s="186" t="s">
        <v>906</v>
      </c>
      <c r="F157" s="186" t="s">
        <v>907</v>
      </c>
      <c r="G157" s="186" t="s">
        <v>1102</v>
      </c>
      <c r="H157" s="186" t="s">
        <v>1174</v>
      </c>
      <c r="I157" s="187" t="s">
        <v>1195</v>
      </c>
      <c r="J157" s="187" t="s">
        <v>1196</v>
      </c>
      <c r="K157" s="188"/>
      <c r="L157" s="188"/>
      <c r="M157" s="189" t="s">
        <v>847</v>
      </c>
      <c r="N157" s="190">
        <v>307.56</v>
      </c>
      <c r="O157" s="190">
        <f t="shared" si="16"/>
        <v>335.24</v>
      </c>
      <c r="P157" s="191">
        <f t="shared" si="17"/>
        <v>0</v>
      </c>
      <c r="Q157" s="192">
        <f t="shared" si="18"/>
        <v>0</v>
      </c>
      <c r="R157" s="193"/>
      <c r="S157" s="194"/>
      <c r="T157" s="195">
        <f t="shared" si="19"/>
        <v>0</v>
      </c>
      <c r="U157" s="195">
        <f t="shared" si="20"/>
        <v>0</v>
      </c>
      <c r="V157" s="195">
        <f t="shared" si="21"/>
        <v>0</v>
      </c>
      <c r="W157" s="196" t="e">
        <f t="shared" si="22"/>
        <v>#DIV/0!</v>
      </c>
      <c r="X157" s="197" t="e">
        <f t="shared" si="23"/>
        <v>#DIV/0!</v>
      </c>
      <c r="AG157" s="219" t="s">
        <v>1180</v>
      </c>
    </row>
    <row r="158" ht="11.4" customHeight="1" spans="1:34">
      <c r="A158" s="184" t="s">
        <v>1173</v>
      </c>
      <c r="B158" s="184" t="s">
        <v>113</v>
      </c>
      <c r="C158" s="184" t="s">
        <v>1101</v>
      </c>
      <c r="D158" s="185" t="s">
        <v>522</v>
      </c>
      <c r="E158" s="186" t="s">
        <v>906</v>
      </c>
      <c r="F158" s="186" t="s">
        <v>907</v>
      </c>
      <c r="G158" s="186" t="s">
        <v>1102</v>
      </c>
      <c r="H158" s="186" t="s">
        <v>1174</v>
      </c>
      <c r="I158" s="187" t="s">
        <v>1197</v>
      </c>
      <c r="J158" s="187" t="s">
        <v>1198</v>
      </c>
      <c r="K158" s="188"/>
      <c r="L158" s="188"/>
      <c r="M158" s="189" t="s">
        <v>847</v>
      </c>
      <c r="N158" s="190">
        <v>39.59</v>
      </c>
      <c r="O158" s="190">
        <f t="shared" si="16"/>
        <v>43.15</v>
      </c>
      <c r="P158" s="191">
        <f t="shared" si="17"/>
        <v>0</v>
      </c>
      <c r="Q158" s="192">
        <f t="shared" si="18"/>
        <v>0</v>
      </c>
      <c r="R158" s="193"/>
      <c r="S158" s="194"/>
      <c r="T158" s="195">
        <f t="shared" si="19"/>
        <v>0</v>
      </c>
      <c r="U158" s="195">
        <f t="shared" si="20"/>
        <v>0</v>
      </c>
      <c r="V158" s="195">
        <f t="shared" si="21"/>
        <v>0</v>
      </c>
      <c r="W158" s="196" t="e">
        <f t="shared" si="22"/>
        <v>#DIV/0!</v>
      </c>
      <c r="X158" s="197" t="e">
        <f t="shared" si="23"/>
        <v>#DIV/0!</v>
      </c>
      <c r="AG158" s="219" t="s">
        <v>1180</v>
      </c>
    </row>
    <row r="159" ht="11.4" customHeight="1" spans="1:34">
      <c r="A159" s="184" t="s">
        <v>1173</v>
      </c>
      <c r="B159" s="184" t="s">
        <v>113</v>
      </c>
      <c r="C159" s="184" t="s">
        <v>1101</v>
      </c>
      <c r="D159" s="185" t="s">
        <v>522</v>
      </c>
      <c r="E159" s="186" t="s">
        <v>906</v>
      </c>
      <c r="F159" s="186" t="s">
        <v>907</v>
      </c>
      <c r="G159" s="186" t="s">
        <v>1102</v>
      </c>
      <c r="H159" s="186" t="s">
        <v>1174</v>
      </c>
      <c r="I159" s="187" t="s">
        <v>1199</v>
      </c>
      <c r="J159" s="187" t="s">
        <v>1200</v>
      </c>
      <c r="K159" s="188"/>
      <c r="L159" s="188"/>
      <c r="M159" s="189" t="s">
        <v>847</v>
      </c>
      <c r="N159" s="190">
        <v>203.22</v>
      </c>
      <c r="O159" s="190">
        <f t="shared" si="16"/>
        <v>221.51</v>
      </c>
      <c r="P159" s="191">
        <f t="shared" si="17"/>
        <v>0</v>
      </c>
      <c r="Q159" s="192">
        <f t="shared" si="18"/>
        <v>0</v>
      </c>
      <c r="R159" s="193"/>
      <c r="S159" s="194"/>
      <c r="T159" s="195">
        <f t="shared" si="19"/>
        <v>0</v>
      </c>
      <c r="U159" s="195">
        <f t="shared" si="20"/>
        <v>0</v>
      </c>
      <c r="V159" s="195">
        <f t="shared" si="21"/>
        <v>0</v>
      </c>
      <c r="W159" s="196" t="e">
        <f t="shared" si="22"/>
        <v>#DIV/0!</v>
      </c>
      <c r="X159" s="197" t="e">
        <f t="shared" si="23"/>
        <v>#DIV/0!</v>
      </c>
      <c r="AG159" s="219" t="s">
        <v>1180</v>
      </c>
    </row>
    <row r="160" ht="11.4" customHeight="1" spans="1:34">
      <c r="A160" s="184" t="s">
        <v>1173</v>
      </c>
      <c r="B160" s="184" t="s">
        <v>113</v>
      </c>
      <c r="C160" s="184" t="s">
        <v>1101</v>
      </c>
      <c r="D160" s="185" t="s">
        <v>522</v>
      </c>
      <c r="E160" s="186" t="s">
        <v>906</v>
      </c>
      <c r="F160" s="186" t="s">
        <v>907</v>
      </c>
      <c r="G160" s="186" t="s">
        <v>1102</v>
      </c>
      <c r="H160" s="186" t="s">
        <v>1174</v>
      </c>
      <c r="I160" s="187" t="s">
        <v>1201</v>
      </c>
      <c r="J160" s="187" t="s">
        <v>1202</v>
      </c>
      <c r="K160" s="188"/>
      <c r="L160" s="188"/>
      <c r="M160" s="189" t="s">
        <v>847</v>
      </c>
      <c r="N160" s="190">
        <v>268.9</v>
      </c>
      <c r="O160" s="190">
        <f t="shared" si="16"/>
        <v>293.1</v>
      </c>
      <c r="P160" s="191">
        <f t="shared" si="17"/>
        <v>0</v>
      </c>
      <c r="Q160" s="192">
        <f t="shared" si="18"/>
        <v>0</v>
      </c>
      <c r="R160" s="193"/>
      <c r="S160" s="194"/>
      <c r="T160" s="195">
        <f t="shared" si="19"/>
        <v>0</v>
      </c>
      <c r="U160" s="195">
        <f t="shared" si="20"/>
        <v>0</v>
      </c>
      <c r="V160" s="195">
        <f t="shared" si="21"/>
        <v>0</v>
      </c>
      <c r="W160" s="196" t="e">
        <f t="shared" si="22"/>
        <v>#DIV/0!</v>
      </c>
      <c r="X160" s="197" t="e">
        <f t="shared" si="23"/>
        <v>#DIV/0!</v>
      </c>
      <c r="AG160" s="219" t="s">
        <v>1180</v>
      </c>
    </row>
    <row r="161" ht="11.4" customHeight="1" spans="1:34">
      <c r="A161" s="184" t="s">
        <v>1173</v>
      </c>
      <c r="B161" s="184" t="s">
        <v>113</v>
      </c>
      <c r="C161" s="184" t="s">
        <v>1101</v>
      </c>
      <c r="D161" s="185" t="s">
        <v>522</v>
      </c>
      <c r="E161" s="186" t="s">
        <v>906</v>
      </c>
      <c r="F161" s="186" t="s">
        <v>907</v>
      </c>
      <c r="G161" s="186" t="s">
        <v>1102</v>
      </c>
      <c r="H161" s="186" t="s">
        <v>1174</v>
      </c>
      <c r="I161" s="187" t="s">
        <v>1203</v>
      </c>
      <c r="J161" s="187" t="s">
        <v>1204</v>
      </c>
      <c r="K161" s="188"/>
      <c r="L161" s="188"/>
      <c r="M161" s="189" t="s">
        <v>847</v>
      </c>
      <c r="N161" s="190">
        <v>17.39</v>
      </c>
      <c r="O161" s="190">
        <f t="shared" si="16"/>
        <v>18.96</v>
      </c>
      <c r="P161" s="191">
        <f t="shared" si="17"/>
        <v>0</v>
      </c>
      <c r="Q161" s="192">
        <f t="shared" si="18"/>
        <v>0</v>
      </c>
      <c r="R161" s="193"/>
      <c r="S161" s="194"/>
      <c r="T161" s="195">
        <f t="shared" si="19"/>
        <v>0</v>
      </c>
      <c r="U161" s="195">
        <f t="shared" si="20"/>
        <v>0</v>
      </c>
      <c r="V161" s="195">
        <f t="shared" si="21"/>
        <v>0</v>
      </c>
      <c r="W161" s="196" t="e">
        <f t="shared" si="22"/>
        <v>#DIV/0!</v>
      </c>
      <c r="X161" s="197" t="e">
        <f t="shared" si="23"/>
        <v>#DIV/0!</v>
      </c>
      <c r="AH161" s="219" t="s">
        <v>1205</v>
      </c>
    </row>
    <row r="162" ht="11.4" customHeight="1" spans="1:34">
      <c r="A162" s="184" t="s">
        <v>1173</v>
      </c>
      <c r="B162" s="184" t="s">
        <v>113</v>
      </c>
      <c r="C162" s="184" t="s">
        <v>1101</v>
      </c>
      <c r="D162" s="185" t="s">
        <v>522</v>
      </c>
      <c r="E162" s="186" t="s">
        <v>906</v>
      </c>
      <c r="F162" s="186" t="s">
        <v>907</v>
      </c>
      <c r="G162" s="186" t="s">
        <v>1102</v>
      </c>
      <c r="H162" s="186" t="s">
        <v>1174</v>
      </c>
      <c r="I162" s="187" t="s">
        <v>1206</v>
      </c>
      <c r="J162" s="187" t="s">
        <v>1207</v>
      </c>
      <c r="K162" s="188"/>
      <c r="L162" s="188"/>
      <c r="M162" s="189" t="s">
        <v>847</v>
      </c>
      <c r="N162" s="190">
        <v>266.78</v>
      </c>
      <c r="O162" s="190">
        <f t="shared" si="16"/>
        <v>290.79</v>
      </c>
      <c r="P162" s="191">
        <f t="shared" si="17"/>
        <v>0</v>
      </c>
      <c r="Q162" s="192">
        <f t="shared" si="18"/>
        <v>0</v>
      </c>
      <c r="R162" s="193"/>
      <c r="S162" s="194"/>
      <c r="T162" s="195">
        <f t="shared" si="19"/>
        <v>0</v>
      </c>
      <c r="U162" s="195">
        <f t="shared" si="20"/>
        <v>0</v>
      </c>
      <c r="V162" s="195">
        <f t="shared" si="21"/>
        <v>0</v>
      </c>
      <c r="W162" s="196" t="e">
        <f t="shared" si="22"/>
        <v>#DIV/0!</v>
      </c>
      <c r="X162" s="197" t="e">
        <f t="shared" si="23"/>
        <v>#DIV/0!</v>
      </c>
      <c r="AG162" s="219" t="s">
        <v>1180</v>
      </c>
    </row>
    <row r="163" ht="11.4" customHeight="1" spans="1:34">
      <c r="A163" s="184" t="s">
        <v>1173</v>
      </c>
      <c r="B163" s="184" t="s">
        <v>113</v>
      </c>
      <c r="C163" s="184" t="s">
        <v>1101</v>
      </c>
      <c r="D163" s="185" t="s">
        <v>522</v>
      </c>
      <c r="E163" s="186" t="s">
        <v>906</v>
      </c>
      <c r="F163" s="186" t="s">
        <v>907</v>
      </c>
      <c r="G163" s="186" t="s">
        <v>1102</v>
      </c>
      <c r="H163" s="186" t="s">
        <v>1174</v>
      </c>
      <c r="I163" s="187" t="s">
        <v>1208</v>
      </c>
      <c r="J163" s="187" t="s">
        <v>1209</v>
      </c>
      <c r="K163" s="188"/>
      <c r="L163" s="188"/>
      <c r="M163" s="189" t="s">
        <v>847</v>
      </c>
      <c r="N163" s="190">
        <v>283.28</v>
      </c>
      <c r="O163" s="190">
        <f t="shared" si="16"/>
        <v>308.78</v>
      </c>
      <c r="P163" s="191">
        <f t="shared" si="17"/>
        <v>0</v>
      </c>
      <c r="Q163" s="192">
        <f t="shared" si="18"/>
        <v>0</v>
      </c>
      <c r="R163" s="193"/>
      <c r="S163" s="194"/>
      <c r="T163" s="195">
        <f t="shared" si="19"/>
        <v>0</v>
      </c>
      <c r="U163" s="195">
        <f t="shared" si="20"/>
        <v>0</v>
      </c>
      <c r="V163" s="195">
        <f t="shared" si="21"/>
        <v>0</v>
      </c>
      <c r="W163" s="196" t="e">
        <f t="shared" si="22"/>
        <v>#DIV/0!</v>
      </c>
      <c r="X163" s="197" t="e">
        <f t="shared" si="23"/>
        <v>#DIV/0!</v>
      </c>
      <c r="AG163" s="219" t="s">
        <v>1180</v>
      </c>
    </row>
    <row r="164" ht="11.4" customHeight="1" spans="1:34">
      <c r="A164" s="184" t="s">
        <v>1173</v>
      </c>
      <c r="B164" s="184" t="s">
        <v>113</v>
      </c>
      <c r="C164" s="184" t="s">
        <v>1101</v>
      </c>
      <c r="D164" s="185" t="s">
        <v>522</v>
      </c>
      <c r="E164" s="186" t="s">
        <v>906</v>
      </c>
      <c r="F164" s="186" t="s">
        <v>907</v>
      </c>
      <c r="G164" s="186" t="s">
        <v>1102</v>
      </c>
      <c r="H164" s="186" t="s">
        <v>1174</v>
      </c>
      <c r="I164" s="187" t="s">
        <v>1210</v>
      </c>
      <c r="J164" s="187" t="s">
        <v>1211</v>
      </c>
      <c r="K164" s="188"/>
      <c r="L164" s="188"/>
      <c r="M164" s="189" t="s">
        <v>847</v>
      </c>
      <c r="N164" s="190">
        <v>288.72</v>
      </c>
      <c r="O164" s="190">
        <f t="shared" si="16"/>
        <v>314.7</v>
      </c>
      <c r="P164" s="191">
        <f t="shared" si="17"/>
        <v>0</v>
      </c>
      <c r="Q164" s="192">
        <f t="shared" si="18"/>
        <v>0</v>
      </c>
      <c r="R164" s="193"/>
      <c r="S164" s="194"/>
      <c r="T164" s="195">
        <f t="shared" si="19"/>
        <v>0</v>
      </c>
      <c r="U164" s="195">
        <f t="shared" si="20"/>
        <v>0</v>
      </c>
      <c r="V164" s="195">
        <f t="shared" si="21"/>
        <v>0</v>
      </c>
      <c r="W164" s="196" t="e">
        <f t="shared" si="22"/>
        <v>#DIV/0!</v>
      </c>
      <c r="X164" s="197" t="e">
        <f t="shared" si="23"/>
        <v>#DIV/0!</v>
      </c>
      <c r="AG164" s="219" t="s">
        <v>1180</v>
      </c>
    </row>
    <row r="165" ht="11.4" customHeight="1" spans="1:34">
      <c r="A165" s="184" t="s">
        <v>1173</v>
      </c>
      <c r="B165" s="184" t="s">
        <v>113</v>
      </c>
      <c r="C165" s="184" t="s">
        <v>1101</v>
      </c>
      <c r="D165" s="185" t="s">
        <v>522</v>
      </c>
      <c r="E165" s="186" t="s">
        <v>906</v>
      </c>
      <c r="F165" s="186" t="s">
        <v>907</v>
      </c>
      <c r="G165" s="186" t="s">
        <v>1102</v>
      </c>
      <c r="H165" s="186" t="s">
        <v>1174</v>
      </c>
      <c r="I165" s="187" t="s">
        <v>1212</v>
      </c>
      <c r="J165" s="187" t="s">
        <v>1213</v>
      </c>
      <c r="K165" s="188"/>
      <c r="L165" s="188"/>
      <c r="M165" s="189" t="s">
        <v>847</v>
      </c>
      <c r="N165" s="190">
        <v>267.97</v>
      </c>
      <c r="O165" s="190">
        <f t="shared" si="16"/>
        <v>292.09</v>
      </c>
      <c r="P165" s="191">
        <f t="shared" si="17"/>
        <v>0</v>
      </c>
      <c r="Q165" s="192">
        <f t="shared" si="18"/>
        <v>0</v>
      </c>
      <c r="R165" s="193"/>
      <c r="S165" s="194"/>
      <c r="T165" s="195">
        <f t="shared" si="19"/>
        <v>0</v>
      </c>
      <c r="U165" s="195">
        <f t="shared" si="20"/>
        <v>0</v>
      </c>
      <c r="V165" s="195">
        <f t="shared" si="21"/>
        <v>0</v>
      </c>
      <c r="W165" s="196" t="e">
        <f t="shared" si="22"/>
        <v>#DIV/0!</v>
      </c>
      <c r="X165" s="197" t="e">
        <f t="shared" si="23"/>
        <v>#DIV/0!</v>
      </c>
      <c r="AG165" s="219" t="s">
        <v>1180</v>
      </c>
    </row>
    <row r="166" ht="11.4" customHeight="1" spans="1:34">
      <c r="A166" s="184" t="s">
        <v>1173</v>
      </c>
      <c r="B166" s="184" t="s">
        <v>113</v>
      </c>
      <c r="C166" s="184" t="s">
        <v>1101</v>
      </c>
      <c r="D166" s="185" t="s">
        <v>522</v>
      </c>
      <c r="E166" s="186" t="s">
        <v>906</v>
      </c>
      <c r="F166" s="186" t="s">
        <v>907</v>
      </c>
      <c r="G166" s="186" t="s">
        <v>1102</v>
      </c>
      <c r="H166" s="186" t="s">
        <v>1174</v>
      </c>
      <c r="I166" s="187" t="s">
        <v>1214</v>
      </c>
      <c r="J166" s="187" t="s">
        <v>1215</v>
      </c>
      <c r="K166" s="188"/>
      <c r="L166" s="188"/>
      <c r="M166" s="189" t="s">
        <v>847</v>
      </c>
      <c r="N166" s="190">
        <v>284.47</v>
      </c>
      <c r="O166" s="190">
        <f t="shared" si="16"/>
        <v>310.07</v>
      </c>
      <c r="P166" s="191">
        <f t="shared" si="17"/>
        <v>0</v>
      </c>
      <c r="Q166" s="192">
        <f t="shared" si="18"/>
        <v>0</v>
      </c>
      <c r="R166" s="193"/>
      <c r="S166" s="194"/>
      <c r="T166" s="195">
        <f t="shared" si="19"/>
        <v>0</v>
      </c>
      <c r="U166" s="195">
        <f t="shared" si="20"/>
        <v>0</v>
      </c>
      <c r="V166" s="195">
        <f t="shared" si="21"/>
        <v>0</v>
      </c>
      <c r="W166" s="196" t="e">
        <f t="shared" si="22"/>
        <v>#DIV/0!</v>
      </c>
      <c r="X166" s="197" t="e">
        <f t="shared" si="23"/>
        <v>#DIV/0!</v>
      </c>
      <c r="AG166" s="219" t="s">
        <v>1180</v>
      </c>
    </row>
    <row r="167" ht="11.4" customHeight="1" spans="1:34">
      <c r="A167" s="184" t="s">
        <v>1173</v>
      </c>
      <c r="B167" s="184" t="s">
        <v>113</v>
      </c>
      <c r="C167" s="184" t="s">
        <v>1101</v>
      </c>
      <c r="D167" s="185" t="s">
        <v>522</v>
      </c>
      <c r="E167" s="186" t="s">
        <v>906</v>
      </c>
      <c r="F167" s="186" t="s">
        <v>907</v>
      </c>
      <c r="G167" s="186" t="s">
        <v>1102</v>
      </c>
      <c r="H167" s="186" t="s">
        <v>1174</v>
      </c>
      <c r="I167" s="187" t="s">
        <v>1216</v>
      </c>
      <c r="J167" s="187" t="s">
        <v>1217</v>
      </c>
      <c r="K167" s="188"/>
      <c r="L167" s="188"/>
      <c r="M167" s="189" t="s">
        <v>847</v>
      </c>
      <c r="N167" s="190">
        <v>288.72</v>
      </c>
      <c r="O167" s="190">
        <f t="shared" si="16"/>
        <v>314.7</v>
      </c>
      <c r="P167" s="191">
        <f t="shared" si="17"/>
        <v>0</v>
      </c>
      <c r="Q167" s="192">
        <f t="shared" si="18"/>
        <v>0</v>
      </c>
      <c r="R167" s="193"/>
      <c r="S167" s="194"/>
      <c r="T167" s="195">
        <f t="shared" si="19"/>
        <v>0</v>
      </c>
      <c r="U167" s="195">
        <f t="shared" si="20"/>
        <v>0</v>
      </c>
      <c r="V167" s="195">
        <f t="shared" si="21"/>
        <v>0</v>
      </c>
      <c r="W167" s="196" t="e">
        <f t="shared" si="22"/>
        <v>#DIV/0!</v>
      </c>
      <c r="X167" s="197" t="e">
        <f t="shared" si="23"/>
        <v>#DIV/0!</v>
      </c>
      <c r="AG167" s="219" t="s">
        <v>1180</v>
      </c>
    </row>
    <row r="168" ht="11.4" customHeight="1" spans="1:34">
      <c r="A168" s="184" t="s">
        <v>1173</v>
      </c>
      <c r="B168" s="184" t="s">
        <v>113</v>
      </c>
      <c r="C168" s="184" t="s">
        <v>1101</v>
      </c>
      <c r="D168" s="185" t="s">
        <v>522</v>
      </c>
      <c r="E168" s="186" t="s">
        <v>906</v>
      </c>
      <c r="F168" s="186" t="s">
        <v>907</v>
      </c>
      <c r="G168" s="186" t="s">
        <v>1102</v>
      </c>
      <c r="H168" s="186" t="s">
        <v>1174</v>
      </c>
      <c r="I168" s="187" t="s">
        <v>1218</v>
      </c>
      <c r="J168" s="187" t="s">
        <v>1219</v>
      </c>
      <c r="K168" s="188"/>
      <c r="L168" s="188"/>
      <c r="M168" s="189" t="s">
        <v>847</v>
      </c>
      <c r="N168" s="190">
        <v>250.15</v>
      </c>
      <c r="O168" s="190">
        <f t="shared" si="16"/>
        <v>272.66</v>
      </c>
      <c r="P168" s="191">
        <f t="shared" si="17"/>
        <v>0</v>
      </c>
      <c r="Q168" s="192">
        <f t="shared" si="18"/>
        <v>0</v>
      </c>
      <c r="R168" s="193"/>
      <c r="S168" s="194"/>
      <c r="T168" s="195">
        <f t="shared" si="19"/>
        <v>0</v>
      </c>
      <c r="U168" s="195">
        <f t="shared" si="20"/>
        <v>0</v>
      </c>
      <c r="V168" s="195">
        <f t="shared" si="21"/>
        <v>0</v>
      </c>
      <c r="W168" s="196" t="e">
        <f t="shared" si="22"/>
        <v>#DIV/0!</v>
      </c>
      <c r="X168" s="197" t="e">
        <f t="shared" si="23"/>
        <v>#DIV/0!</v>
      </c>
      <c r="AG168" s="219" t="s">
        <v>1180</v>
      </c>
    </row>
    <row r="169" ht="11.4" customHeight="1" spans="1:34">
      <c r="A169" s="184" t="s">
        <v>1173</v>
      </c>
      <c r="B169" s="184" t="s">
        <v>113</v>
      </c>
      <c r="C169" s="184" t="s">
        <v>1101</v>
      </c>
      <c r="D169" s="185" t="s">
        <v>522</v>
      </c>
      <c r="E169" s="186" t="s">
        <v>906</v>
      </c>
      <c r="F169" s="186" t="s">
        <v>907</v>
      </c>
      <c r="G169" s="186" t="s">
        <v>1102</v>
      </c>
      <c r="H169" s="186" t="s">
        <v>1174</v>
      </c>
      <c r="I169" s="187" t="s">
        <v>1220</v>
      </c>
      <c r="J169" s="187" t="s">
        <v>1221</v>
      </c>
      <c r="K169" s="188"/>
      <c r="L169" s="188"/>
      <c r="M169" s="189" t="s">
        <v>847</v>
      </c>
      <c r="N169" s="190">
        <v>288.04</v>
      </c>
      <c r="O169" s="190">
        <f t="shared" si="16"/>
        <v>313.96</v>
      </c>
      <c r="P169" s="191">
        <f t="shared" si="17"/>
        <v>0</v>
      </c>
      <c r="Q169" s="192">
        <f t="shared" si="18"/>
        <v>0</v>
      </c>
      <c r="R169" s="193"/>
      <c r="S169" s="194"/>
      <c r="T169" s="195">
        <f t="shared" si="19"/>
        <v>0</v>
      </c>
      <c r="U169" s="195">
        <f t="shared" si="20"/>
        <v>0</v>
      </c>
      <c r="V169" s="195">
        <f t="shared" si="21"/>
        <v>0</v>
      </c>
      <c r="W169" s="196" t="e">
        <f t="shared" si="22"/>
        <v>#DIV/0!</v>
      </c>
      <c r="X169" s="197" t="e">
        <f t="shared" si="23"/>
        <v>#DIV/0!</v>
      </c>
      <c r="AG169" s="219" t="s">
        <v>1180</v>
      </c>
    </row>
    <row r="170" ht="11.4" customHeight="1" spans="1:34">
      <c r="A170" s="184" t="s">
        <v>1173</v>
      </c>
      <c r="B170" s="184" t="s">
        <v>113</v>
      </c>
      <c r="C170" s="184" t="s">
        <v>1101</v>
      </c>
      <c r="D170" s="185" t="s">
        <v>522</v>
      </c>
      <c r="E170" s="186" t="s">
        <v>906</v>
      </c>
      <c r="F170" s="186" t="s">
        <v>907</v>
      </c>
      <c r="G170" s="186" t="s">
        <v>1102</v>
      </c>
      <c r="H170" s="186" t="s">
        <v>1174</v>
      </c>
      <c r="I170" s="187" t="s">
        <v>1222</v>
      </c>
      <c r="J170" s="187" t="s">
        <v>1223</v>
      </c>
      <c r="K170" s="188"/>
      <c r="L170" s="188"/>
      <c r="M170" s="189" t="s">
        <v>847</v>
      </c>
      <c r="N170" s="190">
        <v>270.9</v>
      </c>
      <c r="O170" s="190">
        <f t="shared" si="16"/>
        <v>295.28</v>
      </c>
      <c r="P170" s="191">
        <f t="shared" si="17"/>
        <v>0</v>
      </c>
      <c r="Q170" s="192">
        <f t="shared" si="18"/>
        <v>0</v>
      </c>
      <c r="R170" s="193"/>
      <c r="S170" s="194"/>
      <c r="T170" s="195">
        <f t="shared" si="19"/>
        <v>0</v>
      </c>
      <c r="U170" s="195">
        <f t="shared" si="20"/>
        <v>0</v>
      </c>
      <c r="V170" s="195">
        <f t="shared" si="21"/>
        <v>0</v>
      </c>
      <c r="W170" s="196" t="e">
        <f t="shared" si="22"/>
        <v>#DIV/0!</v>
      </c>
      <c r="X170" s="197" t="e">
        <f t="shared" si="23"/>
        <v>#DIV/0!</v>
      </c>
      <c r="AG170" s="219" t="s">
        <v>1180</v>
      </c>
    </row>
    <row r="171" ht="11.4" customHeight="1" spans="1:34">
      <c r="A171" s="184" t="s">
        <v>1173</v>
      </c>
      <c r="B171" s="184" t="s">
        <v>113</v>
      </c>
      <c r="C171" s="184" t="s">
        <v>1101</v>
      </c>
      <c r="D171" s="185" t="s">
        <v>522</v>
      </c>
      <c r="E171" s="186" t="s">
        <v>906</v>
      </c>
      <c r="F171" s="186" t="s">
        <v>907</v>
      </c>
      <c r="G171" s="186" t="s">
        <v>1102</v>
      </c>
      <c r="H171" s="186" t="s">
        <v>1174</v>
      </c>
      <c r="I171" s="187" t="s">
        <v>1224</v>
      </c>
      <c r="J171" s="187" t="s">
        <v>1225</v>
      </c>
      <c r="K171" s="188"/>
      <c r="L171" s="188"/>
      <c r="M171" s="189" t="s">
        <v>847</v>
      </c>
      <c r="N171" s="190">
        <v>385.58</v>
      </c>
      <c r="O171" s="190">
        <f t="shared" si="16"/>
        <v>420.28</v>
      </c>
      <c r="P171" s="191">
        <f t="shared" si="17"/>
        <v>0</v>
      </c>
      <c r="Q171" s="192">
        <f t="shared" si="18"/>
        <v>0</v>
      </c>
      <c r="R171" s="193"/>
      <c r="S171" s="194"/>
      <c r="T171" s="195">
        <f t="shared" si="19"/>
        <v>0</v>
      </c>
      <c r="U171" s="195">
        <f t="shared" si="20"/>
        <v>0</v>
      </c>
      <c r="V171" s="195">
        <f t="shared" si="21"/>
        <v>0</v>
      </c>
      <c r="W171" s="196" t="e">
        <f t="shared" si="22"/>
        <v>#DIV/0!</v>
      </c>
      <c r="X171" s="197" t="e">
        <f t="shared" si="23"/>
        <v>#DIV/0!</v>
      </c>
      <c r="AG171" s="219" t="s">
        <v>1180</v>
      </c>
    </row>
    <row r="172" ht="11.4" customHeight="1" spans="1:34">
      <c r="A172" s="184" t="s">
        <v>1173</v>
      </c>
      <c r="B172" s="184" t="s">
        <v>113</v>
      </c>
      <c r="C172" s="184" t="s">
        <v>1101</v>
      </c>
      <c r="D172" s="185" t="s">
        <v>522</v>
      </c>
      <c r="E172" s="186" t="s">
        <v>906</v>
      </c>
      <c r="F172" s="186" t="s">
        <v>907</v>
      </c>
      <c r="G172" s="186" t="s">
        <v>1102</v>
      </c>
      <c r="H172" s="186" t="s">
        <v>1174</v>
      </c>
      <c r="I172" s="187" t="s">
        <v>1226</v>
      </c>
      <c r="J172" s="187" t="s">
        <v>1227</v>
      </c>
      <c r="K172" s="188"/>
      <c r="L172" s="188"/>
      <c r="M172" s="189" t="s">
        <v>847</v>
      </c>
      <c r="N172" s="190">
        <v>454.36</v>
      </c>
      <c r="O172" s="190">
        <f t="shared" si="16"/>
        <v>495.25</v>
      </c>
      <c r="P172" s="191">
        <f t="shared" si="17"/>
        <v>0</v>
      </c>
      <c r="Q172" s="192">
        <f t="shared" si="18"/>
        <v>0</v>
      </c>
      <c r="R172" s="193"/>
      <c r="S172" s="194"/>
      <c r="T172" s="195">
        <f t="shared" si="19"/>
        <v>0</v>
      </c>
      <c r="U172" s="195">
        <f t="shared" si="20"/>
        <v>0</v>
      </c>
      <c r="V172" s="195">
        <f t="shared" si="21"/>
        <v>0</v>
      </c>
      <c r="W172" s="196" t="e">
        <f t="shared" si="22"/>
        <v>#DIV/0!</v>
      </c>
      <c r="X172" s="197" t="e">
        <f t="shared" si="23"/>
        <v>#DIV/0!</v>
      </c>
      <c r="AG172" s="219" t="s">
        <v>1180</v>
      </c>
    </row>
    <row r="173" ht="11.4" customHeight="1" spans="1:34">
      <c r="A173" s="184" t="s">
        <v>1173</v>
      </c>
      <c r="B173" s="184" t="s">
        <v>113</v>
      </c>
      <c r="C173" s="184" t="s">
        <v>1101</v>
      </c>
      <c r="D173" s="185" t="s">
        <v>522</v>
      </c>
      <c r="E173" s="186" t="s">
        <v>906</v>
      </c>
      <c r="F173" s="186" t="s">
        <v>907</v>
      </c>
      <c r="G173" s="186" t="s">
        <v>1102</v>
      </c>
      <c r="H173" s="186" t="s">
        <v>1174</v>
      </c>
      <c r="I173" s="187" t="s">
        <v>1228</v>
      </c>
      <c r="J173" s="187" t="s">
        <v>1229</v>
      </c>
      <c r="K173" s="188"/>
      <c r="L173" s="188"/>
      <c r="M173" s="189" t="s">
        <v>847</v>
      </c>
      <c r="N173" s="190">
        <v>406.33</v>
      </c>
      <c r="O173" s="190">
        <f t="shared" si="16"/>
        <v>442.9</v>
      </c>
      <c r="P173" s="191">
        <f t="shared" si="17"/>
        <v>0</v>
      </c>
      <c r="Q173" s="192">
        <f t="shared" si="18"/>
        <v>0</v>
      </c>
      <c r="R173" s="193"/>
      <c r="S173" s="194"/>
      <c r="T173" s="195">
        <f t="shared" si="19"/>
        <v>0</v>
      </c>
      <c r="U173" s="195">
        <f t="shared" si="20"/>
        <v>0</v>
      </c>
      <c r="V173" s="195">
        <f t="shared" si="21"/>
        <v>0</v>
      </c>
      <c r="W173" s="196" t="e">
        <f t="shared" si="22"/>
        <v>#DIV/0!</v>
      </c>
      <c r="X173" s="197" t="e">
        <f t="shared" si="23"/>
        <v>#DIV/0!</v>
      </c>
      <c r="AG173" s="219" t="s">
        <v>1180</v>
      </c>
    </row>
    <row r="174" ht="11.4" customHeight="1" spans="1:34">
      <c r="A174" s="184" t="s">
        <v>1173</v>
      </c>
      <c r="B174" s="184" t="s">
        <v>113</v>
      </c>
      <c r="C174" s="184" t="s">
        <v>1101</v>
      </c>
      <c r="D174" s="185" t="s">
        <v>522</v>
      </c>
      <c r="E174" s="186" t="s">
        <v>906</v>
      </c>
      <c r="F174" s="186" t="s">
        <v>907</v>
      </c>
      <c r="G174" s="186" t="s">
        <v>1102</v>
      </c>
      <c r="H174" s="186" t="s">
        <v>1174</v>
      </c>
      <c r="I174" s="187" t="s">
        <v>1230</v>
      </c>
      <c r="J174" s="187" t="s">
        <v>1231</v>
      </c>
      <c r="K174" s="188"/>
      <c r="L174" s="188"/>
      <c r="M174" s="189" t="s">
        <v>847</v>
      </c>
      <c r="N174" s="190">
        <v>387.96</v>
      </c>
      <c r="O174" s="190">
        <f t="shared" si="16"/>
        <v>422.88</v>
      </c>
      <c r="P174" s="191">
        <f t="shared" si="17"/>
        <v>0</v>
      </c>
      <c r="Q174" s="192">
        <f t="shared" si="18"/>
        <v>0</v>
      </c>
      <c r="R174" s="193"/>
      <c r="S174" s="194"/>
      <c r="T174" s="195">
        <f t="shared" si="19"/>
        <v>0</v>
      </c>
      <c r="U174" s="195">
        <f t="shared" si="20"/>
        <v>0</v>
      </c>
      <c r="V174" s="195">
        <f t="shared" si="21"/>
        <v>0</v>
      </c>
      <c r="W174" s="196" t="e">
        <f t="shared" si="22"/>
        <v>#DIV/0!</v>
      </c>
      <c r="X174" s="197" t="e">
        <f t="shared" si="23"/>
        <v>#DIV/0!</v>
      </c>
      <c r="AG174" s="219" t="s">
        <v>1180</v>
      </c>
    </row>
    <row r="175" ht="11.4" customHeight="1" spans="1:34">
      <c r="A175" s="184" t="s">
        <v>1173</v>
      </c>
      <c r="B175" s="184" t="s">
        <v>113</v>
      </c>
      <c r="C175" s="184" t="s">
        <v>1101</v>
      </c>
      <c r="D175" s="185" t="s">
        <v>522</v>
      </c>
      <c r="E175" s="186" t="s">
        <v>906</v>
      </c>
      <c r="F175" s="186" t="s">
        <v>907</v>
      </c>
      <c r="G175" s="186" t="s">
        <v>1102</v>
      </c>
      <c r="H175" s="186" t="s">
        <v>1174</v>
      </c>
      <c r="I175" s="187" t="s">
        <v>1232</v>
      </c>
      <c r="J175" s="187" t="s">
        <v>1233</v>
      </c>
      <c r="K175" s="188"/>
      <c r="L175" s="188"/>
      <c r="M175" s="189" t="s">
        <v>847</v>
      </c>
      <c r="N175" s="190">
        <v>404.46</v>
      </c>
      <c r="O175" s="190">
        <f t="shared" si="16"/>
        <v>440.86</v>
      </c>
      <c r="P175" s="191">
        <f t="shared" si="17"/>
        <v>0</v>
      </c>
      <c r="Q175" s="192">
        <f t="shared" si="18"/>
        <v>0</v>
      </c>
      <c r="R175" s="193"/>
      <c r="S175" s="194"/>
      <c r="T175" s="195">
        <f t="shared" si="19"/>
        <v>0</v>
      </c>
      <c r="U175" s="195">
        <f t="shared" si="20"/>
        <v>0</v>
      </c>
      <c r="V175" s="195">
        <f t="shared" si="21"/>
        <v>0</v>
      </c>
      <c r="W175" s="196" t="e">
        <f t="shared" si="22"/>
        <v>#DIV/0!</v>
      </c>
      <c r="X175" s="197" t="e">
        <f t="shared" si="23"/>
        <v>#DIV/0!</v>
      </c>
      <c r="AG175" s="219" t="s">
        <v>1180</v>
      </c>
    </row>
    <row r="176" ht="11.4" customHeight="1" spans="1:34">
      <c r="A176" s="184" t="s">
        <v>1173</v>
      </c>
      <c r="B176" s="184" t="s">
        <v>113</v>
      </c>
      <c r="C176" s="184" t="s">
        <v>1101</v>
      </c>
      <c r="D176" s="185" t="s">
        <v>522</v>
      </c>
      <c r="E176" s="186" t="s">
        <v>906</v>
      </c>
      <c r="F176" s="186" t="s">
        <v>907</v>
      </c>
      <c r="G176" s="186" t="s">
        <v>1102</v>
      </c>
      <c r="H176" s="186" t="s">
        <v>1174</v>
      </c>
      <c r="I176" s="187" t="s">
        <v>1234</v>
      </c>
      <c r="J176" s="187" t="s">
        <v>1235</v>
      </c>
      <c r="K176" s="188"/>
      <c r="L176" s="188"/>
      <c r="M176" s="189" t="s">
        <v>847</v>
      </c>
      <c r="N176" s="190">
        <v>408.71</v>
      </c>
      <c r="O176" s="190">
        <f t="shared" si="16"/>
        <v>445.49</v>
      </c>
      <c r="P176" s="191">
        <f t="shared" si="17"/>
        <v>0</v>
      </c>
      <c r="Q176" s="192">
        <f t="shared" si="18"/>
        <v>0</v>
      </c>
      <c r="R176" s="193"/>
      <c r="S176" s="194"/>
      <c r="T176" s="195">
        <f t="shared" si="19"/>
        <v>0</v>
      </c>
      <c r="U176" s="195">
        <f t="shared" si="20"/>
        <v>0</v>
      </c>
      <c r="V176" s="195">
        <f t="shared" si="21"/>
        <v>0</v>
      </c>
      <c r="W176" s="196" t="e">
        <f t="shared" si="22"/>
        <v>#DIV/0!</v>
      </c>
      <c r="X176" s="197" t="e">
        <f t="shared" si="23"/>
        <v>#DIV/0!</v>
      </c>
      <c r="AG176" s="219" t="s">
        <v>1180</v>
      </c>
    </row>
    <row r="177" ht="11.4" customHeight="1" spans="1:33">
      <c r="A177" s="184" t="s">
        <v>1173</v>
      </c>
      <c r="B177" s="184" t="s">
        <v>113</v>
      </c>
      <c r="C177" s="184" t="s">
        <v>1101</v>
      </c>
      <c r="D177" s="185" t="s">
        <v>522</v>
      </c>
      <c r="E177" s="186" t="s">
        <v>906</v>
      </c>
      <c r="F177" s="186" t="s">
        <v>907</v>
      </c>
      <c r="G177" s="186" t="s">
        <v>1102</v>
      </c>
      <c r="H177" s="186" t="s">
        <v>1174</v>
      </c>
      <c r="I177" s="187" t="s">
        <v>1236</v>
      </c>
      <c r="J177" s="187" t="s">
        <v>1237</v>
      </c>
      <c r="K177" s="188"/>
      <c r="L177" s="188"/>
      <c r="M177" s="189" t="s">
        <v>847</v>
      </c>
      <c r="N177" s="190">
        <v>385.58</v>
      </c>
      <c r="O177" s="190">
        <f t="shared" si="16"/>
        <v>420.28</v>
      </c>
      <c r="P177" s="191">
        <f t="shared" si="17"/>
        <v>0</v>
      </c>
      <c r="Q177" s="192">
        <f t="shared" si="18"/>
        <v>0</v>
      </c>
      <c r="R177" s="193"/>
      <c r="S177" s="194"/>
      <c r="T177" s="195">
        <f t="shared" si="19"/>
        <v>0</v>
      </c>
      <c r="U177" s="195">
        <f t="shared" si="20"/>
        <v>0</v>
      </c>
      <c r="V177" s="195">
        <f t="shared" si="21"/>
        <v>0</v>
      </c>
      <c r="W177" s="196" t="e">
        <f t="shared" si="22"/>
        <v>#DIV/0!</v>
      </c>
      <c r="X177" s="197" t="e">
        <f t="shared" si="23"/>
        <v>#DIV/0!</v>
      </c>
      <c r="AG177" s="219" t="s">
        <v>1180</v>
      </c>
    </row>
    <row r="178" ht="11.4" customHeight="1" spans="1:33">
      <c r="A178" s="184" t="s">
        <v>1173</v>
      </c>
      <c r="B178" s="184" t="s">
        <v>113</v>
      </c>
      <c r="C178" s="184" t="s">
        <v>1101</v>
      </c>
      <c r="D178" s="185" t="s">
        <v>522</v>
      </c>
      <c r="E178" s="186" t="s">
        <v>906</v>
      </c>
      <c r="F178" s="186" t="s">
        <v>907</v>
      </c>
      <c r="G178" s="186" t="s">
        <v>1102</v>
      </c>
      <c r="H178" s="186" t="s">
        <v>1174</v>
      </c>
      <c r="I178" s="187" t="s">
        <v>1238</v>
      </c>
      <c r="J178" s="187" t="s">
        <v>1239</v>
      </c>
      <c r="K178" s="188"/>
      <c r="L178" s="188"/>
      <c r="M178" s="189" t="s">
        <v>847</v>
      </c>
      <c r="N178" s="190">
        <v>402.08</v>
      </c>
      <c r="O178" s="190">
        <f t="shared" si="16"/>
        <v>438.27</v>
      </c>
      <c r="P178" s="191">
        <f t="shared" si="17"/>
        <v>0</v>
      </c>
      <c r="Q178" s="192">
        <f t="shared" si="18"/>
        <v>0</v>
      </c>
      <c r="R178" s="193"/>
      <c r="S178" s="194"/>
      <c r="T178" s="195">
        <f t="shared" si="19"/>
        <v>0</v>
      </c>
      <c r="U178" s="195">
        <f t="shared" si="20"/>
        <v>0</v>
      </c>
      <c r="V178" s="195">
        <f t="shared" si="21"/>
        <v>0</v>
      </c>
      <c r="W178" s="196" t="e">
        <f t="shared" si="22"/>
        <v>#DIV/0!</v>
      </c>
      <c r="X178" s="197" t="e">
        <f t="shared" si="23"/>
        <v>#DIV/0!</v>
      </c>
      <c r="AG178" s="219" t="s">
        <v>1180</v>
      </c>
    </row>
    <row r="179" ht="11.4" customHeight="1" spans="1:33">
      <c r="A179" s="184" t="s">
        <v>1173</v>
      </c>
      <c r="B179" s="184" t="s">
        <v>113</v>
      </c>
      <c r="C179" s="184" t="s">
        <v>1101</v>
      </c>
      <c r="D179" s="185" t="s">
        <v>522</v>
      </c>
      <c r="E179" s="186" t="s">
        <v>906</v>
      </c>
      <c r="F179" s="186" t="s">
        <v>907</v>
      </c>
      <c r="G179" s="186" t="s">
        <v>1102</v>
      </c>
      <c r="H179" s="186" t="s">
        <v>1174</v>
      </c>
      <c r="I179" s="187" t="s">
        <v>1240</v>
      </c>
      <c r="J179" s="187" t="s">
        <v>1241</v>
      </c>
      <c r="K179" s="188"/>
      <c r="L179" s="188"/>
      <c r="M179" s="189" t="s">
        <v>847</v>
      </c>
      <c r="N179" s="190">
        <v>406.33</v>
      </c>
      <c r="O179" s="190">
        <f t="shared" si="16"/>
        <v>442.9</v>
      </c>
      <c r="P179" s="191">
        <f t="shared" si="17"/>
        <v>0</v>
      </c>
      <c r="Q179" s="192">
        <f t="shared" si="18"/>
        <v>0</v>
      </c>
      <c r="R179" s="193"/>
      <c r="S179" s="194"/>
      <c r="T179" s="195">
        <f t="shared" si="19"/>
        <v>0</v>
      </c>
      <c r="U179" s="195">
        <f t="shared" si="20"/>
        <v>0</v>
      </c>
      <c r="V179" s="195">
        <f t="shared" si="21"/>
        <v>0</v>
      </c>
      <c r="W179" s="196" t="e">
        <f t="shared" si="22"/>
        <v>#DIV/0!</v>
      </c>
      <c r="X179" s="197" t="e">
        <f t="shared" si="23"/>
        <v>#DIV/0!</v>
      </c>
      <c r="AG179" s="219" t="s">
        <v>1180</v>
      </c>
    </row>
    <row r="180" ht="11.4" customHeight="1" spans="1:33">
      <c r="A180" s="184" t="s">
        <v>1173</v>
      </c>
      <c r="B180" s="184" t="s">
        <v>113</v>
      </c>
      <c r="C180" s="184" t="s">
        <v>1101</v>
      </c>
      <c r="D180" s="185" t="s">
        <v>522</v>
      </c>
      <c r="E180" s="186" t="s">
        <v>906</v>
      </c>
      <c r="F180" s="186" t="s">
        <v>907</v>
      </c>
      <c r="G180" s="186" t="s">
        <v>1102</v>
      </c>
      <c r="H180" s="186" t="s">
        <v>1174</v>
      </c>
      <c r="I180" s="187" t="s">
        <v>1242</v>
      </c>
      <c r="J180" s="187" t="s">
        <v>1243</v>
      </c>
      <c r="K180" s="188"/>
      <c r="L180" s="188"/>
      <c r="M180" s="189" t="s">
        <v>847</v>
      </c>
      <c r="N180" s="190">
        <v>676.14</v>
      </c>
      <c r="O180" s="190">
        <f t="shared" si="16"/>
        <v>736.99</v>
      </c>
      <c r="P180" s="191">
        <f t="shared" si="17"/>
        <v>0</v>
      </c>
      <c r="Q180" s="192">
        <f t="shared" si="18"/>
        <v>0</v>
      </c>
      <c r="R180" s="193"/>
      <c r="S180" s="194"/>
      <c r="T180" s="195">
        <f t="shared" si="19"/>
        <v>0</v>
      </c>
      <c r="U180" s="195">
        <f t="shared" si="20"/>
        <v>0</v>
      </c>
      <c r="V180" s="195">
        <f t="shared" si="21"/>
        <v>0</v>
      </c>
      <c r="W180" s="196" t="e">
        <f t="shared" si="22"/>
        <v>#DIV/0!</v>
      </c>
      <c r="X180" s="197" t="e">
        <f t="shared" si="23"/>
        <v>#DIV/0!</v>
      </c>
      <c r="AG180" s="219" t="s">
        <v>1180</v>
      </c>
    </row>
    <row r="181" ht="11.4" customHeight="1" spans="1:33">
      <c r="A181" s="184" t="s">
        <v>1173</v>
      </c>
      <c r="B181" s="184" t="s">
        <v>113</v>
      </c>
      <c r="C181" s="184" t="s">
        <v>1101</v>
      </c>
      <c r="D181" s="185" t="s">
        <v>522</v>
      </c>
      <c r="E181" s="186" t="s">
        <v>906</v>
      </c>
      <c r="F181" s="186" t="s">
        <v>907</v>
      </c>
      <c r="G181" s="186" t="s">
        <v>1102</v>
      </c>
      <c r="H181" s="186" t="s">
        <v>1174</v>
      </c>
      <c r="I181" s="187" t="s">
        <v>1244</v>
      </c>
      <c r="J181" s="187" t="s">
        <v>1245</v>
      </c>
      <c r="K181" s="188"/>
      <c r="L181" s="188"/>
      <c r="M181" s="189" t="s">
        <v>847</v>
      </c>
      <c r="N181" s="190">
        <v>214.82</v>
      </c>
      <c r="O181" s="190">
        <f t="shared" si="16"/>
        <v>234.15</v>
      </c>
      <c r="P181" s="191">
        <f t="shared" si="17"/>
        <v>0</v>
      </c>
      <c r="Q181" s="192">
        <f t="shared" si="18"/>
        <v>0</v>
      </c>
      <c r="R181" s="193"/>
      <c r="S181" s="194"/>
      <c r="T181" s="195">
        <f t="shared" si="19"/>
        <v>0</v>
      </c>
      <c r="U181" s="195">
        <f t="shared" si="20"/>
        <v>0</v>
      </c>
      <c r="V181" s="195">
        <f t="shared" si="21"/>
        <v>0</v>
      </c>
      <c r="W181" s="196" t="e">
        <f t="shared" si="22"/>
        <v>#DIV/0!</v>
      </c>
      <c r="X181" s="197" t="e">
        <f t="shared" si="23"/>
        <v>#DIV/0!</v>
      </c>
      <c r="AG181" s="219" t="s">
        <v>1180</v>
      </c>
    </row>
    <row r="182" ht="11.4" customHeight="1" spans="1:33">
      <c r="A182" s="184" t="s">
        <v>1173</v>
      </c>
      <c r="B182" s="184" t="s">
        <v>113</v>
      </c>
      <c r="C182" s="184" t="s">
        <v>1101</v>
      </c>
      <c r="D182" s="185" t="s">
        <v>522</v>
      </c>
      <c r="E182" s="186" t="s">
        <v>906</v>
      </c>
      <c r="F182" s="186" t="s">
        <v>907</v>
      </c>
      <c r="G182" s="186" t="s">
        <v>1102</v>
      </c>
      <c r="H182" s="186" t="s">
        <v>1174</v>
      </c>
      <c r="I182" s="187" t="s">
        <v>1246</v>
      </c>
      <c r="J182" s="187" t="s">
        <v>1247</v>
      </c>
      <c r="K182" s="188"/>
      <c r="L182" s="188"/>
      <c r="M182" s="189" t="s">
        <v>847</v>
      </c>
      <c r="N182" s="190">
        <v>241.44</v>
      </c>
      <c r="O182" s="190">
        <f t="shared" si="16"/>
        <v>263.17</v>
      </c>
      <c r="P182" s="191">
        <f t="shared" si="17"/>
        <v>0</v>
      </c>
      <c r="Q182" s="192">
        <f t="shared" si="18"/>
        <v>0</v>
      </c>
      <c r="R182" s="193"/>
      <c r="S182" s="194"/>
      <c r="T182" s="195">
        <f t="shared" si="19"/>
        <v>0</v>
      </c>
      <c r="U182" s="195">
        <f t="shared" si="20"/>
        <v>0</v>
      </c>
      <c r="V182" s="195">
        <f t="shared" si="21"/>
        <v>0</v>
      </c>
      <c r="W182" s="196" t="e">
        <f t="shared" si="22"/>
        <v>#DIV/0!</v>
      </c>
      <c r="X182" s="197" t="e">
        <f t="shared" si="23"/>
        <v>#DIV/0!</v>
      </c>
      <c r="AG182" s="219" t="s">
        <v>1180</v>
      </c>
    </row>
    <row r="183" ht="11.4" customHeight="1" spans="1:33">
      <c r="A183" s="184" t="s">
        <v>1173</v>
      </c>
      <c r="B183" s="184" t="s">
        <v>113</v>
      </c>
      <c r="C183" s="184" t="s">
        <v>1101</v>
      </c>
      <c r="D183" s="185" t="s">
        <v>522</v>
      </c>
      <c r="E183" s="186" t="s">
        <v>906</v>
      </c>
      <c r="F183" s="186" t="s">
        <v>907</v>
      </c>
      <c r="G183" s="186" t="s">
        <v>1102</v>
      </c>
      <c r="H183" s="186" t="s">
        <v>1174</v>
      </c>
      <c r="I183" s="187" t="s">
        <v>1248</v>
      </c>
      <c r="J183" s="187" t="s">
        <v>1249</v>
      </c>
      <c r="K183" s="188"/>
      <c r="L183" s="188"/>
      <c r="M183" s="189" t="s">
        <v>847</v>
      </c>
      <c r="N183" s="190">
        <v>224.5</v>
      </c>
      <c r="O183" s="190">
        <f t="shared" si="16"/>
        <v>244.71</v>
      </c>
      <c r="P183" s="191">
        <f t="shared" si="17"/>
        <v>0</v>
      </c>
      <c r="Q183" s="192">
        <f t="shared" si="18"/>
        <v>0</v>
      </c>
      <c r="R183" s="193"/>
      <c r="S183" s="194"/>
      <c r="T183" s="195">
        <f t="shared" si="19"/>
        <v>0</v>
      </c>
      <c r="U183" s="195">
        <f t="shared" si="20"/>
        <v>0</v>
      </c>
      <c r="V183" s="195">
        <f t="shared" si="21"/>
        <v>0</v>
      </c>
      <c r="W183" s="196" t="e">
        <f t="shared" si="22"/>
        <v>#DIV/0!</v>
      </c>
      <c r="X183" s="197" t="e">
        <f t="shared" si="23"/>
        <v>#DIV/0!</v>
      </c>
      <c r="AG183" s="219" t="s">
        <v>1180</v>
      </c>
    </row>
    <row r="184" ht="11.4" customHeight="1" spans="1:33">
      <c r="A184" s="184" t="s">
        <v>1173</v>
      </c>
      <c r="B184" s="184" t="s">
        <v>113</v>
      </c>
      <c r="C184" s="184" t="s">
        <v>1101</v>
      </c>
      <c r="D184" s="185" t="s">
        <v>522</v>
      </c>
      <c r="E184" s="186" t="s">
        <v>906</v>
      </c>
      <c r="F184" s="186" t="s">
        <v>907</v>
      </c>
      <c r="G184" s="186" t="s">
        <v>1102</v>
      </c>
      <c r="H184" s="186" t="s">
        <v>1174</v>
      </c>
      <c r="I184" s="187" t="s">
        <v>1250</v>
      </c>
      <c r="J184" s="187" t="s">
        <v>1251</v>
      </c>
      <c r="K184" s="188"/>
      <c r="L184" s="188"/>
      <c r="M184" s="189" t="s">
        <v>847</v>
      </c>
      <c r="N184" s="190">
        <v>195.76</v>
      </c>
      <c r="O184" s="190">
        <f t="shared" si="16"/>
        <v>213.38</v>
      </c>
      <c r="P184" s="191">
        <f t="shared" si="17"/>
        <v>0</v>
      </c>
      <c r="Q184" s="192">
        <f t="shared" si="18"/>
        <v>0</v>
      </c>
      <c r="R184" s="193"/>
      <c r="S184" s="194"/>
      <c r="T184" s="195">
        <f t="shared" si="19"/>
        <v>0</v>
      </c>
      <c r="U184" s="195">
        <f t="shared" si="20"/>
        <v>0</v>
      </c>
      <c r="V184" s="195">
        <f t="shared" si="21"/>
        <v>0</v>
      </c>
      <c r="W184" s="196" t="e">
        <f t="shared" si="22"/>
        <v>#DIV/0!</v>
      </c>
      <c r="X184" s="197" t="e">
        <f t="shared" si="23"/>
        <v>#DIV/0!</v>
      </c>
      <c r="AG184" s="219" t="s">
        <v>1180</v>
      </c>
    </row>
    <row r="185" ht="11.4" customHeight="1" spans="1:33">
      <c r="A185" s="184" t="s">
        <v>1173</v>
      </c>
      <c r="B185" s="184" t="s">
        <v>113</v>
      </c>
      <c r="C185" s="184" t="s">
        <v>1101</v>
      </c>
      <c r="D185" s="185" t="s">
        <v>522</v>
      </c>
      <c r="E185" s="186" t="s">
        <v>906</v>
      </c>
      <c r="F185" s="186" t="s">
        <v>907</v>
      </c>
      <c r="G185" s="186" t="s">
        <v>1102</v>
      </c>
      <c r="H185" s="186" t="s">
        <v>1174</v>
      </c>
      <c r="I185" s="187" t="s">
        <v>1252</v>
      </c>
      <c r="J185" s="187" t="s">
        <v>1253</v>
      </c>
      <c r="K185" s="188"/>
      <c r="L185" s="188"/>
      <c r="M185" s="189" t="s">
        <v>847</v>
      </c>
      <c r="N185" s="190">
        <v>223.29</v>
      </c>
      <c r="O185" s="190">
        <f t="shared" si="16"/>
        <v>243.39</v>
      </c>
      <c r="P185" s="191">
        <f t="shared" si="17"/>
        <v>0</v>
      </c>
      <c r="Q185" s="192">
        <f t="shared" si="18"/>
        <v>0</v>
      </c>
      <c r="R185" s="193"/>
      <c r="S185" s="194"/>
      <c r="T185" s="195">
        <f t="shared" si="19"/>
        <v>0</v>
      </c>
      <c r="U185" s="195">
        <f t="shared" si="20"/>
        <v>0</v>
      </c>
      <c r="V185" s="195">
        <f t="shared" si="21"/>
        <v>0</v>
      </c>
      <c r="W185" s="196" t="e">
        <f t="shared" si="22"/>
        <v>#DIV/0!</v>
      </c>
      <c r="X185" s="197" t="e">
        <f t="shared" si="23"/>
        <v>#DIV/0!</v>
      </c>
      <c r="AG185" s="219" t="s">
        <v>1180</v>
      </c>
    </row>
    <row r="186" ht="11.4" customHeight="1" spans="1:33">
      <c r="A186" s="184" t="s">
        <v>1173</v>
      </c>
      <c r="B186" s="184" t="s">
        <v>113</v>
      </c>
      <c r="C186" s="184" t="s">
        <v>1101</v>
      </c>
      <c r="D186" s="185" t="s">
        <v>522</v>
      </c>
      <c r="E186" s="186" t="s">
        <v>906</v>
      </c>
      <c r="F186" s="186" t="s">
        <v>907</v>
      </c>
      <c r="G186" s="186" t="s">
        <v>1102</v>
      </c>
      <c r="H186" s="186" t="s">
        <v>1174</v>
      </c>
      <c r="I186" s="187" t="s">
        <v>1254</v>
      </c>
      <c r="J186" s="187" t="s">
        <v>1255</v>
      </c>
      <c r="K186" s="188"/>
      <c r="L186" s="188"/>
      <c r="M186" s="189" t="s">
        <v>847</v>
      </c>
      <c r="N186" s="190">
        <v>195.76</v>
      </c>
      <c r="O186" s="190">
        <f t="shared" si="16"/>
        <v>213.38</v>
      </c>
      <c r="P186" s="191">
        <f t="shared" si="17"/>
        <v>0</v>
      </c>
      <c r="Q186" s="192">
        <f t="shared" si="18"/>
        <v>0</v>
      </c>
      <c r="R186" s="193"/>
      <c r="S186" s="194"/>
      <c r="T186" s="195">
        <f t="shared" si="19"/>
        <v>0</v>
      </c>
      <c r="U186" s="195">
        <f t="shared" si="20"/>
        <v>0</v>
      </c>
      <c r="V186" s="195">
        <f t="shared" si="21"/>
        <v>0</v>
      </c>
      <c r="W186" s="196" t="e">
        <f t="shared" si="22"/>
        <v>#DIV/0!</v>
      </c>
      <c r="X186" s="197" t="e">
        <f t="shared" si="23"/>
        <v>#DIV/0!</v>
      </c>
      <c r="AG186" s="219" t="s">
        <v>1180</v>
      </c>
    </row>
    <row r="187" ht="11.4" customHeight="1" spans="1:33">
      <c r="A187" s="184" t="s">
        <v>1173</v>
      </c>
      <c r="B187" s="184" t="s">
        <v>113</v>
      </c>
      <c r="C187" s="184" t="s">
        <v>1101</v>
      </c>
      <c r="D187" s="185" t="s">
        <v>522</v>
      </c>
      <c r="E187" s="186" t="s">
        <v>906</v>
      </c>
      <c r="F187" s="186" t="s">
        <v>907</v>
      </c>
      <c r="G187" s="186" t="s">
        <v>1102</v>
      </c>
      <c r="H187" s="186" t="s">
        <v>1174</v>
      </c>
      <c r="I187" s="187" t="s">
        <v>1256</v>
      </c>
      <c r="J187" s="187" t="s">
        <v>1257</v>
      </c>
      <c r="K187" s="188"/>
      <c r="L187" s="188"/>
      <c r="M187" s="189" t="s">
        <v>847</v>
      </c>
      <c r="N187" s="190">
        <v>214.82</v>
      </c>
      <c r="O187" s="190">
        <f t="shared" si="16"/>
        <v>234.15</v>
      </c>
      <c r="P187" s="191">
        <f t="shared" si="17"/>
        <v>0</v>
      </c>
      <c r="Q187" s="192">
        <f t="shared" si="18"/>
        <v>0</v>
      </c>
      <c r="R187" s="193"/>
      <c r="S187" s="194"/>
      <c r="T187" s="195">
        <f t="shared" si="19"/>
        <v>0</v>
      </c>
      <c r="U187" s="195">
        <f t="shared" si="20"/>
        <v>0</v>
      </c>
      <c r="V187" s="195">
        <f t="shared" si="21"/>
        <v>0</v>
      </c>
      <c r="W187" s="196" t="e">
        <f t="shared" si="22"/>
        <v>#DIV/0!</v>
      </c>
      <c r="X187" s="197" t="e">
        <f t="shared" si="23"/>
        <v>#DIV/0!</v>
      </c>
      <c r="AG187" s="219" t="s">
        <v>1180</v>
      </c>
    </row>
    <row r="188" ht="11.4" customHeight="1" spans="1:33">
      <c r="A188" s="184" t="s">
        <v>1173</v>
      </c>
      <c r="B188" s="184" t="s">
        <v>113</v>
      </c>
      <c r="C188" s="184" t="s">
        <v>1101</v>
      </c>
      <c r="D188" s="185" t="s">
        <v>522</v>
      </c>
      <c r="E188" s="186" t="s">
        <v>906</v>
      </c>
      <c r="F188" s="186" t="s">
        <v>907</v>
      </c>
      <c r="G188" s="186" t="s">
        <v>1102</v>
      </c>
      <c r="H188" s="186" t="s">
        <v>1174</v>
      </c>
      <c r="I188" s="187" t="s">
        <v>1258</v>
      </c>
      <c r="J188" s="187" t="s">
        <v>1259</v>
      </c>
      <c r="K188" s="188"/>
      <c r="L188" s="188"/>
      <c r="M188" s="189" t="s">
        <v>847</v>
      </c>
      <c r="N188" s="190">
        <v>236.6</v>
      </c>
      <c r="O188" s="190">
        <f t="shared" si="16"/>
        <v>257.89</v>
      </c>
      <c r="P188" s="191">
        <f t="shared" si="17"/>
        <v>0</v>
      </c>
      <c r="Q188" s="192">
        <f t="shared" si="18"/>
        <v>0</v>
      </c>
      <c r="R188" s="193"/>
      <c r="S188" s="194"/>
      <c r="T188" s="195">
        <f t="shared" si="19"/>
        <v>0</v>
      </c>
      <c r="U188" s="195">
        <f t="shared" si="20"/>
        <v>0</v>
      </c>
      <c r="V188" s="195">
        <f t="shared" si="21"/>
        <v>0</v>
      </c>
      <c r="W188" s="196" t="e">
        <f t="shared" si="22"/>
        <v>#DIV/0!</v>
      </c>
      <c r="X188" s="197" t="e">
        <f t="shared" si="23"/>
        <v>#DIV/0!</v>
      </c>
      <c r="AG188" s="219" t="s">
        <v>1180</v>
      </c>
    </row>
    <row r="189" ht="11.4" customHeight="1" spans="1:33">
      <c r="A189" s="184" t="s">
        <v>1173</v>
      </c>
      <c r="B189" s="184" t="s">
        <v>113</v>
      </c>
      <c r="C189" s="184" t="s">
        <v>1101</v>
      </c>
      <c r="D189" s="185" t="s">
        <v>522</v>
      </c>
      <c r="E189" s="186" t="s">
        <v>906</v>
      </c>
      <c r="F189" s="186" t="s">
        <v>907</v>
      </c>
      <c r="G189" s="186" t="s">
        <v>1102</v>
      </c>
      <c r="H189" s="186" t="s">
        <v>1174</v>
      </c>
      <c r="I189" s="187" t="s">
        <v>1260</v>
      </c>
      <c r="J189" s="187" t="s">
        <v>1261</v>
      </c>
      <c r="K189" s="188"/>
      <c r="L189" s="188"/>
      <c r="M189" s="189" t="s">
        <v>847</v>
      </c>
      <c r="N189" s="190">
        <v>224.5</v>
      </c>
      <c r="O189" s="190">
        <f t="shared" si="16"/>
        <v>244.71</v>
      </c>
      <c r="P189" s="191">
        <f t="shared" si="17"/>
        <v>0</v>
      </c>
      <c r="Q189" s="192">
        <f t="shared" si="18"/>
        <v>0</v>
      </c>
      <c r="R189" s="193"/>
      <c r="S189" s="194"/>
      <c r="T189" s="195">
        <f t="shared" si="19"/>
        <v>0</v>
      </c>
      <c r="U189" s="195">
        <f t="shared" si="20"/>
        <v>0</v>
      </c>
      <c r="V189" s="195">
        <f t="shared" si="21"/>
        <v>0</v>
      </c>
      <c r="W189" s="196" t="e">
        <f t="shared" si="22"/>
        <v>#DIV/0!</v>
      </c>
      <c r="X189" s="197" t="e">
        <f t="shared" si="23"/>
        <v>#DIV/0!</v>
      </c>
      <c r="AG189" s="219" t="s">
        <v>1180</v>
      </c>
    </row>
    <row r="190" ht="11.4" customHeight="1" spans="1:33">
      <c r="A190" s="184" t="s">
        <v>1173</v>
      </c>
      <c r="B190" s="184" t="s">
        <v>113</v>
      </c>
      <c r="C190" s="184" t="s">
        <v>1101</v>
      </c>
      <c r="D190" s="185" t="s">
        <v>522</v>
      </c>
      <c r="E190" s="186" t="s">
        <v>906</v>
      </c>
      <c r="F190" s="186" t="s">
        <v>907</v>
      </c>
      <c r="G190" s="186" t="s">
        <v>1102</v>
      </c>
      <c r="H190" s="186" t="s">
        <v>1174</v>
      </c>
      <c r="I190" s="187" t="s">
        <v>1262</v>
      </c>
      <c r="J190" s="222" t="s">
        <v>1263</v>
      </c>
      <c r="K190" s="188"/>
      <c r="L190" s="188"/>
      <c r="M190" s="189" t="s">
        <v>807</v>
      </c>
      <c r="N190" s="190">
        <v>56.04</v>
      </c>
      <c r="O190" s="190">
        <f t="shared" si="16"/>
        <v>61.08</v>
      </c>
      <c r="P190" s="191">
        <f t="shared" si="17"/>
        <v>0</v>
      </c>
      <c r="Q190" s="192">
        <f t="shared" si="18"/>
        <v>0</v>
      </c>
      <c r="R190" s="193"/>
      <c r="S190" s="194"/>
      <c r="T190" s="195">
        <f t="shared" si="19"/>
        <v>0</v>
      </c>
      <c r="U190" s="195">
        <f t="shared" si="20"/>
        <v>0</v>
      </c>
      <c r="V190" s="195">
        <f t="shared" si="21"/>
        <v>0</v>
      </c>
      <c r="W190" s="196" t="e">
        <f t="shared" si="22"/>
        <v>#DIV/0!</v>
      </c>
      <c r="X190" s="197" t="e">
        <f t="shared" si="23"/>
        <v>#DIV/0!</v>
      </c>
    </row>
    <row r="191" ht="11.4" customHeight="1" spans="1:33">
      <c r="A191" s="184" t="s">
        <v>1173</v>
      </c>
      <c r="B191" s="184" t="s">
        <v>113</v>
      </c>
      <c r="C191" s="184" t="s">
        <v>1101</v>
      </c>
      <c r="D191" s="185" t="s">
        <v>522</v>
      </c>
      <c r="E191" s="186" t="s">
        <v>906</v>
      </c>
      <c r="F191" s="186" t="s">
        <v>907</v>
      </c>
      <c r="G191" s="186" t="s">
        <v>1102</v>
      </c>
      <c r="H191" s="186" t="s">
        <v>1174</v>
      </c>
      <c r="I191" s="187" t="s">
        <v>1264</v>
      </c>
      <c r="J191" s="187" t="s">
        <v>1265</v>
      </c>
      <c r="K191" s="188"/>
      <c r="L191" s="188"/>
      <c r="M191" s="189" t="s">
        <v>847</v>
      </c>
      <c r="N191" s="190">
        <v>93.15</v>
      </c>
      <c r="O191" s="190">
        <f t="shared" si="16"/>
        <v>101.53</v>
      </c>
      <c r="P191" s="191">
        <f t="shared" si="17"/>
        <v>0</v>
      </c>
      <c r="Q191" s="192">
        <f t="shared" si="18"/>
        <v>0</v>
      </c>
      <c r="R191" s="193"/>
      <c r="S191" s="194"/>
      <c r="T191" s="195">
        <f t="shared" si="19"/>
        <v>0</v>
      </c>
      <c r="U191" s="195">
        <f t="shared" si="20"/>
        <v>0</v>
      </c>
      <c r="V191" s="195">
        <f t="shared" si="21"/>
        <v>0</v>
      </c>
      <c r="W191" s="196" t="e">
        <f t="shared" si="22"/>
        <v>#DIV/0!</v>
      </c>
      <c r="X191" s="197" t="e">
        <f t="shared" si="23"/>
        <v>#DIV/0!</v>
      </c>
      <c r="AG191" s="219" t="s">
        <v>865</v>
      </c>
    </row>
    <row r="192" ht="11.4" customHeight="1" spans="1:33">
      <c r="A192" s="184" t="s">
        <v>1173</v>
      </c>
      <c r="B192" s="184" t="s">
        <v>113</v>
      </c>
      <c r="C192" s="184" t="s">
        <v>1101</v>
      </c>
      <c r="D192" s="185" t="s">
        <v>522</v>
      </c>
      <c r="E192" s="186" t="s">
        <v>906</v>
      </c>
      <c r="F192" s="186" t="s">
        <v>907</v>
      </c>
      <c r="G192" s="186" t="s">
        <v>1102</v>
      </c>
      <c r="H192" s="186" t="s">
        <v>1174</v>
      </c>
      <c r="I192" s="187" t="s">
        <v>1266</v>
      </c>
      <c r="J192" s="187" t="s">
        <v>1267</v>
      </c>
      <c r="K192" s="188"/>
      <c r="L192" s="188"/>
      <c r="M192" s="189" t="s">
        <v>847</v>
      </c>
      <c r="N192" s="190">
        <v>197.35</v>
      </c>
      <c r="O192" s="190">
        <f t="shared" si="16"/>
        <v>215.11</v>
      </c>
      <c r="P192" s="191">
        <f t="shared" si="17"/>
        <v>0</v>
      </c>
      <c r="Q192" s="192">
        <f t="shared" si="18"/>
        <v>0</v>
      </c>
      <c r="R192" s="193"/>
      <c r="S192" s="194"/>
      <c r="T192" s="195">
        <f t="shared" si="19"/>
        <v>0</v>
      </c>
      <c r="U192" s="195">
        <f t="shared" si="20"/>
        <v>0</v>
      </c>
      <c r="V192" s="195">
        <f t="shared" si="21"/>
        <v>0</v>
      </c>
      <c r="W192" s="196" t="e">
        <f t="shared" si="22"/>
        <v>#DIV/0!</v>
      </c>
      <c r="X192" s="197" t="e">
        <f t="shared" si="23"/>
        <v>#DIV/0!</v>
      </c>
      <c r="AG192" s="219" t="s">
        <v>865</v>
      </c>
    </row>
    <row r="193" ht="11.4" customHeight="1" spans="1:33">
      <c r="A193" s="184" t="s">
        <v>1173</v>
      </c>
      <c r="B193" s="184" t="s">
        <v>113</v>
      </c>
      <c r="C193" s="184" t="s">
        <v>1101</v>
      </c>
      <c r="D193" s="185" t="s">
        <v>522</v>
      </c>
      <c r="E193" s="186" t="s">
        <v>906</v>
      </c>
      <c r="F193" s="186" t="s">
        <v>907</v>
      </c>
      <c r="G193" s="186" t="s">
        <v>1102</v>
      </c>
      <c r="H193" s="186" t="s">
        <v>1174</v>
      </c>
      <c r="I193" s="187" t="s">
        <v>1268</v>
      </c>
      <c r="J193" s="187" t="s">
        <v>1269</v>
      </c>
      <c r="K193" s="188"/>
      <c r="L193" s="188"/>
      <c r="M193" s="189" t="s">
        <v>847</v>
      </c>
      <c r="N193" s="190">
        <v>189.53</v>
      </c>
      <c r="O193" s="190">
        <f t="shared" si="16"/>
        <v>206.59</v>
      </c>
      <c r="P193" s="191">
        <f t="shared" si="17"/>
        <v>0</v>
      </c>
      <c r="Q193" s="192">
        <f t="shared" si="18"/>
        <v>0</v>
      </c>
      <c r="R193" s="193"/>
      <c r="S193" s="194"/>
      <c r="T193" s="195">
        <f t="shared" si="19"/>
        <v>0</v>
      </c>
      <c r="U193" s="195">
        <f t="shared" si="20"/>
        <v>0</v>
      </c>
      <c r="V193" s="195">
        <f t="shared" si="21"/>
        <v>0</v>
      </c>
      <c r="W193" s="196" t="e">
        <f t="shared" si="22"/>
        <v>#DIV/0!</v>
      </c>
      <c r="X193" s="197" t="e">
        <f t="shared" si="23"/>
        <v>#DIV/0!</v>
      </c>
      <c r="AG193" s="219" t="s">
        <v>865</v>
      </c>
    </row>
    <row r="194" ht="11.4" customHeight="1" spans="1:33">
      <c r="A194" s="184" t="s">
        <v>1173</v>
      </c>
      <c r="B194" s="184" t="s">
        <v>113</v>
      </c>
      <c r="C194" s="184" t="s">
        <v>1101</v>
      </c>
      <c r="D194" s="185" t="s">
        <v>522</v>
      </c>
      <c r="E194" s="186" t="s">
        <v>906</v>
      </c>
      <c r="F194" s="186" t="s">
        <v>907</v>
      </c>
      <c r="G194" s="186" t="s">
        <v>1102</v>
      </c>
      <c r="H194" s="186" t="s">
        <v>1174</v>
      </c>
      <c r="I194" s="187" t="s">
        <v>1270</v>
      </c>
      <c r="J194" s="187" t="s">
        <v>1271</v>
      </c>
      <c r="K194" s="188"/>
      <c r="L194" s="188"/>
      <c r="M194" s="189" t="s">
        <v>847</v>
      </c>
      <c r="N194" s="190">
        <v>200.98</v>
      </c>
      <c r="O194" s="190">
        <f t="shared" si="16"/>
        <v>219.07</v>
      </c>
      <c r="P194" s="191">
        <f t="shared" si="17"/>
        <v>0</v>
      </c>
      <c r="Q194" s="192">
        <f t="shared" si="18"/>
        <v>0</v>
      </c>
      <c r="R194" s="193"/>
      <c r="S194" s="194"/>
      <c r="T194" s="195">
        <f t="shared" si="19"/>
        <v>0</v>
      </c>
      <c r="U194" s="195">
        <f t="shared" si="20"/>
        <v>0</v>
      </c>
      <c r="V194" s="195">
        <f t="shared" si="21"/>
        <v>0</v>
      </c>
      <c r="W194" s="196" t="e">
        <f t="shared" si="22"/>
        <v>#DIV/0!</v>
      </c>
      <c r="X194" s="197" t="e">
        <f t="shared" si="23"/>
        <v>#DIV/0!</v>
      </c>
      <c r="AG194" s="219" t="s">
        <v>865</v>
      </c>
    </row>
    <row r="195" ht="11.4" customHeight="1" spans="1:33">
      <c r="A195" s="184" t="s">
        <v>1173</v>
      </c>
      <c r="B195" s="184" t="s">
        <v>113</v>
      </c>
      <c r="C195" s="184" t="s">
        <v>1101</v>
      </c>
      <c r="D195" s="185" t="s">
        <v>522</v>
      </c>
      <c r="E195" s="186" t="s">
        <v>906</v>
      </c>
      <c r="F195" s="186" t="s">
        <v>907</v>
      </c>
      <c r="G195" s="186" t="s">
        <v>1102</v>
      </c>
      <c r="H195" s="186" t="s">
        <v>1174</v>
      </c>
      <c r="I195" s="187" t="s">
        <v>1272</v>
      </c>
      <c r="J195" s="187" t="s">
        <v>1273</v>
      </c>
      <c r="K195" s="188"/>
      <c r="L195" s="188"/>
      <c r="M195" s="189" t="s">
        <v>847</v>
      </c>
      <c r="N195" s="190">
        <v>187.67</v>
      </c>
      <c r="O195" s="190">
        <f t="shared" si="16"/>
        <v>204.56</v>
      </c>
      <c r="P195" s="191">
        <f t="shared" si="17"/>
        <v>0</v>
      </c>
      <c r="Q195" s="192">
        <f t="shared" si="18"/>
        <v>0</v>
      </c>
      <c r="R195" s="193"/>
      <c r="S195" s="194"/>
      <c r="T195" s="195">
        <f t="shared" si="19"/>
        <v>0</v>
      </c>
      <c r="U195" s="195">
        <f t="shared" si="20"/>
        <v>0</v>
      </c>
      <c r="V195" s="195">
        <f t="shared" si="21"/>
        <v>0</v>
      </c>
      <c r="W195" s="196" t="e">
        <f t="shared" si="22"/>
        <v>#DIV/0!</v>
      </c>
      <c r="X195" s="197" t="e">
        <f t="shared" si="23"/>
        <v>#DIV/0!</v>
      </c>
      <c r="AG195" s="219" t="s">
        <v>865</v>
      </c>
    </row>
    <row r="196" ht="11.4" customHeight="1" spans="1:33">
      <c r="A196" s="184" t="s">
        <v>1173</v>
      </c>
      <c r="B196" s="184" t="s">
        <v>113</v>
      </c>
      <c r="C196" s="184" t="s">
        <v>1101</v>
      </c>
      <c r="D196" s="185" t="s">
        <v>522</v>
      </c>
      <c r="E196" s="186" t="s">
        <v>906</v>
      </c>
      <c r="F196" s="186" t="s">
        <v>907</v>
      </c>
      <c r="G196" s="186" t="s">
        <v>1102</v>
      </c>
      <c r="H196" s="186" t="s">
        <v>1174</v>
      </c>
      <c r="I196" s="187" t="s">
        <v>1274</v>
      </c>
      <c r="J196" s="187" t="s">
        <v>1275</v>
      </c>
      <c r="K196" s="188"/>
      <c r="L196" s="188"/>
      <c r="M196" s="189" t="s">
        <v>847</v>
      </c>
      <c r="N196" s="190">
        <v>187.67</v>
      </c>
      <c r="O196" s="190">
        <f t="shared" si="16"/>
        <v>204.56</v>
      </c>
      <c r="P196" s="191">
        <f t="shared" si="17"/>
        <v>0</v>
      </c>
      <c r="Q196" s="192">
        <f t="shared" si="18"/>
        <v>0</v>
      </c>
      <c r="R196" s="193"/>
      <c r="S196" s="194"/>
      <c r="T196" s="195">
        <f t="shared" si="19"/>
        <v>0</v>
      </c>
      <c r="U196" s="195">
        <f t="shared" si="20"/>
        <v>0</v>
      </c>
      <c r="V196" s="195">
        <f t="shared" si="21"/>
        <v>0</v>
      </c>
      <c r="W196" s="196" t="e">
        <f t="shared" si="22"/>
        <v>#DIV/0!</v>
      </c>
      <c r="X196" s="197" t="e">
        <f t="shared" si="23"/>
        <v>#DIV/0!</v>
      </c>
      <c r="AG196" s="219" t="s">
        <v>865</v>
      </c>
    </row>
    <row r="197" ht="11.4" customHeight="1" spans="1:33">
      <c r="A197" s="184" t="s">
        <v>1173</v>
      </c>
      <c r="B197" s="184" t="s">
        <v>113</v>
      </c>
      <c r="C197" s="184" t="s">
        <v>1101</v>
      </c>
      <c r="D197" s="185" t="s">
        <v>522</v>
      </c>
      <c r="E197" s="186" t="s">
        <v>906</v>
      </c>
      <c r="F197" s="186" t="s">
        <v>907</v>
      </c>
      <c r="G197" s="186" t="s">
        <v>1102</v>
      </c>
      <c r="H197" s="186" t="s">
        <v>1174</v>
      </c>
      <c r="I197" s="187" t="s">
        <v>1276</v>
      </c>
      <c r="J197" s="187" t="s">
        <v>1277</v>
      </c>
      <c r="K197" s="188">
        <v>33.2</v>
      </c>
      <c r="L197" s="188">
        <v>33.39</v>
      </c>
      <c r="M197" s="189" t="s">
        <v>847</v>
      </c>
      <c r="N197" s="190">
        <v>187.67</v>
      </c>
      <c r="O197" s="190">
        <f t="shared" si="16"/>
        <v>204.56</v>
      </c>
      <c r="P197" s="191">
        <f t="shared" si="17"/>
        <v>6230.64</v>
      </c>
      <c r="Q197" s="192">
        <f t="shared" si="18"/>
        <v>6266.3</v>
      </c>
      <c r="R197" s="193"/>
      <c r="S197" s="194"/>
      <c r="T197" s="195">
        <f t="shared" si="19"/>
        <v>-0.189999999999998</v>
      </c>
      <c r="U197" s="195">
        <f t="shared" si="20"/>
        <v>-35.6599999999999</v>
      </c>
      <c r="V197" s="195">
        <f t="shared" si="21"/>
        <v>35.6599999999999</v>
      </c>
      <c r="W197" s="196">
        <f t="shared" si="22"/>
        <v>-0.00569032644504336</v>
      </c>
      <c r="X197" s="197">
        <f t="shared" si="23"/>
        <v>0.00569032644504336</v>
      </c>
      <c r="AG197" s="219" t="s">
        <v>865</v>
      </c>
    </row>
    <row r="198" ht="11.4" customHeight="1" spans="1:33">
      <c r="A198" s="184" t="s">
        <v>1173</v>
      </c>
      <c r="B198" s="184" t="s">
        <v>113</v>
      </c>
      <c r="C198" s="184" t="s">
        <v>1101</v>
      </c>
      <c r="D198" s="185" t="s">
        <v>522</v>
      </c>
      <c r="E198" s="186" t="s">
        <v>906</v>
      </c>
      <c r="F198" s="186" t="s">
        <v>907</v>
      </c>
      <c r="G198" s="186" t="s">
        <v>1102</v>
      </c>
      <c r="H198" s="186" t="s">
        <v>1174</v>
      </c>
      <c r="I198" s="187" t="s">
        <v>1278</v>
      </c>
      <c r="J198" s="187" t="s">
        <v>1279</v>
      </c>
      <c r="K198" s="188"/>
      <c r="L198" s="188"/>
      <c r="M198" s="189" t="s">
        <v>847</v>
      </c>
      <c r="N198" s="190">
        <v>127.13</v>
      </c>
      <c r="O198" s="190">
        <f t="shared" si="16"/>
        <v>138.57</v>
      </c>
      <c r="P198" s="191">
        <f t="shared" si="17"/>
        <v>0</v>
      </c>
      <c r="Q198" s="192">
        <f t="shared" si="18"/>
        <v>0</v>
      </c>
      <c r="R198" s="193"/>
      <c r="S198" s="194"/>
      <c r="T198" s="195">
        <f t="shared" si="19"/>
        <v>0</v>
      </c>
      <c r="U198" s="195">
        <f t="shared" si="20"/>
        <v>0</v>
      </c>
      <c r="V198" s="195">
        <f t="shared" si="21"/>
        <v>0</v>
      </c>
      <c r="W198" s="196" t="e">
        <f t="shared" si="22"/>
        <v>#DIV/0!</v>
      </c>
      <c r="X198" s="197" t="e">
        <f t="shared" si="23"/>
        <v>#DIV/0!</v>
      </c>
      <c r="AG198" s="219" t="s">
        <v>865</v>
      </c>
    </row>
    <row r="199" ht="11.4" customHeight="1" spans="1:33">
      <c r="A199" s="184" t="s">
        <v>1173</v>
      </c>
      <c r="B199" s="184" t="s">
        <v>113</v>
      </c>
      <c r="C199" s="184" t="s">
        <v>1101</v>
      </c>
      <c r="D199" s="185" t="s">
        <v>522</v>
      </c>
      <c r="E199" s="186" t="s">
        <v>906</v>
      </c>
      <c r="F199" s="186" t="s">
        <v>907</v>
      </c>
      <c r="G199" s="186" t="s">
        <v>1102</v>
      </c>
      <c r="H199" s="186" t="s">
        <v>1174</v>
      </c>
      <c r="I199" s="187" t="s">
        <v>1280</v>
      </c>
      <c r="J199" s="187" t="s">
        <v>1281</v>
      </c>
      <c r="K199" s="188"/>
      <c r="L199" s="188"/>
      <c r="M199" s="189" t="s">
        <v>847</v>
      </c>
      <c r="N199" s="190">
        <v>115.53</v>
      </c>
      <c r="O199" s="190">
        <f t="shared" si="16"/>
        <v>125.93</v>
      </c>
      <c r="P199" s="191">
        <f t="shared" si="17"/>
        <v>0</v>
      </c>
      <c r="Q199" s="192">
        <f t="shared" si="18"/>
        <v>0</v>
      </c>
      <c r="R199" s="193"/>
      <c r="S199" s="194"/>
      <c r="T199" s="195">
        <f t="shared" si="19"/>
        <v>0</v>
      </c>
      <c r="U199" s="195">
        <f t="shared" si="20"/>
        <v>0</v>
      </c>
      <c r="V199" s="195">
        <f t="shared" si="21"/>
        <v>0</v>
      </c>
      <c r="W199" s="196" t="e">
        <f t="shared" si="22"/>
        <v>#DIV/0!</v>
      </c>
      <c r="X199" s="197" t="e">
        <f t="shared" si="23"/>
        <v>#DIV/0!</v>
      </c>
      <c r="AG199" s="219" t="s">
        <v>865</v>
      </c>
    </row>
    <row r="200" ht="11.4" customHeight="1" spans="1:33">
      <c r="A200" s="184" t="s">
        <v>1173</v>
      </c>
      <c r="B200" s="184" t="s">
        <v>113</v>
      </c>
      <c r="C200" s="184" t="s">
        <v>1101</v>
      </c>
      <c r="D200" s="185" t="s">
        <v>522</v>
      </c>
      <c r="E200" s="186" t="s">
        <v>906</v>
      </c>
      <c r="F200" s="186" t="s">
        <v>907</v>
      </c>
      <c r="G200" s="186" t="s">
        <v>1102</v>
      </c>
      <c r="H200" s="186" t="s">
        <v>1174</v>
      </c>
      <c r="I200" s="187" t="s">
        <v>1282</v>
      </c>
      <c r="J200" s="187" t="s">
        <v>1283</v>
      </c>
      <c r="K200" s="188"/>
      <c r="L200" s="188"/>
      <c r="M200" s="189" t="s">
        <v>847</v>
      </c>
      <c r="N200" s="190">
        <v>131.37</v>
      </c>
      <c r="O200" s="190">
        <f t="shared" si="16"/>
        <v>143.19</v>
      </c>
      <c r="P200" s="191">
        <f t="shared" si="17"/>
        <v>0</v>
      </c>
      <c r="Q200" s="192">
        <f t="shared" si="18"/>
        <v>0</v>
      </c>
      <c r="R200" s="193"/>
      <c r="S200" s="194"/>
      <c r="T200" s="195">
        <f t="shared" si="19"/>
        <v>0</v>
      </c>
      <c r="U200" s="195">
        <f t="shared" si="20"/>
        <v>0</v>
      </c>
      <c r="V200" s="195">
        <f t="shared" si="21"/>
        <v>0</v>
      </c>
      <c r="W200" s="196" t="e">
        <f t="shared" si="22"/>
        <v>#DIV/0!</v>
      </c>
      <c r="X200" s="197" t="e">
        <f t="shared" si="23"/>
        <v>#DIV/0!</v>
      </c>
      <c r="AG200" s="219" t="s">
        <v>865</v>
      </c>
    </row>
    <row r="201" ht="11.4" customHeight="1" spans="1:33">
      <c r="A201" s="184" t="s">
        <v>1173</v>
      </c>
      <c r="B201" s="184" t="s">
        <v>113</v>
      </c>
      <c r="C201" s="184" t="s">
        <v>1101</v>
      </c>
      <c r="D201" s="185" t="s">
        <v>522</v>
      </c>
      <c r="E201" s="186" t="s">
        <v>906</v>
      </c>
      <c r="F201" s="186" t="s">
        <v>907</v>
      </c>
      <c r="G201" s="186" t="s">
        <v>1102</v>
      </c>
      <c r="H201" s="186" t="s">
        <v>1174</v>
      </c>
      <c r="I201" s="187" t="s">
        <v>1284</v>
      </c>
      <c r="J201" s="187" t="s">
        <v>1285</v>
      </c>
      <c r="K201" s="188"/>
      <c r="L201" s="188"/>
      <c r="M201" s="189" t="s">
        <v>847</v>
      </c>
      <c r="N201" s="190">
        <v>139.83</v>
      </c>
      <c r="O201" s="190">
        <f t="shared" si="16"/>
        <v>152.41</v>
      </c>
      <c r="P201" s="191">
        <f t="shared" si="17"/>
        <v>0</v>
      </c>
      <c r="Q201" s="192">
        <f t="shared" si="18"/>
        <v>0</v>
      </c>
      <c r="R201" s="193"/>
      <c r="S201" s="194"/>
      <c r="T201" s="195">
        <f t="shared" si="19"/>
        <v>0</v>
      </c>
      <c r="U201" s="195">
        <f t="shared" si="20"/>
        <v>0</v>
      </c>
      <c r="V201" s="195">
        <f t="shared" si="21"/>
        <v>0</v>
      </c>
      <c r="W201" s="196" t="e">
        <f t="shared" si="22"/>
        <v>#DIV/0!</v>
      </c>
      <c r="X201" s="197" t="e">
        <f t="shared" si="23"/>
        <v>#DIV/0!</v>
      </c>
      <c r="AG201" s="219" t="s">
        <v>865</v>
      </c>
    </row>
    <row r="202" ht="11.4" customHeight="1" spans="1:33">
      <c r="A202" s="184" t="s">
        <v>1173</v>
      </c>
      <c r="B202" s="184" t="s">
        <v>113</v>
      </c>
      <c r="C202" s="184" t="s">
        <v>1101</v>
      </c>
      <c r="D202" s="185" t="s">
        <v>522</v>
      </c>
      <c r="E202" s="186" t="s">
        <v>906</v>
      </c>
      <c r="F202" s="186" t="s">
        <v>907</v>
      </c>
      <c r="G202" s="186" t="s">
        <v>1102</v>
      </c>
      <c r="H202" s="186" t="s">
        <v>1174</v>
      </c>
      <c r="I202" s="187" t="s">
        <v>1286</v>
      </c>
      <c r="J202" s="187" t="s">
        <v>1287</v>
      </c>
      <c r="K202" s="188"/>
      <c r="L202" s="188"/>
      <c r="M202" s="189" t="s">
        <v>847</v>
      </c>
      <c r="N202" s="190">
        <v>129.44</v>
      </c>
      <c r="O202" s="190">
        <f t="shared" si="16"/>
        <v>141.09</v>
      </c>
      <c r="P202" s="191">
        <f t="shared" si="17"/>
        <v>0</v>
      </c>
      <c r="Q202" s="192">
        <f t="shared" si="18"/>
        <v>0</v>
      </c>
      <c r="R202" s="193"/>
      <c r="S202" s="194"/>
      <c r="T202" s="195">
        <f t="shared" si="19"/>
        <v>0</v>
      </c>
      <c r="U202" s="195">
        <f t="shared" si="20"/>
        <v>0</v>
      </c>
      <c r="V202" s="195">
        <f t="shared" si="21"/>
        <v>0</v>
      </c>
      <c r="W202" s="196" t="e">
        <f t="shared" si="22"/>
        <v>#DIV/0!</v>
      </c>
      <c r="X202" s="197" t="e">
        <f t="shared" si="23"/>
        <v>#DIV/0!</v>
      </c>
      <c r="AG202" s="219" t="s">
        <v>865</v>
      </c>
    </row>
    <row r="203" ht="11.4" customHeight="1" spans="1:33">
      <c r="A203" s="184" t="s">
        <v>1173</v>
      </c>
      <c r="B203" s="184" t="s">
        <v>113</v>
      </c>
      <c r="C203" s="184" t="s">
        <v>1101</v>
      </c>
      <c r="D203" s="185" t="s">
        <v>522</v>
      </c>
      <c r="E203" s="186" t="s">
        <v>906</v>
      </c>
      <c r="F203" s="186" t="s">
        <v>907</v>
      </c>
      <c r="G203" s="186" t="s">
        <v>1102</v>
      </c>
      <c r="H203" s="186" t="s">
        <v>1174</v>
      </c>
      <c r="I203" s="187" t="s">
        <v>1288</v>
      </c>
      <c r="J203" s="187" t="s">
        <v>1289</v>
      </c>
      <c r="K203" s="188">
        <v>36.39</v>
      </c>
      <c r="L203" s="188">
        <v>36.6</v>
      </c>
      <c r="M203" s="189" t="s">
        <v>847</v>
      </c>
      <c r="N203" s="190">
        <v>139.83</v>
      </c>
      <c r="O203" s="190">
        <f t="shared" si="16"/>
        <v>152.41</v>
      </c>
      <c r="P203" s="191">
        <f t="shared" si="17"/>
        <v>5088.41</v>
      </c>
      <c r="Q203" s="192">
        <f t="shared" si="18"/>
        <v>5117.78</v>
      </c>
      <c r="R203" s="193"/>
      <c r="S203" s="194"/>
      <c r="T203" s="195">
        <f t="shared" si="19"/>
        <v>-0.210000000000001</v>
      </c>
      <c r="U203" s="195">
        <f t="shared" si="20"/>
        <v>-29.3699999999999</v>
      </c>
      <c r="V203" s="195">
        <f t="shared" si="21"/>
        <v>29.3699999999999</v>
      </c>
      <c r="W203" s="196">
        <f t="shared" si="22"/>
        <v>-0.00573770491803281</v>
      </c>
      <c r="X203" s="197">
        <f t="shared" si="23"/>
        <v>0.00573770491803281</v>
      </c>
      <c r="AG203" s="219" t="s">
        <v>865</v>
      </c>
    </row>
    <row r="204" ht="11.4" customHeight="1" spans="1:33">
      <c r="A204" s="184" t="s">
        <v>1173</v>
      </c>
      <c r="B204" s="184" t="s">
        <v>113</v>
      </c>
      <c r="C204" s="184" t="s">
        <v>1101</v>
      </c>
      <c r="D204" s="185" t="s">
        <v>522</v>
      </c>
      <c r="E204" s="186" t="s">
        <v>906</v>
      </c>
      <c r="F204" s="186" t="s">
        <v>907</v>
      </c>
      <c r="G204" s="186" t="s">
        <v>1102</v>
      </c>
      <c r="H204" s="186" t="s">
        <v>1174</v>
      </c>
      <c r="I204" s="187" t="s">
        <v>1290</v>
      </c>
      <c r="J204" s="187" t="s">
        <v>1291</v>
      </c>
      <c r="K204" s="188"/>
      <c r="L204" s="188"/>
      <c r="M204" s="189" t="s">
        <v>847</v>
      </c>
      <c r="N204" s="190">
        <v>167.98</v>
      </c>
      <c r="O204" s="190">
        <f t="shared" si="16"/>
        <v>183.1</v>
      </c>
      <c r="P204" s="191">
        <f t="shared" si="17"/>
        <v>0</v>
      </c>
      <c r="Q204" s="192">
        <f t="shared" si="18"/>
        <v>0</v>
      </c>
      <c r="R204" s="193"/>
      <c r="S204" s="194"/>
      <c r="T204" s="195">
        <f t="shared" si="19"/>
        <v>0</v>
      </c>
      <c r="U204" s="195">
        <f t="shared" si="20"/>
        <v>0</v>
      </c>
      <c r="V204" s="195">
        <f t="shared" si="21"/>
        <v>0</v>
      </c>
      <c r="W204" s="196" t="e">
        <f t="shared" si="22"/>
        <v>#DIV/0!</v>
      </c>
      <c r="X204" s="197" t="e">
        <f t="shared" si="23"/>
        <v>#DIV/0!</v>
      </c>
      <c r="AG204" s="219" t="s">
        <v>865</v>
      </c>
    </row>
    <row r="205" ht="11.4" customHeight="1" spans="1:33">
      <c r="A205" s="184" t="s">
        <v>1173</v>
      </c>
      <c r="B205" s="184" t="s">
        <v>113</v>
      </c>
      <c r="C205" s="184" t="s">
        <v>1101</v>
      </c>
      <c r="D205" s="185" t="s">
        <v>522</v>
      </c>
      <c r="E205" s="186" t="s">
        <v>906</v>
      </c>
      <c r="F205" s="186" t="s">
        <v>907</v>
      </c>
      <c r="G205" s="186" t="s">
        <v>1102</v>
      </c>
      <c r="H205" s="186" t="s">
        <v>1174</v>
      </c>
      <c r="I205" s="187" t="s">
        <v>1292</v>
      </c>
      <c r="J205" s="187" t="s">
        <v>1293</v>
      </c>
      <c r="K205" s="188"/>
      <c r="L205" s="188"/>
      <c r="M205" s="189" t="s">
        <v>847</v>
      </c>
      <c r="N205" s="190">
        <v>147.41</v>
      </c>
      <c r="O205" s="190">
        <f t="shared" ref="O205:O268" si="24">ROUND(N205*(1+$F$10),2)</f>
        <v>160.68</v>
      </c>
      <c r="P205" s="191">
        <f t="shared" ref="P205:P268" si="25">ROUND(K205*N205,2)</f>
        <v>0</v>
      </c>
      <c r="Q205" s="192">
        <f t="shared" si="18"/>
        <v>0</v>
      </c>
      <c r="R205" s="193"/>
      <c r="S205" s="194"/>
      <c r="T205" s="195">
        <f t="shared" si="19"/>
        <v>0</v>
      </c>
      <c r="U205" s="195">
        <f t="shared" si="20"/>
        <v>0</v>
      </c>
      <c r="V205" s="195">
        <f t="shared" si="21"/>
        <v>0</v>
      </c>
      <c r="W205" s="196" t="e">
        <f t="shared" si="22"/>
        <v>#DIV/0!</v>
      </c>
      <c r="X205" s="197" t="e">
        <f t="shared" si="23"/>
        <v>#DIV/0!</v>
      </c>
      <c r="AG205" s="219" t="s">
        <v>865</v>
      </c>
    </row>
    <row r="206" ht="11.4" customHeight="1" spans="1:33">
      <c r="A206" s="184" t="s">
        <v>1173</v>
      </c>
      <c r="B206" s="184" t="s">
        <v>113</v>
      </c>
      <c r="C206" s="184" t="s">
        <v>1101</v>
      </c>
      <c r="D206" s="185" t="s">
        <v>522</v>
      </c>
      <c r="E206" s="186" t="s">
        <v>906</v>
      </c>
      <c r="F206" s="186" t="s">
        <v>907</v>
      </c>
      <c r="G206" s="186" t="s">
        <v>1102</v>
      </c>
      <c r="H206" s="186" t="s">
        <v>1174</v>
      </c>
      <c r="I206" s="187" t="s">
        <v>1294</v>
      </c>
      <c r="J206" s="187" t="s">
        <v>1295</v>
      </c>
      <c r="K206" s="221">
        <v>16.82</v>
      </c>
      <c r="L206" s="188">
        <v>14.09</v>
      </c>
      <c r="M206" s="189" t="s">
        <v>847</v>
      </c>
      <c r="N206" s="190">
        <v>169.19</v>
      </c>
      <c r="O206" s="190">
        <f t="shared" si="24"/>
        <v>184.42</v>
      </c>
      <c r="P206" s="191">
        <f t="shared" si="25"/>
        <v>2845.78</v>
      </c>
      <c r="Q206" s="192">
        <f t="shared" ref="Q206:Q269" si="26">ROUND(L206*N206,2)</f>
        <v>2383.89</v>
      </c>
      <c r="R206" s="193"/>
      <c r="S206" s="194"/>
      <c r="T206" s="195">
        <f t="shared" ref="T206:T269" si="27">K206-L206</f>
        <v>2.73</v>
      </c>
      <c r="U206" s="195">
        <f t="shared" ref="U206:U269" si="28">P206-Q206</f>
        <v>461.89</v>
      </c>
      <c r="V206" s="195">
        <f t="shared" ref="V206:V269" si="29">ABS(U206)</f>
        <v>461.89</v>
      </c>
      <c r="W206" s="196">
        <f t="shared" ref="W206:W269" si="30">T206/L206</f>
        <v>0.19375443577005</v>
      </c>
      <c r="X206" s="197">
        <f t="shared" ref="X206:X269" si="31">ABS(W206)</f>
        <v>0.19375443577005</v>
      </c>
      <c r="AG206" s="219" t="s">
        <v>865</v>
      </c>
    </row>
    <row r="207" ht="11.4" customHeight="1" spans="1:33">
      <c r="A207" s="184" t="s">
        <v>1173</v>
      </c>
      <c r="B207" s="184" t="s">
        <v>113</v>
      </c>
      <c r="C207" s="184" t="s">
        <v>1101</v>
      </c>
      <c r="D207" s="185" t="s">
        <v>522</v>
      </c>
      <c r="E207" s="186" t="s">
        <v>906</v>
      </c>
      <c r="F207" s="186" t="s">
        <v>907</v>
      </c>
      <c r="G207" s="186" t="s">
        <v>1102</v>
      </c>
      <c r="H207" s="186" t="s">
        <v>1174</v>
      </c>
      <c r="I207" s="187" t="s">
        <v>1296</v>
      </c>
      <c r="J207" s="187" t="s">
        <v>1297</v>
      </c>
      <c r="K207" s="188"/>
      <c r="L207" s="188"/>
      <c r="M207" s="189" t="s">
        <v>847</v>
      </c>
      <c r="N207" s="190">
        <v>194.93</v>
      </c>
      <c r="O207" s="190">
        <f t="shared" si="24"/>
        <v>212.47</v>
      </c>
      <c r="P207" s="191">
        <f t="shared" si="25"/>
        <v>0</v>
      </c>
      <c r="Q207" s="192">
        <f t="shared" si="26"/>
        <v>0</v>
      </c>
      <c r="R207" s="193"/>
      <c r="S207" s="194"/>
      <c r="T207" s="195">
        <f t="shared" si="27"/>
        <v>0</v>
      </c>
      <c r="U207" s="195">
        <f t="shared" si="28"/>
        <v>0</v>
      </c>
      <c r="V207" s="195">
        <f t="shared" si="29"/>
        <v>0</v>
      </c>
      <c r="W207" s="196" t="e">
        <f t="shared" si="30"/>
        <v>#DIV/0!</v>
      </c>
      <c r="X207" s="197" t="e">
        <f t="shared" si="31"/>
        <v>#DIV/0!</v>
      </c>
      <c r="AG207" s="219" t="s">
        <v>865</v>
      </c>
    </row>
    <row r="208" ht="11.4" customHeight="1" spans="1:33">
      <c r="A208" s="184" t="s">
        <v>1173</v>
      </c>
      <c r="B208" s="184" t="s">
        <v>113</v>
      </c>
      <c r="C208" s="184" t="s">
        <v>1101</v>
      </c>
      <c r="D208" s="185" t="s">
        <v>522</v>
      </c>
      <c r="E208" s="186" t="s">
        <v>906</v>
      </c>
      <c r="F208" s="186" t="s">
        <v>907</v>
      </c>
      <c r="G208" s="186" t="s">
        <v>1102</v>
      </c>
      <c r="H208" s="186" t="s">
        <v>1174</v>
      </c>
      <c r="I208" s="187" t="s">
        <v>1298</v>
      </c>
      <c r="J208" s="187" t="s">
        <v>1299</v>
      </c>
      <c r="K208" s="188"/>
      <c r="L208" s="188"/>
      <c r="M208" s="189" t="s">
        <v>847</v>
      </c>
      <c r="N208" s="190">
        <v>177.99</v>
      </c>
      <c r="O208" s="190">
        <f t="shared" si="24"/>
        <v>194.01</v>
      </c>
      <c r="P208" s="191">
        <f t="shared" si="25"/>
        <v>0</v>
      </c>
      <c r="Q208" s="192">
        <f t="shared" si="26"/>
        <v>0</v>
      </c>
      <c r="R208" s="193"/>
      <c r="S208" s="194"/>
      <c r="T208" s="195">
        <f t="shared" si="27"/>
        <v>0</v>
      </c>
      <c r="U208" s="195">
        <f t="shared" si="28"/>
        <v>0</v>
      </c>
      <c r="V208" s="195">
        <f t="shared" si="29"/>
        <v>0</v>
      </c>
      <c r="W208" s="196" t="e">
        <f t="shared" si="30"/>
        <v>#DIV/0!</v>
      </c>
      <c r="X208" s="197" t="e">
        <f t="shared" si="31"/>
        <v>#DIV/0!</v>
      </c>
      <c r="AG208" s="219" t="s">
        <v>865</v>
      </c>
    </row>
    <row r="209" ht="11.4" customHeight="1" spans="1:33">
      <c r="A209" s="184" t="s">
        <v>1173</v>
      </c>
      <c r="B209" s="184" t="s">
        <v>113</v>
      </c>
      <c r="C209" s="184" t="s">
        <v>1101</v>
      </c>
      <c r="D209" s="185" t="s">
        <v>522</v>
      </c>
      <c r="E209" s="186" t="s">
        <v>906</v>
      </c>
      <c r="F209" s="186" t="s">
        <v>907</v>
      </c>
      <c r="G209" s="186" t="s">
        <v>1102</v>
      </c>
      <c r="H209" s="186" t="s">
        <v>1174</v>
      </c>
      <c r="I209" s="187" t="s">
        <v>1300</v>
      </c>
      <c r="J209" s="187" t="s">
        <v>1301</v>
      </c>
      <c r="K209" s="188"/>
      <c r="L209" s="188"/>
      <c r="M209" s="189" t="s">
        <v>847</v>
      </c>
      <c r="N209" s="190">
        <v>196.14</v>
      </c>
      <c r="O209" s="190">
        <f t="shared" si="24"/>
        <v>213.79</v>
      </c>
      <c r="P209" s="191">
        <f t="shared" si="25"/>
        <v>0</v>
      </c>
      <c r="Q209" s="192">
        <f t="shared" si="26"/>
        <v>0</v>
      </c>
      <c r="R209" s="193"/>
      <c r="S209" s="194"/>
      <c r="T209" s="195">
        <f t="shared" si="27"/>
        <v>0</v>
      </c>
      <c r="U209" s="195">
        <f t="shared" si="28"/>
        <v>0</v>
      </c>
      <c r="V209" s="195">
        <f t="shared" si="29"/>
        <v>0</v>
      </c>
      <c r="W209" s="196" t="e">
        <f t="shared" si="30"/>
        <v>#DIV/0!</v>
      </c>
      <c r="X209" s="197" t="e">
        <f t="shared" si="31"/>
        <v>#DIV/0!</v>
      </c>
      <c r="AG209" s="219" t="s">
        <v>865</v>
      </c>
    </row>
    <row r="210" ht="11.4" customHeight="1" spans="1:33">
      <c r="A210" s="184" t="s">
        <v>1173</v>
      </c>
      <c r="B210" s="184" t="s">
        <v>113</v>
      </c>
      <c r="C210" s="184" t="s">
        <v>1101</v>
      </c>
      <c r="D210" s="185" t="s">
        <v>522</v>
      </c>
      <c r="E210" s="186" t="s">
        <v>906</v>
      </c>
      <c r="F210" s="186" t="s">
        <v>907</v>
      </c>
      <c r="G210" s="186" t="s">
        <v>1102</v>
      </c>
      <c r="H210" s="186" t="s">
        <v>1174</v>
      </c>
      <c r="I210" s="187" t="s">
        <v>1302</v>
      </c>
      <c r="J210" s="187" t="s">
        <v>1303</v>
      </c>
      <c r="K210" s="188"/>
      <c r="L210" s="188"/>
      <c r="M210" s="189" t="s">
        <v>847</v>
      </c>
      <c r="N210" s="190">
        <v>194.93</v>
      </c>
      <c r="O210" s="190">
        <f t="shared" si="24"/>
        <v>212.47</v>
      </c>
      <c r="P210" s="191">
        <f t="shared" si="25"/>
        <v>0</v>
      </c>
      <c r="Q210" s="192">
        <f t="shared" si="26"/>
        <v>0</v>
      </c>
      <c r="R210" s="193"/>
      <c r="S210" s="194"/>
      <c r="T210" s="195">
        <f t="shared" si="27"/>
        <v>0</v>
      </c>
      <c r="U210" s="195">
        <f t="shared" si="28"/>
        <v>0</v>
      </c>
      <c r="V210" s="195">
        <f t="shared" si="29"/>
        <v>0</v>
      </c>
      <c r="W210" s="196" t="e">
        <f t="shared" si="30"/>
        <v>#DIV/0!</v>
      </c>
      <c r="X210" s="197" t="e">
        <f t="shared" si="31"/>
        <v>#DIV/0!</v>
      </c>
      <c r="AG210" s="219" t="s">
        <v>865</v>
      </c>
    </row>
    <row r="211" ht="11.4" customHeight="1" spans="1:33">
      <c r="A211" s="184" t="s">
        <v>1173</v>
      </c>
      <c r="B211" s="184" t="s">
        <v>113</v>
      </c>
      <c r="C211" s="184" t="s">
        <v>1101</v>
      </c>
      <c r="D211" s="185" t="s">
        <v>522</v>
      </c>
      <c r="E211" s="186" t="s">
        <v>906</v>
      </c>
      <c r="F211" s="186" t="s">
        <v>907</v>
      </c>
      <c r="G211" s="186" t="s">
        <v>1102</v>
      </c>
      <c r="H211" s="186" t="s">
        <v>1174</v>
      </c>
      <c r="I211" s="187" t="s">
        <v>1304</v>
      </c>
      <c r="J211" s="187" t="s">
        <v>1305</v>
      </c>
      <c r="K211" s="188"/>
      <c r="L211" s="188"/>
      <c r="M211" s="189" t="s">
        <v>847</v>
      </c>
      <c r="N211" s="190">
        <v>180.41</v>
      </c>
      <c r="O211" s="190">
        <f t="shared" si="24"/>
        <v>196.65</v>
      </c>
      <c r="P211" s="191">
        <f t="shared" si="25"/>
        <v>0</v>
      </c>
      <c r="Q211" s="192">
        <f t="shared" si="26"/>
        <v>0</v>
      </c>
      <c r="R211" s="193"/>
      <c r="S211" s="194"/>
      <c r="T211" s="195">
        <f t="shared" si="27"/>
        <v>0</v>
      </c>
      <c r="U211" s="195">
        <f t="shared" si="28"/>
        <v>0</v>
      </c>
      <c r="V211" s="195">
        <f t="shared" si="29"/>
        <v>0</v>
      </c>
      <c r="W211" s="196" t="e">
        <f t="shared" si="30"/>
        <v>#DIV/0!</v>
      </c>
      <c r="X211" s="197" t="e">
        <f t="shared" si="31"/>
        <v>#DIV/0!</v>
      </c>
      <c r="AG211" s="219" t="s">
        <v>865</v>
      </c>
    </row>
    <row r="212" ht="11.4" customHeight="1" spans="1:33">
      <c r="A212" s="184" t="s">
        <v>1173</v>
      </c>
      <c r="B212" s="184" t="s">
        <v>113</v>
      </c>
      <c r="C212" s="184" t="s">
        <v>1101</v>
      </c>
      <c r="D212" s="185" t="s">
        <v>522</v>
      </c>
      <c r="E212" s="186" t="s">
        <v>906</v>
      </c>
      <c r="F212" s="186" t="s">
        <v>907</v>
      </c>
      <c r="G212" s="186" t="s">
        <v>1102</v>
      </c>
      <c r="H212" s="186" t="s">
        <v>1174</v>
      </c>
      <c r="I212" s="187" t="s">
        <v>1306</v>
      </c>
      <c r="J212" s="187" t="s">
        <v>1307</v>
      </c>
      <c r="K212" s="188"/>
      <c r="L212" s="188"/>
      <c r="M212" s="189" t="s">
        <v>847</v>
      </c>
      <c r="N212" s="190">
        <v>194.93</v>
      </c>
      <c r="O212" s="190">
        <f t="shared" si="24"/>
        <v>212.47</v>
      </c>
      <c r="P212" s="191">
        <f t="shared" si="25"/>
        <v>0</v>
      </c>
      <c r="Q212" s="192">
        <f t="shared" si="26"/>
        <v>0</v>
      </c>
      <c r="R212" s="193"/>
      <c r="S212" s="194"/>
      <c r="T212" s="195">
        <f t="shared" si="27"/>
        <v>0</v>
      </c>
      <c r="U212" s="195">
        <f t="shared" si="28"/>
        <v>0</v>
      </c>
      <c r="V212" s="195">
        <f t="shared" si="29"/>
        <v>0</v>
      </c>
      <c r="W212" s="196" t="e">
        <f t="shared" si="30"/>
        <v>#DIV/0!</v>
      </c>
      <c r="X212" s="197" t="e">
        <f t="shared" si="31"/>
        <v>#DIV/0!</v>
      </c>
      <c r="AG212" s="219" t="s">
        <v>865</v>
      </c>
    </row>
    <row r="213" ht="11.4" customHeight="1" spans="1:33">
      <c r="A213" s="184" t="s">
        <v>1173</v>
      </c>
      <c r="B213" s="184" t="s">
        <v>113</v>
      </c>
      <c r="C213" s="184" t="s">
        <v>1101</v>
      </c>
      <c r="D213" s="185" t="s">
        <v>522</v>
      </c>
      <c r="E213" s="186" t="s">
        <v>906</v>
      </c>
      <c r="F213" s="186" t="s">
        <v>907</v>
      </c>
      <c r="G213" s="186" t="s">
        <v>1102</v>
      </c>
      <c r="H213" s="186" t="s">
        <v>1174</v>
      </c>
      <c r="I213" s="187" t="s">
        <v>1308</v>
      </c>
      <c r="J213" s="187" t="s">
        <v>1309</v>
      </c>
      <c r="K213" s="188"/>
      <c r="L213" s="188"/>
      <c r="M213" s="189" t="s">
        <v>847</v>
      </c>
      <c r="N213" s="190">
        <v>237.28</v>
      </c>
      <c r="O213" s="190">
        <f t="shared" si="24"/>
        <v>258.64</v>
      </c>
      <c r="P213" s="191">
        <f t="shared" si="25"/>
        <v>0</v>
      </c>
      <c r="Q213" s="192">
        <f t="shared" si="26"/>
        <v>0</v>
      </c>
      <c r="R213" s="193"/>
      <c r="S213" s="194"/>
      <c r="T213" s="195">
        <f t="shared" si="27"/>
        <v>0</v>
      </c>
      <c r="U213" s="195">
        <f t="shared" si="28"/>
        <v>0</v>
      </c>
      <c r="V213" s="195">
        <f t="shared" si="29"/>
        <v>0</v>
      </c>
      <c r="W213" s="196" t="e">
        <f t="shared" si="30"/>
        <v>#DIV/0!</v>
      </c>
      <c r="X213" s="197" t="e">
        <f t="shared" si="31"/>
        <v>#DIV/0!</v>
      </c>
      <c r="AG213" s="219" t="s">
        <v>865</v>
      </c>
    </row>
    <row r="214" ht="11.4" customHeight="1" spans="1:33">
      <c r="A214" s="184" t="s">
        <v>1173</v>
      </c>
      <c r="B214" s="184" t="s">
        <v>113</v>
      </c>
      <c r="C214" s="184" t="s">
        <v>1101</v>
      </c>
      <c r="D214" s="185" t="s">
        <v>522</v>
      </c>
      <c r="E214" s="186" t="s">
        <v>906</v>
      </c>
      <c r="F214" s="186" t="s">
        <v>907</v>
      </c>
      <c r="G214" s="186" t="s">
        <v>1102</v>
      </c>
      <c r="H214" s="186" t="s">
        <v>1174</v>
      </c>
      <c r="I214" s="187" t="s">
        <v>1310</v>
      </c>
      <c r="J214" s="187" t="s">
        <v>1311</v>
      </c>
      <c r="K214" s="188"/>
      <c r="L214" s="188"/>
      <c r="M214" s="189" t="s">
        <v>847</v>
      </c>
      <c r="N214" s="190">
        <v>208.24</v>
      </c>
      <c r="O214" s="190">
        <f t="shared" si="24"/>
        <v>226.98</v>
      </c>
      <c r="P214" s="191">
        <f t="shared" si="25"/>
        <v>0</v>
      </c>
      <c r="Q214" s="192">
        <f t="shared" si="26"/>
        <v>0</v>
      </c>
      <c r="R214" s="193"/>
      <c r="S214" s="194"/>
      <c r="T214" s="195">
        <f t="shared" si="27"/>
        <v>0</v>
      </c>
      <c r="U214" s="195">
        <f t="shared" si="28"/>
        <v>0</v>
      </c>
      <c r="V214" s="195">
        <f t="shared" si="29"/>
        <v>0</v>
      </c>
      <c r="W214" s="196" t="e">
        <f t="shared" si="30"/>
        <v>#DIV/0!</v>
      </c>
      <c r="X214" s="197" t="e">
        <f t="shared" si="31"/>
        <v>#DIV/0!</v>
      </c>
      <c r="AG214" s="219" t="s">
        <v>865</v>
      </c>
    </row>
    <row r="215" ht="11.4" customHeight="1" spans="1:33">
      <c r="A215" s="184" t="s">
        <v>1173</v>
      </c>
      <c r="B215" s="184" t="s">
        <v>113</v>
      </c>
      <c r="C215" s="184" t="s">
        <v>1101</v>
      </c>
      <c r="D215" s="185" t="s">
        <v>522</v>
      </c>
      <c r="E215" s="186" t="s">
        <v>906</v>
      </c>
      <c r="F215" s="186" t="s">
        <v>907</v>
      </c>
      <c r="G215" s="186" t="s">
        <v>1102</v>
      </c>
      <c r="H215" s="186" t="s">
        <v>1174</v>
      </c>
      <c r="I215" s="187" t="s">
        <v>1312</v>
      </c>
      <c r="J215" s="187" t="s">
        <v>1313</v>
      </c>
      <c r="K215" s="188"/>
      <c r="L215" s="188"/>
      <c r="M215" s="189" t="s">
        <v>847</v>
      </c>
      <c r="N215" s="190">
        <v>237.28</v>
      </c>
      <c r="O215" s="190">
        <f t="shared" si="24"/>
        <v>258.64</v>
      </c>
      <c r="P215" s="191">
        <f t="shared" si="25"/>
        <v>0</v>
      </c>
      <c r="Q215" s="192">
        <f t="shared" si="26"/>
        <v>0</v>
      </c>
      <c r="R215" s="193"/>
      <c r="S215" s="194"/>
      <c r="T215" s="195">
        <f t="shared" si="27"/>
        <v>0</v>
      </c>
      <c r="U215" s="195">
        <f t="shared" si="28"/>
        <v>0</v>
      </c>
      <c r="V215" s="195">
        <f t="shared" si="29"/>
        <v>0</v>
      </c>
      <c r="W215" s="196" t="e">
        <f t="shared" si="30"/>
        <v>#DIV/0!</v>
      </c>
      <c r="X215" s="197" t="e">
        <f t="shared" si="31"/>
        <v>#DIV/0!</v>
      </c>
      <c r="AG215" s="219" t="s">
        <v>865</v>
      </c>
    </row>
    <row r="216" ht="11.4" customHeight="1" spans="1:33">
      <c r="A216" s="184" t="s">
        <v>1173</v>
      </c>
      <c r="B216" s="184" t="s">
        <v>113</v>
      </c>
      <c r="C216" s="184" t="s">
        <v>1101</v>
      </c>
      <c r="D216" s="185" t="s">
        <v>522</v>
      </c>
      <c r="E216" s="186" t="s">
        <v>906</v>
      </c>
      <c r="F216" s="186" t="s">
        <v>907</v>
      </c>
      <c r="G216" s="186" t="s">
        <v>1102</v>
      </c>
      <c r="H216" s="186" t="s">
        <v>1174</v>
      </c>
      <c r="I216" s="187" t="s">
        <v>1314</v>
      </c>
      <c r="J216" s="187" t="s">
        <v>1315</v>
      </c>
      <c r="K216" s="188"/>
      <c r="L216" s="188"/>
      <c r="M216" s="189" t="s">
        <v>847</v>
      </c>
      <c r="N216" s="190">
        <v>179.53</v>
      </c>
      <c r="O216" s="190">
        <f t="shared" si="24"/>
        <v>195.69</v>
      </c>
      <c r="P216" s="191">
        <f t="shared" si="25"/>
        <v>0</v>
      </c>
      <c r="Q216" s="192">
        <f t="shared" si="26"/>
        <v>0</v>
      </c>
      <c r="R216" s="193"/>
      <c r="S216" s="194"/>
      <c r="T216" s="195">
        <f t="shared" si="27"/>
        <v>0</v>
      </c>
      <c r="U216" s="195">
        <f t="shared" si="28"/>
        <v>0</v>
      </c>
      <c r="V216" s="195">
        <f t="shared" si="29"/>
        <v>0</v>
      </c>
      <c r="W216" s="196" t="e">
        <f t="shared" si="30"/>
        <v>#DIV/0!</v>
      </c>
      <c r="X216" s="197" t="e">
        <f t="shared" si="31"/>
        <v>#DIV/0!</v>
      </c>
      <c r="AG216" s="219" t="s">
        <v>865</v>
      </c>
    </row>
    <row r="217" ht="11.4" customHeight="1" spans="1:33">
      <c r="A217" s="184" t="s">
        <v>1173</v>
      </c>
      <c r="B217" s="184" t="s">
        <v>113</v>
      </c>
      <c r="C217" s="184" t="s">
        <v>1101</v>
      </c>
      <c r="D217" s="185" t="s">
        <v>522</v>
      </c>
      <c r="E217" s="186" t="s">
        <v>906</v>
      </c>
      <c r="F217" s="186" t="s">
        <v>907</v>
      </c>
      <c r="G217" s="186" t="s">
        <v>1102</v>
      </c>
      <c r="H217" s="186" t="s">
        <v>1174</v>
      </c>
      <c r="I217" s="187" t="s">
        <v>1316</v>
      </c>
      <c r="J217" s="187" t="s">
        <v>1317</v>
      </c>
      <c r="K217" s="188"/>
      <c r="L217" s="188"/>
      <c r="M217" s="189" t="s">
        <v>847</v>
      </c>
      <c r="N217" s="190">
        <v>168.64</v>
      </c>
      <c r="O217" s="190">
        <f t="shared" si="24"/>
        <v>183.82</v>
      </c>
      <c r="P217" s="191">
        <f t="shared" si="25"/>
        <v>0</v>
      </c>
      <c r="Q217" s="192">
        <f t="shared" si="26"/>
        <v>0</v>
      </c>
      <c r="R217" s="193"/>
      <c r="S217" s="194"/>
      <c r="T217" s="195">
        <f t="shared" si="27"/>
        <v>0</v>
      </c>
      <c r="U217" s="195">
        <f t="shared" si="28"/>
        <v>0</v>
      </c>
      <c r="V217" s="195">
        <f t="shared" si="29"/>
        <v>0</v>
      </c>
      <c r="W217" s="196" t="e">
        <f t="shared" si="30"/>
        <v>#DIV/0!</v>
      </c>
      <c r="X217" s="197" t="e">
        <f t="shared" si="31"/>
        <v>#DIV/0!</v>
      </c>
      <c r="AG217" s="219" t="s">
        <v>865</v>
      </c>
    </row>
    <row r="218" ht="11.4" customHeight="1" spans="1:33">
      <c r="A218" s="184" t="s">
        <v>1173</v>
      </c>
      <c r="B218" s="184" t="s">
        <v>113</v>
      </c>
      <c r="C218" s="184" t="s">
        <v>1101</v>
      </c>
      <c r="D218" s="185" t="s">
        <v>522</v>
      </c>
      <c r="E218" s="186" t="s">
        <v>906</v>
      </c>
      <c r="F218" s="186" t="s">
        <v>907</v>
      </c>
      <c r="G218" s="186" t="s">
        <v>1102</v>
      </c>
      <c r="H218" s="186" t="s">
        <v>1174</v>
      </c>
      <c r="I218" s="187" t="s">
        <v>1318</v>
      </c>
      <c r="J218" s="187" t="s">
        <v>1319</v>
      </c>
      <c r="K218" s="188"/>
      <c r="L218" s="188"/>
      <c r="M218" s="189" t="s">
        <v>847</v>
      </c>
      <c r="N218" s="190">
        <v>179.53</v>
      </c>
      <c r="O218" s="190">
        <f t="shared" si="24"/>
        <v>195.69</v>
      </c>
      <c r="P218" s="191">
        <f t="shared" si="25"/>
        <v>0</v>
      </c>
      <c r="Q218" s="192">
        <f t="shared" si="26"/>
        <v>0</v>
      </c>
      <c r="R218" s="193"/>
      <c r="S218" s="194"/>
      <c r="T218" s="195">
        <f t="shared" si="27"/>
        <v>0</v>
      </c>
      <c r="U218" s="195">
        <f t="shared" si="28"/>
        <v>0</v>
      </c>
      <c r="V218" s="195">
        <f t="shared" si="29"/>
        <v>0</v>
      </c>
      <c r="W218" s="196" t="e">
        <f t="shared" si="30"/>
        <v>#DIV/0!</v>
      </c>
      <c r="X218" s="197" t="e">
        <f t="shared" si="31"/>
        <v>#DIV/0!</v>
      </c>
      <c r="AG218" s="219" t="s">
        <v>865</v>
      </c>
    </row>
    <row r="219" ht="11.4" customHeight="1" spans="1:33">
      <c r="A219" s="184" t="s">
        <v>1173</v>
      </c>
      <c r="B219" s="184" t="s">
        <v>113</v>
      </c>
      <c r="C219" s="184" t="s">
        <v>1101</v>
      </c>
      <c r="D219" s="185" t="s">
        <v>522</v>
      </c>
      <c r="E219" s="186" t="s">
        <v>906</v>
      </c>
      <c r="F219" s="186" t="s">
        <v>907</v>
      </c>
      <c r="G219" s="186" t="s">
        <v>1102</v>
      </c>
      <c r="H219" s="186" t="s">
        <v>1174</v>
      </c>
      <c r="I219" s="187" t="s">
        <v>1320</v>
      </c>
      <c r="J219" s="187" t="s">
        <v>1321</v>
      </c>
      <c r="K219" s="188"/>
      <c r="L219" s="188"/>
      <c r="M219" s="189" t="s">
        <v>847</v>
      </c>
      <c r="N219" s="190">
        <v>169.85</v>
      </c>
      <c r="O219" s="190">
        <f t="shared" si="24"/>
        <v>185.14</v>
      </c>
      <c r="P219" s="191">
        <f t="shared" si="25"/>
        <v>0</v>
      </c>
      <c r="Q219" s="192">
        <f t="shared" si="26"/>
        <v>0</v>
      </c>
      <c r="R219" s="193"/>
      <c r="S219" s="194"/>
      <c r="T219" s="195">
        <f t="shared" si="27"/>
        <v>0</v>
      </c>
      <c r="U219" s="195">
        <f t="shared" si="28"/>
        <v>0</v>
      </c>
      <c r="V219" s="195">
        <f t="shared" si="29"/>
        <v>0</v>
      </c>
      <c r="W219" s="196" t="e">
        <f t="shared" si="30"/>
        <v>#DIV/0!</v>
      </c>
      <c r="X219" s="197" t="e">
        <f t="shared" si="31"/>
        <v>#DIV/0!</v>
      </c>
      <c r="AG219" s="219" t="s">
        <v>865</v>
      </c>
    </row>
    <row r="220" ht="11.4" customHeight="1" spans="1:33">
      <c r="A220" s="184" t="s">
        <v>1173</v>
      </c>
      <c r="B220" s="184" t="s">
        <v>113</v>
      </c>
      <c r="C220" s="184" t="s">
        <v>1101</v>
      </c>
      <c r="D220" s="185" t="s">
        <v>522</v>
      </c>
      <c r="E220" s="186" t="s">
        <v>906</v>
      </c>
      <c r="F220" s="186" t="s">
        <v>907</v>
      </c>
      <c r="G220" s="186" t="s">
        <v>1102</v>
      </c>
      <c r="H220" s="186" t="s">
        <v>1174</v>
      </c>
      <c r="I220" s="187" t="s">
        <v>1322</v>
      </c>
      <c r="J220" s="187" t="s">
        <v>1323</v>
      </c>
      <c r="K220" s="188"/>
      <c r="L220" s="188"/>
      <c r="M220" s="189" t="s">
        <v>847</v>
      </c>
      <c r="N220" s="190">
        <v>165.01</v>
      </c>
      <c r="O220" s="190">
        <f t="shared" si="24"/>
        <v>179.86</v>
      </c>
      <c r="P220" s="191">
        <f t="shared" si="25"/>
        <v>0</v>
      </c>
      <c r="Q220" s="192">
        <f t="shared" si="26"/>
        <v>0</v>
      </c>
      <c r="R220" s="193"/>
      <c r="S220" s="194"/>
      <c r="T220" s="195">
        <f t="shared" si="27"/>
        <v>0</v>
      </c>
      <c r="U220" s="195">
        <f t="shared" si="28"/>
        <v>0</v>
      </c>
      <c r="V220" s="195">
        <f t="shared" si="29"/>
        <v>0</v>
      </c>
      <c r="W220" s="196" t="e">
        <f t="shared" si="30"/>
        <v>#DIV/0!</v>
      </c>
      <c r="X220" s="197" t="e">
        <f t="shared" si="31"/>
        <v>#DIV/0!</v>
      </c>
      <c r="AG220" s="219" t="s">
        <v>865</v>
      </c>
    </row>
    <row r="221" ht="11.4" customHeight="1" spans="1:33">
      <c r="A221" s="184" t="s">
        <v>1173</v>
      </c>
      <c r="B221" s="184" t="s">
        <v>113</v>
      </c>
      <c r="C221" s="184" t="s">
        <v>1101</v>
      </c>
      <c r="D221" s="185" t="s">
        <v>522</v>
      </c>
      <c r="E221" s="186" t="s">
        <v>906</v>
      </c>
      <c r="F221" s="186" t="s">
        <v>907</v>
      </c>
      <c r="G221" s="186" t="s">
        <v>1102</v>
      </c>
      <c r="H221" s="186" t="s">
        <v>1174</v>
      </c>
      <c r="I221" s="187" t="s">
        <v>1324</v>
      </c>
      <c r="J221" s="187" t="s">
        <v>1325</v>
      </c>
      <c r="K221" s="221">
        <v>6.39</v>
      </c>
      <c r="L221" s="188">
        <v>23.63</v>
      </c>
      <c r="M221" s="189" t="s">
        <v>847</v>
      </c>
      <c r="N221" s="190">
        <v>169.85</v>
      </c>
      <c r="O221" s="190">
        <f t="shared" si="24"/>
        <v>185.14</v>
      </c>
      <c r="P221" s="191">
        <f t="shared" si="25"/>
        <v>1085.34</v>
      </c>
      <c r="Q221" s="192">
        <f t="shared" si="26"/>
        <v>4013.56</v>
      </c>
      <c r="R221" s="193"/>
      <c r="S221" s="194"/>
      <c r="T221" s="195">
        <f t="shared" si="27"/>
        <v>-17.24</v>
      </c>
      <c r="U221" s="195">
        <f t="shared" si="28"/>
        <v>-2928.22</v>
      </c>
      <c r="V221" s="195">
        <f t="shared" si="29"/>
        <v>2928.22</v>
      </c>
      <c r="W221" s="196">
        <f t="shared" si="30"/>
        <v>-0.729581041049513</v>
      </c>
      <c r="X221" s="197">
        <f t="shared" si="31"/>
        <v>0.729581041049513</v>
      </c>
      <c r="AG221" s="219" t="s">
        <v>865</v>
      </c>
    </row>
    <row r="222" ht="11.4" customHeight="1" spans="1:33">
      <c r="A222" s="184" t="s">
        <v>1173</v>
      </c>
      <c r="B222" s="184" t="s">
        <v>113</v>
      </c>
      <c r="C222" s="184" t="s">
        <v>1101</v>
      </c>
      <c r="D222" s="185" t="s">
        <v>522</v>
      </c>
      <c r="E222" s="186" t="s">
        <v>906</v>
      </c>
      <c r="F222" s="186" t="s">
        <v>907</v>
      </c>
      <c r="G222" s="186" t="s">
        <v>1102</v>
      </c>
      <c r="H222" s="186" t="s">
        <v>1174</v>
      </c>
      <c r="I222" s="187" t="s">
        <v>1326</v>
      </c>
      <c r="J222" s="187" t="s">
        <v>1327</v>
      </c>
      <c r="K222" s="188"/>
      <c r="L222" s="188"/>
      <c r="M222" s="189" t="s">
        <v>847</v>
      </c>
      <c r="N222" s="190">
        <v>206.06</v>
      </c>
      <c r="O222" s="190">
        <f t="shared" si="24"/>
        <v>224.61</v>
      </c>
      <c r="P222" s="191">
        <f t="shared" si="25"/>
        <v>0</v>
      </c>
      <c r="Q222" s="192">
        <f t="shared" si="26"/>
        <v>0</v>
      </c>
      <c r="R222" s="193"/>
      <c r="S222" s="194"/>
      <c r="T222" s="195">
        <f t="shared" si="27"/>
        <v>0</v>
      </c>
      <c r="U222" s="195">
        <f t="shared" si="28"/>
        <v>0</v>
      </c>
      <c r="V222" s="195">
        <f t="shared" si="29"/>
        <v>0</v>
      </c>
      <c r="W222" s="196" t="e">
        <f t="shared" si="30"/>
        <v>#DIV/0!</v>
      </c>
      <c r="X222" s="197" t="e">
        <f t="shared" si="31"/>
        <v>#DIV/0!</v>
      </c>
      <c r="AG222" s="219" t="s">
        <v>865</v>
      </c>
    </row>
    <row r="223" ht="11.4" customHeight="1" spans="1:33">
      <c r="A223" s="184" t="s">
        <v>1173</v>
      </c>
      <c r="B223" s="184" t="s">
        <v>113</v>
      </c>
      <c r="C223" s="184" t="s">
        <v>1101</v>
      </c>
      <c r="D223" s="185" t="s">
        <v>522</v>
      </c>
      <c r="E223" s="186" t="s">
        <v>906</v>
      </c>
      <c r="F223" s="186" t="s">
        <v>907</v>
      </c>
      <c r="G223" s="186" t="s">
        <v>1102</v>
      </c>
      <c r="H223" s="186" t="s">
        <v>1174</v>
      </c>
      <c r="I223" s="187" t="s">
        <v>1328</v>
      </c>
      <c r="J223" s="187" t="s">
        <v>1329</v>
      </c>
      <c r="K223" s="188"/>
      <c r="L223" s="188"/>
      <c r="M223" s="189" t="s">
        <v>847</v>
      </c>
      <c r="N223" s="190">
        <v>193.96</v>
      </c>
      <c r="O223" s="190">
        <f t="shared" si="24"/>
        <v>211.42</v>
      </c>
      <c r="P223" s="191">
        <f t="shared" si="25"/>
        <v>0</v>
      </c>
      <c r="Q223" s="192">
        <f t="shared" si="26"/>
        <v>0</v>
      </c>
      <c r="R223" s="193"/>
      <c r="S223" s="194"/>
      <c r="T223" s="195">
        <f t="shared" si="27"/>
        <v>0</v>
      </c>
      <c r="U223" s="195">
        <f t="shared" si="28"/>
        <v>0</v>
      </c>
      <c r="V223" s="195">
        <f t="shared" si="29"/>
        <v>0</v>
      </c>
      <c r="W223" s="196" t="e">
        <f t="shared" si="30"/>
        <v>#DIV/0!</v>
      </c>
      <c r="X223" s="197" t="e">
        <f t="shared" si="31"/>
        <v>#DIV/0!</v>
      </c>
      <c r="AG223" s="219" t="s">
        <v>865</v>
      </c>
    </row>
    <row r="224" ht="11.4" customHeight="1" spans="1:33">
      <c r="A224" s="184" t="s">
        <v>1173</v>
      </c>
      <c r="B224" s="184" t="s">
        <v>113</v>
      </c>
      <c r="C224" s="184" t="s">
        <v>1101</v>
      </c>
      <c r="D224" s="185" t="s">
        <v>522</v>
      </c>
      <c r="E224" s="186" t="s">
        <v>906</v>
      </c>
      <c r="F224" s="186" t="s">
        <v>907</v>
      </c>
      <c r="G224" s="186" t="s">
        <v>1102</v>
      </c>
      <c r="H224" s="186" t="s">
        <v>1174</v>
      </c>
      <c r="I224" s="187" t="s">
        <v>1330</v>
      </c>
      <c r="J224" s="187" t="s">
        <v>1331</v>
      </c>
      <c r="K224" s="188"/>
      <c r="L224" s="188"/>
      <c r="M224" s="189" t="s">
        <v>847</v>
      </c>
      <c r="N224" s="190">
        <v>215.74</v>
      </c>
      <c r="O224" s="190">
        <f t="shared" si="24"/>
        <v>235.16</v>
      </c>
      <c r="P224" s="191">
        <f t="shared" si="25"/>
        <v>0</v>
      </c>
      <c r="Q224" s="192">
        <f t="shared" si="26"/>
        <v>0</v>
      </c>
      <c r="R224" s="193"/>
      <c r="S224" s="194"/>
      <c r="T224" s="195">
        <f t="shared" si="27"/>
        <v>0</v>
      </c>
      <c r="U224" s="195">
        <f t="shared" si="28"/>
        <v>0</v>
      </c>
      <c r="V224" s="195">
        <f t="shared" si="29"/>
        <v>0</v>
      </c>
      <c r="W224" s="196" t="e">
        <f t="shared" si="30"/>
        <v>#DIV/0!</v>
      </c>
      <c r="X224" s="197" t="e">
        <f t="shared" si="31"/>
        <v>#DIV/0!</v>
      </c>
      <c r="AG224" s="219" t="s">
        <v>865</v>
      </c>
    </row>
    <row r="225" ht="11.4" customHeight="1" spans="1:34">
      <c r="A225" s="184" t="s">
        <v>1173</v>
      </c>
      <c r="B225" s="184" t="s">
        <v>113</v>
      </c>
      <c r="C225" s="184" t="s">
        <v>1101</v>
      </c>
      <c r="D225" s="185" t="s">
        <v>522</v>
      </c>
      <c r="E225" s="186" t="s">
        <v>906</v>
      </c>
      <c r="F225" s="186" t="s">
        <v>907</v>
      </c>
      <c r="G225" s="186" t="s">
        <v>1102</v>
      </c>
      <c r="H225" s="186" t="s">
        <v>1174</v>
      </c>
      <c r="I225" s="187" t="s">
        <v>1332</v>
      </c>
      <c r="J225" s="187" t="s">
        <v>1333</v>
      </c>
      <c r="K225" s="188"/>
      <c r="L225" s="188"/>
      <c r="M225" s="189" t="s">
        <v>793</v>
      </c>
      <c r="N225" s="190">
        <v>1376</v>
      </c>
      <c r="O225" s="190">
        <f t="shared" si="24"/>
        <v>1499.84</v>
      </c>
      <c r="P225" s="191">
        <f t="shared" si="25"/>
        <v>0</v>
      </c>
      <c r="Q225" s="192">
        <f t="shared" si="26"/>
        <v>0</v>
      </c>
      <c r="R225" s="193"/>
      <c r="S225" s="194"/>
      <c r="T225" s="195">
        <f t="shared" si="27"/>
        <v>0</v>
      </c>
      <c r="U225" s="195">
        <f t="shared" si="28"/>
        <v>0</v>
      </c>
      <c r="V225" s="195">
        <f t="shared" si="29"/>
        <v>0</v>
      </c>
      <c r="W225" s="196" t="e">
        <f t="shared" si="30"/>
        <v>#DIV/0!</v>
      </c>
      <c r="X225" s="197" t="e">
        <f t="shared" si="31"/>
        <v>#DIV/0!</v>
      </c>
      <c r="AH225" s="219" t="s">
        <v>794</v>
      </c>
    </row>
    <row r="226" ht="11.4" customHeight="1" spans="1:34">
      <c r="A226" s="184" t="s">
        <v>1173</v>
      </c>
      <c r="B226" s="184" t="s">
        <v>113</v>
      </c>
      <c r="C226" s="184" t="s">
        <v>1101</v>
      </c>
      <c r="D226" s="185" t="s">
        <v>522</v>
      </c>
      <c r="E226" s="186" t="s">
        <v>906</v>
      </c>
      <c r="F226" s="186" t="s">
        <v>907</v>
      </c>
      <c r="G226" s="186" t="s">
        <v>1102</v>
      </c>
      <c r="H226" s="186" t="s">
        <v>1174</v>
      </c>
      <c r="I226" s="187" t="s">
        <v>1334</v>
      </c>
      <c r="J226" s="187" t="s">
        <v>1335</v>
      </c>
      <c r="K226" s="188"/>
      <c r="L226" s="188"/>
      <c r="M226" s="189" t="s">
        <v>847</v>
      </c>
      <c r="N226" s="190">
        <v>1134.73</v>
      </c>
      <c r="O226" s="190">
        <f t="shared" si="24"/>
        <v>1236.86</v>
      </c>
      <c r="P226" s="191">
        <f t="shared" si="25"/>
        <v>0</v>
      </c>
      <c r="Q226" s="192">
        <f t="shared" si="26"/>
        <v>0</v>
      </c>
      <c r="R226" s="193"/>
      <c r="S226" s="194"/>
      <c r="T226" s="195">
        <f t="shared" si="27"/>
        <v>0</v>
      </c>
      <c r="U226" s="195">
        <f t="shared" si="28"/>
        <v>0</v>
      </c>
      <c r="V226" s="195">
        <f t="shared" si="29"/>
        <v>0</v>
      </c>
      <c r="W226" s="196" t="e">
        <f t="shared" si="30"/>
        <v>#DIV/0!</v>
      </c>
      <c r="X226" s="197" t="e">
        <f t="shared" si="31"/>
        <v>#DIV/0!</v>
      </c>
      <c r="AG226" s="219" t="s">
        <v>865</v>
      </c>
    </row>
    <row r="227" ht="11.4" customHeight="1" spans="1:34">
      <c r="A227" s="184" t="s">
        <v>1173</v>
      </c>
      <c r="B227" s="184" t="s">
        <v>113</v>
      </c>
      <c r="C227" s="184" t="s">
        <v>1101</v>
      </c>
      <c r="D227" s="185" t="s">
        <v>522</v>
      </c>
      <c r="E227" s="186" t="s">
        <v>906</v>
      </c>
      <c r="F227" s="186" t="s">
        <v>907</v>
      </c>
      <c r="G227" s="186" t="s">
        <v>1102</v>
      </c>
      <c r="H227" s="186" t="s">
        <v>1174</v>
      </c>
      <c r="I227" s="187" t="s">
        <v>1336</v>
      </c>
      <c r="J227" s="187" t="s">
        <v>1337</v>
      </c>
      <c r="K227" s="188"/>
      <c r="L227" s="188"/>
      <c r="M227" s="189" t="s">
        <v>847</v>
      </c>
      <c r="N227" s="190">
        <v>62.19</v>
      </c>
      <c r="O227" s="190">
        <f t="shared" si="24"/>
        <v>67.79</v>
      </c>
      <c r="P227" s="191">
        <f t="shared" si="25"/>
        <v>0</v>
      </c>
      <c r="Q227" s="192">
        <f t="shared" si="26"/>
        <v>0</v>
      </c>
      <c r="R227" s="193"/>
      <c r="S227" s="194"/>
      <c r="T227" s="195">
        <f t="shared" si="27"/>
        <v>0</v>
      </c>
      <c r="U227" s="195">
        <f t="shared" si="28"/>
        <v>0</v>
      </c>
      <c r="V227" s="195">
        <f t="shared" si="29"/>
        <v>0</v>
      </c>
      <c r="W227" s="196" t="e">
        <f t="shared" si="30"/>
        <v>#DIV/0!</v>
      </c>
      <c r="X227" s="197" t="e">
        <f t="shared" si="31"/>
        <v>#DIV/0!</v>
      </c>
      <c r="AG227" s="219" t="s">
        <v>865</v>
      </c>
    </row>
    <row r="228" ht="11.4" customHeight="1" spans="1:34">
      <c r="A228" s="184" t="s">
        <v>1173</v>
      </c>
      <c r="B228" s="184" t="s">
        <v>113</v>
      </c>
      <c r="C228" s="184" t="s">
        <v>1101</v>
      </c>
      <c r="D228" s="185" t="s">
        <v>522</v>
      </c>
      <c r="E228" s="186" t="s">
        <v>906</v>
      </c>
      <c r="F228" s="186" t="s">
        <v>907</v>
      </c>
      <c r="G228" s="186" t="s">
        <v>1102</v>
      </c>
      <c r="H228" s="186" t="s">
        <v>1174</v>
      </c>
      <c r="I228" s="187" t="s">
        <v>1338</v>
      </c>
      <c r="J228" s="222" t="s">
        <v>1339</v>
      </c>
      <c r="K228" s="188"/>
      <c r="L228" s="188"/>
      <c r="M228" s="189" t="s">
        <v>847</v>
      </c>
      <c r="N228" s="190">
        <v>205.04</v>
      </c>
      <c r="O228" s="190">
        <f t="shared" si="24"/>
        <v>223.49</v>
      </c>
      <c r="P228" s="191">
        <f t="shared" si="25"/>
        <v>0</v>
      </c>
      <c r="Q228" s="192">
        <f t="shared" si="26"/>
        <v>0</v>
      </c>
      <c r="R228" s="193"/>
      <c r="S228" s="194"/>
      <c r="T228" s="195">
        <f t="shared" si="27"/>
        <v>0</v>
      </c>
      <c r="U228" s="195">
        <f t="shared" si="28"/>
        <v>0</v>
      </c>
      <c r="V228" s="195">
        <f t="shared" si="29"/>
        <v>0</v>
      </c>
      <c r="W228" s="196" t="e">
        <f t="shared" si="30"/>
        <v>#DIV/0!</v>
      </c>
      <c r="X228" s="197" t="e">
        <f t="shared" si="31"/>
        <v>#DIV/0!</v>
      </c>
      <c r="AG228" s="219" t="s">
        <v>865</v>
      </c>
    </row>
    <row r="229" ht="11.4" customHeight="1" spans="1:34">
      <c r="A229" s="184" t="s">
        <v>1340</v>
      </c>
      <c r="B229" s="184" t="s">
        <v>133</v>
      </c>
      <c r="C229" s="184" t="s">
        <v>1341</v>
      </c>
      <c r="D229" s="185" t="s">
        <v>522</v>
      </c>
      <c r="E229" s="186" t="s">
        <v>906</v>
      </c>
      <c r="F229" s="186" t="s">
        <v>907</v>
      </c>
      <c r="G229" s="186" t="s">
        <v>1102</v>
      </c>
      <c r="H229" s="186" t="s">
        <v>1342</v>
      </c>
      <c r="I229" s="187" t="s">
        <v>1343</v>
      </c>
      <c r="J229" s="187" t="s">
        <v>1344</v>
      </c>
      <c r="K229" s="188"/>
      <c r="L229" s="188"/>
      <c r="M229" s="189" t="s">
        <v>847</v>
      </c>
      <c r="N229" s="190"/>
      <c r="O229" s="190">
        <f t="shared" si="24"/>
        <v>0</v>
      </c>
      <c r="P229" s="191">
        <f t="shared" si="25"/>
        <v>0</v>
      </c>
      <c r="Q229" s="192">
        <f t="shared" si="26"/>
        <v>0</v>
      </c>
      <c r="R229" s="193"/>
      <c r="S229" s="194"/>
      <c r="T229" s="195">
        <f t="shared" si="27"/>
        <v>0</v>
      </c>
      <c r="U229" s="195">
        <f t="shared" si="28"/>
        <v>0</v>
      </c>
      <c r="V229" s="195">
        <f t="shared" si="29"/>
        <v>0</v>
      </c>
      <c r="W229" s="196" t="e">
        <f t="shared" si="30"/>
        <v>#DIV/0!</v>
      </c>
      <c r="X229" s="197" t="e">
        <f t="shared" si="31"/>
        <v>#DIV/0!</v>
      </c>
      <c r="AG229" s="219" t="s">
        <v>865</v>
      </c>
    </row>
    <row r="230" ht="11.4" customHeight="1" spans="1:34">
      <c r="A230" s="184" t="s">
        <v>1340</v>
      </c>
      <c r="B230" s="184" t="s">
        <v>133</v>
      </c>
      <c r="C230" s="184" t="s">
        <v>1341</v>
      </c>
      <c r="D230" s="185" t="s">
        <v>522</v>
      </c>
      <c r="E230" s="186" t="s">
        <v>906</v>
      </c>
      <c r="F230" s="186" t="s">
        <v>907</v>
      </c>
      <c r="G230" s="186" t="s">
        <v>1102</v>
      </c>
      <c r="H230" s="186" t="s">
        <v>1342</v>
      </c>
      <c r="I230" s="187" t="s">
        <v>1345</v>
      </c>
      <c r="J230" s="187" t="s">
        <v>1346</v>
      </c>
      <c r="K230" s="188"/>
      <c r="L230" s="188"/>
      <c r="M230" s="189" t="s">
        <v>847</v>
      </c>
      <c r="N230" s="190"/>
      <c r="O230" s="190">
        <f t="shared" si="24"/>
        <v>0</v>
      </c>
      <c r="P230" s="191">
        <f t="shared" si="25"/>
        <v>0</v>
      </c>
      <c r="Q230" s="192">
        <f t="shared" si="26"/>
        <v>0</v>
      </c>
      <c r="R230" s="193"/>
      <c r="S230" s="194"/>
      <c r="T230" s="195">
        <f t="shared" si="27"/>
        <v>0</v>
      </c>
      <c r="U230" s="195">
        <f t="shared" si="28"/>
        <v>0</v>
      </c>
      <c r="V230" s="195">
        <f t="shared" si="29"/>
        <v>0</v>
      </c>
      <c r="W230" s="196" t="e">
        <f t="shared" si="30"/>
        <v>#DIV/0!</v>
      </c>
      <c r="X230" s="197" t="e">
        <f t="shared" si="31"/>
        <v>#DIV/0!</v>
      </c>
      <c r="AG230" s="219" t="s">
        <v>865</v>
      </c>
    </row>
    <row r="231" ht="11.4" customHeight="1" spans="1:34">
      <c r="A231" s="184" t="s">
        <v>1340</v>
      </c>
      <c r="B231" s="184" t="s">
        <v>133</v>
      </c>
      <c r="C231" s="184" t="s">
        <v>1341</v>
      </c>
      <c r="D231" s="185" t="s">
        <v>522</v>
      </c>
      <c r="E231" s="186" t="s">
        <v>906</v>
      </c>
      <c r="F231" s="186" t="s">
        <v>907</v>
      </c>
      <c r="G231" s="186" t="s">
        <v>1102</v>
      </c>
      <c r="H231" s="186" t="s">
        <v>1342</v>
      </c>
      <c r="I231" s="187" t="s">
        <v>1347</v>
      </c>
      <c r="J231" s="187" t="s">
        <v>1348</v>
      </c>
      <c r="K231" s="188"/>
      <c r="L231" s="188"/>
      <c r="M231" s="189" t="s">
        <v>847</v>
      </c>
      <c r="N231" s="190"/>
      <c r="O231" s="190">
        <f t="shared" si="24"/>
        <v>0</v>
      </c>
      <c r="P231" s="191">
        <f t="shared" si="25"/>
        <v>0</v>
      </c>
      <c r="Q231" s="192">
        <f t="shared" si="26"/>
        <v>0</v>
      </c>
      <c r="R231" s="193"/>
      <c r="S231" s="194"/>
      <c r="T231" s="195">
        <f t="shared" si="27"/>
        <v>0</v>
      </c>
      <c r="U231" s="195">
        <f t="shared" si="28"/>
        <v>0</v>
      </c>
      <c r="V231" s="195">
        <f t="shared" si="29"/>
        <v>0</v>
      </c>
      <c r="W231" s="196" t="e">
        <f t="shared" si="30"/>
        <v>#DIV/0!</v>
      </c>
      <c r="X231" s="197" t="e">
        <f t="shared" si="31"/>
        <v>#DIV/0!</v>
      </c>
      <c r="AG231" s="219" t="s">
        <v>865</v>
      </c>
    </row>
    <row r="232" ht="11.4" customHeight="1" spans="1:34">
      <c r="A232" s="184" t="s">
        <v>1340</v>
      </c>
      <c r="B232" s="184" t="s">
        <v>133</v>
      </c>
      <c r="C232" s="184" t="s">
        <v>1341</v>
      </c>
      <c r="D232" s="185" t="s">
        <v>522</v>
      </c>
      <c r="E232" s="186" t="s">
        <v>906</v>
      </c>
      <c r="F232" s="186" t="s">
        <v>907</v>
      </c>
      <c r="G232" s="186" t="s">
        <v>1102</v>
      </c>
      <c r="H232" s="186" t="s">
        <v>1342</v>
      </c>
      <c r="I232" s="187" t="s">
        <v>1349</v>
      </c>
      <c r="J232" s="187" t="s">
        <v>1350</v>
      </c>
      <c r="K232" s="188"/>
      <c r="L232" s="188"/>
      <c r="M232" s="189" t="s">
        <v>847</v>
      </c>
      <c r="N232" s="190">
        <v>58</v>
      </c>
      <c r="O232" s="190">
        <f t="shared" si="24"/>
        <v>63.22</v>
      </c>
      <c r="P232" s="191">
        <f t="shared" si="25"/>
        <v>0</v>
      </c>
      <c r="Q232" s="192">
        <f t="shared" si="26"/>
        <v>0</v>
      </c>
      <c r="R232" s="193"/>
      <c r="S232" s="194"/>
      <c r="T232" s="195">
        <f t="shared" si="27"/>
        <v>0</v>
      </c>
      <c r="U232" s="195">
        <f t="shared" si="28"/>
        <v>0</v>
      </c>
      <c r="V232" s="195">
        <f t="shared" si="29"/>
        <v>0</v>
      </c>
      <c r="W232" s="196" t="e">
        <f t="shared" si="30"/>
        <v>#DIV/0!</v>
      </c>
      <c r="X232" s="197" t="e">
        <f t="shared" si="31"/>
        <v>#DIV/0!</v>
      </c>
      <c r="AG232" s="219" t="s">
        <v>865</v>
      </c>
    </row>
    <row r="233" ht="11.4" customHeight="1" spans="1:34">
      <c r="A233" s="184" t="s">
        <v>1340</v>
      </c>
      <c r="B233" s="184" t="s">
        <v>133</v>
      </c>
      <c r="C233" s="184" t="s">
        <v>1341</v>
      </c>
      <c r="D233" s="185" t="s">
        <v>522</v>
      </c>
      <c r="E233" s="186" t="s">
        <v>906</v>
      </c>
      <c r="F233" s="186" t="s">
        <v>907</v>
      </c>
      <c r="G233" s="186" t="s">
        <v>1102</v>
      </c>
      <c r="H233" s="186" t="s">
        <v>1342</v>
      </c>
      <c r="I233" s="187" t="s">
        <v>1351</v>
      </c>
      <c r="J233" s="187" t="s">
        <v>1352</v>
      </c>
      <c r="K233" s="188"/>
      <c r="L233" s="188"/>
      <c r="M233" s="189" t="s">
        <v>847</v>
      </c>
      <c r="N233" s="190"/>
      <c r="O233" s="190">
        <f t="shared" si="24"/>
        <v>0</v>
      </c>
      <c r="P233" s="191">
        <f t="shared" si="25"/>
        <v>0</v>
      </c>
      <c r="Q233" s="192">
        <f t="shared" si="26"/>
        <v>0</v>
      </c>
      <c r="R233" s="193"/>
      <c r="S233" s="194"/>
      <c r="T233" s="195">
        <f t="shared" si="27"/>
        <v>0</v>
      </c>
      <c r="U233" s="195">
        <f t="shared" si="28"/>
        <v>0</v>
      </c>
      <c r="V233" s="195">
        <f t="shared" si="29"/>
        <v>0</v>
      </c>
      <c r="W233" s="196" t="e">
        <f t="shared" si="30"/>
        <v>#DIV/0!</v>
      </c>
      <c r="X233" s="197" t="e">
        <f t="shared" si="31"/>
        <v>#DIV/0!</v>
      </c>
      <c r="AG233" s="219" t="s">
        <v>865</v>
      </c>
    </row>
    <row r="234" ht="11.4" customHeight="1" spans="1:34">
      <c r="A234" s="184" t="s">
        <v>1340</v>
      </c>
      <c r="B234" s="184" t="s">
        <v>133</v>
      </c>
      <c r="C234" s="184" t="s">
        <v>1341</v>
      </c>
      <c r="D234" s="185" t="s">
        <v>522</v>
      </c>
      <c r="E234" s="186" t="s">
        <v>906</v>
      </c>
      <c r="F234" s="186" t="s">
        <v>907</v>
      </c>
      <c r="G234" s="186" t="s">
        <v>1102</v>
      </c>
      <c r="H234" s="186" t="s">
        <v>1342</v>
      </c>
      <c r="I234" s="187" t="s">
        <v>1353</v>
      </c>
      <c r="J234" s="187" t="s">
        <v>1354</v>
      </c>
      <c r="K234" s="188"/>
      <c r="L234" s="188"/>
      <c r="M234" s="189" t="s">
        <v>847</v>
      </c>
      <c r="N234" s="190">
        <v>78.07</v>
      </c>
      <c r="O234" s="190">
        <f t="shared" si="24"/>
        <v>85.1</v>
      </c>
      <c r="P234" s="191">
        <f t="shared" si="25"/>
        <v>0</v>
      </c>
      <c r="Q234" s="192">
        <f t="shared" si="26"/>
        <v>0</v>
      </c>
      <c r="R234" s="193"/>
      <c r="S234" s="194"/>
      <c r="T234" s="195">
        <f t="shared" si="27"/>
        <v>0</v>
      </c>
      <c r="U234" s="195">
        <f t="shared" si="28"/>
        <v>0</v>
      </c>
      <c r="V234" s="195">
        <f t="shared" si="29"/>
        <v>0</v>
      </c>
      <c r="W234" s="196" t="e">
        <f t="shared" si="30"/>
        <v>#DIV/0!</v>
      </c>
      <c r="X234" s="197" t="e">
        <f t="shared" si="31"/>
        <v>#DIV/0!</v>
      </c>
      <c r="AG234" s="219" t="s">
        <v>865</v>
      </c>
    </row>
    <row r="235" ht="11.4" customHeight="1" spans="1:34">
      <c r="A235" s="184" t="s">
        <v>1340</v>
      </c>
      <c r="B235" s="184" t="s">
        <v>133</v>
      </c>
      <c r="C235" s="184" t="s">
        <v>1341</v>
      </c>
      <c r="D235" s="185" t="s">
        <v>522</v>
      </c>
      <c r="E235" s="186" t="s">
        <v>906</v>
      </c>
      <c r="F235" s="186" t="s">
        <v>907</v>
      </c>
      <c r="G235" s="186" t="s">
        <v>1102</v>
      </c>
      <c r="H235" s="186" t="s">
        <v>1342</v>
      </c>
      <c r="I235" s="187" t="s">
        <v>1355</v>
      </c>
      <c r="J235" s="187" t="s">
        <v>1356</v>
      </c>
      <c r="K235" s="188"/>
      <c r="L235" s="188"/>
      <c r="M235" s="189" t="s">
        <v>847</v>
      </c>
      <c r="N235" s="190">
        <v>358.52</v>
      </c>
      <c r="O235" s="190">
        <f t="shared" si="24"/>
        <v>390.79</v>
      </c>
      <c r="P235" s="191">
        <f t="shared" si="25"/>
        <v>0</v>
      </c>
      <c r="Q235" s="192">
        <f t="shared" si="26"/>
        <v>0</v>
      </c>
      <c r="R235" s="193"/>
      <c r="S235" s="194"/>
      <c r="T235" s="195">
        <f t="shared" si="27"/>
        <v>0</v>
      </c>
      <c r="U235" s="195">
        <f t="shared" si="28"/>
        <v>0</v>
      </c>
      <c r="V235" s="195">
        <f t="shared" si="29"/>
        <v>0</v>
      </c>
      <c r="W235" s="196" t="e">
        <f t="shared" si="30"/>
        <v>#DIV/0!</v>
      </c>
      <c r="X235" s="197" t="e">
        <f t="shared" si="31"/>
        <v>#DIV/0!</v>
      </c>
      <c r="AG235" s="219" t="s">
        <v>865</v>
      </c>
    </row>
    <row r="236" ht="11.4" customHeight="1" spans="1:34">
      <c r="A236" s="184" t="s">
        <v>1357</v>
      </c>
      <c r="B236" s="184" t="s">
        <v>115</v>
      </c>
      <c r="C236" s="184" t="s">
        <v>1101</v>
      </c>
      <c r="D236" s="185" t="s">
        <v>522</v>
      </c>
      <c r="E236" s="186" t="s">
        <v>906</v>
      </c>
      <c r="F236" s="186" t="s">
        <v>907</v>
      </c>
      <c r="G236" s="186" t="s">
        <v>1102</v>
      </c>
      <c r="H236" s="186" t="s">
        <v>1358</v>
      </c>
      <c r="I236" s="187" t="s">
        <v>1359</v>
      </c>
      <c r="J236" s="187" t="s">
        <v>1360</v>
      </c>
      <c r="K236" s="188"/>
      <c r="L236" s="188"/>
      <c r="M236" s="189" t="s">
        <v>847</v>
      </c>
      <c r="N236" s="190">
        <v>127.36</v>
      </c>
      <c r="O236" s="190">
        <f t="shared" si="24"/>
        <v>138.82</v>
      </c>
      <c r="P236" s="191">
        <f t="shared" si="25"/>
        <v>0</v>
      </c>
      <c r="Q236" s="192">
        <f t="shared" si="26"/>
        <v>0</v>
      </c>
      <c r="R236" s="193"/>
      <c r="S236" s="194"/>
      <c r="T236" s="195">
        <f t="shared" si="27"/>
        <v>0</v>
      </c>
      <c r="U236" s="195">
        <f t="shared" si="28"/>
        <v>0</v>
      </c>
      <c r="V236" s="195">
        <f t="shared" si="29"/>
        <v>0</v>
      </c>
      <c r="W236" s="196" t="e">
        <f t="shared" si="30"/>
        <v>#DIV/0!</v>
      </c>
      <c r="X236" s="197" t="e">
        <f t="shared" si="31"/>
        <v>#DIV/0!</v>
      </c>
      <c r="AG236" s="219" t="s">
        <v>1361</v>
      </c>
    </row>
    <row r="237" ht="11.4" customHeight="1" spans="1:34">
      <c r="A237" s="184" t="s">
        <v>1357</v>
      </c>
      <c r="B237" s="184" t="s">
        <v>115</v>
      </c>
      <c r="C237" s="184" t="s">
        <v>1101</v>
      </c>
      <c r="D237" s="185" t="s">
        <v>522</v>
      </c>
      <c r="E237" s="186" t="s">
        <v>906</v>
      </c>
      <c r="F237" s="186" t="s">
        <v>907</v>
      </c>
      <c r="G237" s="186" t="s">
        <v>1102</v>
      </c>
      <c r="H237" s="186" t="s">
        <v>1358</v>
      </c>
      <c r="I237" s="187" t="s">
        <v>1362</v>
      </c>
      <c r="J237" s="187" t="s">
        <v>1363</v>
      </c>
      <c r="K237" s="188"/>
      <c r="L237" s="188"/>
      <c r="M237" s="189" t="s">
        <v>847</v>
      </c>
      <c r="N237" s="190">
        <v>138.36</v>
      </c>
      <c r="O237" s="190">
        <f t="shared" si="24"/>
        <v>150.81</v>
      </c>
      <c r="P237" s="191">
        <f t="shared" si="25"/>
        <v>0</v>
      </c>
      <c r="Q237" s="192">
        <f t="shared" si="26"/>
        <v>0</v>
      </c>
      <c r="R237" s="193"/>
      <c r="S237" s="194"/>
      <c r="T237" s="195">
        <f t="shared" si="27"/>
        <v>0</v>
      </c>
      <c r="U237" s="195">
        <f t="shared" si="28"/>
        <v>0</v>
      </c>
      <c r="V237" s="195">
        <f t="shared" si="29"/>
        <v>0</v>
      </c>
      <c r="W237" s="196" t="e">
        <f t="shared" si="30"/>
        <v>#DIV/0!</v>
      </c>
      <c r="X237" s="197" t="e">
        <f t="shared" si="31"/>
        <v>#DIV/0!</v>
      </c>
      <c r="AG237" s="219" t="s">
        <v>1361</v>
      </c>
    </row>
    <row r="238" ht="11.4" customHeight="1" spans="1:34">
      <c r="A238" s="184" t="s">
        <v>1357</v>
      </c>
      <c r="B238" s="184" t="s">
        <v>115</v>
      </c>
      <c r="C238" s="184" t="s">
        <v>1101</v>
      </c>
      <c r="D238" s="185" t="s">
        <v>522</v>
      </c>
      <c r="E238" s="186" t="s">
        <v>906</v>
      </c>
      <c r="F238" s="186" t="s">
        <v>907</v>
      </c>
      <c r="G238" s="186" t="s">
        <v>1102</v>
      </c>
      <c r="H238" s="186" t="s">
        <v>1358</v>
      </c>
      <c r="I238" s="187" t="s">
        <v>1364</v>
      </c>
      <c r="J238" s="187" t="s">
        <v>1365</v>
      </c>
      <c r="K238" s="188"/>
      <c r="L238" s="188"/>
      <c r="M238" s="189" t="s">
        <v>847</v>
      </c>
      <c r="N238" s="190">
        <v>138.36</v>
      </c>
      <c r="O238" s="190">
        <f t="shared" si="24"/>
        <v>150.81</v>
      </c>
      <c r="P238" s="191">
        <f t="shared" si="25"/>
        <v>0</v>
      </c>
      <c r="Q238" s="192">
        <f t="shared" si="26"/>
        <v>0</v>
      </c>
      <c r="R238" s="193"/>
      <c r="S238" s="194"/>
      <c r="T238" s="195">
        <f t="shared" si="27"/>
        <v>0</v>
      </c>
      <c r="U238" s="195">
        <f t="shared" si="28"/>
        <v>0</v>
      </c>
      <c r="V238" s="195">
        <f t="shared" si="29"/>
        <v>0</v>
      </c>
      <c r="W238" s="196" t="e">
        <f t="shared" si="30"/>
        <v>#DIV/0!</v>
      </c>
      <c r="X238" s="197" t="e">
        <f t="shared" si="31"/>
        <v>#DIV/0!</v>
      </c>
      <c r="AG238" s="219" t="s">
        <v>1361</v>
      </c>
    </row>
    <row r="239" ht="11.4" customHeight="1" spans="1:34">
      <c r="A239" s="184" t="s">
        <v>1357</v>
      </c>
      <c r="B239" s="184" t="s">
        <v>115</v>
      </c>
      <c r="C239" s="184" t="s">
        <v>1101</v>
      </c>
      <c r="D239" s="185" t="s">
        <v>522</v>
      </c>
      <c r="E239" s="186" t="s">
        <v>906</v>
      </c>
      <c r="F239" s="186" t="s">
        <v>907</v>
      </c>
      <c r="G239" s="186" t="s">
        <v>1102</v>
      </c>
      <c r="H239" s="186" t="s">
        <v>1358</v>
      </c>
      <c r="I239" s="187" t="s">
        <v>1366</v>
      </c>
      <c r="J239" s="187" t="s">
        <v>1367</v>
      </c>
      <c r="K239" s="188">
        <v>66.6</v>
      </c>
      <c r="L239" s="188">
        <v>67.12</v>
      </c>
      <c r="M239" s="189" t="s">
        <v>847</v>
      </c>
      <c r="N239" s="190">
        <v>205.49</v>
      </c>
      <c r="O239" s="190">
        <f t="shared" si="24"/>
        <v>223.98</v>
      </c>
      <c r="P239" s="191">
        <f t="shared" si="25"/>
        <v>13685.63</v>
      </c>
      <c r="Q239" s="192">
        <f t="shared" si="26"/>
        <v>13792.49</v>
      </c>
      <c r="R239" s="193"/>
      <c r="S239" s="194"/>
      <c r="T239" s="195">
        <f t="shared" si="27"/>
        <v>-0.52000000000001</v>
      </c>
      <c r="U239" s="195">
        <f t="shared" si="28"/>
        <v>-106.860000000001</v>
      </c>
      <c r="V239" s="195">
        <f t="shared" si="29"/>
        <v>106.860000000001</v>
      </c>
      <c r="W239" s="196">
        <f t="shared" si="30"/>
        <v>-0.00774731823599538</v>
      </c>
      <c r="X239" s="197">
        <f t="shared" si="31"/>
        <v>0.00774731823599538</v>
      </c>
      <c r="AG239" s="219" t="s">
        <v>1361</v>
      </c>
    </row>
    <row r="240" ht="11.4" customHeight="1" spans="1:34">
      <c r="A240" s="184" t="s">
        <v>1357</v>
      </c>
      <c r="B240" s="184" t="s">
        <v>115</v>
      </c>
      <c r="C240" s="184" t="s">
        <v>1101</v>
      </c>
      <c r="D240" s="185" t="s">
        <v>522</v>
      </c>
      <c r="E240" s="186" t="s">
        <v>906</v>
      </c>
      <c r="F240" s="186" t="s">
        <v>907</v>
      </c>
      <c r="G240" s="186" t="s">
        <v>1102</v>
      </c>
      <c r="H240" s="186" t="s">
        <v>1358</v>
      </c>
      <c r="I240" s="187" t="s">
        <v>1368</v>
      </c>
      <c r="J240" s="187" t="s">
        <v>1369</v>
      </c>
      <c r="K240" s="188"/>
      <c r="L240" s="188"/>
      <c r="M240" s="189" t="s">
        <v>847</v>
      </c>
      <c r="N240" s="190">
        <v>263.1</v>
      </c>
      <c r="O240" s="190">
        <f t="shared" si="24"/>
        <v>286.78</v>
      </c>
      <c r="P240" s="191">
        <f t="shared" si="25"/>
        <v>0</v>
      </c>
      <c r="Q240" s="192">
        <f t="shared" si="26"/>
        <v>0</v>
      </c>
      <c r="R240" s="193"/>
      <c r="S240" s="194"/>
      <c r="T240" s="195">
        <f t="shared" si="27"/>
        <v>0</v>
      </c>
      <c r="U240" s="195">
        <f t="shared" si="28"/>
        <v>0</v>
      </c>
      <c r="V240" s="195">
        <f t="shared" si="29"/>
        <v>0</v>
      </c>
      <c r="W240" s="196" t="e">
        <f t="shared" si="30"/>
        <v>#DIV/0!</v>
      </c>
      <c r="X240" s="197" t="e">
        <f t="shared" si="31"/>
        <v>#DIV/0!</v>
      </c>
      <c r="AG240" s="219" t="s">
        <v>1361</v>
      </c>
    </row>
    <row r="241" ht="11.4" customHeight="1" spans="1:33">
      <c r="A241" s="184" t="s">
        <v>1357</v>
      </c>
      <c r="B241" s="184" t="s">
        <v>115</v>
      </c>
      <c r="C241" s="184" t="s">
        <v>1101</v>
      </c>
      <c r="D241" s="185" t="s">
        <v>522</v>
      </c>
      <c r="E241" s="186" t="s">
        <v>906</v>
      </c>
      <c r="F241" s="186" t="s">
        <v>907</v>
      </c>
      <c r="G241" s="186" t="s">
        <v>1102</v>
      </c>
      <c r="H241" s="186" t="s">
        <v>1358</v>
      </c>
      <c r="I241" s="187" t="s">
        <v>1370</v>
      </c>
      <c r="J241" s="187" t="s">
        <v>1371</v>
      </c>
      <c r="K241" s="188"/>
      <c r="L241" s="188"/>
      <c r="M241" s="189" t="s">
        <v>847</v>
      </c>
      <c r="N241" s="190">
        <v>2280.18</v>
      </c>
      <c r="O241" s="190">
        <f t="shared" si="24"/>
        <v>2485.4</v>
      </c>
      <c r="P241" s="191">
        <f t="shared" si="25"/>
        <v>0</v>
      </c>
      <c r="Q241" s="192">
        <f t="shared" si="26"/>
        <v>0</v>
      </c>
      <c r="R241" s="193"/>
      <c r="S241" s="194"/>
      <c r="T241" s="195">
        <f t="shared" si="27"/>
        <v>0</v>
      </c>
      <c r="U241" s="195">
        <f t="shared" si="28"/>
        <v>0</v>
      </c>
      <c r="V241" s="195">
        <f t="shared" si="29"/>
        <v>0</v>
      </c>
      <c r="W241" s="196" t="e">
        <f t="shared" si="30"/>
        <v>#DIV/0!</v>
      </c>
      <c r="X241" s="197" t="e">
        <f t="shared" si="31"/>
        <v>#DIV/0!</v>
      </c>
      <c r="AG241" s="219" t="s">
        <v>1361</v>
      </c>
    </row>
    <row r="242" ht="11.4" customHeight="1" spans="1:33">
      <c r="A242" s="184" t="s">
        <v>1357</v>
      </c>
      <c r="B242" s="184" t="s">
        <v>115</v>
      </c>
      <c r="C242" s="184" t="s">
        <v>1101</v>
      </c>
      <c r="D242" s="185" t="s">
        <v>522</v>
      </c>
      <c r="E242" s="186" t="s">
        <v>906</v>
      </c>
      <c r="F242" s="186" t="s">
        <v>907</v>
      </c>
      <c r="G242" s="186" t="s">
        <v>1102</v>
      </c>
      <c r="H242" s="186" t="s">
        <v>1358</v>
      </c>
      <c r="I242" s="187" t="s">
        <v>1372</v>
      </c>
      <c r="J242" s="187" t="s">
        <v>1373</v>
      </c>
      <c r="K242" s="188"/>
      <c r="L242" s="188"/>
      <c r="M242" s="189" t="s">
        <v>847</v>
      </c>
      <c r="N242" s="190">
        <v>508.7</v>
      </c>
      <c r="O242" s="190">
        <f t="shared" si="24"/>
        <v>554.48</v>
      </c>
      <c r="P242" s="191">
        <f t="shared" si="25"/>
        <v>0</v>
      </c>
      <c r="Q242" s="192">
        <f t="shared" si="26"/>
        <v>0</v>
      </c>
      <c r="R242" s="193"/>
      <c r="S242" s="194"/>
      <c r="T242" s="195">
        <f t="shared" si="27"/>
        <v>0</v>
      </c>
      <c r="U242" s="195">
        <f t="shared" si="28"/>
        <v>0</v>
      </c>
      <c r="V242" s="195">
        <f t="shared" si="29"/>
        <v>0</v>
      </c>
      <c r="W242" s="196" t="e">
        <f t="shared" si="30"/>
        <v>#DIV/0!</v>
      </c>
      <c r="X242" s="197" t="e">
        <f t="shared" si="31"/>
        <v>#DIV/0!</v>
      </c>
      <c r="AG242" s="219" t="s">
        <v>1361</v>
      </c>
    </row>
    <row r="243" ht="11.4" customHeight="1" spans="1:33">
      <c r="A243" s="184" t="s">
        <v>1357</v>
      </c>
      <c r="B243" s="184" t="s">
        <v>115</v>
      </c>
      <c r="C243" s="184" t="s">
        <v>1101</v>
      </c>
      <c r="D243" s="185" t="s">
        <v>522</v>
      </c>
      <c r="E243" s="186" t="s">
        <v>906</v>
      </c>
      <c r="F243" s="186" t="s">
        <v>907</v>
      </c>
      <c r="G243" s="186" t="s">
        <v>1102</v>
      </c>
      <c r="H243" s="186" t="s">
        <v>1358</v>
      </c>
      <c r="I243" s="187" t="s">
        <v>1374</v>
      </c>
      <c r="J243" s="187" t="s">
        <v>1375</v>
      </c>
      <c r="K243" s="188"/>
      <c r="L243" s="188"/>
      <c r="M243" s="189" t="s">
        <v>847</v>
      </c>
      <c r="N243" s="190">
        <v>479.98</v>
      </c>
      <c r="O243" s="190">
        <f t="shared" si="24"/>
        <v>523.18</v>
      </c>
      <c r="P243" s="191">
        <f t="shared" si="25"/>
        <v>0</v>
      </c>
      <c r="Q243" s="192">
        <f t="shared" si="26"/>
        <v>0</v>
      </c>
      <c r="R243" s="193"/>
      <c r="S243" s="194"/>
      <c r="T243" s="195">
        <f t="shared" si="27"/>
        <v>0</v>
      </c>
      <c r="U243" s="195">
        <f t="shared" si="28"/>
        <v>0</v>
      </c>
      <c r="V243" s="195">
        <f t="shared" si="29"/>
        <v>0</v>
      </c>
      <c r="W243" s="196" t="e">
        <f t="shared" si="30"/>
        <v>#DIV/0!</v>
      </c>
      <c r="X243" s="197" t="e">
        <f t="shared" si="31"/>
        <v>#DIV/0!</v>
      </c>
      <c r="AG243" s="219" t="s">
        <v>1361</v>
      </c>
    </row>
    <row r="244" ht="11.4" customHeight="1" spans="1:33">
      <c r="A244" s="184" t="s">
        <v>1357</v>
      </c>
      <c r="B244" s="184" t="s">
        <v>115</v>
      </c>
      <c r="C244" s="184" t="s">
        <v>1101</v>
      </c>
      <c r="D244" s="185" t="s">
        <v>522</v>
      </c>
      <c r="E244" s="186" t="s">
        <v>906</v>
      </c>
      <c r="F244" s="186" t="s">
        <v>907</v>
      </c>
      <c r="G244" s="186" t="s">
        <v>1102</v>
      </c>
      <c r="H244" s="186" t="s">
        <v>1358</v>
      </c>
      <c r="I244" s="187" t="s">
        <v>1376</v>
      </c>
      <c r="J244" s="222" t="s">
        <v>1377</v>
      </c>
      <c r="K244" s="188"/>
      <c r="L244" s="188"/>
      <c r="M244" s="189" t="s">
        <v>847</v>
      </c>
      <c r="N244" s="190">
        <v>362.28</v>
      </c>
      <c r="O244" s="190">
        <f t="shared" si="24"/>
        <v>394.89</v>
      </c>
      <c r="P244" s="191">
        <f t="shared" si="25"/>
        <v>0</v>
      </c>
      <c r="Q244" s="192">
        <f t="shared" si="26"/>
        <v>0</v>
      </c>
      <c r="R244" s="193"/>
      <c r="S244" s="194"/>
      <c r="T244" s="195">
        <f t="shared" si="27"/>
        <v>0</v>
      </c>
      <c r="U244" s="195">
        <f t="shared" si="28"/>
        <v>0</v>
      </c>
      <c r="V244" s="195">
        <f t="shared" si="29"/>
        <v>0</v>
      </c>
      <c r="W244" s="196" t="e">
        <f t="shared" si="30"/>
        <v>#DIV/0!</v>
      </c>
      <c r="X244" s="197" t="e">
        <f t="shared" si="31"/>
        <v>#DIV/0!</v>
      </c>
      <c r="AG244" s="219" t="s">
        <v>1378</v>
      </c>
    </row>
    <row r="245" ht="11.4" customHeight="1" spans="1:33">
      <c r="A245" s="184" t="s">
        <v>1357</v>
      </c>
      <c r="B245" s="184" t="s">
        <v>115</v>
      </c>
      <c r="C245" s="184" t="s">
        <v>1101</v>
      </c>
      <c r="D245" s="185" t="s">
        <v>522</v>
      </c>
      <c r="E245" s="186" t="s">
        <v>906</v>
      </c>
      <c r="F245" s="186" t="s">
        <v>907</v>
      </c>
      <c r="G245" s="186" t="s">
        <v>1102</v>
      </c>
      <c r="H245" s="186" t="s">
        <v>1358</v>
      </c>
      <c r="I245" s="187" t="s">
        <v>1379</v>
      </c>
      <c r="J245" s="187" t="s">
        <v>1380</v>
      </c>
      <c r="K245" s="188"/>
      <c r="L245" s="188"/>
      <c r="M245" s="189" t="s">
        <v>847</v>
      </c>
      <c r="N245" s="190">
        <v>1804.45</v>
      </c>
      <c r="O245" s="190">
        <f t="shared" si="24"/>
        <v>1966.85</v>
      </c>
      <c r="P245" s="191">
        <f t="shared" si="25"/>
        <v>0</v>
      </c>
      <c r="Q245" s="192">
        <f t="shared" si="26"/>
        <v>0</v>
      </c>
      <c r="R245" s="193"/>
      <c r="S245" s="194"/>
      <c r="T245" s="195">
        <f t="shared" si="27"/>
        <v>0</v>
      </c>
      <c r="U245" s="195">
        <f t="shared" si="28"/>
        <v>0</v>
      </c>
      <c r="V245" s="195">
        <f t="shared" si="29"/>
        <v>0</v>
      </c>
      <c r="W245" s="196" t="e">
        <f t="shared" si="30"/>
        <v>#DIV/0!</v>
      </c>
      <c r="X245" s="197" t="e">
        <f t="shared" si="31"/>
        <v>#DIV/0!</v>
      </c>
      <c r="AG245" s="219" t="s">
        <v>1361</v>
      </c>
    </row>
    <row r="246" ht="11.4" customHeight="1" spans="1:33">
      <c r="A246" s="184" t="s">
        <v>1357</v>
      </c>
      <c r="B246" s="184" t="s">
        <v>115</v>
      </c>
      <c r="C246" s="184" t="s">
        <v>1101</v>
      </c>
      <c r="D246" s="185" t="s">
        <v>522</v>
      </c>
      <c r="E246" s="186" t="s">
        <v>906</v>
      </c>
      <c r="F246" s="186" t="s">
        <v>907</v>
      </c>
      <c r="G246" s="186" t="s">
        <v>1102</v>
      </c>
      <c r="H246" s="186" t="s">
        <v>1358</v>
      </c>
      <c r="I246" s="187" t="s">
        <v>1381</v>
      </c>
      <c r="J246" s="187" t="s">
        <v>1382</v>
      </c>
      <c r="K246" s="188">
        <v>11.7</v>
      </c>
      <c r="L246" s="188">
        <v>11.55</v>
      </c>
      <c r="M246" s="189" t="s">
        <v>847</v>
      </c>
      <c r="N246" s="190">
        <v>250.08</v>
      </c>
      <c r="O246" s="190">
        <f t="shared" si="24"/>
        <v>272.59</v>
      </c>
      <c r="P246" s="191">
        <f t="shared" si="25"/>
        <v>2925.94</v>
      </c>
      <c r="Q246" s="192">
        <f t="shared" si="26"/>
        <v>2888.42</v>
      </c>
      <c r="R246" s="193"/>
      <c r="S246" s="194"/>
      <c r="T246" s="195">
        <f t="shared" si="27"/>
        <v>0.149999999999999</v>
      </c>
      <c r="U246" s="195">
        <f t="shared" si="28"/>
        <v>37.52</v>
      </c>
      <c r="V246" s="195">
        <f t="shared" si="29"/>
        <v>37.52</v>
      </c>
      <c r="W246" s="196">
        <f t="shared" si="30"/>
        <v>0.0129870129870129</v>
      </c>
      <c r="X246" s="197">
        <f t="shared" si="31"/>
        <v>0.0129870129870129</v>
      </c>
      <c r="AG246" s="219" t="s">
        <v>1383</v>
      </c>
    </row>
    <row r="247" ht="11.4" customHeight="1" spans="1:33">
      <c r="A247" s="184" t="s">
        <v>1357</v>
      </c>
      <c r="B247" s="184" t="s">
        <v>115</v>
      </c>
      <c r="C247" s="184" t="s">
        <v>1101</v>
      </c>
      <c r="D247" s="185" t="s">
        <v>522</v>
      </c>
      <c r="E247" s="186" t="s">
        <v>906</v>
      </c>
      <c r="F247" s="186" t="s">
        <v>907</v>
      </c>
      <c r="G247" s="186" t="s">
        <v>1102</v>
      </c>
      <c r="H247" s="186" t="s">
        <v>1358</v>
      </c>
      <c r="I247" s="187" t="s">
        <v>1384</v>
      </c>
      <c r="J247" s="187" t="s">
        <v>1385</v>
      </c>
      <c r="K247" s="188">
        <v>4.42</v>
      </c>
      <c r="L247" s="188">
        <v>4.42</v>
      </c>
      <c r="M247" s="189" t="s">
        <v>847</v>
      </c>
      <c r="N247" s="190">
        <v>139.73</v>
      </c>
      <c r="O247" s="190">
        <f t="shared" si="24"/>
        <v>152.31</v>
      </c>
      <c r="P247" s="191">
        <f t="shared" si="25"/>
        <v>617.61</v>
      </c>
      <c r="Q247" s="192">
        <f t="shared" si="26"/>
        <v>617.61</v>
      </c>
      <c r="R247" s="193"/>
      <c r="S247" s="194"/>
      <c r="T247" s="195">
        <f t="shared" si="27"/>
        <v>0</v>
      </c>
      <c r="U247" s="195">
        <f t="shared" si="28"/>
        <v>0</v>
      </c>
      <c r="V247" s="195">
        <f t="shared" si="29"/>
        <v>0</v>
      </c>
      <c r="W247" s="196">
        <f t="shared" si="30"/>
        <v>0</v>
      </c>
      <c r="X247" s="197">
        <f t="shared" si="31"/>
        <v>0</v>
      </c>
      <c r="AG247" s="219" t="s">
        <v>1386</v>
      </c>
    </row>
    <row r="248" ht="11.4" customHeight="1" spans="1:33">
      <c r="A248" s="184" t="s">
        <v>1357</v>
      </c>
      <c r="B248" s="184" t="s">
        <v>115</v>
      </c>
      <c r="C248" s="184" t="s">
        <v>1101</v>
      </c>
      <c r="D248" s="185" t="s">
        <v>522</v>
      </c>
      <c r="E248" s="186" t="s">
        <v>906</v>
      </c>
      <c r="F248" s="186" t="s">
        <v>907</v>
      </c>
      <c r="G248" s="186" t="s">
        <v>1102</v>
      </c>
      <c r="H248" s="186" t="s">
        <v>1358</v>
      </c>
      <c r="I248" s="187" t="s">
        <v>1387</v>
      </c>
      <c r="J248" s="187" t="s">
        <v>1388</v>
      </c>
      <c r="K248" s="188"/>
      <c r="L248" s="188"/>
      <c r="M248" s="189" t="s">
        <v>847</v>
      </c>
      <c r="N248" s="190">
        <v>480.14</v>
      </c>
      <c r="O248" s="190">
        <f t="shared" si="24"/>
        <v>523.35</v>
      </c>
      <c r="P248" s="191">
        <f t="shared" si="25"/>
        <v>0</v>
      </c>
      <c r="Q248" s="192">
        <f t="shared" si="26"/>
        <v>0</v>
      </c>
      <c r="R248" s="193"/>
      <c r="S248" s="194"/>
      <c r="T248" s="195">
        <f t="shared" si="27"/>
        <v>0</v>
      </c>
      <c r="U248" s="195">
        <f t="shared" si="28"/>
        <v>0</v>
      </c>
      <c r="V248" s="195">
        <f t="shared" si="29"/>
        <v>0</v>
      </c>
      <c r="W248" s="196" t="e">
        <f t="shared" si="30"/>
        <v>#DIV/0!</v>
      </c>
      <c r="X248" s="197" t="e">
        <f t="shared" si="31"/>
        <v>#DIV/0!</v>
      </c>
      <c r="AG248" s="219" t="s">
        <v>1389</v>
      </c>
    </row>
    <row r="249" ht="11.4" customHeight="1" spans="1:33">
      <c r="A249" s="184" t="s">
        <v>1357</v>
      </c>
      <c r="B249" s="184" t="s">
        <v>115</v>
      </c>
      <c r="C249" s="184" t="s">
        <v>1101</v>
      </c>
      <c r="D249" s="185" t="s">
        <v>522</v>
      </c>
      <c r="E249" s="186" t="s">
        <v>906</v>
      </c>
      <c r="F249" s="186" t="s">
        <v>907</v>
      </c>
      <c r="G249" s="186" t="s">
        <v>1102</v>
      </c>
      <c r="H249" s="186" t="s">
        <v>1358</v>
      </c>
      <c r="I249" s="187" t="s">
        <v>1336</v>
      </c>
      <c r="J249" s="187" t="s">
        <v>1337</v>
      </c>
      <c r="K249" s="188">
        <v>19.63</v>
      </c>
      <c r="L249" s="188">
        <v>19.43</v>
      </c>
      <c r="M249" s="189" t="s">
        <v>847</v>
      </c>
      <c r="N249" s="190">
        <v>62.19</v>
      </c>
      <c r="O249" s="190">
        <f t="shared" si="24"/>
        <v>67.79</v>
      </c>
      <c r="P249" s="191">
        <f t="shared" si="25"/>
        <v>1220.79</v>
      </c>
      <c r="Q249" s="192">
        <f t="shared" si="26"/>
        <v>1208.35</v>
      </c>
      <c r="R249" s="193"/>
      <c r="S249" s="194"/>
      <c r="T249" s="195">
        <f t="shared" si="27"/>
        <v>0.199999999999999</v>
      </c>
      <c r="U249" s="195">
        <f t="shared" si="28"/>
        <v>12.4400000000001</v>
      </c>
      <c r="V249" s="195">
        <f t="shared" si="29"/>
        <v>12.4400000000001</v>
      </c>
      <c r="W249" s="196">
        <f t="shared" si="30"/>
        <v>0.0102933607822954</v>
      </c>
      <c r="X249" s="197">
        <f t="shared" si="31"/>
        <v>0.0102933607822954</v>
      </c>
      <c r="AG249" s="219" t="s">
        <v>1390</v>
      </c>
    </row>
    <row r="250" ht="11.4" customHeight="1" spans="1:33">
      <c r="A250" s="184" t="s">
        <v>1357</v>
      </c>
      <c r="B250" s="184" t="s">
        <v>115</v>
      </c>
      <c r="C250" s="184" t="s">
        <v>1101</v>
      </c>
      <c r="D250" s="185" t="s">
        <v>522</v>
      </c>
      <c r="E250" s="186" t="s">
        <v>906</v>
      </c>
      <c r="F250" s="186" t="s">
        <v>907</v>
      </c>
      <c r="G250" s="186" t="s">
        <v>1102</v>
      </c>
      <c r="H250" s="186" t="s">
        <v>1358</v>
      </c>
      <c r="I250" s="187" t="s">
        <v>1391</v>
      </c>
      <c r="J250" s="222" t="s">
        <v>1392</v>
      </c>
      <c r="K250" s="188"/>
      <c r="L250" s="188"/>
      <c r="M250" s="189" t="s">
        <v>847</v>
      </c>
      <c r="N250" s="190">
        <v>54.37</v>
      </c>
      <c r="O250" s="190">
        <f t="shared" si="24"/>
        <v>59.26</v>
      </c>
      <c r="P250" s="191">
        <f t="shared" si="25"/>
        <v>0</v>
      </c>
      <c r="Q250" s="192">
        <f t="shared" si="26"/>
        <v>0</v>
      </c>
      <c r="R250" s="193"/>
      <c r="S250" s="194"/>
      <c r="T250" s="195">
        <f t="shared" si="27"/>
        <v>0</v>
      </c>
      <c r="U250" s="195">
        <f t="shared" si="28"/>
        <v>0</v>
      </c>
      <c r="V250" s="195">
        <f t="shared" si="29"/>
        <v>0</v>
      </c>
      <c r="W250" s="196" t="e">
        <f t="shared" si="30"/>
        <v>#DIV/0!</v>
      </c>
      <c r="X250" s="197" t="e">
        <f t="shared" si="31"/>
        <v>#DIV/0!</v>
      </c>
    </row>
    <row r="251" ht="11.4" customHeight="1" spans="1:33">
      <c r="A251" s="184" t="s">
        <v>1357</v>
      </c>
      <c r="B251" s="184" t="s">
        <v>115</v>
      </c>
      <c r="C251" s="184" t="s">
        <v>1101</v>
      </c>
      <c r="D251" s="185" t="s">
        <v>522</v>
      </c>
      <c r="E251" s="186" t="s">
        <v>906</v>
      </c>
      <c r="F251" s="186" t="s">
        <v>907</v>
      </c>
      <c r="G251" s="186" t="s">
        <v>1102</v>
      </c>
      <c r="H251" s="186" t="s">
        <v>1358</v>
      </c>
      <c r="I251" s="187" t="s">
        <v>1393</v>
      </c>
      <c r="J251" s="187" t="s">
        <v>1394</v>
      </c>
      <c r="K251" s="188"/>
      <c r="L251" s="188"/>
      <c r="M251" s="189" t="s">
        <v>807</v>
      </c>
      <c r="N251" s="190">
        <v>146.58</v>
      </c>
      <c r="O251" s="190">
        <f t="shared" si="24"/>
        <v>159.77</v>
      </c>
      <c r="P251" s="191">
        <f t="shared" si="25"/>
        <v>0</v>
      </c>
      <c r="Q251" s="192">
        <f t="shared" si="26"/>
        <v>0</v>
      </c>
      <c r="R251" s="193"/>
      <c r="S251" s="194"/>
      <c r="T251" s="195">
        <f t="shared" si="27"/>
        <v>0</v>
      </c>
      <c r="U251" s="195">
        <f t="shared" si="28"/>
        <v>0</v>
      </c>
      <c r="V251" s="195">
        <f t="shared" si="29"/>
        <v>0</v>
      </c>
      <c r="W251" s="196" t="e">
        <f t="shared" si="30"/>
        <v>#DIV/0!</v>
      </c>
      <c r="X251" s="197" t="e">
        <f t="shared" si="31"/>
        <v>#DIV/0!</v>
      </c>
      <c r="AG251" s="219" t="s">
        <v>1395</v>
      </c>
    </row>
    <row r="252" ht="11.4" customHeight="1" spans="1:33">
      <c r="A252" s="184" t="s">
        <v>1357</v>
      </c>
      <c r="B252" s="184" t="s">
        <v>115</v>
      </c>
      <c r="C252" s="184" t="s">
        <v>1101</v>
      </c>
      <c r="D252" s="185" t="s">
        <v>522</v>
      </c>
      <c r="E252" s="186" t="s">
        <v>906</v>
      </c>
      <c r="F252" s="186" t="s">
        <v>907</v>
      </c>
      <c r="G252" s="186" t="s">
        <v>1102</v>
      </c>
      <c r="H252" s="186" t="s">
        <v>1358</v>
      </c>
      <c r="I252" s="187" t="s">
        <v>1396</v>
      </c>
      <c r="J252" s="187" t="s">
        <v>1397</v>
      </c>
      <c r="K252" s="221">
        <v>1.46</v>
      </c>
      <c r="L252" s="188">
        <v>3.77</v>
      </c>
      <c r="M252" s="189" t="s">
        <v>807</v>
      </c>
      <c r="N252" s="190">
        <v>87.81</v>
      </c>
      <c r="O252" s="190">
        <f t="shared" si="24"/>
        <v>95.71</v>
      </c>
      <c r="P252" s="191">
        <f t="shared" si="25"/>
        <v>128.2</v>
      </c>
      <c r="Q252" s="192">
        <f t="shared" si="26"/>
        <v>331.04</v>
      </c>
      <c r="R252" s="193"/>
      <c r="S252" s="194"/>
      <c r="T252" s="195">
        <f t="shared" si="27"/>
        <v>-2.31</v>
      </c>
      <c r="U252" s="195">
        <f t="shared" si="28"/>
        <v>-202.84</v>
      </c>
      <c r="V252" s="195">
        <f t="shared" si="29"/>
        <v>202.84</v>
      </c>
      <c r="W252" s="196">
        <f t="shared" si="30"/>
        <v>-0.612732095490716</v>
      </c>
      <c r="X252" s="197">
        <f t="shared" si="31"/>
        <v>0.612732095490716</v>
      </c>
      <c r="AG252" s="219" t="s">
        <v>1398</v>
      </c>
    </row>
    <row r="253" ht="11.4" customHeight="1" spans="1:33">
      <c r="A253" s="184" t="s">
        <v>1399</v>
      </c>
      <c r="B253" s="184" t="s">
        <v>117</v>
      </c>
      <c r="C253" s="184" t="s">
        <v>1101</v>
      </c>
      <c r="D253" s="185" t="s">
        <v>522</v>
      </c>
      <c r="E253" s="186" t="s">
        <v>789</v>
      </c>
      <c r="F253" s="186" t="s">
        <v>790</v>
      </c>
      <c r="G253" s="186" t="s">
        <v>1400</v>
      </c>
      <c r="H253" s="186" t="s">
        <v>1400</v>
      </c>
      <c r="I253" s="187" t="s">
        <v>1401</v>
      </c>
      <c r="J253" s="187" t="s">
        <v>1402</v>
      </c>
      <c r="K253" s="188"/>
      <c r="L253" s="188"/>
      <c r="M253" s="189" t="s">
        <v>847</v>
      </c>
      <c r="N253" s="190">
        <v>170.01</v>
      </c>
      <c r="O253" s="190">
        <f t="shared" si="24"/>
        <v>185.31</v>
      </c>
      <c r="P253" s="191">
        <f t="shared" si="25"/>
        <v>0</v>
      </c>
      <c r="Q253" s="192">
        <f t="shared" si="26"/>
        <v>0</v>
      </c>
      <c r="R253" s="193"/>
      <c r="S253" s="194"/>
      <c r="T253" s="195">
        <f t="shared" si="27"/>
        <v>0</v>
      </c>
      <c r="U253" s="195">
        <f t="shared" si="28"/>
        <v>0</v>
      </c>
      <c r="V253" s="195">
        <f t="shared" si="29"/>
        <v>0</v>
      </c>
      <c r="W253" s="196" t="e">
        <f t="shared" si="30"/>
        <v>#DIV/0!</v>
      </c>
      <c r="X253" s="197" t="e">
        <f t="shared" si="31"/>
        <v>#DIV/0!</v>
      </c>
      <c r="AG253" s="219" t="s">
        <v>865</v>
      </c>
    </row>
    <row r="254" ht="11.4" customHeight="1" spans="1:33">
      <c r="A254" s="184" t="s">
        <v>1399</v>
      </c>
      <c r="B254" s="184" t="s">
        <v>117</v>
      </c>
      <c r="C254" s="184" t="s">
        <v>1101</v>
      </c>
      <c r="D254" s="185" t="s">
        <v>522</v>
      </c>
      <c r="E254" s="186" t="s">
        <v>789</v>
      </c>
      <c r="F254" s="186" t="s">
        <v>790</v>
      </c>
      <c r="G254" s="186" t="s">
        <v>1400</v>
      </c>
      <c r="H254" s="186" t="s">
        <v>1400</v>
      </c>
      <c r="I254" s="187" t="s">
        <v>1403</v>
      </c>
      <c r="J254" s="187" t="s">
        <v>1404</v>
      </c>
      <c r="K254" s="188"/>
      <c r="L254" s="188"/>
      <c r="M254" s="189" t="s">
        <v>963</v>
      </c>
      <c r="N254" s="190">
        <v>3717.71</v>
      </c>
      <c r="O254" s="190">
        <f t="shared" si="24"/>
        <v>4052.3</v>
      </c>
      <c r="P254" s="191">
        <f t="shared" si="25"/>
        <v>0</v>
      </c>
      <c r="Q254" s="192">
        <f t="shared" si="26"/>
        <v>0</v>
      </c>
      <c r="R254" s="193"/>
      <c r="S254" s="194"/>
      <c r="T254" s="195">
        <f t="shared" si="27"/>
        <v>0</v>
      </c>
      <c r="U254" s="195">
        <f t="shared" si="28"/>
        <v>0</v>
      </c>
      <c r="V254" s="195">
        <f t="shared" si="29"/>
        <v>0</v>
      </c>
      <c r="W254" s="196" t="e">
        <f t="shared" si="30"/>
        <v>#DIV/0!</v>
      </c>
      <c r="X254" s="197" t="e">
        <f t="shared" si="31"/>
        <v>#DIV/0!</v>
      </c>
    </row>
    <row r="255" ht="11.4" customHeight="1" spans="1:33">
      <c r="A255" s="184" t="s">
        <v>1399</v>
      </c>
      <c r="B255" s="184" t="s">
        <v>117</v>
      </c>
      <c r="C255" s="184" t="s">
        <v>1101</v>
      </c>
      <c r="D255" s="185" t="s">
        <v>522</v>
      </c>
      <c r="E255" s="186" t="s">
        <v>789</v>
      </c>
      <c r="F255" s="186" t="s">
        <v>790</v>
      </c>
      <c r="G255" s="186" t="s">
        <v>1400</v>
      </c>
      <c r="H255" s="186" t="s">
        <v>1400</v>
      </c>
      <c r="I255" s="187" t="s">
        <v>1405</v>
      </c>
      <c r="J255" s="187" t="s">
        <v>1406</v>
      </c>
      <c r="K255" s="188"/>
      <c r="L255" s="188"/>
      <c r="M255" s="189" t="s">
        <v>963</v>
      </c>
      <c r="N255" s="190">
        <v>3717.71</v>
      </c>
      <c r="O255" s="190">
        <f t="shared" si="24"/>
        <v>4052.3</v>
      </c>
      <c r="P255" s="191">
        <f t="shared" si="25"/>
        <v>0</v>
      </c>
      <c r="Q255" s="192">
        <f t="shared" si="26"/>
        <v>0</v>
      </c>
      <c r="R255" s="193"/>
      <c r="S255" s="194"/>
      <c r="T255" s="195">
        <f t="shared" si="27"/>
        <v>0</v>
      </c>
      <c r="U255" s="195">
        <f t="shared" si="28"/>
        <v>0</v>
      </c>
      <c r="V255" s="195">
        <f t="shared" si="29"/>
        <v>0</v>
      </c>
      <c r="W255" s="196" t="e">
        <f t="shared" si="30"/>
        <v>#DIV/0!</v>
      </c>
      <c r="X255" s="197" t="e">
        <f t="shared" si="31"/>
        <v>#DIV/0!</v>
      </c>
    </row>
    <row r="256" ht="11.4" customHeight="1" spans="1:33">
      <c r="A256" s="184" t="s">
        <v>1399</v>
      </c>
      <c r="B256" s="184" t="s">
        <v>117</v>
      </c>
      <c r="C256" s="184" t="s">
        <v>1101</v>
      </c>
      <c r="D256" s="185" t="s">
        <v>522</v>
      </c>
      <c r="E256" s="186" t="s">
        <v>789</v>
      </c>
      <c r="F256" s="186" t="s">
        <v>790</v>
      </c>
      <c r="G256" s="186" t="s">
        <v>1400</v>
      </c>
      <c r="H256" s="186" t="s">
        <v>1400</v>
      </c>
      <c r="I256" s="187" t="s">
        <v>1407</v>
      </c>
      <c r="J256" s="187" t="s">
        <v>1408</v>
      </c>
      <c r="K256" s="188"/>
      <c r="L256" s="188"/>
      <c r="M256" s="189" t="s">
        <v>963</v>
      </c>
      <c r="N256" s="190">
        <v>3717.71</v>
      </c>
      <c r="O256" s="190">
        <f t="shared" si="24"/>
        <v>4052.3</v>
      </c>
      <c r="P256" s="191">
        <f t="shared" si="25"/>
        <v>0</v>
      </c>
      <c r="Q256" s="192">
        <f t="shared" si="26"/>
        <v>0</v>
      </c>
      <c r="R256" s="193"/>
      <c r="S256" s="194"/>
      <c r="T256" s="195">
        <f t="shared" si="27"/>
        <v>0</v>
      </c>
      <c r="U256" s="195">
        <f t="shared" si="28"/>
        <v>0</v>
      </c>
      <c r="V256" s="195">
        <f t="shared" si="29"/>
        <v>0</v>
      </c>
      <c r="W256" s="196" t="e">
        <f t="shared" si="30"/>
        <v>#DIV/0!</v>
      </c>
      <c r="X256" s="197" t="e">
        <f t="shared" si="31"/>
        <v>#DIV/0!</v>
      </c>
    </row>
    <row r="257" ht="11.4" customHeight="1" spans="1:34">
      <c r="A257" s="184" t="s">
        <v>1399</v>
      </c>
      <c r="B257" s="184" t="s">
        <v>117</v>
      </c>
      <c r="C257" s="184" t="s">
        <v>1101</v>
      </c>
      <c r="D257" s="185" t="s">
        <v>522</v>
      </c>
      <c r="E257" s="186" t="s">
        <v>789</v>
      </c>
      <c r="F257" s="186" t="s">
        <v>790</v>
      </c>
      <c r="G257" s="186" t="s">
        <v>1400</v>
      </c>
      <c r="H257" s="186" t="s">
        <v>1400</v>
      </c>
      <c r="I257" s="187" t="s">
        <v>1409</v>
      </c>
      <c r="J257" s="187" t="s">
        <v>1410</v>
      </c>
      <c r="K257" s="188"/>
      <c r="L257" s="188"/>
      <c r="M257" s="189" t="s">
        <v>963</v>
      </c>
      <c r="N257" s="190">
        <v>3717.71</v>
      </c>
      <c r="O257" s="190">
        <f t="shared" si="24"/>
        <v>4052.3</v>
      </c>
      <c r="P257" s="191">
        <f t="shared" si="25"/>
        <v>0</v>
      </c>
      <c r="Q257" s="192">
        <f t="shared" si="26"/>
        <v>0</v>
      </c>
      <c r="R257" s="193"/>
      <c r="S257" s="194"/>
      <c r="T257" s="195">
        <f t="shared" si="27"/>
        <v>0</v>
      </c>
      <c r="U257" s="195">
        <f t="shared" si="28"/>
        <v>0</v>
      </c>
      <c r="V257" s="195">
        <f t="shared" si="29"/>
        <v>0</v>
      </c>
      <c r="W257" s="196" t="e">
        <f t="shared" si="30"/>
        <v>#DIV/0!</v>
      </c>
      <c r="X257" s="197" t="e">
        <f t="shared" si="31"/>
        <v>#DIV/0!</v>
      </c>
    </row>
    <row r="258" ht="11.4" customHeight="1" spans="1:34">
      <c r="A258" s="184" t="s">
        <v>1399</v>
      </c>
      <c r="B258" s="184" t="s">
        <v>117</v>
      </c>
      <c r="C258" s="184" t="s">
        <v>1101</v>
      </c>
      <c r="D258" s="185" t="s">
        <v>522</v>
      </c>
      <c r="E258" s="186" t="s">
        <v>789</v>
      </c>
      <c r="F258" s="186" t="s">
        <v>790</v>
      </c>
      <c r="G258" s="186" t="s">
        <v>1400</v>
      </c>
      <c r="H258" s="186" t="s">
        <v>1400</v>
      </c>
      <c r="I258" s="187" t="s">
        <v>1411</v>
      </c>
      <c r="J258" s="187" t="s">
        <v>1412</v>
      </c>
      <c r="K258" s="188"/>
      <c r="L258" s="188"/>
      <c r="M258" s="189" t="s">
        <v>807</v>
      </c>
      <c r="N258" s="190">
        <v>241.33</v>
      </c>
      <c r="O258" s="190">
        <f t="shared" si="24"/>
        <v>263.05</v>
      </c>
      <c r="P258" s="191">
        <f t="shared" si="25"/>
        <v>0</v>
      </c>
      <c r="Q258" s="192">
        <f t="shared" si="26"/>
        <v>0</v>
      </c>
      <c r="R258" s="193"/>
      <c r="S258" s="194"/>
      <c r="T258" s="195">
        <f t="shared" si="27"/>
        <v>0</v>
      </c>
      <c r="U258" s="195">
        <f t="shared" si="28"/>
        <v>0</v>
      </c>
      <c r="V258" s="195">
        <f t="shared" si="29"/>
        <v>0</v>
      </c>
      <c r="W258" s="196" t="e">
        <f t="shared" si="30"/>
        <v>#DIV/0!</v>
      </c>
      <c r="X258" s="197" t="e">
        <f t="shared" si="31"/>
        <v>#DIV/0!</v>
      </c>
      <c r="AH258" s="219" t="s">
        <v>1413</v>
      </c>
    </row>
    <row r="259" ht="11.4" customHeight="1" spans="1:34">
      <c r="A259" s="184" t="s">
        <v>1399</v>
      </c>
      <c r="B259" s="184" t="s">
        <v>117</v>
      </c>
      <c r="C259" s="184" t="s">
        <v>1101</v>
      </c>
      <c r="D259" s="185" t="s">
        <v>522</v>
      </c>
      <c r="E259" s="186" t="s">
        <v>789</v>
      </c>
      <c r="F259" s="186" t="s">
        <v>790</v>
      </c>
      <c r="G259" s="186" t="s">
        <v>1400</v>
      </c>
      <c r="H259" s="186" t="s">
        <v>1400</v>
      </c>
      <c r="I259" s="187" t="s">
        <v>1414</v>
      </c>
      <c r="J259" s="187" t="s">
        <v>1415</v>
      </c>
      <c r="K259" s="188"/>
      <c r="L259" s="188"/>
      <c r="M259" s="189" t="s">
        <v>793</v>
      </c>
      <c r="N259" s="190">
        <v>4598.62</v>
      </c>
      <c r="O259" s="190">
        <f t="shared" si="24"/>
        <v>5012.5</v>
      </c>
      <c r="P259" s="191">
        <f t="shared" si="25"/>
        <v>0</v>
      </c>
      <c r="Q259" s="192">
        <f t="shared" si="26"/>
        <v>0</v>
      </c>
      <c r="R259" s="193"/>
      <c r="S259" s="194"/>
      <c r="T259" s="195">
        <f t="shared" si="27"/>
        <v>0</v>
      </c>
      <c r="U259" s="195">
        <f t="shared" si="28"/>
        <v>0</v>
      </c>
      <c r="V259" s="195">
        <f t="shared" si="29"/>
        <v>0</v>
      </c>
      <c r="W259" s="196" t="e">
        <f t="shared" si="30"/>
        <v>#DIV/0!</v>
      </c>
      <c r="X259" s="197" t="e">
        <f t="shared" si="31"/>
        <v>#DIV/0!</v>
      </c>
      <c r="AH259" s="219" t="s">
        <v>794</v>
      </c>
    </row>
    <row r="260" ht="11.4" customHeight="1" spans="1:34">
      <c r="A260" s="184" t="s">
        <v>1399</v>
      </c>
      <c r="B260" s="184" t="s">
        <v>117</v>
      </c>
      <c r="C260" s="184" t="s">
        <v>1101</v>
      </c>
      <c r="D260" s="185" t="s">
        <v>522</v>
      </c>
      <c r="E260" s="186" t="s">
        <v>789</v>
      </c>
      <c r="F260" s="186" t="s">
        <v>790</v>
      </c>
      <c r="G260" s="186" t="s">
        <v>1416</v>
      </c>
      <c r="H260" s="186" t="s">
        <v>1416</v>
      </c>
      <c r="I260" s="187" t="s">
        <v>1417</v>
      </c>
      <c r="J260" s="187" t="s">
        <v>1418</v>
      </c>
      <c r="K260" s="188"/>
      <c r="L260" s="188"/>
      <c r="M260" s="189" t="s">
        <v>895</v>
      </c>
      <c r="N260" s="190">
        <v>9866.1</v>
      </c>
      <c r="O260" s="190">
        <f t="shared" si="24"/>
        <v>10754.05</v>
      </c>
      <c r="P260" s="191">
        <f t="shared" si="25"/>
        <v>0</v>
      </c>
      <c r="Q260" s="192">
        <f t="shared" si="26"/>
        <v>0</v>
      </c>
      <c r="R260" s="193"/>
      <c r="S260" s="194"/>
      <c r="T260" s="195">
        <f t="shared" si="27"/>
        <v>0</v>
      </c>
      <c r="U260" s="195">
        <f t="shared" si="28"/>
        <v>0</v>
      </c>
      <c r="V260" s="195">
        <f t="shared" si="29"/>
        <v>0</v>
      </c>
      <c r="W260" s="196" t="e">
        <f t="shared" si="30"/>
        <v>#DIV/0!</v>
      </c>
      <c r="X260" s="197" t="e">
        <f t="shared" si="31"/>
        <v>#DIV/0!</v>
      </c>
    </row>
    <row r="261" ht="11.4" customHeight="1" spans="1:34">
      <c r="A261" s="184" t="s">
        <v>1399</v>
      </c>
      <c r="B261" s="184" t="s">
        <v>117</v>
      </c>
      <c r="C261" s="184" t="s">
        <v>1101</v>
      </c>
      <c r="D261" s="185" t="s">
        <v>522</v>
      </c>
      <c r="E261" s="186" t="s">
        <v>789</v>
      </c>
      <c r="F261" s="186" t="s">
        <v>790</v>
      </c>
      <c r="G261" s="186" t="s">
        <v>1416</v>
      </c>
      <c r="H261" s="186" t="s">
        <v>1416</v>
      </c>
      <c r="I261" s="187" t="s">
        <v>1419</v>
      </c>
      <c r="J261" s="187" t="s">
        <v>1420</v>
      </c>
      <c r="K261" s="188"/>
      <c r="L261" s="188"/>
      <c r="M261" s="189" t="s">
        <v>807</v>
      </c>
      <c r="N261" s="190">
        <v>2570.99</v>
      </c>
      <c r="O261" s="190">
        <f t="shared" si="24"/>
        <v>2802.38</v>
      </c>
      <c r="P261" s="191">
        <f t="shared" si="25"/>
        <v>0</v>
      </c>
      <c r="Q261" s="192">
        <f t="shared" si="26"/>
        <v>0</v>
      </c>
      <c r="R261" s="193"/>
      <c r="S261" s="194"/>
      <c r="T261" s="195">
        <f t="shared" si="27"/>
        <v>0</v>
      </c>
      <c r="U261" s="195">
        <f t="shared" si="28"/>
        <v>0</v>
      </c>
      <c r="V261" s="195">
        <f t="shared" si="29"/>
        <v>0</v>
      </c>
      <c r="W261" s="196" t="e">
        <f t="shared" si="30"/>
        <v>#DIV/0!</v>
      </c>
      <c r="X261" s="197" t="e">
        <f t="shared" si="31"/>
        <v>#DIV/0!</v>
      </c>
    </row>
    <row r="262" ht="11.4" customHeight="1" spans="1:34">
      <c r="A262" s="184" t="s">
        <v>1399</v>
      </c>
      <c r="B262" s="184" t="s">
        <v>117</v>
      </c>
      <c r="C262" s="184" t="s">
        <v>1101</v>
      </c>
      <c r="D262" s="185" t="s">
        <v>522</v>
      </c>
      <c r="E262" s="186" t="s">
        <v>789</v>
      </c>
      <c r="F262" s="186" t="s">
        <v>790</v>
      </c>
      <c r="G262" s="186" t="s">
        <v>1416</v>
      </c>
      <c r="H262" s="186" t="s">
        <v>1416</v>
      </c>
      <c r="I262" s="187" t="s">
        <v>1421</v>
      </c>
      <c r="J262" s="187" t="s">
        <v>1422</v>
      </c>
      <c r="K262" s="188"/>
      <c r="L262" s="188"/>
      <c r="M262" s="189" t="s">
        <v>847</v>
      </c>
      <c r="N262" s="190">
        <v>465.14</v>
      </c>
      <c r="O262" s="190">
        <f t="shared" si="24"/>
        <v>507</v>
      </c>
      <c r="P262" s="191">
        <f t="shared" si="25"/>
        <v>0</v>
      </c>
      <c r="Q262" s="192">
        <f t="shared" si="26"/>
        <v>0</v>
      </c>
      <c r="R262" s="193"/>
      <c r="S262" s="194"/>
      <c r="T262" s="195">
        <f t="shared" si="27"/>
        <v>0</v>
      </c>
      <c r="U262" s="195">
        <f t="shared" si="28"/>
        <v>0</v>
      </c>
      <c r="V262" s="195">
        <f t="shared" si="29"/>
        <v>0</v>
      </c>
      <c r="W262" s="196" t="e">
        <f t="shared" si="30"/>
        <v>#DIV/0!</v>
      </c>
      <c r="X262" s="197" t="e">
        <f t="shared" si="31"/>
        <v>#DIV/0!</v>
      </c>
    </row>
    <row r="263" ht="11.4" customHeight="1" spans="1:34">
      <c r="A263" s="184" t="s">
        <v>1399</v>
      </c>
      <c r="B263" s="184" t="s">
        <v>117</v>
      </c>
      <c r="C263" s="184" t="s">
        <v>1101</v>
      </c>
      <c r="D263" s="185" t="s">
        <v>522</v>
      </c>
      <c r="E263" s="186" t="s">
        <v>789</v>
      </c>
      <c r="F263" s="186" t="s">
        <v>790</v>
      </c>
      <c r="G263" s="186" t="s">
        <v>1416</v>
      </c>
      <c r="H263" s="186" t="s">
        <v>1416</v>
      </c>
      <c r="I263" s="187" t="s">
        <v>1423</v>
      </c>
      <c r="J263" s="187" t="s">
        <v>1424</v>
      </c>
      <c r="K263" s="188"/>
      <c r="L263" s="188"/>
      <c r="M263" s="189" t="s">
        <v>847</v>
      </c>
      <c r="N263" s="190">
        <v>979.44</v>
      </c>
      <c r="O263" s="190">
        <f t="shared" si="24"/>
        <v>1067.59</v>
      </c>
      <c r="P263" s="191">
        <f t="shared" si="25"/>
        <v>0</v>
      </c>
      <c r="Q263" s="192">
        <f t="shared" si="26"/>
        <v>0</v>
      </c>
      <c r="R263" s="193"/>
      <c r="S263" s="194"/>
      <c r="T263" s="195">
        <f t="shared" si="27"/>
        <v>0</v>
      </c>
      <c r="U263" s="195">
        <f t="shared" si="28"/>
        <v>0</v>
      </c>
      <c r="V263" s="195">
        <f t="shared" si="29"/>
        <v>0</v>
      </c>
      <c r="W263" s="196" t="e">
        <f t="shared" si="30"/>
        <v>#DIV/0!</v>
      </c>
      <c r="X263" s="197" t="e">
        <f t="shared" si="31"/>
        <v>#DIV/0!</v>
      </c>
    </row>
    <row r="264" ht="11.4" customHeight="1" spans="1:34">
      <c r="A264" s="184" t="s">
        <v>1399</v>
      </c>
      <c r="B264" s="184" t="s">
        <v>117</v>
      </c>
      <c r="C264" s="184" t="s">
        <v>1101</v>
      </c>
      <c r="D264" s="185" t="s">
        <v>522</v>
      </c>
      <c r="E264" s="186" t="s">
        <v>906</v>
      </c>
      <c r="F264" s="186" t="s">
        <v>907</v>
      </c>
      <c r="G264" s="186" t="s">
        <v>1102</v>
      </c>
      <c r="H264" s="186" t="s">
        <v>1425</v>
      </c>
      <c r="I264" s="187" t="s">
        <v>1426</v>
      </c>
      <c r="J264" s="187" t="s">
        <v>1427</v>
      </c>
      <c r="K264" s="188"/>
      <c r="L264" s="188"/>
      <c r="M264" s="189" t="s">
        <v>847</v>
      </c>
      <c r="N264" s="190">
        <v>465.88</v>
      </c>
      <c r="O264" s="190">
        <f t="shared" si="24"/>
        <v>507.81</v>
      </c>
      <c r="P264" s="191">
        <f t="shared" si="25"/>
        <v>0</v>
      </c>
      <c r="Q264" s="192">
        <f t="shared" si="26"/>
        <v>0</v>
      </c>
      <c r="R264" s="193"/>
      <c r="S264" s="194"/>
      <c r="T264" s="195">
        <f t="shared" si="27"/>
        <v>0</v>
      </c>
      <c r="U264" s="195">
        <f t="shared" si="28"/>
        <v>0</v>
      </c>
      <c r="V264" s="195">
        <f t="shared" si="29"/>
        <v>0</v>
      </c>
      <c r="W264" s="196" t="e">
        <f t="shared" si="30"/>
        <v>#DIV/0!</v>
      </c>
      <c r="X264" s="197" t="e">
        <f t="shared" si="31"/>
        <v>#DIV/0!</v>
      </c>
      <c r="AG264" s="219" t="s">
        <v>1428</v>
      </c>
    </row>
    <row r="265" ht="11.4" customHeight="1" spans="1:34">
      <c r="A265" s="184" t="s">
        <v>1399</v>
      </c>
      <c r="B265" s="184" t="s">
        <v>117</v>
      </c>
      <c r="C265" s="184" t="s">
        <v>1101</v>
      </c>
      <c r="D265" s="185" t="s">
        <v>522</v>
      </c>
      <c r="E265" s="186" t="s">
        <v>906</v>
      </c>
      <c r="F265" s="186" t="s">
        <v>907</v>
      </c>
      <c r="G265" s="186" t="s">
        <v>1102</v>
      </c>
      <c r="H265" s="186" t="s">
        <v>1425</v>
      </c>
      <c r="I265" s="187" t="s">
        <v>1429</v>
      </c>
      <c r="J265" s="187" t="s">
        <v>1430</v>
      </c>
      <c r="K265" s="188"/>
      <c r="L265" s="188"/>
      <c r="M265" s="189" t="s">
        <v>847</v>
      </c>
      <c r="N265" s="190">
        <v>674.21</v>
      </c>
      <c r="O265" s="190">
        <f t="shared" si="24"/>
        <v>734.89</v>
      </c>
      <c r="P265" s="191">
        <f t="shared" si="25"/>
        <v>0</v>
      </c>
      <c r="Q265" s="192">
        <f t="shared" si="26"/>
        <v>0</v>
      </c>
      <c r="R265" s="193"/>
      <c r="S265" s="194"/>
      <c r="T265" s="195">
        <f t="shared" si="27"/>
        <v>0</v>
      </c>
      <c r="U265" s="195">
        <f t="shared" si="28"/>
        <v>0</v>
      </c>
      <c r="V265" s="195">
        <f t="shared" si="29"/>
        <v>0</v>
      </c>
      <c r="W265" s="196" t="e">
        <f t="shared" si="30"/>
        <v>#DIV/0!</v>
      </c>
      <c r="X265" s="197" t="e">
        <f t="shared" si="31"/>
        <v>#DIV/0!</v>
      </c>
      <c r="AG265" s="219" t="s">
        <v>1428</v>
      </c>
    </row>
    <row r="266" ht="11.4" customHeight="1" spans="1:34">
      <c r="A266" s="184" t="s">
        <v>1399</v>
      </c>
      <c r="B266" s="184" t="s">
        <v>117</v>
      </c>
      <c r="C266" s="184" t="s">
        <v>1101</v>
      </c>
      <c r="D266" s="185" t="s">
        <v>522</v>
      </c>
      <c r="E266" s="186" t="s">
        <v>906</v>
      </c>
      <c r="F266" s="186" t="s">
        <v>907</v>
      </c>
      <c r="G266" s="186" t="s">
        <v>1102</v>
      </c>
      <c r="H266" s="186" t="s">
        <v>1425</v>
      </c>
      <c r="I266" s="187" t="s">
        <v>1431</v>
      </c>
      <c r="J266" s="187" t="s">
        <v>1432</v>
      </c>
      <c r="K266" s="188"/>
      <c r="L266" s="188"/>
      <c r="M266" s="189" t="s">
        <v>847</v>
      </c>
      <c r="N266" s="190">
        <v>592.51</v>
      </c>
      <c r="O266" s="190">
        <f t="shared" si="24"/>
        <v>645.84</v>
      </c>
      <c r="P266" s="191">
        <f t="shared" si="25"/>
        <v>0</v>
      </c>
      <c r="Q266" s="192">
        <f t="shared" si="26"/>
        <v>0</v>
      </c>
      <c r="R266" s="193"/>
      <c r="S266" s="194"/>
      <c r="T266" s="195">
        <f t="shared" si="27"/>
        <v>0</v>
      </c>
      <c r="U266" s="195">
        <f t="shared" si="28"/>
        <v>0</v>
      </c>
      <c r="V266" s="195">
        <f t="shared" si="29"/>
        <v>0</v>
      </c>
      <c r="W266" s="196" t="e">
        <f t="shared" si="30"/>
        <v>#DIV/0!</v>
      </c>
      <c r="X266" s="197" t="e">
        <f t="shared" si="31"/>
        <v>#DIV/0!</v>
      </c>
      <c r="AG266" s="219" t="s">
        <v>1428</v>
      </c>
    </row>
    <row r="267" ht="11.4" customHeight="1" spans="1:34">
      <c r="A267" s="184" t="s">
        <v>1399</v>
      </c>
      <c r="B267" s="184" t="s">
        <v>117</v>
      </c>
      <c r="C267" s="184" t="s">
        <v>1101</v>
      </c>
      <c r="D267" s="185" t="s">
        <v>522</v>
      </c>
      <c r="E267" s="186" t="s">
        <v>906</v>
      </c>
      <c r="F267" s="186" t="s">
        <v>907</v>
      </c>
      <c r="G267" s="186" t="s">
        <v>1102</v>
      </c>
      <c r="H267" s="186" t="s">
        <v>1425</v>
      </c>
      <c r="I267" s="187" t="s">
        <v>1433</v>
      </c>
      <c r="J267" s="187" t="s">
        <v>1434</v>
      </c>
      <c r="K267" s="188"/>
      <c r="L267" s="188"/>
      <c r="M267" s="189" t="s">
        <v>847</v>
      </c>
      <c r="N267" s="190">
        <v>763.01</v>
      </c>
      <c r="O267" s="190">
        <f t="shared" si="24"/>
        <v>831.68</v>
      </c>
      <c r="P267" s="191">
        <f t="shared" si="25"/>
        <v>0</v>
      </c>
      <c r="Q267" s="192">
        <f t="shared" si="26"/>
        <v>0</v>
      </c>
      <c r="R267" s="193"/>
      <c r="S267" s="194"/>
      <c r="T267" s="195">
        <f t="shared" si="27"/>
        <v>0</v>
      </c>
      <c r="U267" s="195">
        <f t="shared" si="28"/>
        <v>0</v>
      </c>
      <c r="V267" s="195">
        <f t="shared" si="29"/>
        <v>0</v>
      </c>
      <c r="W267" s="196" t="e">
        <f t="shared" si="30"/>
        <v>#DIV/0!</v>
      </c>
      <c r="X267" s="197" t="e">
        <f t="shared" si="31"/>
        <v>#DIV/0!</v>
      </c>
      <c r="AG267" s="219" t="s">
        <v>1428</v>
      </c>
    </row>
    <row r="268" ht="11.4" customHeight="1" spans="1:34">
      <c r="A268" s="184" t="s">
        <v>1399</v>
      </c>
      <c r="B268" s="184" t="s">
        <v>117</v>
      </c>
      <c r="C268" s="184" t="s">
        <v>1101</v>
      </c>
      <c r="D268" s="185" t="s">
        <v>522</v>
      </c>
      <c r="E268" s="186" t="s">
        <v>906</v>
      </c>
      <c r="F268" s="186" t="s">
        <v>907</v>
      </c>
      <c r="G268" s="186" t="s">
        <v>1102</v>
      </c>
      <c r="H268" s="186" t="s">
        <v>1425</v>
      </c>
      <c r="I268" s="187" t="s">
        <v>1435</v>
      </c>
      <c r="J268" s="187" t="s">
        <v>1436</v>
      </c>
      <c r="K268" s="188"/>
      <c r="L268" s="188"/>
      <c r="M268" s="189" t="s">
        <v>847</v>
      </c>
      <c r="N268" s="190">
        <v>229.85</v>
      </c>
      <c r="O268" s="190">
        <f t="shared" si="24"/>
        <v>250.54</v>
      </c>
      <c r="P268" s="191">
        <f t="shared" si="25"/>
        <v>0</v>
      </c>
      <c r="Q268" s="192">
        <f t="shared" si="26"/>
        <v>0</v>
      </c>
      <c r="R268" s="193"/>
      <c r="S268" s="194"/>
      <c r="T268" s="195">
        <f t="shared" si="27"/>
        <v>0</v>
      </c>
      <c r="U268" s="195">
        <f t="shared" si="28"/>
        <v>0</v>
      </c>
      <c r="V268" s="195">
        <f t="shared" si="29"/>
        <v>0</v>
      </c>
      <c r="W268" s="196" t="e">
        <f t="shared" si="30"/>
        <v>#DIV/0!</v>
      </c>
      <c r="X268" s="197" t="e">
        <f t="shared" si="31"/>
        <v>#DIV/0!</v>
      </c>
      <c r="AG268" s="219" t="s">
        <v>1428</v>
      </c>
    </row>
    <row r="269" ht="11.4" customHeight="1" spans="1:34">
      <c r="A269" s="184" t="s">
        <v>1399</v>
      </c>
      <c r="B269" s="184" t="s">
        <v>117</v>
      </c>
      <c r="C269" s="184" t="s">
        <v>1101</v>
      </c>
      <c r="D269" s="185" t="s">
        <v>522</v>
      </c>
      <c r="E269" s="186" t="s">
        <v>906</v>
      </c>
      <c r="F269" s="186" t="s">
        <v>907</v>
      </c>
      <c r="G269" s="186" t="s">
        <v>1102</v>
      </c>
      <c r="H269" s="186" t="s">
        <v>1425</v>
      </c>
      <c r="I269" s="187" t="s">
        <v>1437</v>
      </c>
      <c r="J269" s="187" t="s">
        <v>1438</v>
      </c>
      <c r="K269" s="188"/>
      <c r="L269" s="188"/>
      <c r="M269" s="189" t="s">
        <v>847</v>
      </c>
      <c r="N269" s="190">
        <v>36.96</v>
      </c>
      <c r="O269" s="190">
        <f t="shared" ref="O269:O332" si="32">ROUND(N269*(1+$F$10),2)</f>
        <v>40.29</v>
      </c>
      <c r="P269" s="191">
        <f t="shared" ref="P269:P332" si="33">ROUND(K269*N269,2)</f>
        <v>0</v>
      </c>
      <c r="Q269" s="192">
        <f t="shared" si="26"/>
        <v>0</v>
      </c>
      <c r="R269" s="193"/>
      <c r="S269" s="194"/>
      <c r="T269" s="195">
        <f t="shared" si="27"/>
        <v>0</v>
      </c>
      <c r="U269" s="195">
        <f t="shared" si="28"/>
        <v>0</v>
      </c>
      <c r="V269" s="195">
        <f t="shared" si="29"/>
        <v>0</v>
      </c>
      <c r="W269" s="196" t="e">
        <f t="shared" si="30"/>
        <v>#DIV/0!</v>
      </c>
      <c r="X269" s="197" t="e">
        <f t="shared" si="31"/>
        <v>#DIV/0!</v>
      </c>
      <c r="AG269" s="219" t="s">
        <v>865</v>
      </c>
    </row>
    <row r="270" ht="11.4" customHeight="1" spans="1:34">
      <c r="A270" s="184" t="s">
        <v>1399</v>
      </c>
      <c r="B270" s="184" t="s">
        <v>117</v>
      </c>
      <c r="C270" s="184" t="s">
        <v>1101</v>
      </c>
      <c r="D270" s="185" t="s">
        <v>522</v>
      </c>
      <c r="E270" s="186" t="s">
        <v>906</v>
      </c>
      <c r="F270" s="186" t="s">
        <v>907</v>
      </c>
      <c r="G270" s="186" t="s">
        <v>1102</v>
      </c>
      <c r="H270" s="186" t="s">
        <v>1425</v>
      </c>
      <c r="I270" s="187" t="s">
        <v>1439</v>
      </c>
      <c r="J270" s="187" t="s">
        <v>1440</v>
      </c>
      <c r="K270" s="188"/>
      <c r="L270" s="188"/>
      <c r="M270" s="189" t="s">
        <v>847</v>
      </c>
      <c r="N270" s="190">
        <v>958.97</v>
      </c>
      <c r="O270" s="190">
        <f t="shared" si="32"/>
        <v>1045.28</v>
      </c>
      <c r="P270" s="191">
        <f t="shared" si="33"/>
        <v>0</v>
      </c>
      <c r="Q270" s="192">
        <f t="shared" ref="Q270:Q333" si="34">ROUND(L270*N270,2)</f>
        <v>0</v>
      </c>
      <c r="R270" s="193"/>
      <c r="S270" s="194"/>
      <c r="T270" s="195">
        <f t="shared" ref="T270:T333" si="35">K270-L270</f>
        <v>0</v>
      </c>
      <c r="U270" s="195">
        <f t="shared" ref="U270:U333" si="36">P270-Q270</f>
        <v>0</v>
      </c>
      <c r="V270" s="195">
        <f t="shared" ref="V270:V333" si="37">ABS(U270)</f>
        <v>0</v>
      </c>
      <c r="W270" s="196" t="e">
        <f t="shared" ref="W270:W333" si="38">T270/L270</f>
        <v>#DIV/0!</v>
      </c>
      <c r="X270" s="197" t="e">
        <f t="shared" ref="X270:X333" si="39">ABS(W270)</f>
        <v>#DIV/0!</v>
      </c>
      <c r="AG270" s="219" t="s">
        <v>1441</v>
      </c>
    </row>
    <row r="271" ht="11.4" customHeight="1" spans="1:34">
      <c r="A271" s="184" t="s">
        <v>1399</v>
      </c>
      <c r="B271" s="184" t="s">
        <v>117</v>
      </c>
      <c r="C271" s="184" t="s">
        <v>1101</v>
      </c>
      <c r="D271" s="185" t="s">
        <v>522</v>
      </c>
      <c r="E271" s="186" t="s">
        <v>906</v>
      </c>
      <c r="F271" s="186" t="s">
        <v>907</v>
      </c>
      <c r="G271" s="186" t="s">
        <v>1102</v>
      </c>
      <c r="H271" s="186" t="s">
        <v>1425</v>
      </c>
      <c r="I271" s="187" t="s">
        <v>1442</v>
      </c>
      <c r="J271" s="187" t="s">
        <v>1443</v>
      </c>
      <c r="K271" s="188"/>
      <c r="L271" s="188"/>
      <c r="M271" s="189" t="s">
        <v>847</v>
      </c>
      <c r="N271" s="190">
        <v>1134.73</v>
      </c>
      <c r="O271" s="190">
        <f t="shared" si="32"/>
        <v>1236.86</v>
      </c>
      <c r="P271" s="191">
        <f t="shared" si="33"/>
        <v>0</v>
      </c>
      <c r="Q271" s="192">
        <f t="shared" si="34"/>
        <v>0</v>
      </c>
      <c r="R271" s="193"/>
      <c r="S271" s="194"/>
      <c r="T271" s="195">
        <f t="shared" si="35"/>
        <v>0</v>
      </c>
      <c r="U271" s="195">
        <f t="shared" si="36"/>
        <v>0</v>
      </c>
      <c r="V271" s="195">
        <f t="shared" si="37"/>
        <v>0</v>
      </c>
      <c r="W271" s="196" t="e">
        <f t="shared" si="38"/>
        <v>#DIV/0!</v>
      </c>
      <c r="X271" s="197" t="e">
        <f t="shared" si="39"/>
        <v>#DIV/0!</v>
      </c>
      <c r="AG271" s="219" t="s">
        <v>1444</v>
      </c>
    </row>
    <row r="272" ht="11.4" customHeight="1" spans="1:34">
      <c r="A272" s="184" t="s">
        <v>1399</v>
      </c>
      <c r="B272" s="184" t="s">
        <v>117</v>
      </c>
      <c r="C272" s="184" t="s">
        <v>1101</v>
      </c>
      <c r="D272" s="185" t="s">
        <v>522</v>
      </c>
      <c r="E272" s="186" t="s">
        <v>906</v>
      </c>
      <c r="F272" s="186" t="s">
        <v>907</v>
      </c>
      <c r="G272" s="186" t="s">
        <v>1102</v>
      </c>
      <c r="H272" s="186" t="s">
        <v>1425</v>
      </c>
      <c r="I272" s="187" t="s">
        <v>1445</v>
      </c>
      <c r="J272" s="187" t="s">
        <v>1446</v>
      </c>
      <c r="K272" s="188"/>
      <c r="L272" s="188"/>
      <c r="M272" s="189" t="s">
        <v>847</v>
      </c>
      <c r="N272" s="190">
        <v>464.59</v>
      </c>
      <c r="O272" s="190">
        <f t="shared" si="32"/>
        <v>506.4</v>
      </c>
      <c r="P272" s="191">
        <f t="shared" si="33"/>
        <v>0</v>
      </c>
      <c r="Q272" s="192">
        <f t="shared" si="34"/>
        <v>0</v>
      </c>
      <c r="R272" s="193"/>
      <c r="S272" s="194"/>
      <c r="T272" s="195">
        <f t="shared" si="35"/>
        <v>0</v>
      </c>
      <c r="U272" s="195">
        <f t="shared" si="36"/>
        <v>0</v>
      </c>
      <c r="V272" s="195">
        <f t="shared" si="37"/>
        <v>0</v>
      </c>
      <c r="W272" s="196" t="e">
        <f t="shared" si="38"/>
        <v>#DIV/0!</v>
      </c>
      <c r="X272" s="197" t="e">
        <f t="shared" si="39"/>
        <v>#DIV/0!</v>
      </c>
      <c r="AG272" s="109" t="s">
        <v>1447</v>
      </c>
    </row>
    <row r="273" ht="11.4" customHeight="1" spans="1:34">
      <c r="A273" s="184" t="s">
        <v>1399</v>
      </c>
      <c r="B273" s="184" t="s">
        <v>117</v>
      </c>
      <c r="C273" s="184" t="s">
        <v>1101</v>
      </c>
      <c r="D273" s="185" t="s">
        <v>522</v>
      </c>
      <c r="E273" s="186" t="s">
        <v>906</v>
      </c>
      <c r="F273" s="186" t="s">
        <v>907</v>
      </c>
      <c r="G273" s="186" t="s">
        <v>1102</v>
      </c>
      <c r="H273" s="186" t="s">
        <v>1425</v>
      </c>
      <c r="I273" s="187" t="s">
        <v>1448</v>
      </c>
      <c r="J273" s="187" t="s">
        <v>1449</v>
      </c>
      <c r="K273" s="188"/>
      <c r="L273" s="188"/>
      <c r="M273" s="189" t="s">
        <v>847</v>
      </c>
      <c r="N273" s="190">
        <v>460.58</v>
      </c>
      <c r="O273" s="190">
        <f t="shared" si="32"/>
        <v>502.03</v>
      </c>
      <c r="P273" s="191">
        <f t="shared" si="33"/>
        <v>0</v>
      </c>
      <c r="Q273" s="192">
        <f t="shared" si="34"/>
        <v>0</v>
      </c>
      <c r="R273" s="193"/>
      <c r="S273" s="194"/>
      <c r="T273" s="195">
        <f t="shared" si="35"/>
        <v>0</v>
      </c>
      <c r="U273" s="195">
        <f t="shared" si="36"/>
        <v>0</v>
      </c>
      <c r="V273" s="195">
        <f t="shared" si="37"/>
        <v>0</v>
      </c>
      <c r="W273" s="196" t="e">
        <f t="shared" si="38"/>
        <v>#DIV/0!</v>
      </c>
      <c r="X273" s="197" t="e">
        <f t="shared" si="39"/>
        <v>#DIV/0!</v>
      </c>
      <c r="AG273" s="109" t="s">
        <v>1447</v>
      </c>
    </row>
    <row r="274" ht="11.4" customHeight="1" spans="1:34">
      <c r="A274" s="184" t="s">
        <v>1399</v>
      </c>
      <c r="B274" s="184" t="s">
        <v>117</v>
      </c>
      <c r="C274" s="184" t="s">
        <v>1101</v>
      </c>
      <c r="D274" s="185" t="s">
        <v>522</v>
      </c>
      <c r="E274" s="186" t="s">
        <v>906</v>
      </c>
      <c r="F274" s="186" t="s">
        <v>907</v>
      </c>
      <c r="G274" s="186" t="s">
        <v>1102</v>
      </c>
      <c r="H274" s="186" t="s">
        <v>1425</v>
      </c>
      <c r="I274" s="187" t="s">
        <v>1450</v>
      </c>
      <c r="J274" s="187" t="s">
        <v>1451</v>
      </c>
      <c r="K274" s="188">
        <v>22.93</v>
      </c>
      <c r="L274" s="188">
        <v>23.26</v>
      </c>
      <c r="M274" s="189" t="s">
        <v>847</v>
      </c>
      <c r="N274" s="190">
        <v>464.64</v>
      </c>
      <c r="O274" s="190">
        <f t="shared" si="32"/>
        <v>506.46</v>
      </c>
      <c r="P274" s="191">
        <f t="shared" si="33"/>
        <v>10654.2</v>
      </c>
      <c r="Q274" s="192">
        <f t="shared" si="34"/>
        <v>10807.53</v>
      </c>
      <c r="R274" s="193"/>
      <c r="S274" s="194"/>
      <c r="T274" s="195">
        <f t="shared" si="35"/>
        <v>-0.330000000000002</v>
      </c>
      <c r="U274" s="195">
        <f t="shared" si="36"/>
        <v>-153.33</v>
      </c>
      <c r="V274" s="195">
        <f t="shared" si="37"/>
        <v>153.33</v>
      </c>
      <c r="W274" s="196">
        <f t="shared" si="38"/>
        <v>-0.0141874462596733</v>
      </c>
      <c r="X274" s="197">
        <f t="shared" si="39"/>
        <v>0.0141874462596733</v>
      </c>
      <c r="AG274" s="109" t="s">
        <v>1447</v>
      </c>
    </row>
    <row r="275" ht="11.4" customHeight="1" spans="1:34">
      <c r="A275" s="184" t="s">
        <v>1399</v>
      </c>
      <c r="B275" s="184" t="s">
        <v>117</v>
      </c>
      <c r="C275" s="184" t="s">
        <v>1101</v>
      </c>
      <c r="D275" s="185" t="s">
        <v>522</v>
      </c>
      <c r="E275" s="186" t="s">
        <v>906</v>
      </c>
      <c r="F275" s="186" t="s">
        <v>907</v>
      </c>
      <c r="G275" s="186" t="s">
        <v>1102</v>
      </c>
      <c r="H275" s="186" t="s">
        <v>1425</v>
      </c>
      <c r="I275" s="187" t="s">
        <v>1452</v>
      </c>
      <c r="J275" s="187" t="s">
        <v>1453</v>
      </c>
      <c r="K275" s="188"/>
      <c r="L275" s="188"/>
      <c r="M275" s="189" t="s">
        <v>847</v>
      </c>
      <c r="N275" s="190">
        <v>887.74</v>
      </c>
      <c r="O275" s="190">
        <f t="shared" si="32"/>
        <v>967.64</v>
      </c>
      <c r="P275" s="191">
        <f t="shared" si="33"/>
        <v>0</v>
      </c>
      <c r="Q275" s="192">
        <f t="shared" si="34"/>
        <v>0</v>
      </c>
      <c r="R275" s="193"/>
      <c r="S275" s="194"/>
      <c r="T275" s="195">
        <f t="shared" si="35"/>
        <v>0</v>
      </c>
      <c r="U275" s="195">
        <f t="shared" si="36"/>
        <v>0</v>
      </c>
      <c r="V275" s="195">
        <f t="shared" si="37"/>
        <v>0</v>
      </c>
      <c r="W275" s="196" t="e">
        <f t="shared" si="38"/>
        <v>#DIV/0!</v>
      </c>
      <c r="X275" s="197" t="e">
        <f t="shared" si="39"/>
        <v>#DIV/0!</v>
      </c>
      <c r="AG275" s="109" t="s">
        <v>1447</v>
      </c>
    </row>
    <row r="276" ht="11.4" customHeight="1" spans="1:34">
      <c r="A276" s="184" t="s">
        <v>1399</v>
      </c>
      <c r="B276" s="184" t="s">
        <v>117</v>
      </c>
      <c r="C276" s="184" t="s">
        <v>1101</v>
      </c>
      <c r="D276" s="185" t="s">
        <v>522</v>
      </c>
      <c r="E276" s="186" t="s">
        <v>906</v>
      </c>
      <c r="F276" s="186" t="s">
        <v>907</v>
      </c>
      <c r="G276" s="186" t="s">
        <v>1102</v>
      </c>
      <c r="H276" s="186" t="s">
        <v>1425</v>
      </c>
      <c r="I276" s="187" t="s">
        <v>1454</v>
      </c>
      <c r="J276" s="187" t="s">
        <v>1455</v>
      </c>
      <c r="K276" s="188"/>
      <c r="L276" s="188"/>
      <c r="M276" s="189" t="s">
        <v>847</v>
      </c>
      <c r="N276" s="190">
        <v>360.47</v>
      </c>
      <c r="O276" s="190">
        <f t="shared" si="32"/>
        <v>392.91</v>
      </c>
      <c r="P276" s="191">
        <f t="shared" si="33"/>
        <v>0</v>
      </c>
      <c r="Q276" s="192">
        <f t="shared" si="34"/>
        <v>0</v>
      </c>
      <c r="R276" s="193"/>
      <c r="S276" s="194"/>
      <c r="T276" s="195">
        <f t="shared" si="35"/>
        <v>0</v>
      </c>
      <c r="U276" s="195">
        <f t="shared" si="36"/>
        <v>0</v>
      </c>
      <c r="V276" s="195">
        <f t="shared" si="37"/>
        <v>0</v>
      </c>
      <c r="W276" s="196" t="e">
        <f t="shared" si="38"/>
        <v>#DIV/0!</v>
      </c>
      <c r="X276" s="197" t="e">
        <f t="shared" si="39"/>
        <v>#DIV/0!</v>
      </c>
      <c r="AG276" s="109" t="s">
        <v>1447</v>
      </c>
    </row>
    <row r="277" ht="11.4" customHeight="1" spans="1:34">
      <c r="A277" s="184" t="s">
        <v>1399</v>
      </c>
      <c r="B277" s="184" t="s">
        <v>117</v>
      </c>
      <c r="C277" s="184" t="s">
        <v>1101</v>
      </c>
      <c r="D277" s="185" t="s">
        <v>522</v>
      </c>
      <c r="E277" s="186" t="s">
        <v>906</v>
      </c>
      <c r="F277" s="186" t="s">
        <v>907</v>
      </c>
      <c r="G277" s="186" t="s">
        <v>1102</v>
      </c>
      <c r="H277" s="186" t="s">
        <v>1425</v>
      </c>
      <c r="I277" s="187" t="s">
        <v>1175</v>
      </c>
      <c r="J277" s="187" t="s">
        <v>1176</v>
      </c>
      <c r="K277" s="188"/>
      <c r="L277" s="188"/>
      <c r="M277" s="189" t="s">
        <v>847</v>
      </c>
      <c r="N277" s="190">
        <v>114.06</v>
      </c>
      <c r="O277" s="190">
        <f t="shared" si="32"/>
        <v>124.33</v>
      </c>
      <c r="P277" s="191">
        <f t="shared" si="33"/>
        <v>0</v>
      </c>
      <c r="Q277" s="192">
        <f t="shared" si="34"/>
        <v>0</v>
      </c>
      <c r="R277" s="193"/>
      <c r="S277" s="194"/>
      <c r="T277" s="195">
        <f t="shared" si="35"/>
        <v>0</v>
      </c>
      <c r="U277" s="195">
        <f t="shared" si="36"/>
        <v>0</v>
      </c>
      <c r="V277" s="195">
        <f t="shared" si="37"/>
        <v>0</v>
      </c>
      <c r="W277" s="196" t="e">
        <f t="shared" si="38"/>
        <v>#DIV/0!</v>
      </c>
      <c r="X277" s="197" t="e">
        <f t="shared" si="39"/>
        <v>#DIV/0!</v>
      </c>
      <c r="AG277" s="109" t="s">
        <v>1456</v>
      </c>
    </row>
    <row r="278" ht="11.4" customHeight="1" spans="1:34">
      <c r="A278" s="184" t="s">
        <v>1399</v>
      </c>
      <c r="B278" s="184" t="s">
        <v>117</v>
      </c>
      <c r="C278" s="184" t="s">
        <v>1101</v>
      </c>
      <c r="D278" s="185" t="s">
        <v>522</v>
      </c>
      <c r="E278" s="186" t="s">
        <v>906</v>
      </c>
      <c r="F278" s="186" t="s">
        <v>907</v>
      </c>
      <c r="G278" s="186" t="s">
        <v>1102</v>
      </c>
      <c r="H278" s="186" t="s">
        <v>1425</v>
      </c>
      <c r="I278" s="187" t="s">
        <v>1457</v>
      </c>
      <c r="J278" s="187" t="s">
        <v>1458</v>
      </c>
      <c r="K278" s="188"/>
      <c r="L278" s="188"/>
      <c r="M278" s="189" t="s">
        <v>847</v>
      </c>
      <c r="N278" s="190">
        <v>392.72</v>
      </c>
      <c r="O278" s="190">
        <f t="shared" si="32"/>
        <v>428.06</v>
      </c>
      <c r="P278" s="191">
        <f t="shared" si="33"/>
        <v>0</v>
      </c>
      <c r="Q278" s="192">
        <f t="shared" si="34"/>
        <v>0</v>
      </c>
      <c r="R278" s="193"/>
      <c r="S278" s="194"/>
      <c r="T278" s="195">
        <f t="shared" si="35"/>
        <v>0</v>
      </c>
      <c r="U278" s="195">
        <f t="shared" si="36"/>
        <v>0</v>
      </c>
      <c r="V278" s="195">
        <f t="shared" si="37"/>
        <v>0</v>
      </c>
      <c r="W278" s="196" t="e">
        <f t="shared" si="38"/>
        <v>#DIV/0!</v>
      </c>
      <c r="X278" s="197" t="e">
        <f t="shared" si="39"/>
        <v>#DIV/0!</v>
      </c>
      <c r="AG278" s="219" t="s">
        <v>865</v>
      </c>
    </row>
    <row r="279" ht="11.4" customHeight="1" spans="1:34">
      <c r="A279" s="184" t="s">
        <v>1399</v>
      </c>
      <c r="B279" s="184" t="s">
        <v>117</v>
      </c>
      <c r="C279" s="184" t="s">
        <v>1101</v>
      </c>
      <c r="D279" s="185" t="s">
        <v>522</v>
      </c>
      <c r="E279" s="186" t="s">
        <v>906</v>
      </c>
      <c r="F279" s="186" t="s">
        <v>907</v>
      </c>
      <c r="G279" s="186" t="s">
        <v>1102</v>
      </c>
      <c r="H279" s="186" t="s">
        <v>1425</v>
      </c>
      <c r="I279" s="187" t="s">
        <v>1459</v>
      </c>
      <c r="J279" s="187" t="s">
        <v>1460</v>
      </c>
      <c r="K279" s="188"/>
      <c r="L279" s="188"/>
      <c r="M279" s="189" t="s">
        <v>847</v>
      </c>
      <c r="N279" s="190">
        <v>635.04</v>
      </c>
      <c r="O279" s="190">
        <f t="shared" si="32"/>
        <v>692.19</v>
      </c>
      <c r="P279" s="191">
        <f t="shared" si="33"/>
        <v>0</v>
      </c>
      <c r="Q279" s="192">
        <f t="shared" si="34"/>
        <v>0</v>
      </c>
      <c r="R279" s="193"/>
      <c r="S279" s="194"/>
      <c r="T279" s="195">
        <f t="shared" si="35"/>
        <v>0</v>
      </c>
      <c r="U279" s="195">
        <f t="shared" si="36"/>
        <v>0</v>
      </c>
      <c r="V279" s="195">
        <f t="shared" si="37"/>
        <v>0</v>
      </c>
      <c r="W279" s="196" t="e">
        <f t="shared" si="38"/>
        <v>#DIV/0!</v>
      </c>
      <c r="X279" s="197" t="e">
        <f t="shared" si="39"/>
        <v>#DIV/0!</v>
      </c>
      <c r="AG279" s="109" t="s">
        <v>1447</v>
      </c>
    </row>
    <row r="280" ht="11.4" customHeight="1" spans="1:34">
      <c r="A280" s="184" t="s">
        <v>1399</v>
      </c>
      <c r="B280" s="184" t="s">
        <v>117</v>
      </c>
      <c r="C280" s="184" t="s">
        <v>1101</v>
      </c>
      <c r="D280" s="185" t="s">
        <v>522</v>
      </c>
      <c r="E280" s="186" t="s">
        <v>906</v>
      </c>
      <c r="F280" s="186" t="s">
        <v>907</v>
      </c>
      <c r="G280" s="186" t="s">
        <v>1102</v>
      </c>
      <c r="H280" s="186" t="s">
        <v>1425</v>
      </c>
      <c r="I280" s="187" t="s">
        <v>1461</v>
      </c>
      <c r="J280" s="187" t="s">
        <v>1462</v>
      </c>
      <c r="K280" s="188"/>
      <c r="L280" s="188"/>
      <c r="M280" s="189" t="s">
        <v>847</v>
      </c>
      <c r="N280" s="190">
        <v>608.1</v>
      </c>
      <c r="O280" s="190">
        <f t="shared" si="32"/>
        <v>662.83</v>
      </c>
      <c r="P280" s="191">
        <f t="shared" si="33"/>
        <v>0</v>
      </c>
      <c r="Q280" s="192">
        <f t="shared" si="34"/>
        <v>0</v>
      </c>
      <c r="R280" s="193"/>
      <c r="S280" s="194"/>
      <c r="T280" s="195">
        <f t="shared" si="35"/>
        <v>0</v>
      </c>
      <c r="U280" s="195">
        <f t="shared" si="36"/>
        <v>0</v>
      </c>
      <c r="V280" s="195">
        <f t="shared" si="37"/>
        <v>0</v>
      </c>
      <c r="W280" s="196" t="e">
        <f t="shared" si="38"/>
        <v>#DIV/0!</v>
      </c>
      <c r="X280" s="197" t="e">
        <f t="shared" si="39"/>
        <v>#DIV/0!</v>
      </c>
      <c r="AG280" s="109" t="s">
        <v>1447</v>
      </c>
    </row>
    <row r="281" ht="11.4" customHeight="1" spans="1:34">
      <c r="A281" s="184" t="s">
        <v>1399</v>
      </c>
      <c r="B281" s="184" t="s">
        <v>117</v>
      </c>
      <c r="C281" s="184" t="s">
        <v>1101</v>
      </c>
      <c r="D281" s="185" t="s">
        <v>522</v>
      </c>
      <c r="E281" s="186" t="s">
        <v>906</v>
      </c>
      <c r="F281" s="186" t="s">
        <v>907</v>
      </c>
      <c r="G281" s="186" t="s">
        <v>1102</v>
      </c>
      <c r="H281" s="186" t="s">
        <v>1425</v>
      </c>
      <c r="I281" s="187" t="s">
        <v>1463</v>
      </c>
      <c r="J281" s="187" t="s">
        <v>1464</v>
      </c>
      <c r="K281" s="188"/>
      <c r="L281" s="188"/>
      <c r="M281" s="189" t="s">
        <v>847</v>
      </c>
      <c r="N281" s="190">
        <v>727.77</v>
      </c>
      <c r="O281" s="190">
        <f t="shared" si="32"/>
        <v>793.27</v>
      </c>
      <c r="P281" s="191">
        <f t="shared" si="33"/>
        <v>0</v>
      </c>
      <c r="Q281" s="192">
        <f t="shared" si="34"/>
        <v>0</v>
      </c>
      <c r="R281" s="193"/>
      <c r="S281" s="194"/>
      <c r="T281" s="195">
        <f t="shared" si="35"/>
        <v>0</v>
      </c>
      <c r="U281" s="195">
        <f t="shared" si="36"/>
        <v>0</v>
      </c>
      <c r="V281" s="195">
        <f t="shared" si="37"/>
        <v>0</v>
      </c>
      <c r="W281" s="196" t="e">
        <f t="shared" si="38"/>
        <v>#DIV/0!</v>
      </c>
      <c r="X281" s="197" t="e">
        <f t="shared" si="39"/>
        <v>#DIV/0!</v>
      </c>
      <c r="AG281" s="109" t="s">
        <v>1447</v>
      </c>
    </row>
    <row r="282" ht="11.4" customHeight="1" spans="1:34">
      <c r="A282" s="184" t="s">
        <v>1399</v>
      </c>
      <c r="B282" s="184" t="s">
        <v>117</v>
      </c>
      <c r="C282" s="184" t="s">
        <v>1101</v>
      </c>
      <c r="D282" s="185" t="s">
        <v>522</v>
      </c>
      <c r="E282" s="186" t="s">
        <v>906</v>
      </c>
      <c r="F282" s="186" t="s">
        <v>907</v>
      </c>
      <c r="G282" s="186" t="s">
        <v>1102</v>
      </c>
      <c r="H282" s="186" t="s">
        <v>1425</v>
      </c>
      <c r="I282" s="187" t="s">
        <v>1465</v>
      </c>
      <c r="J282" s="187" t="s">
        <v>1466</v>
      </c>
      <c r="K282" s="188"/>
      <c r="L282" s="188"/>
      <c r="M282" s="189" t="s">
        <v>847</v>
      </c>
      <c r="N282" s="190">
        <v>234.97</v>
      </c>
      <c r="O282" s="190">
        <f t="shared" si="32"/>
        <v>256.12</v>
      </c>
      <c r="P282" s="191">
        <f t="shared" si="33"/>
        <v>0</v>
      </c>
      <c r="Q282" s="192">
        <f t="shared" si="34"/>
        <v>0</v>
      </c>
      <c r="R282" s="193"/>
      <c r="S282" s="194"/>
      <c r="T282" s="195">
        <f t="shared" si="35"/>
        <v>0</v>
      </c>
      <c r="U282" s="195">
        <f t="shared" si="36"/>
        <v>0</v>
      </c>
      <c r="V282" s="195">
        <f t="shared" si="37"/>
        <v>0</v>
      </c>
      <c r="W282" s="196" t="e">
        <f t="shared" si="38"/>
        <v>#DIV/0!</v>
      </c>
      <c r="X282" s="197" t="e">
        <f t="shared" si="39"/>
        <v>#DIV/0!</v>
      </c>
      <c r="AG282" s="109" t="s">
        <v>865</v>
      </c>
    </row>
    <row r="283" ht="11.4" customHeight="1" spans="1:34">
      <c r="A283" s="184" t="s">
        <v>1399</v>
      </c>
      <c r="B283" s="184" t="s">
        <v>117</v>
      </c>
      <c r="C283" s="184" t="s">
        <v>1101</v>
      </c>
      <c r="D283" s="185" t="s">
        <v>522</v>
      </c>
      <c r="E283" s="186" t="s">
        <v>906</v>
      </c>
      <c r="F283" s="186" t="s">
        <v>907</v>
      </c>
      <c r="G283" s="186" t="s">
        <v>1102</v>
      </c>
      <c r="H283" s="186" t="s">
        <v>1425</v>
      </c>
      <c r="I283" s="187" t="s">
        <v>1467</v>
      </c>
      <c r="J283" s="187" t="s">
        <v>1468</v>
      </c>
      <c r="K283" s="188"/>
      <c r="L283" s="188"/>
      <c r="M283" s="189" t="s">
        <v>847</v>
      </c>
      <c r="N283" s="190">
        <v>60.18</v>
      </c>
      <c r="O283" s="190">
        <f t="shared" si="32"/>
        <v>65.6</v>
      </c>
      <c r="P283" s="191">
        <f t="shared" si="33"/>
        <v>0</v>
      </c>
      <c r="Q283" s="192">
        <f t="shared" si="34"/>
        <v>0</v>
      </c>
      <c r="R283" s="193"/>
      <c r="S283" s="194"/>
      <c r="T283" s="195">
        <f t="shared" si="35"/>
        <v>0</v>
      </c>
      <c r="U283" s="195">
        <f t="shared" si="36"/>
        <v>0</v>
      </c>
      <c r="V283" s="195">
        <f t="shared" si="37"/>
        <v>0</v>
      </c>
      <c r="W283" s="196" t="e">
        <f t="shared" si="38"/>
        <v>#DIV/0!</v>
      </c>
      <c r="X283" s="197" t="e">
        <f t="shared" si="39"/>
        <v>#DIV/0!</v>
      </c>
      <c r="AH283" s="219" t="s">
        <v>892</v>
      </c>
    </row>
    <row r="284" ht="11.4" customHeight="1" spans="1:34">
      <c r="A284" s="184" t="s">
        <v>1399</v>
      </c>
      <c r="B284" s="184" t="s">
        <v>117</v>
      </c>
      <c r="C284" s="184" t="s">
        <v>1101</v>
      </c>
      <c r="D284" s="185" t="s">
        <v>522</v>
      </c>
      <c r="E284" s="186" t="s">
        <v>906</v>
      </c>
      <c r="F284" s="186" t="s">
        <v>907</v>
      </c>
      <c r="G284" s="186" t="s">
        <v>1102</v>
      </c>
      <c r="H284" s="186" t="s">
        <v>1425</v>
      </c>
      <c r="I284" s="187" t="s">
        <v>1469</v>
      </c>
      <c r="J284" s="187" t="s">
        <v>1470</v>
      </c>
      <c r="K284" s="188"/>
      <c r="L284" s="188"/>
      <c r="M284" s="189" t="s">
        <v>847</v>
      </c>
      <c r="N284" s="190">
        <v>38</v>
      </c>
      <c r="O284" s="190">
        <f t="shared" si="32"/>
        <v>41.42</v>
      </c>
      <c r="P284" s="191">
        <f t="shared" si="33"/>
        <v>0</v>
      </c>
      <c r="Q284" s="192">
        <f t="shared" si="34"/>
        <v>0</v>
      </c>
      <c r="R284" s="193"/>
      <c r="S284" s="194"/>
      <c r="T284" s="195">
        <f t="shared" si="35"/>
        <v>0</v>
      </c>
      <c r="U284" s="195">
        <f t="shared" si="36"/>
        <v>0</v>
      </c>
      <c r="V284" s="195">
        <f t="shared" si="37"/>
        <v>0</v>
      </c>
      <c r="W284" s="196" t="e">
        <f t="shared" si="38"/>
        <v>#DIV/0!</v>
      </c>
      <c r="X284" s="197" t="e">
        <f t="shared" si="39"/>
        <v>#DIV/0!</v>
      </c>
      <c r="AG284" s="109" t="s">
        <v>865</v>
      </c>
    </row>
    <row r="285" ht="11.4" customHeight="1" spans="1:34">
      <c r="A285" s="184" t="s">
        <v>1399</v>
      </c>
      <c r="B285" s="184" t="s">
        <v>117</v>
      </c>
      <c r="C285" s="184" t="s">
        <v>1101</v>
      </c>
      <c r="D285" s="185" t="s">
        <v>522</v>
      </c>
      <c r="E285" s="186" t="s">
        <v>906</v>
      </c>
      <c r="F285" s="186" t="s">
        <v>907</v>
      </c>
      <c r="G285" s="186" t="s">
        <v>1102</v>
      </c>
      <c r="H285" s="186" t="s">
        <v>1425</v>
      </c>
      <c r="I285" s="187" t="s">
        <v>1471</v>
      </c>
      <c r="J285" s="187" t="s">
        <v>1472</v>
      </c>
      <c r="K285" s="188"/>
      <c r="L285" s="188"/>
      <c r="M285" s="189" t="s">
        <v>847</v>
      </c>
      <c r="N285" s="190">
        <v>38</v>
      </c>
      <c r="O285" s="190">
        <f t="shared" si="32"/>
        <v>41.42</v>
      </c>
      <c r="P285" s="191">
        <f t="shared" si="33"/>
        <v>0</v>
      </c>
      <c r="Q285" s="192">
        <f t="shared" si="34"/>
        <v>0</v>
      </c>
      <c r="R285" s="193"/>
      <c r="S285" s="194"/>
      <c r="T285" s="195">
        <f t="shared" si="35"/>
        <v>0</v>
      </c>
      <c r="U285" s="195">
        <f t="shared" si="36"/>
        <v>0</v>
      </c>
      <c r="V285" s="195">
        <f t="shared" si="37"/>
        <v>0</v>
      </c>
      <c r="W285" s="196" t="e">
        <f t="shared" si="38"/>
        <v>#DIV/0!</v>
      </c>
      <c r="X285" s="197" t="e">
        <f t="shared" si="39"/>
        <v>#DIV/0!</v>
      </c>
      <c r="AG285" s="109" t="s">
        <v>865</v>
      </c>
    </row>
    <row r="286" ht="11.4" customHeight="1" spans="1:34">
      <c r="A286" s="184" t="s">
        <v>1399</v>
      </c>
      <c r="B286" s="184" t="s">
        <v>117</v>
      </c>
      <c r="C286" s="184" t="s">
        <v>1101</v>
      </c>
      <c r="D286" s="185" t="s">
        <v>522</v>
      </c>
      <c r="E286" s="186" t="s">
        <v>906</v>
      </c>
      <c r="F286" s="186" t="s">
        <v>907</v>
      </c>
      <c r="G286" s="186" t="s">
        <v>1102</v>
      </c>
      <c r="H286" s="186" t="s">
        <v>1425</v>
      </c>
      <c r="I286" s="187" t="s">
        <v>1473</v>
      </c>
      <c r="J286" s="187" t="s">
        <v>1474</v>
      </c>
      <c r="K286" s="188"/>
      <c r="L286" s="188"/>
      <c r="M286" s="189" t="s">
        <v>847</v>
      </c>
      <c r="N286" s="190">
        <v>167.98</v>
      </c>
      <c r="O286" s="190">
        <f t="shared" si="32"/>
        <v>183.1</v>
      </c>
      <c r="P286" s="191">
        <f t="shared" si="33"/>
        <v>0</v>
      </c>
      <c r="Q286" s="192">
        <f t="shared" si="34"/>
        <v>0</v>
      </c>
      <c r="R286" s="193"/>
      <c r="S286" s="194"/>
      <c r="T286" s="195">
        <f t="shared" si="35"/>
        <v>0</v>
      </c>
      <c r="U286" s="195">
        <f t="shared" si="36"/>
        <v>0</v>
      </c>
      <c r="V286" s="195">
        <f t="shared" si="37"/>
        <v>0</v>
      </c>
      <c r="W286" s="196" t="e">
        <f t="shared" si="38"/>
        <v>#DIV/0!</v>
      </c>
      <c r="X286" s="197" t="e">
        <f t="shared" si="39"/>
        <v>#DIV/0!</v>
      </c>
      <c r="AG286" s="109" t="s">
        <v>865</v>
      </c>
    </row>
    <row r="287" ht="11.4" customHeight="1" spans="1:34">
      <c r="A287" s="184" t="s">
        <v>1399</v>
      </c>
      <c r="B287" s="184" t="s">
        <v>117</v>
      </c>
      <c r="C287" s="184" t="s">
        <v>1101</v>
      </c>
      <c r="D287" s="185" t="s">
        <v>522</v>
      </c>
      <c r="E287" s="186" t="s">
        <v>906</v>
      </c>
      <c r="F287" s="186" t="s">
        <v>907</v>
      </c>
      <c r="G287" s="186" t="s">
        <v>1102</v>
      </c>
      <c r="H287" s="186" t="s">
        <v>1425</v>
      </c>
      <c r="I287" s="187" t="s">
        <v>1475</v>
      </c>
      <c r="J287" s="187" t="s">
        <v>1476</v>
      </c>
      <c r="K287" s="188"/>
      <c r="L287" s="188"/>
      <c r="M287" s="189" t="s">
        <v>847</v>
      </c>
      <c r="N287" s="190">
        <v>147.41</v>
      </c>
      <c r="O287" s="190">
        <f t="shared" si="32"/>
        <v>160.68</v>
      </c>
      <c r="P287" s="191">
        <f t="shared" si="33"/>
        <v>0</v>
      </c>
      <c r="Q287" s="192">
        <f t="shared" si="34"/>
        <v>0</v>
      </c>
      <c r="R287" s="193"/>
      <c r="S287" s="194"/>
      <c r="T287" s="195">
        <f t="shared" si="35"/>
        <v>0</v>
      </c>
      <c r="U287" s="195">
        <f t="shared" si="36"/>
        <v>0</v>
      </c>
      <c r="V287" s="195">
        <f t="shared" si="37"/>
        <v>0</v>
      </c>
      <c r="W287" s="196" t="e">
        <f t="shared" si="38"/>
        <v>#DIV/0!</v>
      </c>
      <c r="X287" s="197" t="e">
        <f t="shared" si="39"/>
        <v>#DIV/0!</v>
      </c>
      <c r="AG287" s="109" t="s">
        <v>865</v>
      </c>
    </row>
    <row r="288" ht="11.4" customHeight="1" spans="1:34">
      <c r="A288" s="184" t="s">
        <v>1399</v>
      </c>
      <c r="B288" s="184" t="s">
        <v>117</v>
      </c>
      <c r="C288" s="184" t="s">
        <v>1101</v>
      </c>
      <c r="D288" s="185" t="s">
        <v>522</v>
      </c>
      <c r="E288" s="186" t="s">
        <v>906</v>
      </c>
      <c r="F288" s="186" t="s">
        <v>907</v>
      </c>
      <c r="G288" s="186" t="s">
        <v>1102</v>
      </c>
      <c r="H288" s="186" t="s">
        <v>1425</v>
      </c>
      <c r="I288" s="187" t="s">
        <v>1477</v>
      </c>
      <c r="J288" s="187" t="s">
        <v>1478</v>
      </c>
      <c r="K288" s="188"/>
      <c r="L288" s="188"/>
      <c r="M288" s="189" t="s">
        <v>847</v>
      </c>
      <c r="N288" s="190">
        <v>169.19</v>
      </c>
      <c r="O288" s="190">
        <f t="shared" si="32"/>
        <v>184.42</v>
      </c>
      <c r="P288" s="191">
        <f t="shared" si="33"/>
        <v>0</v>
      </c>
      <c r="Q288" s="192">
        <f t="shared" si="34"/>
        <v>0</v>
      </c>
      <c r="R288" s="193"/>
      <c r="S288" s="194"/>
      <c r="T288" s="195">
        <f t="shared" si="35"/>
        <v>0</v>
      </c>
      <c r="U288" s="195">
        <f t="shared" si="36"/>
        <v>0</v>
      </c>
      <c r="V288" s="195">
        <f t="shared" si="37"/>
        <v>0</v>
      </c>
      <c r="W288" s="196" t="e">
        <f t="shared" si="38"/>
        <v>#DIV/0!</v>
      </c>
      <c r="X288" s="197" t="e">
        <f t="shared" si="39"/>
        <v>#DIV/0!</v>
      </c>
      <c r="AG288" s="109" t="s">
        <v>865</v>
      </c>
    </row>
    <row r="289" ht="11.4" customHeight="1" spans="1:33">
      <c r="A289" s="184" t="s">
        <v>1399</v>
      </c>
      <c r="B289" s="184" t="s">
        <v>117</v>
      </c>
      <c r="C289" s="184" t="s">
        <v>1101</v>
      </c>
      <c r="D289" s="185" t="s">
        <v>522</v>
      </c>
      <c r="E289" s="186" t="s">
        <v>906</v>
      </c>
      <c r="F289" s="186" t="s">
        <v>907</v>
      </c>
      <c r="G289" s="186" t="s">
        <v>1102</v>
      </c>
      <c r="H289" s="186" t="s">
        <v>1425</v>
      </c>
      <c r="I289" s="187" t="s">
        <v>1326</v>
      </c>
      <c r="J289" s="187" t="s">
        <v>1327</v>
      </c>
      <c r="K289" s="188"/>
      <c r="L289" s="188"/>
      <c r="M289" s="189" t="s">
        <v>847</v>
      </c>
      <c r="N289" s="190">
        <v>206.06</v>
      </c>
      <c r="O289" s="190">
        <f t="shared" si="32"/>
        <v>224.61</v>
      </c>
      <c r="P289" s="191">
        <f t="shared" si="33"/>
        <v>0</v>
      </c>
      <c r="Q289" s="192">
        <f t="shared" si="34"/>
        <v>0</v>
      </c>
      <c r="R289" s="193"/>
      <c r="S289" s="194"/>
      <c r="T289" s="195">
        <f t="shared" si="35"/>
        <v>0</v>
      </c>
      <c r="U289" s="195">
        <f t="shared" si="36"/>
        <v>0</v>
      </c>
      <c r="V289" s="195">
        <f t="shared" si="37"/>
        <v>0</v>
      </c>
      <c r="W289" s="196" t="e">
        <f t="shared" si="38"/>
        <v>#DIV/0!</v>
      </c>
      <c r="X289" s="197" t="e">
        <f t="shared" si="39"/>
        <v>#DIV/0!</v>
      </c>
      <c r="AG289" s="109" t="s">
        <v>865</v>
      </c>
    </row>
    <row r="290" ht="11.4" customHeight="1" spans="1:33">
      <c r="A290" s="184" t="s">
        <v>1399</v>
      </c>
      <c r="B290" s="184" t="s">
        <v>117</v>
      </c>
      <c r="C290" s="184" t="s">
        <v>1101</v>
      </c>
      <c r="D290" s="185" t="s">
        <v>522</v>
      </c>
      <c r="E290" s="186" t="s">
        <v>906</v>
      </c>
      <c r="F290" s="186" t="s">
        <v>907</v>
      </c>
      <c r="G290" s="186" t="s">
        <v>1102</v>
      </c>
      <c r="H290" s="186" t="s">
        <v>1425</v>
      </c>
      <c r="I290" s="187" t="s">
        <v>1328</v>
      </c>
      <c r="J290" s="187" t="s">
        <v>1329</v>
      </c>
      <c r="K290" s="188"/>
      <c r="L290" s="188"/>
      <c r="M290" s="189" t="s">
        <v>847</v>
      </c>
      <c r="N290" s="190">
        <v>193.96</v>
      </c>
      <c r="O290" s="190">
        <f t="shared" si="32"/>
        <v>211.42</v>
      </c>
      <c r="P290" s="191">
        <f t="shared" si="33"/>
        <v>0</v>
      </c>
      <c r="Q290" s="192">
        <f t="shared" si="34"/>
        <v>0</v>
      </c>
      <c r="R290" s="193"/>
      <c r="S290" s="194"/>
      <c r="T290" s="195">
        <f t="shared" si="35"/>
        <v>0</v>
      </c>
      <c r="U290" s="195">
        <f t="shared" si="36"/>
        <v>0</v>
      </c>
      <c r="V290" s="195">
        <f t="shared" si="37"/>
        <v>0</v>
      </c>
      <c r="W290" s="196" t="e">
        <f t="shared" si="38"/>
        <v>#DIV/0!</v>
      </c>
      <c r="X290" s="197" t="e">
        <f t="shared" si="39"/>
        <v>#DIV/0!</v>
      </c>
      <c r="AG290" s="109" t="s">
        <v>865</v>
      </c>
    </row>
    <row r="291" ht="11.4" customHeight="1" spans="1:33">
      <c r="A291" s="184" t="s">
        <v>1399</v>
      </c>
      <c r="B291" s="184" t="s">
        <v>117</v>
      </c>
      <c r="C291" s="184" t="s">
        <v>1101</v>
      </c>
      <c r="D291" s="185" t="s">
        <v>522</v>
      </c>
      <c r="E291" s="186" t="s">
        <v>906</v>
      </c>
      <c r="F291" s="186" t="s">
        <v>907</v>
      </c>
      <c r="G291" s="186" t="s">
        <v>1102</v>
      </c>
      <c r="H291" s="186" t="s">
        <v>1425</v>
      </c>
      <c r="I291" s="187" t="s">
        <v>1330</v>
      </c>
      <c r="J291" s="187" t="s">
        <v>1331</v>
      </c>
      <c r="K291" s="188"/>
      <c r="L291" s="188"/>
      <c r="M291" s="189" t="s">
        <v>847</v>
      </c>
      <c r="N291" s="190">
        <v>215.74</v>
      </c>
      <c r="O291" s="190">
        <f t="shared" si="32"/>
        <v>235.16</v>
      </c>
      <c r="P291" s="191">
        <f t="shared" si="33"/>
        <v>0</v>
      </c>
      <c r="Q291" s="192">
        <f t="shared" si="34"/>
        <v>0</v>
      </c>
      <c r="R291" s="193"/>
      <c r="S291" s="194"/>
      <c r="T291" s="195">
        <f t="shared" si="35"/>
        <v>0</v>
      </c>
      <c r="U291" s="195">
        <f t="shared" si="36"/>
        <v>0</v>
      </c>
      <c r="V291" s="195">
        <f t="shared" si="37"/>
        <v>0</v>
      </c>
      <c r="W291" s="196" t="e">
        <f t="shared" si="38"/>
        <v>#DIV/0!</v>
      </c>
      <c r="X291" s="197" t="e">
        <f t="shared" si="39"/>
        <v>#DIV/0!</v>
      </c>
      <c r="AG291" s="109" t="s">
        <v>865</v>
      </c>
    </row>
    <row r="292" ht="11.4" customHeight="1" spans="1:33">
      <c r="A292" s="184" t="s">
        <v>1399</v>
      </c>
      <c r="B292" s="184" t="s">
        <v>117</v>
      </c>
      <c r="C292" s="184" t="s">
        <v>1101</v>
      </c>
      <c r="D292" s="185" t="s">
        <v>522</v>
      </c>
      <c r="E292" s="186" t="s">
        <v>906</v>
      </c>
      <c r="F292" s="186" t="s">
        <v>907</v>
      </c>
      <c r="G292" s="186" t="s">
        <v>1102</v>
      </c>
      <c r="H292" s="186" t="s">
        <v>1479</v>
      </c>
      <c r="I292" s="187" t="s">
        <v>1480</v>
      </c>
      <c r="J292" s="187" t="s">
        <v>1481</v>
      </c>
      <c r="K292" s="188"/>
      <c r="L292" s="188"/>
      <c r="M292" s="189" t="s">
        <v>847</v>
      </c>
      <c r="N292" s="190">
        <v>209.13</v>
      </c>
      <c r="O292" s="190">
        <f t="shared" si="32"/>
        <v>227.95</v>
      </c>
      <c r="P292" s="191">
        <f t="shared" si="33"/>
        <v>0</v>
      </c>
      <c r="Q292" s="192">
        <f t="shared" si="34"/>
        <v>0</v>
      </c>
      <c r="R292" s="193"/>
      <c r="S292" s="194"/>
      <c r="T292" s="195">
        <f t="shared" si="35"/>
        <v>0</v>
      </c>
      <c r="U292" s="195">
        <f t="shared" si="36"/>
        <v>0</v>
      </c>
      <c r="V292" s="195">
        <f t="shared" si="37"/>
        <v>0</v>
      </c>
      <c r="W292" s="196" t="e">
        <f t="shared" si="38"/>
        <v>#DIV/0!</v>
      </c>
      <c r="X292" s="197" t="e">
        <f t="shared" si="39"/>
        <v>#DIV/0!</v>
      </c>
      <c r="AG292" s="109" t="s">
        <v>865</v>
      </c>
    </row>
    <row r="293" ht="11.4" customHeight="1" spans="1:33">
      <c r="A293" s="184" t="s">
        <v>1399</v>
      </c>
      <c r="B293" s="184" t="s">
        <v>117</v>
      </c>
      <c r="C293" s="184" t="s">
        <v>1101</v>
      </c>
      <c r="D293" s="185" t="s">
        <v>522</v>
      </c>
      <c r="E293" s="186" t="s">
        <v>906</v>
      </c>
      <c r="F293" s="186" t="s">
        <v>907</v>
      </c>
      <c r="G293" s="186" t="s">
        <v>1102</v>
      </c>
      <c r="H293" s="186" t="s">
        <v>1479</v>
      </c>
      <c r="I293" s="187" t="s">
        <v>1482</v>
      </c>
      <c r="J293" s="187" t="s">
        <v>1483</v>
      </c>
      <c r="K293" s="188"/>
      <c r="L293" s="188"/>
      <c r="M293" s="189" t="s">
        <v>847</v>
      </c>
      <c r="N293" s="190">
        <v>203.08</v>
      </c>
      <c r="O293" s="190">
        <f t="shared" si="32"/>
        <v>221.36</v>
      </c>
      <c r="P293" s="191">
        <f t="shared" si="33"/>
        <v>0</v>
      </c>
      <c r="Q293" s="192">
        <f t="shared" si="34"/>
        <v>0</v>
      </c>
      <c r="R293" s="193"/>
      <c r="S293" s="194"/>
      <c r="T293" s="195">
        <f t="shared" si="35"/>
        <v>0</v>
      </c>
      <c r="U293" s="195">
        <f t="shared" si="36"/>
        <v>0</v>
      </c>
      <c r="V293" s="195">
        <f t="shared" si="37"/>
        <v>0</v>
      </c>
      <c r="W293" s="196" t="e">
        <f t="shared" si="38"/>
        <v>#DIV/0!</v>
      </c>
      <c r="X293" s="197" t="e">
        <f t="shared" si="39"/>
        <v>#DIV/0!</v>
      </c>
      <c r="AG293" s="109" t="s">
        <v>865</v>
      </c>
    </row>
    <row r="294" ht="11.4" customHeight="1" spans="1:33">
      <c r="A294" s="184" t="s">
        <v>1399</v>
      </c>
      <c r="B294" s="184" t="s">
        <v>117</v>
      </c>
      <c r="C294" s="184" t="s">
        <v>1101</v>
      </c>
      <c r="D294" s="185" t="s">
        <v>522</v>
      </c>
      <c r="E294" s="186" t="s">
        <v>906</v>
      </c>
      <c r="F294" s="186" t="s">
        <v>907</v>
      </c>
      <c r="G294" s="186" t="s">
        <v>1102</v>
      </c>
      <c r="H294" s="186" t="s">
        <v>1479</v>
      </c>
      <c r="I294" s="187" t="s">
        <v>1484</v>
      </c>
      <c r="J294" s="187" t="s">
        <v>1485</v>
      </c>
      <c r="K294" s="188"/>
      <c r="L294" s="188"/>
      <c r="M294" s="189" t="s">
        <v>847</v>
      </c>
      <c r="N294" s="190">
        <v>209.13</v>
      </c>
      <c r="O294" s="190">
        <f t="shared" si="32"/>
        <v>227.95</v>
      </c>
      <c r="P294" s="191">
        <f t="shared" si="33"/>
        <v>0</v>
      </c>
      <c r="Q294" s="192">
        <f t="shared" si="34"/>
        <v>0</v>
      </c>
      <c r="R294" s="193"/>
      <c r="S294" s="194"/>
      <c r="T294" s="195">
        <f t="shared" si="35"/>
        <v>0</v>
      </c>
      <c r="U294" s="195">
        <f t="shared" si="36"/>
        <v>0</v>
      </c>
      <c r="V294" s="195">
        <f t="shared" si="37"/>
        <v>0</v>
      </c>
      <c r="W294" s="196" t="e">
        <f t="shared" si="38"/>
        <v>#DIV/0!</v>
      </c>
      <c r="X294" s="197" t="e">
        <f t="shared" si="39"/>
        <v>#DIV/0!</v>
      </c>
      <c r="AG294" s="109" t="s">
        <v>865</v>
      </c>
    </row>
    <row r="295" ht="11.4" customHeight="1" spans="1:33">
      <c r="A295" s="184" t="s">
        <v>1399</v>
      </c>
      <c r="B295" s="184" t="s">
        <v>117</v>
      </c>
      <c r="C295" s="184" t="s">
        <v>1101</v>
      </c>
      <c r="D295" s="185" t="s">
        <v>522</v>
      </c>
      <c r="E295" s="186" t="s">
        <v>906</v>
      </c>
      <c r="F295" s="186" t="s">
        <v>907</v>
      </c>
      <c r="G295" s="186" t="s">
        <v>1102</v>
      </c>
      <c r="H295" s="186" t="s">
        <v>1425</v>
      </c>
      <c r="I295" s="187" t="s">
        <v>1486</v>
      </c>
      <c r="J295" s="187" t="s">
        <v>1487</v>
      </c>
      <c r="K295" s="188"/>
      <c r="L295" s="188"/>
      <c r="M295" s="189" t="s">
        <v>847</v>
      </c>
      <c r="N295" s="190">
        <v>660.97</v>
      </c>
      <c r="O295" s="190">
        <f t="shared" si="32"/>
        <v>720.46</v>
      </c>
      <c r="P295" s="191">
        <f t="shared" si="33"/>
        <v>0</v>
      </c>
      <c r="Q295" s="192">
        <f t="shared" si="34"/>
        <v>0</v>
      </c>
      <c r="R295" s="193"/>
      <c r="S295" s="194"/>
      <c r="T295" s="195">
        <f t="shared" si="35"/>
        <v>0</v>
      </c>
      <c r="U295" s="195">
        <f t="shared" si="36"/>
        <v>0</v>
      </c>
      <c r="V295" s="195">
        <f t="shared" si="37"/>
        <v>0</v>
      </c>
      <c r="W295" s="196" t="e">
        <f t="shared" si="38"/>
        <v>#DIV/0!</v>
      </c>
      <c r="X295" s="197" t="e">
        <f t="shared" si="39"/>
        <v>#DIV/0!</v>
      </c>
      <c r="AG295" s="109" t="s">
        <v>865</v>
      </c>
    </row>
    <row r="296" ht="11.4" customHeight="1" spans="1:33">
      <c r="A296" s="184" t="s">
        <v>1399</v>
      </c>
      <c r="B296" s="184" t="s">
        <v>117</v>
      </c>
      <c r="C296" s="184" t="s">
        <v>1101</v>
      </c>
      <c r="D296" s="185" t="s">
        <v>522</v>
      </c>
      <c r="E296" s="186" t="s">
        <v>906</v>
      </c>
      <c r="F296" s="186" t="s">
        <v>907</v>
      </c>
      <c r="G296" s="186" t="s">
        <v>1102</v>
      </c>
      <c r="H296" s="186" t="s">
        <v>1425</v>
      </c>
      <c r="I296" s="187" t="s">
        <v>1488</v>
      </c>
      <c r="J296" s="222" t="s">
        <v>1489</v>
      </c>
      <c r="K296" s="188"/>
      <c r="L296" s="188"/>
      <c r="M296" s="189" t="s">
        <v>807</v>
      </c>
      <c r="N296" s="190">
        <v>68.1</v>
      </c>
      <c r="O296" s="190">
        <f t="shared" si="32"/>
        <v>74.23</v>
      </c>
      <c r="P296" s="191">
        <f t="shared" si="33"/>
        <v>0</v>
      </c>
      <c r="Q296" s="192">
        <f t="shared" si="34"/>
        <v>0</v>
      </c>
      <c r="R296" s="193"/>
      <c r="S296" s="194"/>
      <c r="T296" s="195">
        <f t="shared" si="35"/>
        <v>0</v>
      </c>
      <c r="U296" s="195">
        <f t="shared" si="36"/>
        <v>0</v>
      </c>
      <c r="V296" s="195">
        <f t="shared" si="37"/>
        <v>0</v>
      </c>
      <c r="W296" s="196" t="e">
        <f t="shared" si="38"/>
        <v>#DIV/0!</v>
      </c>
      <c r="X296" s="197" t="e">
        <f t="shared" si="39"/>
        <v>#DIV/0!</v>
      </c>
    </row>
    <row r="297" ht="11.4" customHeight="1" spans="1:33">
      <c r="A297" s="184" t="s">
        <v>1399</v>
      </c>
      <c r="B297" s="184" t="s">
        <v>117</v>
      </c>
      <c r="C297" s="184" t="s">
        <v>1101</v>
      </c>
      <c r="D297" s="185" t="s">
        <v>522</v>
      </c>
      <c r="E297" s="186" t="s">
        <v>906</v>
      </c>
      <c r="F297" s="186" t="s">
        <v>907</v>
      </c>
      <c r="G297" s="186" t="s">
        <v>1102</v>
      </c>
      <c r="H297" s="186" t="s">
        <v>1425</v>
      </c>
      <c r="I297" s="187" t="s">
        <v>1490</v>
      </c>
      <c r="J297" s="187" t="s">
        <v>1491</v>
      </c>
      <c r="K297" s="188"/>
      <c r="L297" s="188"/>
      <c r="M297" s="189" t="s">
        <v>847</v>
      </c>
      <c r="N297" s="190">
        <v>135.83</v>
      </c>
      <c r="O297" s="190">
        <f t="shared" si="32"/>
        <v>148.05</v>
      </c>
      <c r="P297" s="191">
        <f t="shared" si="33"/>
        <v>0</v>
      </c>
      <c r="Q297" s="192">
        <f t="shared" si="34"/>
        <v>0</v>
      </c>
      <c r="R297" s="193"/>
      <c r="S297" s="194"/>
      <c r="T297" s="195">
        <f t="shared" si="35"/>
        <v>0</v>
      </c>
      <c r="U297" s="195">
        <f t="shared" si="36"/>
        <v>0</v>
      </c>
      <c r="V297" s="195">
        <f t="shared" si="37"/>
        <v>0</v>
      </c>
      <c r="W297" s="196" t="e">
        <f t="shared" si="38"/>
        <v>#DIV/0!</v>
      </c>
      <c r="X297" s="197" t="e">
        <f t="shared" si="39"/>
        <v>#DIV/0!</v>
      </c>
      <c r="AG297" s="109" t="s">
        <v>865</v>
      </c>
    </row>
    <row r="298" ht="11.4" customHeight="1" spans="1:33">
      <c r="A298" s="184" t="s">
        <v>1399</v>
      </c>
      <c r="B298" s="184" t="s">
        <v>117</v>
      </c>
      <c r="C298" s="184" t="s">
        <v>1101</v>
      </c>
      <c r="D298" s="185" t="s">
        <v>522</v>
      </c>
      <c r="E298" s="186" t="s">
        <v>906</v>
      </c>
      <c r="F298" s="186" t="s">
        <v>907</v>
      </c>
      <c r="G298" s="186" t="s">
        <v>1102</v>
      </c>
      <c r="H298" s="186" t="s">
        <v>1425</v>
      </c>
      <c r="I298" s="187" t="s">
        <v>1106</v>
      </c>
      <c r="J298" s="187" t="s">
        <v>1107</v>
      </c>
      <c r="K298" s="188"/>
      <c r="L298" s="188"/>
      <c r="M298" s="189" t="s">
        <v>807</v>
      </c>
      <c r="N298" s="190">
        <v>41.36</v>
      </c>
      <c r="O298" s="190">
        <f t="shared" si="32"/>
        <v>45.08</v>
      </c>
      <c r="P298" s="191">
        <f t="shared" si="33"/>
        <v>0</v>
      </c>
      <c r="Q298" s="192">
        <f t="shared" si="34"/>
        <v>0</v>
      </c>
      <c r="R298" s="193"/>
      <c r="S298" s="194"/>
      <c r="T298" s="195">
        <f t="shared" si="35"/>
        <v>0</v>
      </c>
      <c r="U298" s="195">
        <f t="shared" si="36"/>
        <v>0</v>
      </c>
      <c r="V298" s="195">
        <f t="shared" si="37"/>
        <v>0</v>
      </c>
      <c r="W298" s="196" t="e">
        <f t="shared" si="38"/>
        <v>#DIV/0!</v>
      </c>
      <c r="X298" s="197" t="e">
        <f t="shared" si="39"/>
        <v>#DIV/0!</v>
      </c>
      <c r="AG298" s="219" t="s">
        <v>1492</v>
      </c>
    </row>
    <row r="299" ht="11.4" customHeight="1" spans="1:33">
      <c r="A299" s="184" t="s">
        <v>1399</v>
      </c>
      <c r="B299" s="184" t="s">
        <v>117</v>
      </c>
      <c r="C299" s="184" t="s">
        <v>1101</v>
      </c>
      <c r="D299" s="185" t="s">
        <v>522</v>
      </c>
      <c r="E299" s="186" t="s">
        <v>906</v>
      </c>
      <c r="F299" s="186" t="s">
        <v>907</v>
      </c>
      <c r="G299" s="186" t="s">
        <v>1102</v>
      </c>
      <c r="H299" s="186" t="s">
        <v>1425</v>
      </c>
      <c r="I299" s="187" t="s">
        <v>1111</v>
      </c>
      <c r="J299" s="187" t="s">
        <v>1112</v>
      </c>
      <c r="K299" s="188"/>
      <c r="L299" s="188"/>
      <c r="M299" s="189" t="s">
        <v>807</v>
      </c>
      <c r="N299" s="190">
        <v>38.94</v>
      </c>
      <c r="O299" s="190">
        <f t="shared" si="32"/>
        <v>42.44</v>
      </c>
      <c r="P299" s="191">
        <f t="shared" si="33"/>
        <v>0</v>
      </c>
      <c r="Q299" s="192">
        <f t="shared" si="34"/>
        <v>0</v>
      </c>
      <c r="R299" s="193"/>
      <c r="S299" s="194"/>
      <c r="T299" s="195">
        <f t="shared" si="35"/>
        <v>0</v>
      </c>
      <c r="U299" s="195">
        <f t="shared" si="36"/>
        <v>0</v>
      </c>
      <c r="V299" s="195">
        <f t="shared" si="37"/>
        <v>0</v>
      </c>
      <c r="W299" s="196" t="e">
        <f t="shared" si="38"/>
        <v>#DIV/0!</v>
      </c>
      <c r="X299" s="197" t="e">
        <f t="shared" si="39"/>
        <v>#DIV/0!</v>
      </c>
      <c r="AG299" s="219" t="s">
        <v>1492</v>
      </c>
    </row>
    <row r="300" ht="11.4" customHeight="1" spans="1:33">
      <c r="A300" s="184" t="s">
        <v>1399</v>
      </c>
      <c r="B300" s="184" t="s">
        <v>117</v>
      </c>
      <c r="C300" s="184" t="s">
        <v>1101</v>
      </c>
      <c r="D300" s="185" t="s">
        <v>522</v>
      </c>
      <c r="E300" s="186" t="s">
        <v>906</v>
      </c>
      <c r="F300" s="186" t="s">
        <v>907</v>
      </c>
      <c r="G300" s="186" t="s">
        <v>1102</v>
      </c>
      <c r="H300" s="186" t="s">
        <v>1425</v>
      </c>
      <c r="I300" s="187" t="s">
        <v>1115</v>
      </c>
      <c r="J300" s="187" t="s">
        <v>1116</v>
      </c>
      <c r="K300" s="188"/>
      <c r="L300" s="188"/>
      <c r="M300" s="189" t="s">
        <v>807</v>
      </c>
      <c r="N300" s="190">
        <v>42.57</v>
      </c>
      <c r="O300" s="190">
        <f t="shared" si="32"/>
        <v>46.4</v>
      </c>
      <c r="P300" s="191">
        <f t="shared" si="33"/>
        <v>0</v>
      </c>
      <c r="Q300" s="192">
        <f t="shared" si="34"/>
        <v>0</v>
      </c>
      <c r="R300" s="193"/>
      <c r="S300" s="194"/>
      <c r="T300" s="195">
        <f t="shared" si="35"/>
        <v>0</v>
      </c>
      <c r="U300" s="195">
        <f t="shared" si="36"/>
        <v>0</v>
      </c>
      <c r="V300" s="195">
        <f t="shared" si="37"/>
        <v>0</v>
      </c>
      <c r="W300" s="196" t="e">
        <f t="shared" si="38"/>
        <v>#DIV/0!</v>
      </c>
      <c r="X300" s="197" t="e">
        <f t="shared" si="39"/>
        <v>#DIV/0!</v>
      </c>
      <c r="AG300" s="219" t="s">
        <v>1492</v>
      </c>
    </row>
    <row r="301" ht="11.4" customHeight="1" spans="1:33">
      <c r="A301" s="184" t="s">
        <v>1399</v>
      </c>
      <c r="B301" s="184" t="s">
        <v>117</v>
      </c>
      <c r="C301" s="184" t="s">
        <v>1101</v>
      </c>
      <c r="D301" s="185" t="s">
        <v>522</v>
      </c>
      <c r="E301" s="186" t="s">
        <v>906</v>
      </c>
      <c r="F301" s="186" t="s">
        <v>907</v>
      </c>
      <c r="G301" s="186" t="s">
        <v>1102</v>
      </c>
      <c r="H301" s="186" t="s">
        <v>1425</v>
      </c>
      <c r="I301" s="187" t="s">
        <v>1493</v>
      </c>
      <c r="J301" s="187" t="s">
        <v>1494</v>
      </c>
      <c r="K301" s="221">
        <v>1.66</v>
      </c>
      <c r="L301" s="188">
        <v>4.27</v>
      </c>
      <c r="M301" s="189" t="s">
        <v>807</v>
      </c>
      <c r="N301" s="190">
        <v>55.41</v>
      </c>
      <c r="O301" s="190">
        <f t="shared" si="32"/>
        <v>60.4</v>
      </c>
      <c r="P301" s="191">
        <f t="shared" si="33"/>
        <v>91.98</v>
      </c>
      <c r="Q301" s="192">
        <f t="shared" si="34"/>
        <v>236.6</v>
      </c>
      <c r="R301" s="193"/>
      <c r="S301" s="194"/>
      <c r="T301" s="195">
        <f t="shared" si="35"/>
        <v>-2.61</v>
      </c>
      <c r="U301" s="195">
        <f t="shared" si="36"/>
        <v>-144.62</v>
      </c>
      <c r="V301" s="195">
        <f t="shared" si="37"/>
        <v>144.62</v>
      </c>
      <c r="W301" s="196">
        <f t="shared" si="38"/>
        <v>-0.611241217798595</v>
      </c>
      <c r="X301" s="197">
        <f t="shared" si="39"/>
        <v>0.611241217798595</v>
      </c>
      <c r="AG301" s="219" t="s">
        <v>1492</v>
      </c>
    </row>
    <row r="302" ht="11.4" customHeight="1" spans="1:33">
      <c r="A302" s="184" t="s">
        <v>1399</v>
      </c>
      <c r="B302" s="184" t="s">
        <v>117</v>
      </c>
      <c r="C302" s="184" t="s">
        <v>1101</v>
      </c>
      <c r="D302" s="185" t="s">
        <v>522</v>
      </c>
      <c r="E302" s="186" t="s">
        <v>906</v>
      </c>
      <c r="F302" s="186" t="s">
        <v>907</v>
      </c>
      <c r="G302" s="186" t="s">
        <v>1102</v>
      </c>
      <c r="H302" s="186" t="s">
        <v>1425</v>
      </c>
      <c r="I302" s="187" t="s">
        <v>1147</v>
      </c>
      <c r="J302" s="187" t="s">
        <v>1148</v>
      </c>
      <c r="K302" s="188"/>
      <c r="L302" s="188"/>
      <c r="M302" s="189" t="s">
        <v>807</v>
      </c>
      <c r="N302" s="190">
        <v>37.84</v>
      </c>
      <c r="O302" s="190">
        <f t="shared" si="32"/>
        <v>41.25</v>
      </c>
      <c r="P302" s="191">
        <f t="shared" si="33"/>
        <v>0</v>
      </c>
      <c r="Q302" s="192">
        <f t="shared" si="34"/>
        <v>0</v>
      </c>
      <c r="R302" s="193"/>
      <c r="S302" s="194"/>
      <c r="T302" s="195">
        <f t="shared" si="35"/>
        <v>0</v>
      </c>
      <c r="U302" s="195">
        <f t="shared" si="36"/>
        <v>0</v>
      </c>
      <c r="V302" s="195">
        <f t="shared" si="37"/>
        <v>0</v>
      </c>
      <c r="W302" s="196" t="e">
        <f t="shared" si="38"/>
        <v>#DIV/0!</v>
      </c>
      <c r="X302" s="197" t="e">
        <f t="shared" si="39"/>
        <v>#DIV/0!</v>
      </c>
      <c r="AG302" s="219" t="s">
        <v>1492</v>
      </c>
    </row>
    <row r="303" ht="11.4" customHeight="1" spans="1:33">
      <c r="A303" s="184" t="s">
        <v>1399</v>
      </c>
      <c r="B303" s="184" t="s">
        <v>117</v>
      </c>
      <c r="C303" s="184" t="s">
        <v>1101</v>
      </c>
      <c r="D303" s="185" t="s">
        <v>522</v>
      </c>
      <c r="E303" s="186" t="s">
        <v>906</v>
      </c>
      <c r="F303" s="186" t="s">
        <v>907</v>
      </c>
      <c r="G303" s="186" t="s">
        <v>1102</v>
      </c>
      <c r="H303" s="186" t="s">
        <v>1425</v>
      </c>
      <c r="I303" s="187" t="s">
        <v>1495</v>
      </c>
      <c r="J303" s="187" t="s">
        <v>1496</v>
      </c>
      <c r="K303" s="188"/>
      <c r="L303" s="188"/>
      <c r="M303" s="189" t="s">
        <v>807</v>
      </c>
      <c r="N303" s="190">
        <v>114.14</v>
      </c>
      <c r="O303" s="190">
        <f t="shared" si="32"/>
        <v>124.41</v>
      </c>
      <c r="P303" s="191">
        <f t="shared" si="33"/>
        <v>0</v>
      </c>
      <c r="Q303" s="192">
        <f t="shared" si="34"/>
        <v>0</v>
      </c>
      <c r="R303" s="193"/>
      <c r="S303" s="194"/>
      <c r="T303" s="195">
        <f t="shared" si="35"/>
        <v>0</v>
      </c>
      <c r="U303" s="195">
        <f t="shared" si="36"/>
        <v>0</v>
      </c>
      <c r="V303" s="195">
        <f t="shared" si="37"/>
        <v>0</v>
      </c>
      <c r="W303" s="196" t="e">
        <f t="shared" si="38"/>
        <v>#DIV/0!</v>
      </c>
      <c r="X303" s="197" t="e">
        <f t="shared" si="39"/>
        <v>#DIV/0!</v>
      </c>
      <c r="AG303" s="219" t="s">
        <v>1492</v>
      </c>
    </row>
    <row r="304" ht="11.4" customHeight="1" spans="1:33">
      <c r="A304" s="184" t="s">
        <v>1497</v>
      </c>
      <c r="B304" s="184" t="s">
        <v>417</v>
      </c>
      <c r="C304" s="184" t="s">
        <v>416</v>
      </c>
      <c r="D304" s="185" t="s">
        <v>522</v>
      </c>
      <c r="E304" s="186" t="s">
        <v>906</v>
      </c>
      <c r="F304" s="186" t="s">
        <v>907</v>
      </c>
      <c r="G304" s="186" t="s">
        <v>1102</v>
      </c>
      <c r="H304" s="186" t="s">
        <v>1425</v>
      </c>
      <c r="I304" s="187" t="s">
        <v>1498</v>
      </c>
      <c r="J304" s="187" t="s">
        <v>1499</v>
      </c>
      <c r="K304" s="188">
        <v>1</v>
      </c>
      <c r="L304" s="188">
        <v>1</v>
      </c>
      <c r="M304" s="189" t="s">
        <v>1500</v>
      </c>
      <c r="N304" s="190">
        <v>4665.2</v>
      </c>
      <c r="O304" s="190">
        <f t="shared" si="32"/>
        <v>5085.07</v>
      </c>
      <c r="P304" s="191">
        <f t="shared" si="33"/>
        <v>4665.2</v>
      </c>
      <c r="Q304" s="192">
        <f t="shared" si="34"/>
        <v>4665.2</v>
      </c>
      <c r="R304" s="193"/>
      <c r="S304" s="194"/>
      <c r="T304" s="195">
        <f t="shared" si="35"/>
        <v>0</v>
      </c>
      <c r="U304" s="195">
        <f t="shared" si="36"/>
        <v>0</v>
      </c>
      <c r="V304" s="195">
        <f t="shared" si="37"/>
        <v>0</v>
      </c>
      <c r="W304" s="196">
        <f t="shared" si="38"/>
        <v>0</v>
      </c>
      <c r="X304" s="197">
        <f t="shared" si="39"/>
        <v>0</v>
      </c>
      <c r="AG304" s="219" t="s">
        <v>990</v>
      </c>
    </row>
    <row r="305" ht="11.4" customHeight="1" spans="1:33">
      <c r="A305" s="184" t="s">
        <v>1497</v>
      </c>
      <c r="B305" s="184" t="s">
        <v>417</v>
      </c>
      <c r="C305" s="184" t="s">
        <v>416</v>
      </c>
      <c r="D305" s="185" t="s">
        <v>522</v>
      </c>
      <c r="E305" s="186" t="s">
        <v>906</v>
      </c>
      <c r="F305" s="186" t="s">
        <v>907</v>
      </c>
      <c r="G305" s="186" t="s">
        <v>1102</v>
      </c>
      <c r="H305" s="186" t="s">
        <v>1425</v>
      </c>
      <c r="I305" s="187" t="s">
        <v>1501</v>
      </c>
      <c r="J305" s="187" t="s">
        <v>1502</v>
      </c>
      <c r="K305" s="188">
        <v>1</v>
      </c>
      <c r="L305" s="188">
        <v>1</v>
      </c>
      <c r="M305" s="189" t="s">
        <v>1500</v>
      </c>
      <c r="N305" s="190">
        <v>2712.45</v>
      </c>
      <c r="O305" s="190">
        <f t="shared" si="32"/>
        <v>2956.57</v>
      </c>
      <c r="P305" s="191">
        <f t="shared" si="33"/>
        <v>2712.45</v>
      </c>
      <c r="Q305" s="192">
        <f t="shared" si="34"/>
        <v>2712.45</v>
      </c>
      <c r="R305" s="193"/>
      <c r="S305" s="194"/>
      <c r="T305" s="195">
        <f t="shared" si="35"/>
        <v>0</v>
      </c>
      <c r="U305" s="195">
        <f t="shared" si="36"/>
        <v>0</v>
      </c>
      <c r="V305" s="195">
        <f t="shared" si="37"/>
        <v>0</v>
      </c>
      <c r="W305" s="196">
        <f t="shared" si="38"/>
        <v>0</v>
      </c>
      <c r="X305" s="197">
        <f t="shared" si="39"/>
        <v>0</v>
      </c>
      <c r="AG305" s="219" t="s">
        <v>990</v>
      </c>
    </row>
    <row r="306" ht="11.4" customHeight="1" spans="1:33">
      <c r="A306" s="184" t="s">
        <v>1497</v>
      </c>
      <c r="B306" s="184" t="s">
        <v>417</v>
      </c>
      <c r="C306" s="184" t="s">
        <v>416</v>
      </c>
      <c r="D306" s="185" t="s">
        <v>522</v>
      </c>
      <c r="E306" s="186" t="s">
        <v>906</v>
      </c>
      <c r="F306" s="186" t="s">
        <v>907</v>
      </c>
      <c r="G306" s="186" t="s">
        <v>1102</v>
      </c>
      <c r="H306" s="186" t="s">
        <v>1425</v>
      </c>
      <c r="I306" s="187" t="s">
        <v>1503</v>
      </c>
      <c r="J306" s="187" t="s">
        <v>1504</v>
      </c>
      <c r="K306" s="188"/>
      <c r="L306" s="188"/>
      <c r="M306" s="189" t="s">
        <v>1500</v>
      </c>
      <c r="N306" s="190">
        <v>4703.72</v>
      </c>
      <c r="O306" s="190">
        <f t="shared" si="32"/>
        <v>5127.05</v>
      </c>
      <c r="P306" s="191">
        <f t="shared" si="33"/>
        <v>0</v>
      </c>
      <c r="Q306" s="192">
        <f t="shared" si="34"/>
        <v>0</v>
      </c>
      <c r="R306" s="193"/>
      <c r="S306" s="194"/>
      <c r="T306" s="195">
        <f t="shared" si="35"/>
        <v>0</v>
      </c>
      <c r="U306" s="195">
        <f t="shared" si="36"/>
        <v>0</v>
      </c>
      <c r="V306" s="195">
        <f t="shared" si="37"/>
        <v>0</v>
      </c>
      <c r="W306" s="196" t="e">
        <f t="shared" si="38"/>
        <v>#DIV/0!</v>
      </c>
      <c r="X306" s="197" t="e">
        <f t="shared" si="39"/>
        <v>#DIV/0!</v>
      </c>
      <c r="AG306" s="219" t="s">
        <v>990</v>
      </c>
    </row>
    <row r="307" ht="11.4" customHeight="1" spans="1:33">
      <c r="A307" s="184" t="s">
        <v>1497</v>
      </c>
      <c r="B307" s="184" t="s">
        <v>417</v>
      </c>
      <c r="C307" s="184" t="s">
        <v>416</v>
      </c>
      <c r="D307" s="185" t="s">
        <v>522</v>
      </c>
      <c r="E307" s="186" t="s">
        <v>906</v>
      </c>
      <c r="F307" s="186" t="s">
        <v>907</v>
      </c>
      <c r="G307" s="186" t="s">
        <v>1102</v>
      </c>
      <c r="H307" s="186" t="s">
        <v>1425</v>
      </c>
      <c r="I307" s="187" t="s">
        <v>1505</v>
      </c>
      <c r="J307" s="187" t="s">
        <v>1506</v>
      </c>
      <c r="K307" s="188"/>
      <c r="L307" s="188"/>
      <c r="M307" s="189" t="s">
        <v>1500</v>
      </c>
      <c r="N307" s="190">
        <v>2811.96</v>
      </c>
      <c r="O307" s="190">
        <f t="shared" si="32"/>
        <v>3065.04</v>
      </c>
      <c r="P307" s="191">
        <f t="shared" si="33"/>
        <v>0</v>
      </c>
      <c r="Q307" s="192">
        <f t="shared" si="34"/>
        <v>0</v>
      </c>
      <c r="R307" s="193"/>
      <c r="S307" s="194"/>
      <c r="T307" s="195">
        <f t="shared" si="35"/>
        <v>0</v>
      </c>
      <c r="U307" s="195">
        <f t="shared" si="36"/>
        <v>0</v>
      </c>
      <c r="V307" s="195">
        <f t="shared" si="37"/>
        <v>0</v>
      </c>
      <c r="W307" s="196" t="e">
        <f t="shared" si="38"/>
        <v>#DIV/0!</v>
      </c>
      <c r="X307" s="197" t="e">
        <f t="shared" si="39"/>
        <v>#DIV/0!</v>
      </c>
      <c r="AG307" s="219" t="s">
        <v>990</v>
      </c>
    </row>
    <row r="308" ht="11.4" customHeight="1" spans="1:33">
      <c r="A308" s="184" t="s">
        <v>1497</v>
      </c>
      <c r="B308" s="184" t="s">
        <v>417</v>
      </c>
      <c r="C308" s="184" t="s">
        <v>416</v>
      </c>
      <c r="D308" s="185" t="s">
        <v>522</v>
      </c>
      <c r="E308" s="186" t="s">
        <v>906</v>
      </c>
      <c r="F308" s="186" t="s">
        <v>907</v>
      </c>
      <c r="G308" s="186" t="s">
        <v>1102</v>
      </c>
      <c r="H308" s="186" t="s">
        <v>1425</v>
      </c>
      <c r="I308" s="187" t="s">
        <v>1507</v>
      </c>
      <c r="J308" s="187" t="s">
        <v>1508</v>
      </c>
      <c r="K308" s="188"/>
      <c r="L308" s="188"/>
      <c r="M308" s="189" t="s">
        <v>1500</v>
      </c>
      <c r="N308" s="190">
        <v>4636.31</v>
      </c>
      <c r="O308" s="190">
        <f t="shared" si="32"/>
        <v>5053.58</v>
      </c>
      <c r="P308" s="191">
        <f t="shared" si="33"/>
        <v>0</v>
      </c>
      <c r="Q308" s="192">
        <f t="shared" si="34"/>
        <v>0</v>
      </c>
      <c r="R308" s="193"/>
      <c r="S308" s="194"/>
      <c r="T308" s="195">
        <f t="shared" si="35"/>
        <v>0</v>
      </c>
      <c r="U308" s="195">
        <f t="shared" si="36"/>
        <v>0</v>
      </c>
      <c r="V308" s="195">
        <f t="shared" si="37"/>
        <v>0</v>
      </c>
      <c r="W308" s="196" t="e">
        <f t="shared" si="38"/>
        <v>#DIV/0!</v>
      </c>
      <c r="X308" s="197" t="e">
        <f t="shared" si="39"/>
        <v>#DIV/0!</v>
      </c>
      <c r="AG308" s="219" t="s">
        <v>990</v>
      </c>
    </row>
    <row r="309" ht="11.4" customHeight="1" spans="1:33">
      <c r="A309" s="184" t="s">
        <v>1497</v>
      </c>
      <c r="B309" s="184" t="s">
        <v>417</v>
      </c>
      <c r="C309" s="184" t="s">
        <v>416</v>
      </c>
      <c r="D309" s="185" t="s">
        <v>522</v>
      </c>
      <c r="E309" s="186" t="s">
        <v>906</v>
      </c>
      <c r="F309" s="186" t="s">
        <v>907</v>
      </c>
      <c r="G309" s="186" t="s">
        <v>1102</v>
      </c>
      <c r="H309" s="186" t="s">
        <v>1425</v>
      </c>
      <c r="I309" s="187" t="s">
        <v>1509</v>
      </c>
      <c r="J309" s="187" t="s">
        <v>1510</v>
      </c>
      <c r="K309" s="188"/>
      <c r="L309" s="188"/>
      <c r="M309" s="189" t="s">
        <v>1500</v>
      </c>
      <c r="N309" s="190">
        <v>2711.38</v>
      </c>
      <c r="O309" s="190">
        <f t="shared" si="32"/>
        <v>2955.4</v>
      </c>
      <c r="P309" s="191">
        <f t="shared" si="33"/>
        <v>0</v>
      </c>
      <c r="Q309" s="192">
        <f t="shared" si="34"/>
        <v>0</v>
      </c>
      <c r="R309" s="193"/>
      <c r="S309" s="194"/>
      <c r="T309" s="195">
        <f t="shared" si="35"/>
        <v>0</v>
      </c>
      <c r="U309" s="195">
        <f t="shared" si="36"/>
        <v>0</v>
      </c>
      <c r="V309" s="195">
        <f t="shared" si="37"/>
        <v>0</v>
      </c>
      <c r="W309" s="196" t="e">
        <f t="shared" si="38"/>
        <v>#DIV/0!</v>
      </c>
      <c r="X309" s="197" t="e">
        <f t="shared" si="39"/>
        <v>#DIV/0!</v>
      </c>
      <c r="AG309" s="219" t="s">
        <v>990</v>
      </c>
    </row>
    <row r="310" ht="11.4" customHeight="1" spans="1:33">
      <c r="A310" s="184" t="s">
        <v>1497</v>
      </c>
      <c r="B310" s="184" t="s">
        <v>417</v>
      </c>
      <c r="C310" s="184" t="s">
        <v>416</v>
      </c>
      <c r="D310" s="185" t="s">
        <v>522</v>
      </c>
      <c r="E310" s="186" t="s">
        <v>906</v>
      </c>
      <c r="F310" s="186" t="s">
        <v>907</v>
      </c>
      <c r="G310" s="186" t="s">
        <v>1102</v>
      </c>
      <c r="H310" s="186" t="s">
        <v>1425</v>
      </c>
      <c r="I310" s="187" t="s">
        <v>1511</v>
      </c>
      <c r="J310" s="187" t="s">
        <v>1512</v>
      </c>
      <c r="K310" s="188"/>
      <c r="L310" s="188"/>
      <c r="M310" s="189" t="s">
        <v>1500</v>
      </c>
      <c r="N310" s="190">
        <v>5150.98</v>
      </c>
      <c r="O310" s="190">
        <f t="shared" si="32"/>
        <v>5614.57</v>
      </c>
      <c r="P310" s="191">
        <f t="shared" si="33"/>
        <v>0</v>
      </c>
      <c r="Q310" s="192">
        <f t="shared" si="34"/>
        <v>0</v>
      </c>
      <c r="R310" s="193"/>
      <c r="S310" s="194"/>
      <c r="T310" s="195">
        <f t="shared" si="35"/>
        <v>0</v>
      </c>
      <c r="U310" s="195">
        <f t="shared" si="36"/>
        <v>0</v>
      </c>
      <c r="V310" s="195">
        <f t="shared" si="37"/>
        <v>0</v>
      </c>
      <c r="W310" s="196" t="e">
        <f t="shared" si="38"/>
        <v>#DIV/0!</v>
      </c>
      <c r="X310" s="197" t="e">
        <f t="shared" si="39"/>
        <v>#DIV/0!</v>
      </c>
      <c r="AG310" s="219" t="s">
        <v>990</v>
      </c>
    </row>
    <row r="311" ht="11.4" customHeight="1" spans="1:33">
      <c r="A311" s="184" t="s">
        <v>1497</v>
      </c>
      <c r="B311" s="184" t="s">
        <v>417</v>
      </c>
      <c r="C311" s="184" t="s">
        <v>416</v>
      </c>
      <c r="D311" s="185" t="s">
        <v>522</v>
      </c>
      <c r="E311" s="186" t="s">
        <v>906</v>
      </c>
      <c r="F311" s="186" t="s">
        <v>907</v>
      </c>
      <c r="G311" s="186" t="s">
        <v>1102</v>
      </c>
      <c r="H311" s="186" t="s">
        <v>1425</v>
      </c>
      <c r="I311" s="187" t="s">
        <v>1513</v>
      </c>
      <c r="J311" s="187" t="s">
        <v>1514</v>
      </c>
      <c r="K311" s="188"/>
      <c r="L311" s="188"/>
      <c r="M311" s="189" t="s">
        <v>1500</v>
      </c>
      <c r="N311" s="190">
        <v>2853.69</v>
      </c>
      <c r="O311" s="190">
        <f t="shared" si="32"/>
        <v>3110.52</v>
      </c>
      <c r="P311" s="191">
        <f t="shared" si="33"/>
        <v>0</v>
      </c>
      <c r="Q311" s="192">
        <f t="shared" si="34"/>
        <v>0</v>
      </c>
      <c r="R311" s="193"/>
      <c r="S311" s="194"/>
      <c r="T311" s="195">
        <f t="shared" si="35"/>
        <v>0</v>
      </c>
      <c r="U311" s="195">
        <f t="shared" si="36"/>
        <v>0</v>
      </c>
      <c r="V311" s="195">
        <f t="shared" si="37"/>
        <v>0</v>
      </c>
      <c r="W311" s="196" t="e">
        <f t="shared" si="38"/>
        <v>#DIV/0!</v>
      </c>
      <c r="X311" s="197" t="e">
        <f t="shared" si="39"/>
        <v>#DIV/0!</v>
      </c>
      <c r="AG311" s="219" t="s">
        <v>990</v>
      </c>
    </row>
    <row r="312" ht="11.4" customHeight="1" spans="1:33">
      <c r="A312" s="184" t="s">
        <v>1497</v>
      </c>
      <c r="B312" s="184" t="s">
        <v>417</v>
      </c>
      <c r="C312" s="184" t="s">
        <v>416</v>
      </c>
      <c r="D312" s="185" t="s">
        <v>522</v>
      </c>
      <c r="E312" s="186" t="s">
        <v>906</v>
      </c>
      <c r="F312" s="186" t="s">
        <v>907</v>
      </c>
      <c r="G312" s="186" t="s">
        <v>1102</v>
      </c>
      <c r="H312" s="186" t="s">
        <v>1425</v>
      </c>
      <c r="I312" s="187" t="s">
        <v>1515</v>
      </c>
      <c r="J312" s="187" t="s">
        <v>1516</v>
      </c>
      <c r="K312" s="188"/>
      <c r="L312" s="188"/>
      <c r="M312" s="189" t="s">
        <v>1500</v>
      </c>
      <c r="N312" s="190">
        <v>6224.4</v>
      </c>
      <c r="O312" s="190">
        <f t="shared" si="32"/>
        <v>6784.6</v>
      </c>
      <c r="P312" s="191">
        <f t="shared" si="33"/>
        <v>0</v>
      </c>
      <c r="Q312" s="192">
        <f t="shared" si="34"/>
        <v>0</v>
      </c>
      <c r="R312" s="193"/>
      <c r="S312" s="194"/>
      <c r="T312" s="195">
        <f t="shared" si="35"/>
        <v>0</v>
      </c>
      <c r="U312" s="195">
        <f t="shared" si="36"/>
        <v>0</v>
      </c>
      <c r="V312" s="195">
        <f t="shared" si="37"/>
        <v>0</v>
      </c>
      <c r="W312" s="196" t="e">
        <f t="shared" si="38"/>
        <v>#DIV/0!</v>
      </c>
      <c r="X312" s="197" t="e">
        <f t="shared" si="39"/>
        <v>#DIV/0!</v>
      </c>
      <c r="AG312" s="219" t="s">
        <v>990</v>
      </c>
    </row>
    <row r="313" ht="11.4" customHeight="1" spans="1:33">
      <c r="A313" s="184" t="s">
        <v>1497</v>
      </c>
      <c r="B313" s="184" t="s">
        <v>417</v>
      </c>
      <c r="C313" s="184" t="s">
        <v>416</v>
      </c>
      <c r="D313" s="185" t="s">
        <v>522</v>
      </c>
      <c r="E313" s="186" t="s">
        <v>906</v>
      </c>
      <c r="F313" s="186" t="s">
        <v>907</v>
      </c>
      <c r="G313" s="186" t="s">
        <v>1102</v>
      </c>
      <c r="H313" s="186" t="s">
        <v>1425</v>
      </c>
      <c r="I313" s="187" t="s">
        <v>1517</v>
      </c>
      <c r="J313" s="187" t="s">
        <v>1518</v>
      </c>
      <c r="K313" s="188"/>
      <c r="L313" s="188"/>
      <c r="M313" s="189" t="s">
        <v>1500</v>
      </c>
      <c r="N313" s="190">
        <v>3400.95</v>
      </c>
      <c r="O313" s="190">
        <f t="shared" si="32"/>
        <v>3707.04</v>
      </c>
      <c r="P313" s="191">
        <f t="shared" si="33"/>
        <v>0</v>
      </c>
      <c r="Q313" s="192">
        <f t="shared" si="34"/>
        <v>0</v>
      </c>
      <c r="R313" s="193"/>
      <c r="S313" s="194"/>
      <c r="T313" s="195">
        <f t="shared" si="35"/>
        <v>0</v>
      </c>
      <c r="U313" s="195">
        <f t="shared" si="36"/>
        <v>0</v>
      </c>
      <c r="V313" s="195">
        <f t="shared" si="37"/>
        <v>0</v>
      </c>
      <c r="W313" s="196" t="e">
        <f t="shared" si="38"/>
        <v>#DIV/0!</v>
      </c>
      <c r="X313" s="197" t="e">
        <f t="shared" si="39"/>
        <v>#DIV/0!</v>
      </c>
      <c r="AG313" s="219" t="s">
        <v>990</v>
      </c>
    </row>
    <row r="314" ht="11.4" customHeight="1" spans="1:33">
      <c r="A314" s="184" t="s">
        <v>1497</v>
      </c>
      <c r="B314" s="184" t="s">
        <v>417</v>
      </c>
      <c r="C314" s="184" t="s">
        <v>416</v>
      </c>
      <c r="D314" s="185" t="s">
        <v>522</v>
      </c>
      <c r="E314" s="186" t="s">
        <v>906</v>
      </c>
      <c r="F314" s="186" t="s">
        <v>907</v>
      </c>
      <c r="G314" s="186" t="s">
        <v>1102</v>
      </c>
      <c r="H314" s="186" t="s">
        <v>1425</v>
      </c>
      <c r="I314" s="187" t="s">
        <v>1519</v>
      </c>
      <c r="J314" s="187" t="s">
        <v>1520</v>
      </c>
      <c r="K314" s="188"/>
      <c r="L314" s="188"/>
      <c r="M314" s="189" t="s">
        <v>1500</v>
      </c>
      <c r="N314" s="190">
        <v>6665.03</v>
      </c>
      <c r="O314" s="190">
        <f t="shared" si="32"/>
        <v>7264.88</v>
      </c>
      <c r="P314" s="191">
        <f t="shared" si="33"/>
        <v>0</v>
      </c>
      <c r="Q314" s="192">
        <f t="shared" si="34"/>
        <v>0</v>
      </c>
      <c r="R314" s="193"/>
      <c r="S314" s="194"/>
      <c r="T314" s="195">
        <f t="shared" si="35"/>
        <v>0</v>
      </c>
      <c r="U314" s="195">
        <f t="shared" si="36"/>
        <v>0</v>
      </c>
      <c r="V314" s="195">
        <f t="shared" si="37"/>
        <v>0</v>
      </c>
      <c r="W314" s="196" t="e">
        <f t="shared" si="38"/>
        <v>#DIV/0!</v>
      </c>
      <c r="X314" s="197" t="e">
        <f t="shared" si="39"/>
        <v>#DIV/0!</v>
      </c>
      <c r="AG314" s="219" t="s">
        <v>990</v>
      </c>
    </row>
    <row r="315" ht="11.4" customHeight="1" spans="1:33">
      <c r="A315" s="184" t="s">
        <v>1497</v>
      </c>
      <c r="B315" s="184" t="s">
        <v>417</v>
      </c>
      <c r="C315" s="184" t="s">
        <v>416</v>
      </c>
      <c r="D315" s="185" t="s">
        <v>522</v>
      </c>
      <c r="E315" s="186" t="s">
        <v>906</v>
      </c>
      <c r="F315" s="186" t="s">
        <v>907</v>
      </c>
      <c r="G315" s="186" t="s">
        <v>1102</v>
      </c>
      <c r="H315" s="186" t="s">
        <v>1425</v>
      </c>
      <c r="I315" s="187" t="s">
        <v>1521</v>
      </c>
      <c r="J315" s="187" t="s">
        <v>1522</v>
      </c>
      <c r="K315" s="188"/>
      <c r="L315" s="188"/>
      <c r="M315" s="189" t="s">
        <v>1500</v>
      </c>
      <c r="N315" s="190">
        <v>3581.29</v>
      </c>
      <c r="O315" s="190">
        <f t="shared" si="32"/>
        <v>3903.61</v>
      </c>
      <c r="P315" s="191">
        <f t="shared" si="33"/>
        <v>0</v>
      </c>
      <c r="Q315" s="192">
        <f t="shared" si="34"/>
        <v>0</v>
      </c>
      <c r="R315" s="193"/>
      <c r="S315" s="194"/>
      <c r="T315" s="195">
        <f t="shared" si="35"/>
        <v>0</v>
      </c>
      <c r="U315" s="195">
        <f t="shared" si="36"/>
        <v>0</v>
      </c>
      <c r="V315" s="195">
        <f t="shared" si="37"/>
        <v>0</v>
      </c>
      <c r="W315" s="196" t="e">
        <f t="shared" si="38"/>
        <v>#DIV/0!</v>
      </c>
      <c r="X315" s="197" t="e">
        <f t="shared" si="39"/>
        <v>#DIV/0!</v>
      </c>
      <c r="AG315" s="219" t="s">
        <v>990</v>
      </c>
    </row>
    <row r="316" ht="11.4" customHeight="1" spans="1:33">
      <c r="A316" s="184" t="s">
        <v>1497</v>
      </c>
      <c r="B316" s="184" t="s">
        <v>417</v>
      </c>
      <c r="C316" s="184" t="s">
        <v>416</v>
      </c>
      <c r="D316" s="185" t="s">
        <v>522</v>
      </c>
      <c r="E316" s="186" t="s">
        <v>906</v>
      </c>
      <c r="F316" s="186" t="s">
        <v>907</v>
      </c>
      <c r="G316" s="186" t="s">
        <v>1102</v>
      </c>
      <c r="H316" s="186" t="s">
        <v>1425</v>
      </c>
      <c r="I316" s="187" t="s">
        <v>1523</v>
      </c>
      <c r="J316" s="187" t="s">
        <v>1524</v>
      </c>
      <c r="K316" s="188"/>
      <c r="L316" s="188"/>
      <c r="M316" s="189" t="s">
        <v>1500</v>
      </c>
      <c r="N316" s="190">
        <v>6335.47</v>
      </c>
      <c r="O316" s="190">
        <f t="shared" si="32"/>
        <v>6905.66</v>
      </c>
      <c r="P316" s="191">
        <f t="shared" si="33"/>
        <v>0</v>
      </c>
      <c r="Q316" s="192">
        <f t="shared" si="34"/>
        <v>0</v>
      </c>
      <c r="R316" s="193"/>
      <c r="S316" s="194"/>
      <c r="T316" s="195">
        <f t="shared" si="35"/>
        <v>0</v>
      </c>
      <c r="U316" s="195">
        <f t="shared" si="36"/>
        <v>0</v>
      </c>
      <c r="V316" s="195">
        <f t="shared" si="37"/>
        <v>0</v>
      </c>
      <c r="W316" s="196" t="e">
        <f t="shared" si="38"/>
        <v>#DIV/0!</v>
      </c>
      <c r="X316" s="197" t="e">
        <f t="shared" si="39"/>
        <v>#DIV/0!</v>
      </c>
      <c r="AG316" s="219" t="s">
        <v>990</v>
      </c>
    </row>
    <row r="317" ht="11.4" customHeight="1" spans="1:33">
      <c r="A317" s="184" t="s">
        <v>1497</v>
      </c>
      <c r="B317" s="184" t="s">
        <v>417</v>
      </c>
      <c r="C317" s="184" t="s">
        <v>416</v>
      </c>
      <c r="D317" s="185" t="s">
        <v>522</v>
      </c>
      <c r="E317" s="186" t="s">
        <v>906</v>
      </c>
      <c r="F317" s="186" t="s">
        <v>907</v>
      </c>
      <c r="G317" s="186" t="s">
        <v>1102</v>
      </c>
      <c r="H317" s="186" t="s">
        <v>1425</v>
      </c>
      <c r="I317" s="187" t="s">
        <v>1525</v>
      </c>
      <c r="J317" s="187" t="s">
        <v>1526</v>
      </c>
      <c r="K317" s="188"/>
      <c r="L317" s="188"/>
      <c r="M317" s="189" t="s">
        <v>1500</v>
      </c>
      <c r="N317" s="190">
        <v>3268.85</v>
      </c>
      <c r="O317" s="190">
        <f t="shared" si="32"/>
        <v>3563.05</v>
      </c>
      <c r="P317" s="191">
        <f t="shared" si="33"/>
        <v>0</v>
      </c>
      <c r="Q317" s="192">
        <f t="shared" si="34"/>
        <v>0</v>
      </c>
      <c r="R317" s="193"/>
      <c r="S317" s="194"/>
      <c r="T317" s="195">
        <f t="shared" si="35"/>
        <v>0</v>
      </c>
      <c r="U317" s="195">
        <f t="shared" si="36"/>
        <v>0</v>
      </c>
      <c r="V317" s="195">
        <f t="shared" si="37"/>
        <v>0</v>
      </c>
      <c r="W317" s="196" t="e">
        <f t="shared" si="38"/>
        <v>#DIV/0!</v>
      </c>
      <c r="X317" s="197" t="e">
        <f t="shared" si="39"/>
        <v>#DIV/0!</v>
      </c>
      <c r="AG317" s="219" t="s">
        <v>990</v>
      </c>
    </row>
    <row r="318" ht="11.4" customHeight="1" spans="1:33">
      <c r="A318" s="184" t="s">
        <v>1497</v>
      </c>
      <c r="B318" s="184" t="s">
        <v>417</v>
      </c>
      <c r="C318" s="184" t="s">
        <v>416</v>
      </c>
      <c r="D318" s="185" t="s">
        <v>522</v>
      </c>
      <c r="E318" s="186" t="s">
        <v>906</v>
      </c>
      <c r="F318" s="186" t="s">
        <v>907</v>
      </c>
      <c r="G318" s="186" t="s">
        <v>1102</v>
      </c>
      <c r="H318" s="186" t="s">
        <v>1425</v>
      </c>
      <c r="I318" s="187" t="s">
        <v>1527</v>
      </c>
      <c r="J318" s="187" t="s">
        <v>1528</v>
      </c>
      <c r="K318" s="188"/>
      <c r="L318" s="188"/>
      <c r="M318" s="189" t="s">
        <v>1500</v>
      </c>
      <c r="N318" s="190">
        <v>6589.06</v>
      </c>
      <c r="O318" s="190">
        <f t="shared" si="32"/>
        <v>7182.08</v>
      </c>
      <c r="P318" s="191">
        <f t="shared" si="33"/>
        <v>0</v>
      </c>
      <c r="Q318" s="192">
        <f t="shared" si="34"/>
        <v>0</v>
      </c>
      <c r="R318" s="193"/>
      <c r="S318" s="194"/>
      <c r="T318" s="195">
        <f t="shared" si="35"/>
        <v>0</v>
      </c>
      <c r="U318" s="195">
        <f t="shared" si="36"/>
        <v>0</v>
      </c>
      <c r="V318" s="195">
        <f t="shared" si="37"/>
        <v>0</v>
      </c>
      <c r="W318" s="196" t="e">
        <f t="shared" si="38"/>
        <v>#DIV/0!</v>
      </c>
      <c r="X318" s="197" t="e">
        <f t="shared" si="39"/>
        <v>#DIV/0!</v>
      </c>
      <c r="AG318" s="219" t="s">
        <v>990</v>
      </c>
    </row>
    <row r="319" ht="11.4" customHeight="1" spans="1:33">
      <c r="A319" s="184" t="s">
        <v>1497</v>
      </c>
      <c r="B319" s="184" t="s">
        <v>417</v>
      </c>
      <c r="C319" s="184" t="s">
        <v>416</v>
      </c>
      <c r="D319" s="185" t="s">
        <v>522</v>
      </c>
      <c r="E319" s="186" t="s">
        <v>906</v>
      </c>
      <c r="F319" s="186" t="s">
        <v>907</v>
      </c>
      <c r="G319" s="186" t="s">
        <v>1102</v>
      </c>
      <c r="H319" s="186" t="s">
        <v>1425</v>
      </c>
      <c r="I319" s="187" t="s">
        <v>1529</v>
      </c>
      <c r="J319" s="187" t="s">
        <v>1530</v>
      </c>
      <c r="K319" s="188"/>
      <c r="L319" s="188"/>
      <c r="M319" s="189" t="s">
        <v>1500</v>
      </c>
      <c r="N319" s="190">
        <v>3398.32</v>
      </c>
      <c r="O319" s="190">
        <f t="shared" si="32"/>
        <v>3704.17</v>
      </c>
      <c r="P319" s="191">
        <f t="shared" si="33"/>
        <v>0</v>
      </c>
      <c r="Q319" s="192">
        <f t="shared" si="34"/>
        <v>0</v>
      </c>
      <c r="R319" s="193"/>
      <c r="S319" s="194"/>
      <c r="T319" s="195">
        <f t="shared" si="35"/>
        <v>0</v>
      </c>
      <c r="U319" s="195">
        <f t="shared" si="36"/>
        <v>0</v>
      </c>
      <c r="V319" s="195">
        <f t="shared" si="37"/>
        <v>0</v>
      </c>
      <c r="W319" s="196" t="e">
        <f t="shared" si="38"/>
        <v>#DIV/0!</v>
      </c>
      <c r="X319" s="197" t="e">
        <f t="shared" si="39"/>
        <v>#DIV/0!</v>
      </c>
      <c r="AG319" s="219" t="s">
        <v>990</v>
      </c>
    </row>
    <row r="320" ht="11.4" customHeight="1" spans="1:33">
      <c r="A320" s="184" t="s">
        <v>1399</v>
      </c>
      <c r="B320" s="184" t="s">
        <v>117</v>
      </c>
      <c r="C320" s="184" t="s">
        <v>1101</v>
      </c>
      <c r="D320" s="185" t="s">
        <v>522</v>
      </c>
      <c r="E320" s="186" t="s">
        <v>906</v>
      </c>
      <c r="F320" s="186" t="s">
        <v>907</v>
      </c>
      <c r="G320" s="186" t="s">
        <v>1102</v>
      </c>
      <c r="H320" s="186" t="s">
        <v>1425</v>
      </c>
      <c r="I320" s="187" t="s">
        <v>1531</v>
      </c>
      <c r="J320" s="187" t="s">
        <v>1532</v>
      </c>
      <c r="K320" s="188">
        <v>1</v>
      </c>
      <c r="L320" s="188">
        <v>1</v>
      </c>
      <c r="M320" s="189" t="s">
        <v>1500</v>
      </c>
      <c r="N320" s="190">
        <v>539.86</v>
      </c>
      <c r="O320" s="190">
        <f t="shared" si="32"/>
        <v>588.45</v>
      </c>
      <c r="P320" s="191">
        <f t="shared" si="33"/>
        <v>539.86</v>
      </c>
      <c r="Q320" s="192">
        <f t="shared" si="34"/>
        <v>539.86</v>
      </c>
      <c r="R320" s="193"/>
      <c r="S320" s="194"/>
      <c r="T320" s="195">
        <f t="shared" si="35"/>
        <v>0</v>
      </c>
      <c r="U320" s="195">
        <f t="shared" si="36"/>
        <v>0</v>
      </c>
      <c r="V320" s="195">
        <f t="shared" si="37"/>
        <v>0</v>
      </c>
      <c r="W320" s="196">
        <f t="shared" si="38"/>
        <v>0</v>
      </c>
      <c r="X320" s="197">
        <f t="shared" si="39"/>
        <v>0</v>
      </c>
      <c r="AG320" s="219" t="s">
        <v>990</v>
      </c>
    </row>
    <row r="321" ht="11.4" customHeight="1" spans="1:34">
      <c r="A321" s="184" t="s">
        <v>1399</v>
      </c>
      <c r="B321" s="184" t="s">
        <v>117</v>
      </c>
      <c r="C321" s="184" t="s">
        <v>1101</v>
      </c>
      <c r="D321" s="185" t="s">
        <v>522</v>
      </c>
      <c r="E321" s="186" t="s">
        <v>906</v>
      </c>
      <c r="F321" s="186" t="s">
        <v>907</v>
      </c>
      <c r="G321" s="186" t="s">
        <v>1102</v>
      </c>
      <c r="H321" s="186" t="s">
        <v>1425</v>
      </c>
      <c r="I321" s="187" t="s">
        <v>1533</v>
      </c>
      <c r="J321" s="187" t="s">
        <v>1534</v>
      </c>
      <c r="K321" s="188">
        <v>1</v>
      </c>
      <c r="L321" s="188">
        <v>1</v>
      </c>
      <c r="M321" s="189" t="s">
        <v>1500</v>
      </c>
      <c r="N321" s="190">
        <v>311.29</v>
      </c>
      <c r="O321" s="190">
        <f t="shared" si="32"/>
        <v>339.31</v>
      </c>
      <c r="P321" s="191">
        <f t="shared" si="33"/>
        <v>311.29</v>
      </c>
      <c r="Q321" s="192">
        <f t="shared" si="34"/>
        <v>311.29</v>
      </c>
      <c r="R321" s="193"/>
      <c r="S321" s="194"/>
      <c r="T321" s="195">
        <f t="shared" si="35"/>
        <v>0</v>
      </c>
      <c r="U321" s="195">
        <f t="shared" si="36"/>
        <v>0</v>
      </c>
      <c r="V321" s="195">
        <f t="shared" si="37"/>
        <v>0</v>
      </c>
      <c r="W321" s="196">
        <f t="shared" si="38"/>
        <v>0</v>
      </c>
      <c r="X321" s="197">
        <f t="shared" si="39"/>
        <v>0</v>
      </c>
      <c r="AG321" s="219" t="s">
        <v>990</v>
      </c>
    </row>
    <row r="322" ht="11.4" customHeight="1" spans="1:34">
      <c r="A322" s="184" t="s">
        <v>1399</v>
      </c>
      <c r="B322" s="184" t="s">
        <v>117</v>
      </c>
      <c r="C322" s="184" t="s">
        <v>1101</v>
      </c>
      <c r="D322" s="185" t="s">
        <v>522</v>
      </c>
      <c r="E322" s="186" t="s">
        <v>906</v>
      </c>
      <c r="F322" s="186" t="s">
        <v>907</v>
      </c>
      <c r="G322" s="186" t="s">
        <v>1102</v>
      </c>
      <c r="H322" s="186" t="s">
        <v>1425</v>
      </c>
      <c r="I322" s="187" t="s">
        <v>1535</v>
      </c>
      <c r="J322" s="222" t="s">
        <v>1536</v>
      </c>
      <c r="K322" s="188"/>
      <c r="L322" s="188"/>
      <c r="M322" s="189" t="s">
        <v>807</v>
      </c>
      <c r="N322" s="190">
        <v>308.83</v>
      </c>
      <c r="O322" s="190">
        <f t="shared" si="32"/>
        <v>336.62</v>
      </c>
      <c r="P322" s="191">
        <f t="shared" si="33"/>
        <v>0</v>
      </c>
      <c r="Q322" s="192">
        <f t="shared" si="34"/>
        <v>0</v>
      </c>
      <c r="R322" s="193"/>
      <c r="S322" s="194"/>
      <c r="T322" s="195">
        <f t="shared" si="35"/>
        <v>0</v>
      </c>
      <c r="U322" s="195">
        <f t="shared" si="36"/>
        <v>0</v>
      </c>
      <c r="V322" s="195">
        <f t="shared" si="37"/>
        <v>0</v>
      </c>
      <c r="W322" s="196" t="e">
        <f t="shared" si="38"/>
        <v>#DIV/0!</v>
      </c>
      <c r="X322" s="197" t="e">
        <f t="shared" si="39"/>
        <v>#DIV/0!</v>
      </c>
      <c r="AG322" s="219" t="s">
        <v>1537</v>
      </c>
    </row>
    <row r="323" ht="11.4" customHeight="1" spans="1:34">
      <c r="A323" s="184" t="s">
        <v>1538</v>
      </c>
      <c r="B323" s="184" t="s">
        <v>119</v>
      </c>
      <c r="C323" s="184" t="s">
        <v>1101</v>
      </c>
      <c r="D323" s="185" t="s">
        <v>522</v>
      </c>
      <c r="E323" s="186" t="s">
        <v>906</v>
      </c>
      <c r="F323" s="186" t="s">
        <v>907</v>
      </c>
      <c r="G323" s="186" t="s">
        <v>1102</v>
      </c>
      <c r="H323" s="186" t="s">
        <v>545</v>
      </c>
      <c r="I323" s="187" t="s">
        <v>1539</v>
      </c>
      <c r="J323" s="187" t="s">
        <v>1540</v>
      </c>
      <c r="K323" s="188"/>
      <c r="L323" s="188"/>
      <c r="M323" s="189" t="s">
        <v>807</v>
      </c>
      <c r="N323" s="190">
        <v>4211.65</v>
      </c>
      <c r="O323" s="190">
        <f t="shared" si="32"/>
        <v>4590.7</v>
      </c>
      <c r="P323" s="191">
        <f t="shared" si="33"/>
        <v>0</v>
      </c>
      <c r="Q323" s="192">
        <f t="shared" si="34"/>
        <v>0</v>
      </c>
      <c r="R323" s="193"/>
      <c r="S323" s="194"/>
      <c r="T323" s="195">
        <f t="shared" si="35"/>
        <v>0</v>
      </c>
      <c r="U323" s="195">
        <f t="shared" si="36"/>
        <v>0</v>
      </c>
      <c r="V323" s="195">
        <f t="shared" si="37"/>
        <v>0</v>
      </c>
      <c r="W323" s="196" t="e">
        <f t="shared" si="38"/>
        <v>#DIV/0!</v>
      </c>
      <c r="X323" s="197" t="e">
        <f t="shared" si="39"/>
        <v>#DIV/0!</v>
      </c>
      <c r="AH323" s="219" t="s">
        <v>892</v>
      </c>
    </row>
    <row r="324" ht="11.4" customHeight="1" spans="1:34">
      <c r="A324" s="184" t="s">
        <v>1538</v>
      </c>
      <c r="B324" s="184" t="s">
        <v>119</v>
      </c>
      <c r="C324" s="184" t="s">
        <v>1101</v>
      </c>
      <c r="D324" s="185" t="s">
        <v>522</v>
      </c>
      <c r="E324" s="186" t="s">
        <v>906</v>
      </c>
      <c r="F324" s="186" t="s">
        <v>907</v>
      </c>
      <c r="G324" s="186" t="s">
        <v>1102</v>
      </c>
      <c r="H324" s="186" t="s">
        <v>545</v>
      </c>
      <c r="I324" s="187" t="s">
        <v>1541</v>
      </c>
      <c r="J324" s="187" t="s">
        <v>1542</v>
      </c>
      <c r="K324" s="188">
        <v>1</v>
      </c>
      <c r="L324" s="188">
        <v>1</v>
      </c>
      <c r="M324" s="189" t="s">
        <v>793</v>
      </c>
      <c r="N324" s="190">
        <v>1130</v>
      </c>
      <c r="O324" s="190">
        <f t="shared" si="32"/>
        <v>1231.7</v>
      </c>
      <c r="P324" s="191">
        <f t="shared" si="33"/>
        <v>1130</v>
      </c>
      <c r="Q324" s="192">
        <f t="shared" si="34"/>
        <v>1130</v>
      </c>
      <c r="R324" s="193"/>
      <c r="S324" s="194"/>
      <c r="T324" s="195">
        <f t="shared" si="35"/>
        <v>0</v>
      </c>
      <c r="U324" s="195">
        <f t="shared" si="36"/>
        <v>0</v>
      </c>
      <c r="V324" s="195">
        <f t="shared" si="37"/>
        <v>0</v>
      </c>
      <c r="W324" s="196">
        <f t="shared" si="38"/>
        <v>0</v>
      </c>
      <c r="X324" s="197">
        <f t="shared" si="39"/>
        <v>0</v>
      </c>
      <c r="AH324" s="219" t="s">
        <v>1543</v>
      </c>
    </row>
    <row r="325" ht="11.4" customHeight="1" spans="1:34">
      <c r="A325" s="184" t="s">
        <v>702</v>
      </c>
      <c r="B325" s="184" t="s">
        <v>121</v>
      </c>
      <c r="C325" s="184" t="s">
        <v>1101</v>
      </c>
      <c r="D325" s="185" t="s">
        <v>522</v>
      </c>
      <c r="E325" s="186" t="s">
        <v>906</v>
      </c>
      <c r="F325" s="186" t="s">
        <v>907</v>
      </c>
      <c r="G325" s="186" t="s">
        <v>1102</v>
      </c>
      <c r="H325" s="186" t="s">
        <v>1544</v>
      </c>
      <c r="I325" s="187" t="s">
        <v>1104</v>
      </c>
      <c r="J325" s="187" t="s">
        <v>1105</v>
      </c>
      <c r="K325" s="188"/>
      <c r="L325" s="188"/>
      <c r="M325" s="189" t="s">
        <v>847</v>
      </c>
      <c r="N325" s="190">
        <v>180.78</v>
      </c>
      <c r="O325" s="190">
        <f t="shared" si="32"/>
        <v>197.05</v>
      </c>
      <c r="P325" s="191">
        <f t="shared" si="33"/>
        <v>0</v>
      </c>
      <c r="Q325" s="192">
        <f t="shared" si="34"/>
        <v>0</v>
      </c>
      <c r="R325" s="193"/>
      <c r="S325" s="194"/>
      <c r="T325" s="195">
        <f t="shared" si="35"/>
        <v>0</v>
      </c>
      <c r="U325" s="195">
        <f t="shared" si="36"/>
        <v>0</v>
      </c>
      <c r="V325" s="195">
        <f t="shared" si="37"/>
        <v>0</v>
      </c>
      <c r="W325" s="196" t="e">
        <f t="shared" si="38"/>
        <v>#DIV/0!</v>
      </c>
      <c r="X325" s="197" t="e">
        <f t="shared" si="39"/>
        <v>#DIV/0!</v>
      </c>
      <c r="AG325" s="219" t="s">
        <v>1545</v>
      </c>
    </row>
    <row r="326" ht="11.4" customHeight="1" spans="1:34">
      <c r="A326" s="184" t="s">
        <v>702</v>
      </c>
      <c r="B326" s="184" t="s">
        <v>121</v>
      </c>
      <c r="C326" s="184" t="s">
        <v>1101</v>
      </c>
      <c r="D326" s="185" t="s">
        <v>522</v>
      </c>
      <c r="E326" s="186" t="s">
        <v>906</v>
      </c>
      <c r="F326" s="186" t="s">
        <v>907</v>
      </c>
      <c r="G326" s="186" t="s">
        <v>1102</v>
      </c>
      <c r="H326" s="186" t="s">
        <v>1544</v>
      </c>
      <c r="I326" s="187" t="s">
        <v>1106</v>
      </c>
      <c r="J326" s="187" t="s">
        <v>1107</v>
      </c>
      <c r="K326" s="188"/>
      <c r="L326" s="188"/>
      <c r="M326" s="189" t="s">
        <v>807</v>
      </c>
      <c r="N326" s="190">
        <v>41.36</v>
      </c>
      <c r="O326" s="190">
        <f t="shared" si="32"/>
        <v>45.08</v>
      </c>
      <c r="P326" s="191">
        <f t="shared" si="33"/>
        <v>0</v>
      </c>
      <c r="Q326" s="192">
        <f t="shared" si="34"/>
        <v>0</v>
      </c>
      <c r="R326" s="193"/>
      <c r="S326" s="194"/>
      <c r="T326" s="195">
        <f t="shared" si="35"/>
        <v>0</v>
      </c>
      <c r="U326" s="195">
        <f t="shared" si="36"/>
        <v>0</v>
      </c>
      <c r="V326" s="195">
        <f t="shared" si="37"/>
        <v>0</v>
      </c>
      <c r="W326" s="196" t="e">
        <f t="shared" si="38"/>
        <v>#DIV/0!</v>
      </c>
      <c r="X326" s="197" t="e">
        <f t="shared" si="39"/>
        <v>#DIV/0!</v>
      </c>
      <c r="AG326" s="219" t="s">
        <v>1492</v>
      </c>
    </row>
    <row r="327" ht="11.4" customHeight="1" spans="1:34">
      <c r="A327" s="184" t="s">
        <v>702</v>
      </c>
      <c r="B327" s="184" t="s">
        <v>121</v>
      </c>
      <c r="C327" s="184" t="s">
        <v>1101</v>
      </c>
      <c r="D327" s="185" t="s">
        <v>522</v>
      </c>
      <c r="E327" s="186" t="s">
        <v>906</v>
      </c>
      <c r="F327" s="186" t="s">
        <v>907</v>
      </c>
      <c r="G327" s="186" t="s">
        <v>1102</v>
      </c>
      <c r="H327" s="186" t="s">
        <v>1544</v>
      </c>
      <c r="I327" s="187" t="s">
        <v>1109</v>
      </c>
      <c r="J327" s="187" t="s">
        <v>1110</v>
      </c>
      <c r="K327" s="188"/>
      <c r="L327" s="188"/>
      <c r="M327" s="189" t="s">
        <v>847</v>
      </c>
      <c r="N327" s="190">
        <v>160.21</v>
      </c>
      <c r="O327" s="190">
        <f t="shared" si="32"/>
        <v>174.63</v>
      </c>
      <c r="P327" s="191">
        <f t="shared" si="33"/>
        <v>0</v>
      </c>
      <c r="Q327" s="192">
        <f t="shared" si="34"/>
        <v>0</v>
      </c>
      <c r="R327" s="193"/>
      <c r="S327" s="194"/>
      <c r="T327" s="195">
        <f t="shared" si="35"/>
        <v>0</v>
      </c>
      <c r="U327" s="195">
        <f t="shared" si="36"/>
        <v>0</v>
      </c>
      <c r="V327" s="195">
        <f t="shared" si="37"/>
        <v>0</v>
      </c>
      <c r="W327" s="196" t="e">
        <f t="shared" si="38"/>
        <v>#DIV/0!</v>
      </c>
      <c r="X327" s="197" t="e">
        <f t="shared" si="39"/>
        <v>#DIV/0!</v>
      </c>
      <c r="AG327" s="219" t="s">
        <v>1545</v>
      </c>
    </row>
    <row r="328" ht="11.4" customHeight="1" spans="1:34">
      <c r="A328" s="184" t="s">
        <v>702</v>
      </c>
      <c r="B328" s="184" t="s">
        <v>121</v>
      </c>
      <c r="C328" s="184" t="s">
        <v>1101</v>
      </c>
      <c r="D328" s="185" t="s">
        <v>522</v>
      </c>
      <c r="E328" s="186" t="s">
        <v>906</v>
      </c>
      <c r="F328" s="186" t="s">
        <v>907</v>
      </c>
      <c r="G328" s="186" t="s">
        <v>1102</v>
      </c>
      <c r="H328" s="186" t="s">
        <v>1544</v>
      </c>
      <c r="I328" s="187" t="s">
        <v>1111</v>
      </c>
      <c r="J328" s="187" t="s">
        <v>1112</v>
      </c>
      <c r="K328" s="188"/>
      <c r="L328" s="188"/>
      <c r="M328" s="189" t="s">
        <v>807</v>
      </c>
      <c r="N328" s="190">
        <v>38.94</v>
      </c>
      <c r="O328" s="190">
        <f t="shared" si="32"/>
        <v>42.44</v>
      </c>
      <c r="P328" s="191">
        <f t="shared" si="33"/>
        <v>0</v>
      </c>
      <c r="Q328" s="192">
        <f t="shared" si="34"/>
        <v>0</v>
      </c>
      <c r="R328" s="193"/>
      <c r="S328" s="194"/>
      <c r="T328" s="195">
        <f t="shared" si="35"/>
        <v>0</v>
      </c>
      <c r="U328" s="195">
        <f t="shared" si="36"/>
        <v>0</v>
      </c>
      <c r="V328" s="195">
        <f t="shared" si="37"/>
        <v>0</v>
      </c>
      <c r="W328" s="196" t="e">
        <f t="shared" si="38"/>
        <v>#DIV/0!</v>
      </c>
      <c r="X328" s="197" t="e">
        <f t="shared" si="39"/>
        <v>#DIV/0!</v>
      </c>
      <c r="AG328" s="219" t="s">
        <v>1492</v>
      </c>
    </row>
    <row r="329" ht="11.4" customHeight="1" spans="1:34">
      <c r="A329" s="184" t="s">
        <v>702</v>
      </c>
      <c r="B329" s="184" t="s">
        <v>121</v>
      </c>
      <c r="C329" s="184" t="s">
        <v>1101</v>
      </c>
      <c r="D329" s="185" t="s">
        <v>522</v>
      </c>
      <c r="E329" s="186" t="s">
        <v>906</v>
      </c>
      <c r="F329" s="186" t="s">
        <v>907</v>
      </c>
      <c r="G329" s="186" t="s">
        <v>1102</v>
      </c>
      <c r="H329" s="186" t="s">
        <v>1544</v>
      </c>
      <c r="I329" s="187" t="s">
        <v>1113</v>
      </c>
      <c r="J329" s="187" t="s">
        <v>1114</v>
      </c>
      <c r="K329" s="188"/>
      <c r="L329" s="188"/>
      <c r="M329" s="189" t="s">
        <v>847</v>
      </c>
      <c r="N329" s="190">
        <v>181.99</v>
      </c>
      <c r="O329" s="190">
        <f t="shared" si="32"/>
        <v>198.37</v>
      </c>
      <c r="P329" s="191">
        <f t="shared" si="33"/>
        <v>0</v>
      </c>
      <c r="Q329" s="192">
        <f t="shared" si="34"/>
        <v>0</v>
      </c>
      <c r="R329" s="193"/>
      <c r="S329" s="194"/>
      <c r="T329" s="195">
        <f t="shared" si="35"/>
        <v>0</v>
      </c>
      <c r="U329" s="195">
        <f t="shared" si="36"/>
        <v>0</v>
      </c>
      <c r="V329" s="195">
        <f t="shared" si="37"/>
        <v>0</v>
      </c>
      <c r="W329" s="196" t="e">
        <f t="shared" si="38"/>
        <v>#DIV/0!</v>
      </c>
      <c r="X329" s="197" t="e">
        <f t="shared" si="39"/>
        <v>#DIV/0!</v>
      </c>
      <c r="AG329" s="219" t="s">
        <v>1545</v>
      </c>
    </row>
    <row r="330" ht="11.4" customHeight="1" spans="1:34">
      <c r="A330" s="184" t="s">
        <v>702</v>
      </c>
      <c r="B330" s="184" t="s">
        <v>121</v>
      </c>
      <c r="C330" s="184" t="s">
        <v>1101</v>
      </c>
      <c r="D330" s="185" t="s">
        <v>522</v>
      </c>
      <c r="E330" s="186" t="s">
        <v>906</v>
      </c>
      <c r="F330" s="186" t="s">
        <v>907</v>
      </c>
      <c r="G330" s="186" t="s">
        <v>1102</v>
      </c>
      <c r="H330" s="186" t="s">
        <v>1544</v>
      </c>
      <c r="I330" s="187" t="s">
        <v>1115</v>
      </c>
      <c r="J330" s="187" t="s">
        <v>1116</v>
      </c>
      <c r="K330" s="188"/>
      <c r="L330" s="188"/>
      <c r="M330" s="189" t="s">
        <v>807</v>
      </c>
      <c r="N330" s="190">
        <v>42.57</v>
      </c>
      <c r="O330" s="190">
        <f t="shared" si="32"/>
        <v>46.4</v>
      </c>
      <c r="P330" s="191">
        <f t="shared" si="33"/>
        <v>0</v>
      </c>
      <c r="Q330" s="192">
        <f t="shared" si="34"/>
        <v>0</v>
      </c>
      <c r="R330" s="193"/>
      <c r="S330" s="194"/>
      <c r="T330" s="195">
        <f t="shared" si="35"/>
        <v>0</v>
      </c>
      <c r="U330" s="195">
        <f t="shared" si="36"/>
        <v>0</v>
      </c>
      <c r="V330" s="195">
        <f t="shared" si="37"/>
        <v>0</v>
      </c>
      <c r="W330" s="196" t="e">
        <f t="shared" si="38"/>
        <v>#DIV/0!</v>
      </c>
      <c r="X330" s="197" t="e">
        <f t="shared" si="39"/>
        <v>#DIV/0!</v>
      </c>
      <c r="AG330" s="219" t="s">
        <v>1492</v>
      </c>
    </row>
    <row r="331" ht="11.4" customHeight="1" spans="1:34">
      <c r="A331" s="184" t="s">
        <v>702</v>
      </c>
      <c r="B331" s="184" t="s">
        <v>121</v>
      </c>
      <c r="C331" s="184" t="s">
        <v>1101</v>
      </c>
      <c r="D331" s="185" t="s">
        <v>522</v>
      </c>
      <c r="E331" s="186" t="s">
        <v>906</v>
      </c>
      <c r="F331" s="186" t="s">
        <v>907</v>
      </c>
      <c r="G331" s="186" t="s">
        <v>1102</v>
      </c>
      <c r="H331" s="186" t="s">
        <v>1544</v>
      </c>
      <c r="I331" s="187" t="s">
        <v>1117</v>
      </c>
      <c r="J331" s="187" t="s">
        <v>1118</v>
      </c>
      <c r="K331" s="188"/>
      <c r="L331" s="188"/>
      <c r="M331" s="189" t="s">
        <v>847</v>
      </c>
      <c r="N331" s="190">
        <v>187.98</v>
      </c>
      <c r="O331" s="190">
        <f t="shared" si="32"/>
        <v>204.9</v>
      </c>
      <c r="P331" s="191">
        <f t="shared" si="33"/>
        <v>0</v>
      </c>
      <c r="Q331" s="192">
        <f t="shared" si="34"/>
        <v>0</v>
      </c>
      <c r="R331" s="193"/>
      <c r="S331" s="194"/>
      <c r="T331" s="195">
        <f t="shared" si="35"/>
        <v>0</v>
      </c>
      <c r="U331" s="195">
        <f t="shared" si="36"/>
        <v>0</v>
      </c>
      <c r="V331" s="195">
        <f t="shared" si="37"/>
        <v>0</v>
      </c>
      <c r="W331" s="196" t="e">
        <f t="shared" si="38"/>
        <v>#DIV/0!</v>
      </c>
      <c r="X331" s="197" t="e">
        <f t="shared" si="39"/>
        <v>#DIV/0!</v>
      </c>
      <c r="AG331" s="219" t="s">
        <v>1545</v>
      </c>
    </row>
    <row r="332" ht="11.4" customHeight="1" spans="1:34">
      <c r="A332" s="184" t="s">
        <v>702</v>
      </c>
      <c r="B332" s="184" t="s">
        <v>121</v>
      </c>
      <c r="C332" s="184" t="s">
        <v>1101</v>
      </c>
      <c r="D332" s="185" t="s">
        <v>522</v>
      </c>
      <c r="E332" s="186" t="s">
        <v>906</v>
      </c>
      <c r="F332" s="186" t="s">
        <v>907</v>
      </c>
      <c r="G332" s="186" t="s">
        <v>1102</v>
      </c>
      <c r="H332" s="186" t="s">
        <v>1544</v>
      </c>
      <c r="I332" s="187" t="s">
        <v>1119</v>
      </c>
      <c r="J332" s="187" t="s">
        <v>1120</v>
      </c>
      <c r="K332" s="188"/>
      <c r="L332" s="188"/>
      <c r="M332" s="189" t="s">
        <v>847</v>
      </c>
      <c r="N332" s="190">
        <v>171.66</v>
      </c>
      <c r="O332" s="190">
        <f t="shared" si="32"/>
        <v>187.11</v>
      </c>
      <c r="P332" s="191">
        <f t="shared" si="33"/>
        <v>0</v>
      </c>
      <c r="Q332" s="192">
        <f t="shared" si="34"/>
        <v>0</v>
      </c>
      <c r="R332" s="193"/>
      <c r="S332" s="194"/>
      <c r="T332" s="195">
        <f t="shared" si="35"/>
        <v>0</v>
      </c>
      <c r="U332" s="195">
        <f t="shared" si="36"/>
        <v>0</v>
      </c>
      <c r="V332" s="195">
        <f t="shared" si="37"/>
        <v>0</v>
      </c>
      <c r="W332" s="196" t="e">
        <f t="shared" si="38"/>
        <v>#DIV/0!</v>
      </c>
      <c r="X332" s="197" t="e">
        <f t="shared" si="39"/>
        <v>#DIV/0!</v>
      </c>
      <c r="AG332" s="219" t="s">
        <v>1545</v>
      </c>
    </row>
    <row r="333" ht="11.4" customHeight="1" spans="1:34">
      <c r="A333" s="184" t="s">
        <v>702</v>
      </c>
      <c r="B333" s="184" t="s">
        <v>121</v>
      </c>
      <c r="C333" s="184" t="s">
        <v>1101</v>
      </c>
      <c r="D333" s="185" t="s">
        <v>522</v>
      </c>
      <c r="E333" s="186" t="s">
        <v>906</v>
      </c>
      <c r="F333" s="186" t="s">
        <v>907</v>
      </c>
      <c r="G333" s="186" t="s">
        <v>1102</v>
      </c>
      <c r="H333" s="186" t="s">
        <v>1544</v>
      </c>
      <c r="I333" s="187" t="s">
        <v>1121</v>
      </c>
      <c r="J333" s="187" t="s">
        <v>1122</v>
      </c>
      <c r="K333" s="188"/>
      <c r="L333" s="188"/>
      <c r="M333" s="189" t="s">
        <v>847</v>
      </c>
      <c r="N333" s="190">
        <v>189.15</v>
      </c>
      <c r="O333" s="190">
        <f t="shared" ref="O333:O396" si="40">ROUND(N333*(1+$F$10),2)</f>
        <v>206.17</v>
      </c>
      <c r="P333" s="191">
        <f t="shared" ref="P333:P396" si="41">ROUND(K333*N333,2)</f>
        <v>0</v>
      </c>
      <c r="Q333" s="192">
        <f t="shared" si="34"/>
        <v>0</v>
      </c>
      <c r="R333" s="193"/>
      <c r="S333" s="194"/>
      <c r="T333" s="195">
        <f t="shared" si="35"/>
        <v>0</v>
      </c>
      <c r="U333" s="195">
        <f t="shared" si="36"/>
        <v>0</v>
      </c>
      <c r="V333" s="195">
        <f t="shared" si="37"/>
        <v>0</v>
      </c>
      <c r="W333" s="196" t="e">
        <f t="shared" si="38"/>
        <v>#DIV/0!</v>
      </c>
      <c r="X333" s="197" t="e">
        <f t="shared" si="39"/>
        <v>#DIV/0!</v>
      </c>
      <c r="AG333" s="219" t="s">
        <v>1545</v>
      </c>
    </row>
    <row r="334" ht="11.4" customHeight="1" spans="1:34">
      <c r="A334" s="184" t="s">
        <v>702</v>
      </c>
      <c r="B334" s="184" t="s">
        <v>121</v>
      </c>
      <c r="C334" s="184" t="s">
        <v>1101</v>
      </c>
      <c r="D334" s="185" t="s">
        <v>522</v>
      </c>
      <c r="E334" s="186" t="s">
        <v>906</v>
      </c>
      <c r="F334" s="186" t="s">
        <v>907</v>
      </c>
      <c r="G334" s="186" t="s">
        <v>1102</v>
      </c>
      <c r="H334" s="186" t="s">
        <v>1544</v>
      </c>
      <c r="I334" s="187" t="s">
        <v>1123</v>
      </c>
      <c r="J334" s="187" t="s">
        <v>1124</v>
      </c>
      <c r="K334" s="188"/>
      <c r="L334" s="188"/>
      <c r="M334" s="189" t="s">
        <v>807</v>
      </c>
      <c r="N334" s="190">
        <v>41.36</v>
      </c>
      <c r="O334" s="190">
        <f t="shared" si="40"/>
        <v>45.08</v>
      </c>
      <c r="P334" s="191">
        <f t="shared" si="41"/>
        <v>0</v>
      </c>
      <c r="Q334" s="192">
        <f t="shared" ref="Q334:Q397" si="42">ROUND(L334*N334,2)</f>
        <v>0</v>
      </c>
      <c r="R334" s="193"/>
      <c r="S334" s="194"/>
      <c r="T334" s="195">
        <f t="shared" ref="T334:T397" si="43">K334-L334</f>
        <v>0</v>
      </c>
      <c r="U334" s="195">
        <f t="shared" ref="U334:U397" si="44">P334-Q334</f>
        <v>0</v>
      </c>
      <c r="V334" s="195">
        <f t="shared" ref="V334:V397" si="45">ABS(U334)</f>
        <v>0</v>
      </c>
      <c r="W334" s="196" t="e">
        <f t="shared" ref="W334:W397" si="46">T334/L334</f>
        <v>#DIV/0!</v>
      </c>
      <c r="X334" s="197" t="e">
        <f t="shared" ref="X334:X397" si="47">ABS(W334)</f>
        <v>#DIV/0!</v>
      </c>
      <c r="AG334" s="219" t="s">
        <v>1492</v>
      </c>
    </row>
    <row r="335" ht="11.4" customHeight="1" spans="1:34">
      <c r="A335" s="184" t="s">
        <v>702</v>
      </c>
      <c r="B335" s="184" t="s">
        <v>121</v>
      </c>
      <c r="C335" s="184" t="s">
        <v>1101</v>
      </c>
      <c r="D335" s="185" t="s">
        <v>522</v>
      </c>
      <c r="E335" s="186" t="s">
        <v>906</v>
      </c>
      <c r="F335" s="186" t="s">
        <v>907</v>
      </c>
      <c r="G335" s="186" t="s">
        <v>1102</v>
      </c>
      <c r="H335" s="186" t="s">
        <v>1544</v>
      </c>
      <c r="I335" s="187" t="s">
        <v>1125</v>
      </c>
      <c r="J335" s="187" t="s">
        <v>1126</v>
      </c>
      <c r="K335" s="188"/>
      <c r="L335" s="188"/>
      <c r="M335" s="189" t="s">
        <v>807</v>
      </c>
      <c r="N335" s="190">
        <v>38.94</v>
      </c>
      <c r="O335" s="190">
        <f t="shared" si="40"/>
        <v>42.44</v>
      </c>
      <c r="P335" s="191">
        <f t="shared" si="41"/>
        <v>0</v>
      </c>
      <c r="Q335" s="192">
        <f t="shared" si="42"/>
        <v>0</v>
      </c>
      <c r="R335" s="193"/>
      <c r="S335" s="194"/>
      <c r="T335" s="195">
        <f t="shared" si="43"/>
        <v>0</v>
      </c>
      <c r="U335" s="195">
        <f t="shared" si="44"/>
        <v>0</v>
      </c>
      <c r="V335" s="195">
        <f t="shared" si="45"/>
        <v>0</v>
      </c>
      <c r="W335" s="196" t="e">
        <f t="shared" si="46"/>
        <v>#DIV/0!</v>
      </c>
      <c r="X335" s="197" t="e">
        <f t="shared" si="47"/>
        <v>#DIV/0!</v>
      </c>
      <c r="AG335" s="219" t="s">
        <v>1492</v>
      </c>
    </row>
    <row r="336" ht="11.4" customHeight="1" spans="1:34">
      <c r="A336" s="184" t="s">
        <v>702</v>
      </c>
      <c r="B336" s="184" t="s">
        <v>121</v>
      </c>
      <c r="C336" s="184" t="s">
        <v>1101</v>
      </c>
      <c r="D336" s="185" t="s">
        <v>522</v>
      </c>
      <c r="E336" s="186" t="s">
        <v>906</v>
      </c>
      <c r="F336" s="186" t="s">
        <v>907</v>
      </c>
      <c r="G336" s="186" t="s">
        <v>1102</v>
      </c>
      <c r="H336" s="186" t="s">
        <v>1544</v>
      </c>
      <c r="I336" s="187" t="s">
        <v>1127</v>
      </c>
      <c r="J336" s="187" t="s">
        <v>1128</v>
      </c>
      <c r="K336" s="188"/>
      <c r="L336" s="188"/>
      <c r="M336" s="189" t="s">
        <v>807</v>
      </c>
      <c r="N336" s="190">
        <v>40.15</v>
      </c>
      <c r="O336" s="190">
        <f t="shared" si="40"/>
        <v>43.76</v>
      </c>
      <c r="P336" s="191">
        <f t="shared" si="41"/>
        <v>0</v>
      </c>
      <c r="Q336" s="192">
        <f t="shared" si="42"/>
        <v>0</v>
      </c>
      <c r="R336" s="193"/>
      <c r="S336" s="194"/>
      <c r="T336" s="195">
        <f t="shared" si="43"/>
        <v>0</v>
      </c>
      <c r="U336" s="195">
        <f t="shared" si="44"/>
        <v>0</v>
      </c>
      <c r="V336" s="195">
        <f t="shared" si="45"/>
        <v>0</v>
      </c>
      <c r="W336" s="196" t="e">
        <f t="shared" si="46"/>
        <v>#DIV/0!</v>
      </c>
      <c r="X336" s="197" t="e">
        <f t="shared" si="47"/>
        <v>#DIV/0!</v>
      </c>
      <c r="AG336" s="219" t="s">
        <v>1492</v>
      </c>
    </row>
    <row r="337" ht="11.4" customHeight="1" spans="1:33">
      <c r="A337" s="184" t="s">
        <v>702</v>
      </c>
      <c r="B337" s="184" t="s">
        <v>121</v>
      </c>
      <c r="C337" s="184" t="s">
        <v>1101</v>
      </c>
      <c r="D337" s="185" t="s">
        <v>522</v>
      </c>
      <c r="E337" s="186" t="s">
        <v>906</v>
      </c>
      <c r="F337" s="186" t="s">
        <v>907</v>
      </c>
      <c r="G337" s="186" t="s">
        <v>1102</v>
      </c>
      <c r="H337" s="186" t="s">
        <v>1544</v>
      </c>
      <c r="I337" s="187" t="s">
        <v>1141</v>
      </c>
      <c r="J337" s="187" t="s">
        <v>1142</v>
      </c>
      <c r="K337" s="188"/>
      <c r="L337" s="188"/>
      <c r="M337" s="189" t="s">
        <v>847</v>
      </c>
      <c r="N337" s="190">
        <v>196.14</v>
      </c>
      <c r="O337" s="190">
        <f t="shared" si="40"/>
        <v>213.79</v>
      </c>
      <c r="P337" s="191">
        <f t="shared" si="41"/>
        <v>0</v>
      </c>
      <c r="Q337" s="192">
        <f t="shared" si="42"/>
        <v>0</v>
      </c>
      <c r="R337" s="193"/>
      <c r="S337" s="194"/>
      <c r="T337" s="195">
        <f t="shared" si="43"/>
        <v>0</v>
      </c>
      <c r="U337" s="195">
        <f t="shared" si="44"/>
        <v>0</v>
      </c>
      <c r="V337" s="195">
        <f t="shared" si="45"/>
        <v>0</v>
      </c>
      <c r="W337" s="196" t="e">
        <f t="shared" si="46"/>
        <v>#DIV/0!</v>
      </c>
      <c r="X337" s="197" t="e">
        <f t="shared" si="47"/>
        <v>#DIV/0!</v>
      </c>
      <c r="AG337" s="219" t="s">
        <v>1545</v>
      </c>
    </row>
    <row r="338" ht="11.4" customHeight="1" spans="1:33">
      <c r="A338" s="184" t="s">
        <v>702</v>
      </c>
      <c r="B338" s="184" t="s">
        <v>121</v>
      </c>
      <c r="C338" s="184" t="s">
        <v>1101</v>
      </c>
      <c r="D338" s="185" t="s">
        <v>522</v>
      </c>
      <c r="E338" s="186" t="s">
        <v>906</v>
      </c>
      <c r="F338" s="186" t="s">
        <v>907</v>
      </c>
      <c r="G338" s="186" t="s">
        <v>1102</v>
      </c>
      <c r="H338" s="186" t="s">
        <v>1544</v>
      </c>
      <c r="I338" s="187" t="s">
        <v>1143</v>
      </c>
      <c r="J338" s="187" t="s">
        <v>1144</v>
      </c>
      <c r="K338" s="188"/>
      <c r="L338" s="188"/>
      <c r="M338" s="189" t="s">
        <v>807</v>
      </c>
      <c r="N338" s="190">
        <v>41.47</v>
      </c>
      <c r="O338" s="190">
        <f t="shared" si="40"/>
        <v>45.2</v>
      </c>
      <c r="P338" s="191">
        <f t="shared" si="41"/>
        <v>0</v>
      </c>
      <c r="Q338" s="192">
        <f t="shared" si="42"/>
        <v>0</v>
      </c>
      <c r="R338" s="193"/>
      <c r="S338" s="194"/>
      <c r="T338" s="195">
        <f t="shared" si="43"/>
        <v>0</v>
      </c>
      <c r="U338" s="195">
        <f t="shared" si="44"/>
        <v>0</v>
      </c>
      <c r="V338" s="195">
        <f t="shared" si="45"/>
        <v>0</v>
      </c>
      <c r="W338" s="196" t="e">
        <f t="shared" si="46"/>
        <v>#DIV/0!</v>
      </c>
      <c r="X338" s="197" t="e">
        <f t="shared" si="47"/>
        <v>#DIV/0!</v>
      </c>
      <c r="AG338" s="219" t="s">
        <v>1492</v>
      </c>
    </row>
    <row r="339" ht="11.4" customHeight="1" spans="1:33">
      <c r="A339" s="184" t="s">
        <v>702</v>
      </c>
      <c r="B339" s="184" t="s">
        <v>121</v>
      </c>
      <c r="C339" s="184" t="s">
        <v>1101</v>
      </c>
      <c r="D339" s="185" t="s">
        <v>522</v>
      </c>
      <c r="E339" s="186" t="s">
        <v>906</v>
      </c>
      <c r="F339" s="186" t="s">
        <v>907</v>
      </c>
      <c r="G339" s="186" t="s">
        <v>1102</v>
      </c>
      <c r="H339" s="186" t="s">
        <v>1544</v>
      </c>
      <c r="I339" s="187" t="s">
        <v>1145</v>
      </c>
      <c r="J339" s="187" t="s">
        <v>1146</v>
      </c>
      <c r="K339" s="188"/>
      <c r="L339" s="188"/>
      <c r="M339" s="189" t="s">
        <v>847</v>
      </c>
      <c r="N339" s="190">
        <v>179.82</v>
      </c>
      <c r="O339" s="190">
        <f t="shared" si="40"/>
        <v>196</v>
      </c>
      <c r="P339" s="191">
        <f t="shared" si="41"/>
        <v>0</v>
      </c>
      <c r="Q339" s="192">
        <f t="shared" si="42"/>
        <v>0</v>
      </c>
      <c r="R339" s="193"/>
      <c r="S339" s="194"/>
      <c r="T339" s="195">
        <f t="shared" si="43"/>
        <v>0</v>
      </c>
      <c r="U339" s="195">
        <f t="shared" si="44"/>
        <v>0</v>
      </c>
      <c r="V339" s="195">
        <f t="shared" si="45"/>
        <v>0</v>
      </c>
      <c r="W339" s="196" t="e">
        <f t="shared" si="46"/>
        <v>#DIV/0!</v>
      </c>
      <c r="X339" s="197" t="e">
        <f t="shared" si="47"/>
        <v>#DIV/0!</v>
      </c>
      <c r="AG339" s="219" t="s">
        <v>1545</v>
      </c>
    </row>
    <row r="340" ht="11.4" customHeight="1" spans="1:33">
      <c r="A340" s="184" t="s">
        <v>702</v>
      </c>
      <c r="B340" s="184" t="s">
        <v>121</v>
      </c>
      <c r="C340" s="184" t="s">
        <v>1101</v>
      </c>
      <c r="D340" s="185" t="s">
        <v>522</v>
      </c>
      <c r="E340" s="186" t="s">
        <v>906</v>
      </c>
      <c r="F340" s="186" t="s">
        <v>907</v>
      </c>
      <c r="G340" s="186" t="s">
        <v>1102</v>
      </c>
      <c r="H340" s="186" t="s">
        <v>1544</v>
      </c>
      <c r="I340" s="187" t="s">
        <v>1147</v>
      </c>
      <c r="J340" s="187" t="s">
        <v>1148</v>
      </c>
      <c r="K340" s="188"/>
      <c r="L340" s="188"/>
      <c r="M340" s="189" t="s">
        <v>807</v>
      </c>
      <c r="N340" s="190">
        <v>37.84</v>
      </c>
      <c r="O340" s="190">
        <f t="shared" si="40"/>
        <v>41.25</v>
      </c>
      <c r="P340" s="191">
        <f t="shared" si="41"/>
        <v>0</v>
      </c>
      <c r="Q340" s="192">
        <f t="shared" si="42"/>
        <v>0</v>
      </c>
      <c r="R340" s="193"/>
      <c r="S340" s="194"/>
      <c r="T340" s="195">
        <f t="shared" si="43"/>
        <v>0</v>
      </c>
      <c r="U340" s="195">
        <f t="shared" si="44"/>
        <v>0</v>
      </c>
      <c r="V340" s="195">
        <f t="shared" si="45"/>
        <v>0</v>
      </c>
      <c r="W340" s="196" t="e">
        <f t="shared" si="46"/>
        <v>#DIV/0!</v>
      </c>
      <c r="X340" s="197" t="e">
        <f t="shared" si="47"/>
        <v>#DIV/0!</v>
      </c>
      <c r="AG340" s="219" t="s">
        <v>1492</v>
      </c>
    </row>
    <row r="341" ht="11.4" customHeight="1" spans="1:33">
      <c r="A341" s="184" t="s">
        <v>702</v>
      </c>
      <c r="B341" s="184" t="s">
        <v>121</v>
      </c>
      <c r="C341" s="184" t="s">
        <v>1101</v>
      </c>
      <c r="D341" s="185" t="s">
        <v>522</v>
      </c>
      <c r="E341" s="186" t="s">
        <v>906</v>
      </c>
      <c r="F341" s="186" t="s">
        <v>907</v>
      </c>
      <c r="G341" s="186" t="s">
        <v>1102</v>
      </c>
      <c r="H341" s="186" t="s">
        <v>1544</v>
      </c>
      <c r="I341" s="187" t="s">
        <v>1149</v>
      </c>
      <c r="J341" s="187" t="s">
        <v>1150</v>
      </c>
      <c r="K341" s="188"/>
      <c r="L341" s="188"/>
      <c r="M341" s="189" t="s">
        <v>847</v>
      </c>
      <c r="N341" s="190">
        <v>193.81</v>
      </c>
      <c r="O341" s="190">
        <f t="shared" si="40"/>
        <v>211.25</v>
      </c>
      <c r="P341" s="191">
        <f t="shared" si="41"/>
        <v>0</v>
      </c>
      <c r="Q341" s="192">
        <f t="shared" si="42"/>
        <v>0</v>
      </c>
      <c r="R341" s="193"/>
      <c r="S341" s="194"/>
      <c r="T341" s="195">
        <f t="shared" si="43"/>
        <v>0</v>
      </c>
      <c r="U341" s="195">
        <f t="shared" si="44"/>
        <v>0</v>
      </c>
      <c r="V341" s="195">
        <f t="shared" si="45"/>
        <v>0</v>
      </c>
      <c r="W341" s="196" t="e">
        <f t="shared" si="46"/>
        <v>#DIV/0!</v>
      </c>
      <c r="X341" s="197" t="e">
        <f t="shared" si="47"/>
        <v>#DIV/0!</v>
      </c>
      <c r="AG341" s="219" t="s">
        <v>1545</v>
      </c>
    </row>
    <row r="342" ht="11.4" customHeight="1" spans="1:33">
      <c r="A342" s="184" t="s">
        <v>702</v>
      </c>
      <c r="B342" s="184" t="s">
        <v>121</v>
      </c>
      <c r="C342" s="184" t="s">
        <v>1101</v>
      </c>
      <c r="D342" s="185" t="s">
        <v>522</v>
      </c>
      <c r="E342" s="186" t="s">
        <v>906</v>
      </c>
      <c r="F342" s="186" t="s">
        <v>907</v>
      </c>
      <c r="G342" s="186" t="s">
        <v>1102</v>
      </c>
      <c r="H342" s="186" t="s">
        <v>1544</v>
      </c>
      <c r="I342" s="187" t="s">
        <v>1151</v>
      </c>
      <c r="J342" s="187" t="s">
        <v>1152</v>
      </c>
      <c r="K342" s="188"/>
      <c r="L342" s="188"/>
      <c r="M342" s="189" t="s">
        <v>807</v>
      </c>
      <c r="N342" s="190">
        <v>39.05</v>
      </c>
      <c r="O342" s="190">
        <f t="shared" si="40"/>
        <v>42.56</v>
      </c>
      <c r="P342" s="191">
        <f t="shared" si="41"/>
        <v>0</v>
      </c>
      <c r="Q342" s="192">
        <f t="shared" si="42"/>
        <v>0</v>
      </c>
      <c r="R342" s="193"/>
      <c r="S342" s="194"/>
      <c r="T342" s="195">
        <f t="shared" si="43"/>
        <v>0</v>
      </c>
      <c r="U342" s="195">
        <f t="shared" si="44"/>
        <v>0</v>
      </c>
      <c r="V342" s="195">
        <f t="shared" si="45"/>
        <v>0</v>
      </c>
      <c r="W342" s="196" t="e">
        <f t="shared" si="46"/>
        <v>#DIV/0!</v>
      </c>
      <c r="X342" s="197" t="e">
        <f t="shared" si="47"/>
        <v>#DIV/0!</v>
      </c>
      <c r="AG342" s="219" t="s">
        <v>1492</v>
      </c>
    </row>
    <row r="343" ht="11.4" customHeight="1" spans="1:33">
      <c r="A343" s="184" t="s">
        <v>702</v>
      </c>
      <c r="B343" s="184" t="s">
        <v>121</v>
      </c>
      <c r="C343" s="184" t="s">
        <v>1101</v>
      </c>
      <c r="D343" s="185" t="s">
        <v>522</v>
      </c>
      <c r="E343" s="186" t="s">
        <v>906</v>
      </c>
      <c r="F343" s="186" t="s">
        <v>907</v>
      </c>
      <c r="G343" s="186" t="s">
        <v>1102</v>
      </c>
      <c r="H343" s="186" t="s">
        <v>1546</v>
      </c>
      <c r="I343" s="187" t="s">
        <v>1547</v>
      </c>
      <c r="J343" s="187" t="s">
        <v>1548</v>
      </c>
      <c r="K343" s="188"/>
      <c r="L343" s="188"/>
      <c r="M343" s="189" t="s">
        <v>847</v>
      </c>
      <c r="N343" s="190">
        <v>167.98</v>
      </c>
      <c r="O343" s="190">
        <f t="shared" si="40"/>
        <v>183.1</v>
      </c>
      <c r="P343" s="191">
        <f t="shared" si="41"/>
        <v>0</v>
      </c>
      <c r="Q343" s="192">
        <f t="shared" si="42"/>
        <v>0</v>
      </c>
      <c r="R343" s="193"/>
      <c r="S343" s="194"/>
      <c r="T343" s="195">
        <f t="shared" si="43"/>
        <v>0</v>
      </c>
      <c r="U343" s="195">
        <f t="shared" si="44"/>
        <v>0</v>
      </c>
      <c r="V343" s="195">
        <f t="shared" si="45"/>
        <v>0</v>
      </c>
      <c r="W343" s="196" t="e">
        <f t="shared" si="46"/>
        <v>#DIV/0!</v>
      </c>
      <c r="X343" s="197" t="e">
        <f t="shared" si="47"/>
        <v>#DIV/0!</v>
      </c>
      <c r="AG343" s="109" t="s">
        <v>865</v>
      </c>
    </row>
    <row r="344" ht="11.4" customHeight="1" spans="1:33">
      <c r="A344" s="184" t="s">
        <v>702</v>
      </c>
      <c r="B344" s="184" t="s">
        <v>121</v>
      </c>
      <c r="C344" s="184" t="s">
        <v>1101</v>
      </c>
      <c r="D344" s="185" t="s">
        <v>522</v>
      </c>
      <c r="E344" s="186" t="s">
        <v>906</v>
      </c>
      <c r="F344" s="186" t="s">
        <v>907</v>
      </c>
      <c r="G344" s="186" t="s">
        <v>1102</v>
      </c>
      <c r="H344" s="186" t="s">
        <v>1546</v>
      </c>
      <c r="I344" s="187" t="s">
        <v>1549</v>
      </c>
      <c r="J344" s="187" t="s">
        <v>1550</v>
      </c>
      <c r="K344" s="188"/>
      <c r="L344" s="188"/>
      <c r="M344" s="189" t="s">
        <v>847</v>
      </c>
      <c r="N344" s="190">
        <v>147.41</v>
      </c>
      <c r="O344" s="190">
        <f t="shared" si="40"/>
        <v>160.68</v>
      </c>
      <c r="P344" s="191">
        <f t="shared" si="41"/>
        <v>0</v>
      </c>
      <c r="Q344" s="192">
        <f t="shared" si="42"/>
        <v>0</v>
      </c>
      <c r="R344" s="193"/>
      <c r="S344" s="194"/>
      <c r="T344" s="195">
        <f t="shared" si="43"/>
        <v>0</v>
      </c>
      <c r="U344" s="195">
        <f t="shared" si="44"/>
        <v>0</v>
      </c>
      <c r="V344" s="195">
        <f t="shared" si="45"/>
        <v>0</v>
      </c>
      <c r="W344" s="196" t="e">
        <f t="shared" si="46"/>
        <v>#DIV/0!</v>
      </c>
      <c r="X344" s="197" t="e">
        <f t="shared" si="47"/>
        <v>#DIV/0!</v>
      </c>
      <c r="AG344" s="109" t="s">
        <v>865</v>
      </c>
    </row>
    <row r="345" ht="11.4" customHeight="1" spans="1:33">
      <c r="A345" s="184" t="s">
        <v>702</v>
      </c>
      <c r="B345" s="184" t="s">
        <v>121</v>
      </c>
      <c r="C345" s="184" t="s">
        <v>1101</v>
      </c>
      <c r="D345" s="185" t="s">
        <v>522</v>
      </c>
      <c r="E345" s="186" t="s">
        <v>906</v>
      </c>
      <c r="F345" s="186" t="s">
        <v>907</v>
      </c>
      <c r="G345" s="186" t="s">
        <v>1102</v>
      </c>
      <c r="H345" s="186" t="s">
        <v>1546</v>
      </c>
      <c r="I345" s="187" t="s">
        <v>1551</v>
      </c>
      <c r="J345" s="187" t="s">
        <v>1552</v>
      </c>
      <c r="K345" s="188"/>
      <c r="L345" s="188"/>
      <c r="M345" s="189" t="s">
        <v>847</v>
      </c>
      <c r="N345" s="190">
        <v>169.19</v>
      </c>
      <c r="O345" s="190">
        <f t="shared" si="40"/>
        <v>184.42</v>
      </c>
      <c r="P345" s="191">
        <f t="shared" si="41"/>
        <v>0</v>
      </c>
      <c r="Q345" s="192">
        <f t="shared" si="42"/>
        <v>0</v>
      </c>
      <c r="R345" s="193"/>
      <c r="S345" s="194"/>
      <c r="T345" s="195">
        <f t="shared" si="43"/>
        <v>0</v>
      </c>
      <c r="U345" s="195">
        <f t="shared" si="44"/>
        <v>0</v>
      </c>
      <c r="V345" s="195">
        <f t="shared" si="45"/>
        <v>0</v>
      </c>
      <c r="W345" s="196" t="e">
        <f t="shared" si="46"/>
        <v>#DIV/0!</v>
      </c>
      <c r="X345" s="197" t="e">
        <f t="shared" si="47"/>
        <v>#DIV/0!</v>
      </c>
      <c r="AG345" s="109" t="s">
        <v>865</v>
      </c>
    </row>
    <row r="346" ht="11.4" customHeight="1" spans="1:33">
      <c r="A346" s="184" t="s">
        <v>702</v>
      </c>
      <c r="B346" s="184" t="s">
        <v>121</v>
      </c>
      <c r="C346" s="184" t="s">
        <v>1101</v>
      </c>
      <c r="D346" s="185" t="s">
        <v>522</v>
      </c>
      <c r="E346" s="186" t="s">
        <v>906</v>
      </c>
      <c r="F346" s="186" t="s">
        <v>907</v>
      </c>
      <c r="G346" s="186" t="s">
        <v>1102</v>
      </c>
      <c r="H346" s="186" t="s">
        <v>1546</v>
      </c>
      <c r="I346" s="187" t="s">
        <v>1553</v>
      </c>
      <c r="J346" s="187" t="s">
        <v>1554</v>
      </c>
      <c r="K346" s="188"/>
      <c r="L346" s="188"/>
      <c r="M346" s="189" t="s">
        <v>847</v>
      </c>
      <c r="N346" s="190">
        <v>175.9</v>
      </c>
      <c r="O346" s="190">
        <f t="shared" si="40"/>
        <v>191.73</v>
      </c>
      <c r="P346" s="191">
        <f t="shared" si="41"/>
        <v>0</v>
      </c>
      <c r="Q346" s="192">
        <f t="shared" si="42"/>
        <v>0</v>
      </c>
      <c r="R346" s="193"/>
      <c r="S346" s="194"/>
      <c r="T346" s="195">
        <f t="shared" si="43"/>
        <v>0</v>
      </c>
      <c r="U346" s="195">
        <f t="shared" si="44"/>
        <v>0</v>
      </c>
      <c r="V346" s="195">
        <f t="shared" si="45"/>
        <v>0</v>
      </c>
      <c r="W346" s="196" t="e">
        <f t="shared" si="46"/>
        <v>#DIV/0!</v>
      </c>
      <c r="X346" s="197" t="e">
        <f t="shared" si="47"/>
        <v>#DIV/0!</v>
      </c>
      <c r="AG346" s="109" t="s">
        <v>865</v>
      </c>
    </row>
    <row r="347" ht="11.4" customHeight="1" spans="1:33">
      <c r="A347" s="184" t="s">
        <v>702</v>
      </c>
      <c r="B347" s="184" t="s">
        <v>121</v>
      </c>
      <c r="C347" s="184" t="s">
        <v>1101</v>
      </c>
      <c r="D347" s="185" t="s">
        <v>522</v>
      </c>
      <c r="E347" s="186" t="s">
        <v>906</v>
      </c>
      <c r="F347" s="186" t="s">
        <v>907</v>
      </c>
      <c r="G347" s="186" t="s">
        <v>1102</v>
      </c>
      <c r="H347" s="186" t="s">
        <v>1546</v>
      </c>
      <c r="I347" s="187" t="s">
        <v>1555</v>
      </c>
      <c r="J347" s="187" t="s">
        <v>1556</v>
      </c>
      <c r="K347" s="188"/>
      <c r="L347" s="188"/>
      <c r="M347" s="189" t="s">
        <v>847</v>
      </c>
      <c r="N347" s="190">
        <v>175.9</v>
      </c>
      <c r="O347" s="190">
        <f t="shared" si="40"/>
        <v>191.73</v>
      </c>
      <c r="P347" s="191">
        <f t="shared" si="41"/>
        <v>0</v>
      </c>
      <c r="Q347" s="192">
        <f t="shared" si="42"/>
        <v>0</v>
      </c>
      <c r="R347" s="193"/>
      <c r="S347" s="194"/>
      <c r="T347" s="195">
        <f t="shared" si="43"/>
        <v>0</v>
      </c>
      <c r="U347" s="195">
        <f t="shared" si="44"/>
        <v>0</v>
      </c>
      <c r="V347" s="195">
        <f t="shared" si="45"/>
        <v>0</v>
      </c>
      <c r="W347" s="196" t="e">
        <f t="shared" si="46"/>
        <v>#DIV/0!</v>
      </c>
      <c r="X347" s="197" t="e">
        <f t="shared" si="47"/>
        <v>#DIV/0!</v>
      </c>
      <c r="AG347" s="109" t="s">
        <v>865</v>
      </c>
    </row>
    <row r="348" ht="11.4" customHeight="1" spans="1:33">
      <c r="A348" s="184" t="s">
        <v>702</v>
      </c>
      <c r="B348" s="184" t="s">
        <v>121</v>
      </c>
      <c r="C348" s="184" t="s">
        <v>1101</v>
      </c>
      <c r="D348" s="185" t="s">
        <v>522</v>
      </c>
      <c r="E348" s="186" t="s">
        <v>906</v>
      </c>
      <c r="F348" s="186" t="s">
        <v>907</v>
      </c>
      <c r="G348" s="186" t="s">
        <v>1102</v>
      </c>
      <c r="H348" s="186" t="s">
        <v>1546</v>
      </c>
      <c r="I348" s="187" t="s">
        <v>1557</v>
      </c>
      <c r="J348" s="187" t="s">
        <v>1558</v>
      </c>
      <c r="K348" s="188"/>
      <c r="L348" s="188"/>
      <c r="M348" s="189" t="s">
        <v>847</v>
      </c>
      <c r="N348" s="190">
        <v>166.22</v>
      </c>
      <c r="O348" s="190">
        <f t="shared" si="40"/>
        <v>181.18</v>
      </c>
      <c r="P348" s="191">
        <f t="shared" si="41"/>
        <v>0</v>
      </c>
      <c r="Q348" s="192">
        <f t="shared" si="42"/>
        <v>0</v>
      </c>
      <c r="R348" s="193"/>
      <c r="S348" s="194"/>
      <c r="T348" s="195">
        <f t="shared" si="43"/>
        <v>0</v>
      </c>
      <c r="U348" s="195">
        <f t="shared" si="44"/>
        <v>0</v>
      </c>
      <c r="V348" s="195">
        <f t="shared" si="45"/>
        <v>0</v>
      </c>
      <c r="W348" s="196" t="e">
        <f t="shared" si="46"/>
        <v>#DIV/0!</v>
      </c>
      <c r="X348" s="197" t="e">
        <f t="shared" si="47"/>
        <v>#DIV/0!</v>
      </c>
      <c r="AG348" s="109" t="s">
        <v>865</v>
      </c>
    </row>
    <row r="349" ht="11.4" customHeight="1" spans="1:33">
      <c r="A349" s="184" t="s">
        <v>702</v>
      </c>
      <c r="B349" s="184" t="s">
        <v>121</v>
      </c>
      <c r="C349" s="184" t="s">
        <v>1101</v>
      </c>
      <c r="D349" s="185" t="s">
        <v>522</v>
      </c>
      <c r="E349" s="186" t="s">
        <v>906</v>
      </c>
      <c r="F349" s="186" t="s">
        <v>907</v>
      </c>
      <c r="G349" s="186" t="s">
        <v>1102</v>
      </c>
      <c r="H349" s="186" t="s">
        <v>1546</v>
      </c>
      <c r="I349" s="187" t="s">
        <v>1559</v>
      </c>
      <c r="J349" s="187" t="s">
        <v>1560</v>
      </c>
      <c r="K349" s="188"/>
      <c r="L349" s="188"/>
      <c r="M349" s="189" t="s">
        <v>847</v>
      </c>
      <c r="N349" s="190">
        <v>58.39</v>
      </c>
      <c r="O349" s="190">
        <f t="shared" si="40"/>
        <v>63.65</v>
      </c>
      <c r="P349" s="191">
        <f t="shared" si="41"/>
        <v>0</v>
      </c>
      <c r="Q349" s="192">
        <f t="shared" si="42"/>
        <v>0</v>
      </c>
      <c r="R349" s="193"/>
      <c r="S349" s="194"/>
      <c r="T349" s="195">
        <f t="shared" si="43"/>
        <v>0</v>
      </c>
      <c r="U349" s="195">
        <f t="shared" si="44"/>
        <v>0</v>
      </c>
      <c r="V349" s="195">
        <f t="shared" si="45"/>
        <v>0</v>
      </c>
      <c r="W349" s="196" t="e">
        <f t="shared" si="46"/>
        <v>#DIV/0!</v>
      </c>
      <c r="X349" s="197" t="e">
        <f t="shared" si="47"/>
        <v>#DIV/0!</v>
      </c>
      <c r="AG349" s="109" t="s">
        <v>865</v>
      </c>
    </row>
    <row r="350" ht="11.4" customHeight="1" spans="1:33">
      <c r="A350" s="184" t="s">
        <v>702</v>
      </c>
      <c r="B350" s="184" t="s">
        <v>121</v>
      </c>
      <c r="C350" s="184" t="s">
        <v>1101</v>
      </c>
      <c r="D350" s="185" t="s">
        <v>522</v>
      </c>
      <c r="E350" s="186" t="s">
        <v>906</v>
      </c>
      <c r="F350" s="186" t="s">
        <v>907</v>
      </c>
      <c r="G350" s="186" t="s">
        <v>1102</v>
      </c>
      <c r="H350" s="186" t="s">
        <v>1561</v>
      </c>
      <c r="I350" s="187" t="s">
        <v>1336</v>
      </c>
      <c r="J350" s="187" t="s">
        <v>1337</v>
      </c>
      <c r="K350" s="188"/>
      <c r="L350" s="188"/>
      <c r="M350" s="189" t="s">
        <v>847</v>
      </c>
      <c r="N350" s="190">
        <v>62.19</v>
      </c>
      <c r="O350" s="190">
        <f t="shared" si="40"/>
        <v>67.79</v>
      </c>
      <c r="P350" s="191">
        <f t="shared" si="41"/>
        <v>0</v>
      </c>
      <c r="Q350" s="192">
        <f t="shared" si="42"/>
        <v>0</v>
      </c>
      <c r="R350" s="193"/>
      <c r="S350" s="194"/>
      <c r="T350" s="195">
        <f t="shared" si="43"/>
        <v>0</v>
      </c>
      <c r="U350" s="195">
        <f t="shared" si="44"/>
        <v>0</v>
      </c>
      <c r="V350" s="195">
        <f t="shared" si="45"/>
        <v>0</v>
      </c>
      <c r="W350" s="196" t="e">
        <f t="shared" si="46"/>
        <v>#DIV/0!</v>
      </c>
      <c r="X350" s="197" t="e">
        <f t="shared" si="47"/>
        <v>#DIV/0!</v>
      </c>
      <c r="AG350" s="219" t="s">
        <v>1361</v>
      </c>
    </row>
    <row r="351" ht="11.4" customHeight="1" spans="1:33">
      <c r="A351" s="184" t="s">
        <v>702</v>
      </c>
      <c r="B351" s="184" t="s">
        <v>121</v>
      </c>
      <c r="C351" s="184" t="s">
        <v>1101</v>
      </c>
      <c r="D351" s="185" t="s">
        <v>522</v>
      </c>
      <c r="E351" s="186" t="s">
        <v>906</v>
      </c>
      <c r="F351" s="186" t="s">
        <v>907</v>
      </c>
      <c r="G351" s="186" t="s">
        <v>1102</v>
      </c>
      <c r="H351" s="186" t="s">
        <v>1561</v>
      </c>
      <c r="I351" s="187" t="s">
        <v>1562</v>
      </c>
      <c r="J351" s="187" t="s">
        <v>1563</v>
      </c>
      <c r="K351" s="188"/>
      <c r="L351" s="188"/>
      <c r="M351" s="189" t="s">
        <v>847</v>
      </c>
      <c r="N351" s="190">
        <v>139.73</v>
      </c>
      <c r="O351" s="190">
        <f t="shared" si="40"/>
        <v>152.31</v>
      </c>
      <c r="P351" s="191">
        <f t="shared" si="41"/>
        <v>0</v>
      </c>
      <c r="Q351" s="192">
        <f t="shared" si="42"/>
        <v>0</v>
      </c>
      <c r="R351" s="193"/>
      <c r="S351" s="194"/>
      <c r="T351" s="195">
        <f t="shared" si="43"/>
        <v>0</v>
      </c>
      <c r="U351" s="195">
        <f t="shared" si="44"/>
        <v>0</v>
      </c>
      <c r="V351" s="195">
        <f t="shared" si="45"/>
        <v>0</v>
      </c>
      <c r="W351" s="196" t="e">
        <f t="shared" si="46"/>
        <v>#DIV/0!</v>
      </c>
      <c r="X351" s="197" t="e">
        <f t="shared" si="47"/>
        <v>#DIV/0!</v>
      </c>
      <c r="AG351" s="219" t="s">
        <v>1361</v>
      </c>
    </row>
    <row r="352" ht="11.4" customHeight="1" spans="1:33">
      <c r="A352" s="184" t="s">
        <v>702</v>
      </c>
      <c r="B352" s="184" t="s">
        <v>121</v>
      </c>
      <c r="C352" s="184" t="s">
        <v>1101</v>
      </c>
      <c r="D352" s="185" t="s">
        <v>522</v>
      </c>
      <c r="E352" s="186" t="s">
        <v>906</v>
      </c>
      <c r="F352" s="186" t="s">
        <v>907</v>
      </c>
      <c r="G352" s="186" t="s">
        <v>1102</v>
      </c>
      <c r="H352" s="186" t="s">
        <v>1561</v>
      </c>
      <c r="I352" s="187" t="s">
        <v>1564</v>
      </c>
      <c r="J352" s="222" t="s">
        <v>1565</v>
      </c>
      <c r="K352" s="188"/>
      <c r="L352" s="188"/>
      <c r="M352" s="189" t="s">
        <v>807</v>
      </c>
      <c r="N352" s="190">
        <v>93.71</v>
      </c>
      <c r="O352" s="190">
        <f t="shared" si="40"/>
        <v>102.14</v>
      </c>
      <c r="P352" s="191">
        <f t="shared" si="41"/>
        <v>0</v>
      </c>
      <c r="Q352" s="192">
        <f t="shared" si="42"/>
        <v>0</v>
      </c>
      <c r="R352" s="193"/>
      <c r="S352" s="194"/>
      <c r="T352" s="195">
        <f t="shared" si="43"/>
        <v>0</v>
      </c>
      <c r="U352" s="195">
        <f t="shared" si="44"/>
        <v>0</v>
      </c>
      <c r="V352" s="195">
        <f t="shared" si="45"/>
        <v>0</v>
      </c>
      <c r="W352" s="196" t="e">
        <f t="shared" si="46"/>
        <v>#DIV/0!</v>
      </c>
      <c r="X352" s="197" t="e">
        <f t="shared" si="47"/>
        <v>#DIV/0!</v>
      </c>
    </row>
    <row r="353" ht="11.4" customHeight="1" spans="1:34">
      <c r="A353" s="184" t="s">
        <v>702</v>
      </c>
      <c r="B353" s="184" t="s">
        <v>121</v>
      </c>
      <c r="C353" s="184" t="s">
        <v>1101</v>
      </c>
      <c r="D353" s="185" t="s">
        <v>522</v>
      </c>
      <c r="E353" s="186" t="s">
        <v>906</v>
      </c>
      <c r="F353" s="186" t="s">
        <v>907</v>
      </c>
      <c r="G353" s="186" t="s">
        <v>1102</v>
      </c>
      <c r="H353" s="186" t="s">
        <v>1566</v>
      </c>
      <c r="I353" s="187" t="s">
        <v>1567</v>
      </c>
      <c r="J353" s="187" t="s">
        <v>1568</v>
      </c>
      <c r="K353" s="188"/>
      <c r="L353" s="188"/>
      <c r="M353" s="189" t="s">
        <v>807</v>
      </c>
      <c r="N353" s="190">
        <v>2589.58</v>
      </c>
      <c r="O353" s="190">
        <f t="shared" si="40"/>
        <v>2822.64</v>
      </c>
      <c r="P353" s="191">
        <f t="shared" si="41"/>
        <v>0</v>
      </c>
      <c r="Q353" s="192">
        <f t="shared" si="42"/>
        <v>0</v>
      </c>
      <c r="R353" s="193"/>
      <c r="S353" s="194"/>
      <c r="T353" s="195">
        <f t="shared" si="43"/>
        <v>0</v>
      </c>
      <c r="U353" s="195">
        <f t="shared" si="44"/>
        <v>0</v>
      </c>
      <c r="V353" s="195">
        <f t="shared" si="45"/>
        <v>0</v>
      </c>
      <c r="W353" s="196" t="e">
        <f t="shared" si="46"/>
        <v>#DIV/0!</v>
      </c>
      <c r="X353" s="197" t="e">
        <f t="shared" si="47"/>
        <v>#DIV/0!</v>
      </c>
      <c r="AG353" s="219" t="s">
        <v>1569</v>
      </c>
    </row>
    <row r="354" ht="11.4" customHeight="1" spans="1:34">
      <c r="A354" s="184" t="s">
        <v>702</v>
      </c>
      <c r="B354" s="184" t="s">
        <v>121</v>
      </c>
      <c r="C354" s="184" t="s">
        <v>1101</v>
      </c>
      <c r="D354" s="185" t="s">
        <v>522</v>
      </c>
      <c r="E354" s="186" t="s">
        <v>906</v>
      </c>
      <c r="F354" s="186" t="s">
        <v>907</v>
      </c>
      <c r="G354" s="186" t="s">
        <v>1102</v>
      </c>
      <c r="H354" s="186" t="s">
        <v>1566</v>
      </c>
      <c r="I354" s="187" t="s">
        <v>1570</v>
      </c>
      <c r="J354" s="187" t="s">
        <v>1571</v>
      </c>
      <c r="K354" s="188">
        <v>0.9</v>
      </c>
      <c r="L354" s="188">
        <v>0.9</v>
      </c>
      <c r="M354" s="189" t="s">
        <v>807</v>
      </c>
      <c r="N354" s="190">
        <v>1470.3</v>
      </c>
      <c r="O354" s="190">
        <f t="shared" si="40"/>
        <v>1602.63</v>
      </c>
      <c r="P354" s="191">
        <f t="shared" si="41"/>
        <v>1323.27</v>
      </c>
      <c r="Q354" s="192">
        <f t="shared" si="42"/>
        <v>1323.27</v>
      </c>
      <c r="R354" s="193"/>
      <c r="S354" s="194"/>
      <c r="T354" s="195">
        <f t="shared" si="43"/>
        <v>0</v>
      </c>
      <c r="U354" s="195">
        <f t="shared" si="44"/>
        <v>0</v>
      </c>
      <c r="V354" s="195">
        <f t="shared" si="45"/>
        <v>0</v>
      </c>
      <c r="W354" s="196">
        <f t="shared" si="46"/>
        <v>0</v>
      </c>
      <c r="X354" s="197">
        <f t="shared" si="47"/>
        <v>0</v>
      </c>
      <c r="AG354" s="219" t="s">
        <v>1569</v>
      </c>
    </row>
    <row r="355" ht="11.4" customHeight="1" spans="1:34">
      <c r="A355" s="184" t="s">
        <v>702</v>
      </c>
      <c r="B355" s="184" t="s">
        <v>121</v>
      </c>
      <c r="C355" s="184" t="s">
        <v>1101</v>
      </c>
      <c r="D355" s="185" t="s">
        <v>522</v>
      </c>
      <c r="E355" s="186" t="s">
        <v>906</v>
      </c>
      <c r="F355" s="186" t="s">
        <v>907</v>
      </c>
      <c r="G355" s="186" t="s">
        <v>1102</v>
      </c>
      <c r="H355" s="186" t="s">
        <v>1566</v>
      </c>
      <c r="I355" s="187" t="s">
        <v>1572</v>
      </c>
      <c r="J355" s="187" t="s">
        <v>1573</v>
      </c>
      <c r="K355" s="188"/>
      <c r="L355" s="188"/>
      <c r="M355" s="189" t="s">
        <v>989</v>
      </c>
      <c r="N355" s="190">
        <v>2108.28</v>
      </c>
      <c r="O355" s="190">
        <f t="shared" si="40"/>
        <v>2298.03</v>
      </c>
      <c r="P355" s="191">
        <f t="shared" si="41"/>
        <v>0</v>
      </c>
      <c r="Q355" s="192">
        <f t="shared" si="42"/>
        <v>0</v>
      </c>
      <c r="R355" s="193"/>
      <c r="S355" s="194"/>
      <c r="T355" s="195">
        <f t="shared" si="43"/>
        <v>0</v>
      </c>
      <c r="U355" s="195">
        <f t="shared" si="44"/>
        <v>0</v>
      </c>
      <c r="V355" s="195">
        <f t="shared" si="45"/>
        <v>0</v>
      </c>
      <c r="W355" s="196" t="e">
        <f t="shared" si="46"/>
        <v>#DIV/0!</v>
      </c>
      <c r="X355" s="197" t="e">
        <f t="shared" si="47"/>
        <v>#DIV/0!</v>
      </c>
    </row>
    <row r="356" ht="11.4" customHeight="1" spans="1:34">
      <c r="A356" s="184" t="s">
        <v>702</v>
      </c>
      <c r="B356" s="184" t="s">
        <v>121</v>
      </c>
      <c r="C356" s="184" t="s">
        <v>1101</v>
      </c>
      <c r="D356" s="185" t="s">
        <v>522</v>
      </c>
      <c r="E356" s="186" t="s">
        <v>906</v>
      </c>
      <c r="F356" s="186" t="s">
        <v>907</v>
      </c>
      <c r="G356" s="186" t="s">
        <v>1102</v>
      </c>
      <c r="H356" s="186" t="s">
        <v>1566</v>
      </c>
      <c r="I356" s="187" t="s">
        <v>1574</v>
      </c>
      <c r="J356" s="187" t="s">
        <v>1575</v>
      </c>
      <c r="K356" s="188"/>
      <c r="L356" s="188"/>
      <c r="M356" s="189" t="s">
        <v>807</v>
      </c>
      <c r="N356" s="190">
        <v>2215.04</v>
      </c>
      <c r="O356" s="190">
        <f t="shared" si="40"/>
        <v>2414.39</v>
      </c>
      <c r="P356" s="191">
        <f t="shared" si="41"/>
        <v>0</v>
      </c>
      <c r="Q356" s="192">
        <f t="shared" si="42"/>
        <v>0</v>
      </c>
      <c r="R356" s="193"/>
      <c r="S356" s="194"/>
      <c r="T356" s="195">
        <f t="shared" si="43"/>
        <v>0</v>
      </c>
      <c r="U356" s="195">
        <f t="shared" si="44"/>
        <v>0</v>
      </c>
      <c r="V356" s="195">
        <f t="shared" si="45"/>
        <v>0</v>
      </c>
      <c r="W356" s="196" t="e">
        <f t="shared" si="46"/>
        <v>#DIV/0!</v>
      </c>
      <c r="X356" s="197" t="e">
        <f t="shared" si="47"/>
        <v>#DIV/0!</v>
      </c>
      <c r="AG356" s="219" t="s">
        <v>1569</v>
      </c>
    </row>
    <row r="357" ht="11.4" customHeight="1" spans="1:34">
      <c r="A357" s="184" t="s">
        <v>702</v>
      </c>
      <c r="B357" s="184" t="s">
        <v>121</v>
      </c>
      <c r="C357" s="184" t="s">
        <v>1101</v>
      </c>
      <c r="D357" s="185" t="s">
        <v>522</v>
      </c>
      <c r="E357" s="186" t="s">
        <v>906</v>
      </c>
      <c r="F357" s="186" t="s">
        <v>907</v>
      </c>
      <c r="G357" s="186" t="s">
        <v>1102</v>
      </c>
      <c r="H357" s="186" t="s">
        <v>1566</v>
      </c>
      <c r="I357" s="187" t="s">
        <v>1576</v>
      </c>
      <c r="J357" s="222" t="s">
        <v>1577</v>
      </c>
      <c r="K357" s="188"/>
      <c r="L357" s="188"/>
      <c r="M357" s="189" t="s">
        <v>807</v>
      </c>
      <c r="N357" s="190">
        <v>3467.2</v>
      </c>
      <c r="O357" s="190">
        <f t="shared" si="40"/>
        <v>3779.25</v>
      </c>
      <c r="P357" s="191">
        <f t="shared" si="41"/>
        <v>0</v>
      </c>
      <c r="Q357" s="192">
        <f t="shared" si="42"/>
        <v>0</v>
      </c>
      <c r="R357" s="193"/>
      <c r="S357" s="194"/>
      <c r="T357" s="195">
        <f t="shared" si="43"/>
        <v>0</v>
      </c>
      <c r="U357" s="195">
        <f t="shared" si="44"/>
        <v>0</v>
      </c>
      <c r="V357" s="195">
        <f t="shared" si="45"/>
        <v>0</v>
      </c>
      <c r="W357" s="196" t="e">
        <f t="shared" si="46"/>
        <v>#DIV/0!</v>
      </c>
      <c r="X357" s="197" t="e">
        <f t="shared" si="47"/>
        <v>#DIV/0!</v>
      </c>
      <c r="AG357" s="219" t="s">
        <v>1569</v>
      </c>
    </row>
    <row r="358" ht="11.4" customHeight="1" spans="1:34">
      <c r="A358" s="184" t="s">
        <v>702</v>
      </c>
      <c r="B358" s="184" t="s">
        <v>121</v>
      </c>
      <c r="C358" s="184" t="s">
        <v>1101</v>
      </c>
      <c r="D358" s="185" t="s">
        <v>522</v>
      </c>
      <c r="E358" s="186" t="s">
        <v>906</v>
      </c>
      <c r="F358" s="186" t="s">
        <v>907</v>
      </c>
      <c r="G358" s="186" t="s">
        <v>1102</v>
      </c>
      <c r="H358" s="186" t="s">
        <v>1566</v>
      </c>
      <c r="I358" s="187" t="s">
        <v>1578</v>
      </c>
      <c r="J358" s="187" t="s">
        <v>1579</v>
      </c>
      <c r="K358" s="188">
        <v>1</v>
      </c>
      <c r="L358" s="188">
        <v>1</v>
      </c>
      <c r="M358" s="189" t="s">
        <v>1580</v>
      </c>
      <c r="N358" s="190">
        <v>667.81</v>
      </c>
      <c r="O358" s="190">
        <f t="shared" si="40"/>
        <v>727.91</v>
      </c>
      <c r="P358" s="191">
        <f t="shared" si="41"/>
        <v>667.81</v>
      </c>
      <c r="Q358" s="192">
        <f t="shared" si="42"/>
        <v>667.81</v>
      </c>
      <c r="R358" s="193"/>
      <c r="S358" s="194"/>
      <c r="T358" s="195">
        <f t="shared" si="43"/>
        <v>0</v>
      </c>
      <c r="U358" s="195">
        <f t="shared" si="44"/>
        <v>0</v>
      </c>
      <c r="V358" s="195">
        <f t="shared" si="45"/>
        <v>0</v>
      </c>
      <c r="W358" s="196">
        <f t="shared" si="46"/>
        <v>0</v>
      </c>
      <c r="X358" s="197">
        <f t="shared" si="47"/>
        <v>0</v>
      </c>
      <c r="AG358" s="219" t="s">
        <v>990</v>
      </c>
    </row>
    <row r="359" ht="11.4" customHeight="1" spans="1:34">
      <c r="A359" s="184" t="s">
        <v>702</v>
      </c>
      <c r="B359" s="184" t="s">
        <v>121</v>
      </c>
      <c r="C359" s="184" t="s">
        <v>1101</v>
      </c>
      <c r="D359" s="185" t="s">
        <v>522</v>
      </c>
      <c r="E359" s="186" t="s">
        <v>906</v>
      </c>
      <c r="F359" s="186" t="s">
        <v>907</v>
      </c>
      <c r="G359" s="186" t="s">
        <v>1102</v>
      </c>
      <c r="H359" s="186" t="s">
        <v>1566</v>
      </c>
      <c r="I359" s="187" t="s">
        <v>1581</v>
      </c>
      <c r="J359" s="187" t="s">
        <v>1582</v>
      </c>
      <c r="K359" s="188"/>
      <c r="L359" s="188"/>
      <c r="M359" s="189" t="s">
        <v>1018</v>
      </c>
      <c r="N359" s="190">
        <v>202</v>
      </c>
      <c r="O359" s="190">
        <f t="shared" si="40"/>
        <v>220.18</v>
      </c>
      <c r="P359" s="191">
        <f t="shared" si="41"/>
        <v>0</v>
      </c>
      <c r="Q359" s="192">
        <f t="shared" si="42"/>
        <v>0</v>
      </c>
      <c r="R359" s="193"/>
      <c r="S359" s="194"/>
      <c r="T359" s="195">
        <f t="shared" si="43"/>
        <v>0</v>
      </c>
      <c r="U359" s="195">
        <f t="shared" si="44"/>
        <v>0</v>
      </c>
      <c r="V359" s="195">
        <f t="shared" si="45"/>
        <v>0</v>
      </c>
      <c r="W359" s="196" t="e">
        <f t="shared" si="46"/>
        <v>#DIV/0!</v>
      </c>
      <c r="X359" s="197" t="e">
        <f t="shared" si="47"/>
        <v>#DIV/0!</v>
      </c>
    </row>
    <row r="360" ht="11.4" customHeight="1" spans="1:34">
      <c r="A360" s="184" t="s">
        <v>702</v>
      </c>
      <c r="B360" s="184" t="s">
        <v>121</v>
      </c>
      <c r="C360" s="184" t="s">
        <v>1101</v>
      </c>
      <c r="D360" s="185" t="s">
        <v>522</v>
      </c>
      <c r="E360" s="186" t="s">
        <v>906</v>
      </c>
      <c r="F360" s="186" t="s">
        <v>907</v>
      </c>
      <c r="G360" s="186" t="s">
        <v>1102</v>
      </c>
      <c r="H360" s="186" t="s">
        <v>1566</v>
      </c>
      <c r="I360" s="187" t="s">
        <v>1583</v>
      </c>
      <c r="J360" s="187" t="s">
        <v>1584</v>
      </c>
      <c r="K360" s="188"/>
      <c r="L360" s="188"/>
      <c r="M360" s="189" t="s">
        <v>793</v>
      </c>
      <c r="N360" s="190">
        <v>350</v>
      </c>
      <c r="O360" s="190">
        <f t="shared" si="40"/>
        <v>381.5</v>
      </c>
      <c r="P360" s="191">
        <f t="shared" si="41"/>
        <v>0</v>
      </c>
      <c r="Q360" s="192">
        <f t="shared" si="42"/>
        <v>0</v>
      </c>
      <c r="R360" s="193"/>
      <c r="S360" s="194"/>
      <c r="T360" s="195">
        <f t="shared" si="43"/>
        <v>0</v>
      </c>
      <c r="U360" s="195">
        <f t="shared" si="44"/>
        <v>0</v>
      </c>
      <c r="V360" s="195">
        <f t="shared" si="45"/>
        <v>0</v>
      </c>
      <c r="W360" s="196" t="e">
        <f t="shared" si="46"/>
        <v>#DIV/0!</v>
      </c>
      <c r="X360" s="197" t="e">
        <f t="shared" si="47"/>
        <v>#DIV/0!</v>
      </c>
      <c r="AH360" s="219" t="s">
        <v>1585</v>
      </c>
    </row>
    <row r="361" ht="11.4" customHeight="1" spans="1:34">
      <c r="A361" s="184" t="s">
        <v>702</v>
      </c>
      <c r="B361" s="184" t="s">
        <v>121</v>
      </c>
      <c r="C361" s="184" t="s">
        <v>1101</v>
      </c>
      <c r="D361" s="185" t="s">
        <v>522</v>
      </c>
      <c r="E361" s="186" t="s">
        <v>906</v>
      </c>
      <c r="F361" s="186" t="s">
        <v>907</v>
      </c>
      <c r="G361" s="186" t="s">
        <v>1102</v>
      </c>
      <c r="H361" s="186" t="s">
        <v>737</v>
      </c>
      <c r="I361" s="187" t="s">
        <v>1586</v>
      </c>
      <c r="J361" s="187" t="s">
        <v>1587</v>
      </c>
      <c r="K361" s="188"/>
      <c r="L361" s="188"/>
      <c r="M361" s="189" t="s">
        <v>989</v>
      </c>
      <c r="N361" s="190">
        <v>168.19</v>
      </c>
      <c r="O361" s="190">
        <f t="shared" si="40"/>
        <v>183.33</v>
      </c>
      <c r="P361" s="191">
        <f t="shared" si="41"/>
        <v>0</v>
      </c>
      <c r="Q361" s="192">
        <f t="shared" si="42"/>
        <v>0</v>
      </c>
      <c r="R361" s="193"/>
      <c r="S361" s="194"/>
      <c r="T361" s="195">
        <f t="shared" si="43"/>
        <v>0</v>
      </c>
      <c r="U361" s="195">
        <f t="shared" si="44"/>
        <v>0</v>
      </c>
      <c r="V361" s="195">
        <f t="shared" si="45"/>
        <v>0</v>
      </c>
      <c r="W361" s="196" t="e">
        <f t="shared" si="46"/>
        <v>#DIV/0!</v>
      </c>
      <c r="X361" s="197" t="e">
        <f t="shared" si="47"/>
        <v>#DIV/0!</v>
      </c>
      <c r="AG361" s="219" t="s">
        <v>990</v>
      </c>
    </row>
    <row r="362" ht="11.4" customHeight="1" spans="1:34">
      <c r="A362" s="184" t="s">
        <v>702</v>
      </c>
      <c r="B362" s="184" t="s">
        <v>121</v>
      </c>
      <c r="C362" s="184" t="s">
        <v>1101</v>
      </c>
      <c r="D362" s="185" t="s">
        <v>522</v>
      </c>
      <c r="E362" s="186" t="s">
        <v>906</v>
      </c>
      <c r="F362" s="186" t="s">
        <v>907</v>
      </c>
      <c r="G362" s="186" t="s">
        <v>1102</v>
      </c>
      <c r="H362" s="186" t="s">
        <v>737</v>
      </c>
      <c r="I362" s="187" t="s">
        <v>1588</v>
      </c>
      <c r="J362" s="222" t="s">
        <v>1589</v>
      </c>
      <c r="K362" s="188"/>
      <c r="L362" s="188"/>
      <c r="M362" s="189" t="s">
        <v>807</v>
      </c>
      <c r="N362" s="190">
        <v>40.03</v>
      </c>
      <c r="O362" s="190">
        <f t="shared" si="40"/>
        <v>43.63</v>
      </c>
      <c r="P362" s="191">
        <f t="shared" si="41"/>
        <v>0</v>
      </c>
      <c r="Q362" s="192">
        <f t="shared" si="42"/>
        <v>0</v>
      </c>
      <c r="R362" s="193"/>
      <c r="S362" s="194"/>
      <c r="T362" s="195">
        <f t="shared" si="43"/>
        <v>0</v>
      </c>
      <c r="U362" s="195">
        <f t="shared" si="44"/>
        <v>0</v>
      </c>
      <c r="V362" s="195">
        <f t="shared" si="45"/>
        <v>0</v>
      </c>
      <c r="W362" s="196" t="e">
        <f t="shared" si="46"/>
        <v>#DIV/0!</v>
      </c>
      <c r="X362" s="197" t="e">
        <f t="shared" si="47"/>
        <v>#DIV/0!</v>
      </c>
      <c r="AG362" s="109" t="s">
        <v>1398</v>
      </c>
    </row>
    <row r="363" ht="11.4" customHeight="1" spans="1:34">
      <c r="A363" s="184" t="s">
        <v>702</v>
      </c>
      <c r="B363" s="184" t="s">
        <v>121</v>
      </c>
      <c r="C363" s="184" t="s">
        <v>1101</v>
      </c>
      <c r="D363" s="185" t="s">
        <v>522</v>
      </c>
      <c r="E363" s="186" t="s">
        <v>906</v>
      </c>
      <c r="F363" s="186" t="s">
        <v>907</v>
      </c>
      <c r="G363" s="186" t="s">
        <v>1102</v>
      </c>
      <c r="H363" s="186" t="s">
        <v>737</v>
      </c>
      <c r="I363" s="187" t="s">
        <v>1590</v>
      </c>
      <c r="J363" s="187" t="s">
        <v>1591</v>
      </c>
      <c r="K363" s="188"/>
      <c r="L363" s="188"/>
      <c r="M363" s="189" t="s">
        <v>1018</v>
      </c>
      <c r="N363" s="190">
        <v>60.02</v>
      </c>
      <c r="O363" s="190">
        <f t="shared" si="40"/>
        <v>65.42</v>
      </c>
      <c r="P363" s="191">
        <f t="shared" si="41"/>
        <v>0</v>
      </c>
      <c r="Q363" s="192">
        <f t="shared" si="42"/>
        <v>0</v>
      </c>
      <c r="R363" s="193"/>
      <c r="S363" s="194"/>
      <c r="T363" s="195">
        <f t="shared" si="43"/>
        <v>0</v>
      </c>
      <c r="U363" s="195">
        <f t="shared" si="44"/>
        <v>0</v>
      </c>
      <c r="V363" s="195">
        <f t="shared" si="45"/>
        <v>0</v>
      </c>
      <c r="W363" s="196" t="e">
        <f t="shared" si="46"/>
        <v>#DIV/0!</v>
      </c>
      <c r="X363" s="197" t="e">
        <f t="shared" si="47"/>
        <v>#DIV/0!</v>
      </c>
      <c r="AG363" s="219" t="s">
        <v>990</v>
      </c>
    </row>
    <row r="364" ht="11.4" customHeight="1" spans="1:34">
      <c r="A364" s="184" t="s">
        <v>702</v>
      </c>
      <c r="B364" s="184" t="s">
        <v>121</v>
      </c>
      <c r="C364" s="184" t="s">
        <v>1101</v>
      </c>
      <c r="D364" s="185" t="s">
        <v>522</v>
      </c>
      <c r="E364" s="186" t="s">
        <v>906</v>
      </c>
      <c r="F364" s="186" t="s">
        <v>907</v>
      </c>
      <c r="G364" s="186" t="s">
        <v>1102</v>
      </c>
      <c r="H364" s="186" t="s">
        <v>1592</v>
      </c>
      <c r="I364" s="187" t="s">
        <v>1593</v>
      </c>
      <c r="J364" s="187" t="s">
        <v>1594</v>
      </c>
      <c r="K364" s="188"/>
      <c r="L364" s="188"/>
      <c r="M364" s="189" t="s">
        <v>847</v>
      </c>
      <c r="N364" s="190">
        <v>618.3</v>
      </c>
      <c r="O364" s="190">
        <f t="shared" si="40"/>
        <v>673.95</v>
      </c>
      <c r="P364" s="191">
        <f t="shared" si="41"/>
        <v>0</v>
      </c>
      <c r="Q364" s="192">
        <f t="shared" si="42"/>
        <v>0</v>
      </c>
      <c r="R364" s="193"/>
      <c r="S364" s="194"/>
      <c r="T364" s="195">
        <f t="shared" si="43"/>
        <v>0</v>
      </c>
      <c r="U364" s="195">
        <f t="shared" si="44"/>
        <v>0</v>
      </c>
      <c r="V364" s="195">
        <f t="shared" si="45"/>
        <v>0</v>
      </c>
      <c r="W364" s="196" t="e">
        <f t="shared" si="46"/>
        <v>#DIV/0!</v>
      </c>
      <c r="X364" s="197" t="e">
        <f t="shared" si="47"/>
        <v>#DIV/0!</v>
      </c>
      <c r="AG364" s="219" t="s">
        <v>865</v>
      </c>
    </row>
    <row r="365" ht="11.4" customHeight="1" spans="1:34">
      <c r="A365" s="184" t="s">
        <v>702</v>
      </c>
      <c r="B365" s="184" t="s">
        <v>121</v>
      </c>
      <c r="C365" s="184" t="s">
        <v>1101</v>
      </c>
      <c r="D365" s="185" t="s">
        <v>522</v>
      </c>
      <c r="E365" s="186" t="s">
        <v>906</v>
      </c>
      <c r="F365" s="186" t="s">
        <v>907</v>
      </c>
      <c r="G365" s="186" t="s">
        <v>1102</v>
      </c>
      <c r="H365" s="186" t="s">
        <v>1592</v>
      </c>
      <c r="I365" s="187" t="s">
        <v>1595</v>
      </c>
      <c r="J365" s="187" t="s">
        <v>1596</v>
      </c>
      <c r="K365" s="188"/>
      <c r="L365" s="188"/>
      <c r="M365" s="189" t="s">
        <v>989</v>
      </c>
      <c r="N365" s="190">
        <v>432.3</v>
      </c>
      <c r="O365" s="190">
        <f t="shared" si="40"/>
        <v>471.21</v>
      </c>
      <c r="P365" s="191">
        <f t="shared" si="41"/>
        <v>0</v>
      </c>
      <c r="Q365" s="192">
        <f t="shared" si="42"/>
        <v>0</v>
      </c>
      <c r="R365" s="193"/>
      <c r="S365" s="194"/>
      <c r="T365" s="195">
        <f t="shared" si="43"/>
        <v>0</v>
      </c>
      <c r="U365" s="195">
        <f t="shared" si="44"/>
        <v>0</v>
      </c>
      <c r="V365" s="195">
        <f t="shared" si="45"/>
        <v>0</v>
      </c>
      <c r="W365" s="196" t="e">
        <f t="shared" si="46"/>
        <v>#DIV/0!</v>
      </c>
      <c r="X365" s="197" t="e">
        <f t="shared" si="47"/>
        <v>#DIV/0!</v>
      </c>
      <c r="AG365" s="219" t="s">
        <v>990</v>
      </c>
    </row>
    <row r="366" ht="11.4" customHeight="1" spans="1:34">
      <c r="A366" s="184" t="s">
        <v>702</v>
      </c>
      <c r="B366" s="184" t="s">
        <v>121</v>
      </c>
      <c r="C366" s="184" t="s">
        <v>1101</v>
      </c>
      <c r="D366" s="185" t="s">
        <v>522</v>
      </c>
      <c r="E366" s="186" t="s">
        <v>906</v>
      </c>
      <c r="F366" s="186" t="s">
        <v>907</v>
      </c>
      <c r="G366" s="186" t="s">
        <v>1102</v>
      </c>
      <c r="H366" s="186" t="s">
        <v>1592</v>
      </c>
      <c r="I366" s="187" t="s">
        <v>1597</v>
      </c>
      <c r="J366" s="187" t="s">
        <v>1598</v>
      </c>
      <c r="K366" s="188"/>
      <c r="L366" s="188"/>
      <c r="M366" s="189" t="s">
        <v>847</v>
      </c>
      <c r="N366" s="190">
        <v>618.3</v>
      </c>
      <c r="O366" s="190">
        <f t="shared" si="40"/>
        <v>673.95</v>
      </c>
      <c r="P366" s="191">
        <f t="shared" si="41"/>
        <v>0</v>
      </c>
      <c r="Q366" s="192">
        <f t="shared" si="42"/>
        <v>0</v>
      </c>
      <c r="R366" s="193"/>
      <c r="S366" s="194"/>
      <c r="T366" s="195">
        <f t="shared" si="43"/>
        <v>0</v>
      </c>
      <c r="U366" s="195">
        <f t="shared" si="44"/>
        <v>0</v>
      </c>
      <c r="V366" s="195">
        <f t="shared" si="45"/>
        <v>0</v>
      </c>
      <c r="W366" s="196" t="e">
        <f t="shared" si="46"/>
        <v>#DIV/0!</v>
      </c>
      <c r="X366" s="197" t="e">
        <f t="shared" si="47"/>
        <v>#DIV/0!</v>
      </c>
      <c r="AG366" s="219" t="s">
        <v>865</v>
      </c>
    </row>
    <row r="367" ht="11.4" customHeight="1" spans="1:34">
      <c r="A367" s="184" t="s">
        <v>702</v>
      </c>
      <c r="B367" s="184" t="s">
        <v>121</v>
      </c>
      <c r="C367" s="184" t="s">
        <v>1101</v>
      </c>
      <c r="D367" s="185" t="s">
        <v>522</v>
      </c>
      <c r="E367" s="186" t="s">
        <v>906</v>
      </c>
      <c r="F367" s="186" t="s">
        <v>907</v>
      </c>
      <c r="G367" s="186" t="s">
        <v>1102</v>
      </c>
      <c r="H367" s="186" t="s">
        <v>1592</v>
      </c>
      <c r="I367" s="187" t="s">
        <v>1599</v>
      </c>
      <c r="J367" s="187" t="s">
        <v>1600</v>
      </c>
      <c r="K367" s="188"/>
      <c r="L367" s="188"/>
      <c r="M367" s="189" t="s">
        <v>989</v>
      </c>
      <c r="N367" s="190">
        <v>432.3</v>
      </c>
      <c r="O367" s="190">
        <f t="shared" si="40"/>
        <v>471.21</v>
      </c>
      <c r="P367" s="191">
        <f t="shared" si="41"/>
        <v>0</v>
      </c>
      <c r="Q367" s="192">
        <f t="shared" si="42"/>
        <v>0</v>
      </c>
      <c r="R367" s="193"/>
      <c r="S367" s="194"/>
      <c r="T367" s="195">
        <f t="shared" si="43"/>
        <v>0</v>
      </c>
      <c r="U367" s="195">
        <f t="shared" si="44"/>
        <v>0</v>
      </c>
      <c r="V367" s="195">
        <f t="shared" si="45"/>
        <v>0</v>
      </c>
      <c r="W367" s="196" t="e">
        <f t="shared" si="46"/>
        <v>#DIV/0!</v>
      </c>
      <c r="X367" s="197" t="e">
        <f t="shared" si="47"/>
        <v>#DIV/0!</v>
      </c>
      <c r="AG367" s="219" t="s">
        <v>990</v>
      </c>
    </row>
    <row r="368" ht="11.4" customHeight="1" spans="1:34">
      <c r="A368" s="184" t="s">
        <v>702</v>
      </c>
      <c r="B368" s="184" t="s">
        <v>121</v>
      </c>
      <c r="C368" s="184" t="s">
        <v>1101</v>
      </c>
      <c r="D368" s="185" t="s">
        <v>522</v>
      </c>
      <c r="E368" s="186" t="s">
        <v>906</v>
      </c>
      <c r="F368" s="186" t="s">
        <v>907</v>
      </c>
      <c r="G368" s="186" t="s">
        <v>1102</v>
      </c>
      <c r="H368" s="186" t="s">
        <v>1592</v>
      </c>
      <c r="I368" s="187" t="s">
        <v>1601</v>
      </c>
      <c r="J368" s="187" t="s">
        <v>1602</v>
      </c>
      <c r="K368" s="188"/>
      <c r="L368" s="188"/>
      <c r="M368" s="189" t="s">
        <v>847</v>
      </c>
      <c r="N368" s="190">
        <v>661.33</v>
      </c>
      <c r="O368" s="190">
        <f t="shared" si="40"/>
        <v>720.85</v>
      </c>
      <c r="P368" s="191">
        <f t="shared" si="41"/>
        <v>0</v>
      </c>
      <c r="Q368" s="192">
        <f t="shared" si="42"/>
        <v>0</v>
      </c>
      <c r="R368" s="193"/>
      <c r="S368" s="194"/>
      <c r="T368" s="195">
        <f t="shared" si="43"/>
        <v>0</v>
      </c>
      <c r="U368" s="195">
        <f t="shared" si="44"/>
        <v>0</v>
      </c>
      <c r="V368" s="195">
        <f t="shared" si="45"/>
        <v>0</v>
      </c>
      <c r="W368" s="196" t="e">
        <f t="shared" si="46"/>
        <v>#DIV/0!</v>
      </c>
      <c r="X368" s="197" t="e">
        <f t="shared" si="47"/>
        <v>#DIV/0!</v>
      </c>
      <c r="AG368" s="219" t="s">
        <v>865</v>
      </c>
    </row>
    <row r="369" ht="11.4" customHeight="1" spans="1:34">
      <c r="A369" s="184" t="s">
        <v>702</v>
      </c>
      <c r="B369" s="184" t="s">
        <v>121</v>
      </c>
      <c r="C369" s="184" t="s">
        <v>1101</v>
      </c>
      <c r="D369" s="185" t="s">
        <v>522</v>
      </c>
      <c r="E369" s="186" t="s">
        <v>906</v>
      </c>
      <c r="F369" s="186" t="s">
        <v>907</v>
      </c>
      <c r="G369" s="186" t="s">
        <v>1102</v>
      </c>
      <c r="H369" s="186" t="s">
        <v>1592</v>
      </c>
      <c r="I369" s="187" t="s">
        <v>1603</v>
      </c>
      <c r="J369" s="187" t="s">
        <v>1604</v>
      </c>
      <c r="K369" s="188"/>
      <c r="L369" s="188"/>
      <c r="M369" s="189" t="s">
        <v>989</v>
      </c>
      <c r="N369" s="190">
        <v>466.75</v>
      </c>
      <c r="O369" s="190">
        <f t="shared" si="40"/>
        <v>508.76</v>
      </c>
      <c r="P369" s="191">
        <f t="shared" si="41"/>
        <v>0</v>
      </c>
      <c r="Q369" s="192">
        <f t="shared" si="42"/>
        <v>0</v>
      </c>
      <c r="R369" s="193"/>
      <c r="S369" s="194"/>
      <c r="T369" s="195">
        <f t="shared" si="43"/>
        <v>0</v>
      </c>
      <c r="U369" s="195">
        <f t="shared" si="44"/>
        <v>0</v>
      </c>
      <c r="V369" s="195">
        <f t="shared" si="45"/>
        <v>0</v>
      </c>
      <c r="W369" s="196" t="e">
        <f t="shared" si="46"/>
        <v>#DIV/0!</v>
      </c>
      <c r="X369" s="197" t="e">
        <f t="shared" si="47"/>
        <v>#DIV/0!</v>
      </c>
      <c r="AG369" s="219" t="s">
        <v>990</v>
      </c>
    </row>
    <row r="370" ht="11.4" customHeight="1" spans="1:34">
      <c r="A370" s="184" t="s">
        <v>1605</v>
      </c>
      <c r="B370" s="184" t="s">
        <v>136</v>
      </c>
      <c r="C370" s="184" t="s">
        <v>1606</v>
      </c>
      <c r="D370" s="185" t="s">
        <v>522</v>
      </c>
      <c r="E370" s="186" t="s">
        <v>906</v>
      </c>
      <c r="F370" s="186" t="s">
        <v>907</v>
      </c>
      <c r="G370" s="186" t="s">
        <v>1102</v>
      </c>
      <c r="H370" s="186" t="s">
        <v>1607</v>
      </c>
      <c r="I370" s="187" t="s">
        <v>1608</v>
      </c>
      <c r="J370" s="187" t="s">
        <v>1609</v>
      </c>
      <c r="K370" s="188"/>
      <c r="L370" s="188"/>
      <c r="M370" s="189" t="s">
        <v>989</v>
      </c>
      <c r="N370" s="190">
        <v>1581.68</v>
      </c>
      <c r="O370" s="190">
        <f t="shared" si="40"/>
        <v>1724.03</v>
      </c>
      <c r="P370" s="191">
        <f t="shared" si="41"/>
        <v>0</v>
      </c>
      <c r="Q370" s="192">
        <f t="shared" si="42"/>
        <v>0</v>
      </c>
      <c r="R370" s="193"/>
      <c r="S370" s="194"/>
      <c r="T370" s="195">
        <f t="shared" si="43"/>
        <v>0</v>
      </c>
      <c r="U370" s="195">
        <f t="shared" si="44"/>
        <v>0</v>
      </c>
      <c r="V370" s="195">
        <f t="shared" si="45"/>
        <v>0</v>
      </c>
      <c r="W370" s="196" t="e">
        <f t="shared" si="46"/>
        <v>#DIV/0!</v>
      </c>
      <c r="X370" s="197" t="e">
        <f t="shared" si="47"/>
        <v>#DIV/0!</v>
      </c>
      <c r="AG370" s="219" t="s">
        <v>1610</v>
      </c>
    </row>
    <row r="371" ht="11.4" customHeight="1" spans="1:34">
      <c r="A371" s="184" t="s">
        <v>1605</v>
      </c>
      <c r="B371" s="184" t="s">
        <v>136</v>
      </c>
      <c r="C371" s="184" t="s">
        <v>1606</v>
      </c>
      <c r="D371" s="185" t="s">
        <v>522</v>
      </c>
      <c r="E371" s="186" t="s">
        <v>906</v>
      </c>
      <c r="F371" s="186" t="s">
        <v>907</v>
      </c>
      <c r="G371" s="186" t="s">
        <v>1102</v>
      </c>
      <c r="H371" s="186" t="s">
        <v>1607</v>
      </c>
      <c r="I371" s="187" t="s">
        <v>1611</v>
      </c>
      <c r="J371" s="187" t="s">
        <v>1612</v>
      </c>
      <c r="K371" s="188"/>
      <c r="L371" s="188"/>
      <c r="M371" s="189" t="s">
        <v>989</v>
      </c>
      <c r="N371" s="190">
        <v>1331.19</v>
      </c>
      <c r="O371" s="190">
        <f t="shared" si="40"/>
        <v>1451</v>
      </c>
      <c r="P371" s="191">
        <f t="shared" si="41"/>
        <v>0</v>
      </c>
      <c r="Q371" s="192">
        <f t="shared" si="42"/>
        <v>0</v>
      </c>
      <c r="R371" s="193"/>
      <c r="S371" s="194"/>
      <c r="T371" s="195">
        <f t="shared" si="43"/>
        <v>0</v>
      </c>
      <c r="U371" s="195">
        <f t="shared" si="44"/>
        <v>0</v>
      </c>
      <c r="V371" s="195">
        <f t="shared" si="45"/>
        <v>0</v>
      </c>
      <c r="W371" s="196" t="e">
        <f t="shared" si="46"/>
        <v>#DIV/0!</v>
      </c>
      <c r="X371" s="197" t="e">
        <f t="shared" si="47"/>
        <v>#DIV/0!</v>
      </c>
      <c r="AG371" s="219" t="s">
        <v>990</v>
      </c>
    </row>
    <row r="372" ht="11.4" customHeight="1" spans="1:34">
      <c r="A372" s="184" t="s">
        <v>1605</v>
      </c>
      <c r="B372" s="184" t="s">
        <v>136</v>
      </c>
      <c r="C372" s="184" t="s">
        <v>1606</v>
      </c>
      <c r="D372" s="185" t="s">
        <v>522</v>
      </c>
      <c r="E372" s="186" t="s">
        <v>906</v>
      </c>
      <c r="F372" s="186" t="s">
        <v>907</v>
      </c>
      <c r="G372" s="186" t="s">
        <v>1102</v>
      </c>
      <c r="H372" s="186" t="s">
        <v>1607</v>
      </c>
      <c r="I372" s="187" t="s">
        <v>1613</v>
      </c>
      <c r="J372" s="187" t="s">
        <v>1614</v>
      </c>
      <c r="K372" s="188"/>
      <c r="L372" s="188"/>
      <c r="M372" s="189" t="s">
        <v>989</v>
      </c>
      <c r="N372" s="190">
        <v>789.14</v>
      </c>
      <c r="O372" s="190">
        <f t="shared" si="40"/>
        <v>860.16</v>
      </c>
      <c r="P372" s="191">
        <f t="shared" si="41"/>
        <v>0</v>
      </c>
      <c r="Q372" s="192">
        <f t="shared" si="42"/>
        <v>0</v>
      </c>
      <c r="R372" s="193"/>
      <c r="S372" s="194"/>
      <c r="T372" s="195">
        <f t="shared" si="43"/>
        <v>0</v>
      </c>
      <c r="U372" s="195">
        <f t="shared" si="44"/>
        <v>0</v>
      </c>
      <c r="V372" s="195">
        <f t="shared" si="45"/>
        <v>0</v>
      </c>
      <c r="W372" s="196" t="e">
        <f t="shared" si="46"/>
        <v>#DIV/0!</v>
      </c>
      <c r="X372" s="197" t="e">
        <f t="shared" si="47"/>
        <v>#DIV/0!</v>
      </c>
      <c r="AG372" s="219" t="s">
        <v>990</v>
      </c>
    </row>
    <row r="373" ht="11.4" customHeight="1" spans="1:34">
      <c r="A373" s="184" t="s">
        <v>1605</v>
      </c>
      <c r="B373" s="184" t="s">
        <v>136</v>
      </c>
      <c r="C373" s="184" t="s">
        <v>1606</v>
      </c>
      <c r="D373" s="185" t="s">
        <v>522</v>
      </c>
      <c r="E373" s="186" t="s">
        <v>906</v>
      </c>
      <c r="F373" s="186" t="s">
        <v>907</v>
      </c>
      <c r="G373" s="186" t="s">
        <v>1102</v>
      </c>
      <c r="H373" s="186" t="s">
        <v>1607</v>
      </c>
      <c r="I373" s="187" t="s">
        <v>1615</v>
      </c>
      <c r="J373" s="187" t="s">
        <v>1616</v>
      </c>
      <c r="K373" s="188"/>
      <c r="L373" s="188"/>
      <c r="M373" s="189" t="s">
        <v>989</v>
      </c>
      <c r="N373" s="190">
        <v>1271.27</v>
      </c>
      <c r="O373" s="190">
        <f t="shared" si="40"/>
        <v>1385.68</v>
      </c>
      <c r="P373" s="191">
        <f t="shared" si="41"/>
        <v>0</v>
      </c>
      <c r="Q373" s="192">
        <f t="shared" si="42"/>
        <v>0</v>
      </c>
      <c r="R373" s="193"/>
      <c r="S373" s="194"/>
      <c r="T373" s="195">
        <f t="shared" si="43"/>
        <v>0</v>
      </c>
      <c r="U373" s="195">
        <f t="shared" si="44"/>
        <v>0</v>
      </c>
      <c r="V373" s="195">
        <f t="shared" si="45"/>
        <v>0</v>
      </c>
      <c r="W373" s="196" t="e">
        <f t="shared" si="46"/>
        <v>#DIV/0!</v>
      </c>
      <c r="X373" s="197" t="e">
        <f t="shared" si="47"/>
        <v>#DIV/0!</v>
      </c>
      <c r="AG373" s="219" t="s">
        <v>990</v>
      </c>
    </row>
    <row r="374" ht="11.4" customHeight="1" spans="1:34">
      <c r="A374" s="184" t="s">
        <v>1605</v>
      </c>
      <c r="B374" s="184" t="s">
        <v>136</v>
      </c>
      <c r="C374" s="184" t="s">
        <v>1606</v>
      </c>
      <c r="D374" s="185" t="s">
        <v>522</v>
      </c>
      <c r="E374" s="186" t="s">
        <v>906</v>
      </c>
      <c r="F374" s="186" t="s">
        <v>907</v>
      </c>
      <c r="G374" s="186" t="s">
        <v>1102</v>
      </c>
      <c r="H374" s="186" t="s">
        <v>1607</v>
      </c>
      <c r="I374" s="187" t="s">
        <v>1617</v>
      </c>
      <c r="J374" s="187" t="s">
        <v>1618</v>
      </c>
      <c r="K374" s="188">
        <v>1</v>
      </c>
      <c r="L374" s="188">
        <v>1</v>
      </c>
      <c r="M374" s="189" t="s">
        <v>989</v>
      </c>
      <c r="N374" s="190">
        <v>2120.68</v>
      </c>
      <c r="O374" s="190">
        <f t="shared" si="40"/>
        <v>2311.54</v>
      </c>
      <c r="P374" s="191">
        <f t="shared" si="41"/>
        <v>2120.68</v>
      </c>
      <c r="Q374" s="192">
        <f t="shared" si="42"/>
        <v>2120.68</v>
      </c>
      <c r="R374" s="193"/>
      <c r="S374" s="194"/>
      <c r="T374" s="195">
        <f t="shared" si="43"/>
        <v>0</v>
      </c>
      <c r="U374" s="195">
        <f t="shared" si="44"/>
        <v>0</v>
      </c>
      <c r="V374" s="195">
        <f t="shared" si="45"/>
        <v>0</v>
      </c>
      <c r="W374" s="196">
        <f t="shared" si="46"/>
        <v>0</v>
      </c>
      <c r="X374" s="197">
        <f t="shared" si="47"/>
        <v>0</v>
      </c>
      <c r="AG374" s="219" t="s">
        <v>990</v>
      </c>
    </row>
    <row r="375" ht="11.4" customHeight="1" spans="1:34">
      <c r="A375" s="184" t="s">
        <v>1605</v>
      </c>
      <c r="B375" s="184" t="s">
        <v>136</v>
      </c>
      <c r="C375" s="184" t="s">
        <v>1606</v>
      </c>
      <c r="D375" s="185" t="s">
        <v>522</v>
      </c>
      <c r="E375" s="186" t="s">
        <v>906</v>
      </c>
      <c r="F375" s="186" t="s">
        <v>907</v>
      </c>
      <c r="G375" s="186" t="s">
        <v>1102</v>
      </c>
      <c r="H375" s="186" t="s">
        <v>1607</v>
      </c>
      <c r="I375" s="187" t="s">
        <v>1619</v>
      </c>
      <c r="J375" s="187" t="s">
        <v>1620</v>
      </c>
      <c r="K375" s="188"/>
      <c r="L375" s="188"/>
      <c r="M375" s="189" t="s">
        <v>989</v>
      </c>
      <c r="N375" s="190">
        <v>1842.69</v>
      </c>
      <c r="O375" s="190">
        <f t="shared" si="40"/>
        <v>2008.53</v>
      </c>
      <c r="P375" s="191">
        <f t="shared" si="41"/>
        <v>0</v>
      </c>
      <c r="Q375" s="192">
        <f t="shared" si="42"/>
        <v>0</v>
      </c>
      <c r="R375" s="193"/>
      <c r="S375" s="194"/>
      <c r="T375" s="195">
        <f t="shared" si="43"/>
        <v>0</v>
      </c>
      <c r="U375" s="195">
        <f t="shared" si="44"/>
        <v>0</v>
      </c>
      <c r="V375" s="195">
        <f t="shared" si="45"/>
        <v>0</v>
      </c>
      <c r="W375" s="196" t="e">
        <f t="shared" si="46"/>
        <v>#DIV/0!</v>
      </c>
      <c r="X375" s="197" t="e">
        <f t="shared" si="47"/>
        <v>#DIV/0!</v>
      </c>
      <c r="AG375" s="219" t="s">
        <v>990</v>
      </c>
    </row>
    <row r="376" ht="11.4" customHeight="1" spans="1:34">
      <c r="A376" s="184" t="s">
        <v>1605</v>
      </c>
      <c r="B376" s="184" t="s">
        <v>136</v>
      </c>
      <c r="C376" s="184" t="s">
        <v>1606</v>
      </c>
      <c r="D376" s="185" t="s">
        <v>522</v>
      </c>
      <c r="E376" s="186" t="s">
        <v>906</v>
      </c>
      <c r="F376" s="186" t="s">
        <v>907</v>
      </c>
      <c r="G376" s="186" t="s">
        <v>1102</v>
      </c>
      <c r="H376" s="186" t="s">
        <v>1607</v>
      </c>
      <c r="I376" s="187" t="s">
        <v>1621</v>
      </c>
      <c r="J376" s="187" t="s">
        <v>1622</v>
      </c>
      <c r="K376" s="188"/>
      <c r="L376" s="188"/>
      <c r="M376" s="189" t="s">
        <v>989</v>
      </c>
      <c r="N376" s="190">
        <v>2194.94</v>
      </c>
      <c r="O376" s="190">
        <f t="shared" si="40"/>
        <v>2392.48</v>
      </c>
      <c r="P376" s="191">
        <f t="shared" si="41"/>
        <v>0</v>
      </c>
      <c r="Q376" s="192">
        <f t="shared" si="42"/>
        <v>0</v>
      </c>
      <c r="R376" s="193"/>
      <c r="S376" s="194"/>
      <c r="T376" s="195">
        <f t="shared" si="43"/>
        <v>0</v>
      </c>
      <c r="U376" s="195">
        <f t="shared" si="44"/>
        <v>0</v>
      </c>
      <c r="V376" s="195">
        <f t="shared" si="45"/>
        <v>0</v>
      </c>
      <c r="W376" s="196" t="e">
        <f t="shared" si="46"/>
        <v>#DIV/0!</v>
      </c>
      <c r="X376" s="197" t="e">
        <f t="shared" si="47"/>
        <v>#DIV/0!</v>
      </c>
      <c r="AG376" s="219" t="s">
        <v>990</v>
      </c>
    </row>
    <row r="377" ht="11.4" customHeight="1" spans="1:34">
      <c r="A377" s="184" t="s">
        <v>1605</v>
      </c>
      <c r="B377" s="184" t="s">
        <v>136</v>
      </c>
      <c r="C377" s="184" t="s">
        <v>1606</v>
      </c>
      <c r="D377" s="185" t="s">
        <v>522</v>
      </c>
      <c r="E377" s="186" t="s">
        <v>906</v>
      </c>
      <c r="F377" s="186" t="s">
        <v>907</v>
      </c>
      <c r="G377" s="186" t="s">
        <v>1102</v>
      </c>
      <c r="H377" s="186" t="s">
        <v>1607</v>
      </c>
      <c r="I377" s="187" t="s">
        <v>1623</v>
      </c>
      <c r="J377" s="187" t="s">
        <v>1624</v>
      </c>
      <c r="K377" s="188"/>
      <c r="L377" s="188"/>
      <c r="M377" s="189" t="s">
        <v>989</v>
      </c>
      <c r="N377" s="190">
        <v>2552.77</v>
      </c>
      <c r="O377" s="190">
        <f t="shared" si="40"/>
        <v>2782.52</v>
      </c>
      <c r="P377" s="191">
        <f t="shared" si="41"/>
        <v>0</v>
      </c>
      <c r="Q377" s="192">
        <f t="shared" si="42"/>
        <v>0</v>
      </c>
      <c r="R377" s="193"/>
      <c r="S377" s="194"/>
      <c r="T377" s="195">
        <f t="shared" si="43"/>
        <v>0</v>
      </c>
      <c r="U377" s="195">
        <f t="shared" si="44"/>
        <v>0</v>
      </c>
      <c r="V377" s="195">
        <f t="shared" si="45"/>
        <v>0</v>
      </c>
      <c r="W377" s="196" t="e">
        <f t="shared" si="46"/>
        <v>#DIV/0!</v>
      </c>
      <c r="X377" s="197" t="e">
        <f t="shared" si="47"/>
        <v>#DIV/0!</v>
      </c>
      <c r="AG377" s="219" t="s">
        <v>990</v>
      </c>
    </row>
    <row r="378" ht="11.4" customHeight="1" spans="1:34">
      <c r="A378" s="184" t="s">
        <v>1625</v>
      </c>
      <c r="B378" s="184" t="s">
        <v>123</v>
      </c>
      <c r="C378" s="184" t="s">
        <v>1101</v>
      </c>
      <c r="D378" s="185" t="s">
        <v>522</v>
      </c>
      <c r="E378" s="186" t="s">
        <v>906</v>
      </c>
      <c r="F378" s="186" t="s">
        <v>907</v>
      </c>
      <c r="G378" s="186" t="s">
        <v>1102</v>
      </c>
      <c r="H378" s="186" t="s">
        <v>547</v>
      </c>
      <c r="I378" s="187" t="s">
        <v>1626</v>
      </c>
      <c r="J378" s="187" t="s">
        <v>1627</v>
      </c>
      <c r="K378" s="188"/>
      <c r="L378" s="188"/>
      <c r="M378" s="189" t="s">
        <v>847</v>
      </c>
      <c r="N378" s="190">
        <v>272.28</v>
      </c>
      <c r="O378" s="190">
        <f t="shared" si="40"/>
        <v>296.79</v>
      </c>
      <c r="P378" s="191">
        <f t="shared" si="41"/>
        <v>0</v>
      </c>
      <c r="Q378" s="192">
        <f t="shared" si="42"/>
        <v>0</v>
      </c>
      <c r="R378" s="193"/>
      <c r="S378" s="194"/>
      <c r="T378" s="195">
        <f t="shared" si="43"/>
        <v>0</v>
      </c>
      <c r="U378" s="195">
        <f t="shared" si="44"/>
        <v>0</v>
      </c>
      <c r="V378" s="195">
        <f t="shared" si="45"/>
        <v>0</v>
      </c>
      <c r="W378" s="196" t="e">
        <f t="shared" si="46"/>
        <v>#DIV/0!</v>
      </c>
      <c r="X378" s="197" t="e">
        <f t="shared" si="47"/>
        <v>#DIV/0!</v>
      </c>
      <c r="AH378" s="219" t="s">
        <v>1413</v>
      </c>
    </row>
    <row r="379" ht="11.4" customHeight="1" spans="1:34">
      <c r="A379" s="184" t="s">
        <v>1625</v>
      </c>
      <c r="B379" s="184" t="s">
        <v>123</v>
      </c>
      <c r="C379" s="184" t="s">
        <v>1101</v>
      </c>
      <c r="D379" s="185" t="s">
        <v>522</v>
      </c>
      <c r="E379" s="186" t="s">
        <v>906</v>
      </c>
      <c r="F379" s="186" t="s">
        <v>907</v>
      </c>
      <c r="G379" s="186" t="s">
        <v>1102</v>
      </c>
      <c r="H379" s="186" t="s">
        <v>547</v>
      </c>
      <c r="I379" s="187" t="s">
        <v>1628</v>
      </c>
      <c r="J379" s="187" t="s">
        <v>1629</v>
      </c>
      <c r="K379" s="188"/>
      <c r="L379" s="188"/>
      <c r="M379" s="189" t="s">
        <v>807</v>
      </c>
      <c r="N379" s="190">
        <v>51.4</v>
      </c>
      <c r="O379" s="190">
        <f t="shared" si="40"/>
        <v>56.03</v>
      </c>
      <c r="P379" s="191">
        <f t="shared" si="41"/>
        <v>0</v>
      </c>
      <c r="Q379" s="192">
        <f t="shared" si="42"/>
        <v>0</v>
      </c>
      <c r="R379" s="193"/>
      <c r="S379" s="194"/>
      <c r="T379" s="195">
        <f t="shared" si="43"/>
        <v>0</v>
      </c>
      <c r="U379" s="195">
        <f t="shared" si="44"/>
        <v>0</v>
      </c>
      <c r="V379" s="195">
        <f t="shared" si="45"/>
        <v>0</v>
      </c>
      <c r="W379" s="196" t="e">
        <f t="shared" si="46"/>
        <v>#DIV/0!</v>
      </c>
      <c r="X379" s="197" t="e">
        <f t="shared" si="47"/>
        <v>#DIV/0!</v>
      </c>
      <c r="AH379" s="219" t="s">
        <v>1413</v>
      </c>
    </row>
    <row r="380" ht="11.4" customHeight="1" spans="1:34">
      <c r="A380" s="184" t="s">
        <v>1625</v>
      </c>
      <c r="B380" s="184" t="s">
        <v>123</v>
      </c>
      <c r="C380" s="184" t="s">
        <v>1101</v>
      </c>
      <c r="D380" s="185" t="s">
        <v>522</v>
      </c>
      <c r="E380" s="186" t="s">
        <v>906</v>
      </c>
      <c r="F380" s="186" t="s">
        <v>907</v>
      </c>
      <c r="G380" s="186" t="s">
        <v>1102</v>
      </c>
      <c r="H380" s="186" t="s">
        <v>547</v>
      </c>
      <c r="I380" s="187" t="s">
        <v>1630</v>
      </c>
      <c r="J380" s="187" t="s">
        <v>1631</v>
      </c>
      <c r="K380" s="188"/>
      <c r="L380" s="188"/>
      <c r="M380" s="189" t="s">
        <v>847</v>
      </c>
      <c r="N380" s="190">
        <v>247.97</v>
      </c>
      <c r="O380" s="190">
        <f t="shared" si="40"/>
        <v>270.29</v>
      </c>
      <c r="P380" s="191">
        <f t="shared" si="41"/>
        <v>0</v>
      </c>
      <c r="Q380" s="192">
        <f t="shared" si="42"/>
        <v>0</v>
      </c>
      <c r="R380" s="193"/>
      <c r="S380" s="194"/>
      <c r="T380" s="195">
        <f t="shared" si="43"/>
        <v>0</v>
      </c>
      <c r="U380" s="195">
        <f t="shared" si="44"/>
        <v>0</v>
      </c>
      <c r="V380" s="195">
        <f t="shared" si="45"/>
        <v>0</v>
      </c>
      <c r="W380" s="196" t="e">
        <f t="shared" si="46"/>
        <v>#DIV/0!</v>
      </c>
      <c r="X380" s="197" t="e">
        <f t="shared" si="47"/>
        <v>#DIV/0!</v>
      </c>
      <c r="AH380" s="219" t="s">
        <v>1413</v>
      </c>
    </row>
    <row r="381" ht="11.4" customHeight="1" spans="1:34">
      <c r="A381" s="184" t="s">
        <v>1625</v>
      </c>
      <c r="B381" s="184" t="s">
        <v>123</v>
      </c>
      <c r="C381" s="184" t="s">
        <v>1101</v>
      </c>
      <c r="D381" s="185" t="s">
        <v>522</v>
      </c>
      <c r="E381" s="186" t="s">
        <v>906</v>
      </c>
      <c r="F381" s="186" t="s">
        <v>907</v>
      </c>
      <c r="G381" s="186" t="s">
        <v>1102</v>
      </c>
      <c r="H381" s="186" t="s">
        <v>547</v>
      </c>
      <c r="I381" s="187" t="s">
        <v>1632</v>
      </c>
      <c r="J381" s="187" t="s">
        <v>1633</v>
      </c>
      <c r="K381" s="188"/>
      <c r="L381" s="188"/>
      <c r="M381" s="189" t="s">
        <v>807</v>
      </c>
      <c r="N381" s="190">
        <v>48.54</v>
      </c>
      <c r="O381" s="190">
        <f t="shared" si="40"/>
        <v>52.91</v>
      </c>
      <c r="P381" s="191">
        <f t="shared" si="41"/>
        <v>0</v>
      </c>
      <c r="Q381" s="192">
        <f t="shared" si="42"/>
        <v>0</v>
      </c>
      <c r="R381" s="193"/>
      <c r="S381" s="194"/>
      <c r="T381" s="195">
        <f t="shared" si="43"/>
        <v>0</v>
      </c>
      <c r="U381" s="195">
        <f t="shared" si="44"/>
        <v>0</v>
      </c>
      <c r="V381" s="195">
        <f t="shared" si="45"/>
        <v>0</v>
      </c>
      <c r="W381" s="196" t="e">
        <f t="shared" si="46"/>
        <v>#DIV/0!</v>
      </c>
      <c r="X381" s="197" t="e">
        <f t="shared" si="47"/>
        <v>#DIV/0!</v>
      </c>
      <c r="AH381" s="219" t="s">
        <v>1413</v>
      </c>
    </row>
    <row r="382" ht="11.4" customHeight="1" spans="1:34">
      <c r="A382" s="184" t="s">
        <v>1625</v>
      </c>
      <c r="B382" s="184" t="s">
        <v>123</v>
      </c>
      <c r="C382" s="184" t="s">
        <v>1101</v>
      </c>
      <c r="D382" s="185" t="s">
        <v>522</v>
      </c>
      <c r="E382" s="186" t="s">
        <v>906</v>
      </c>
      <c r="F382" s="186" t="s">
        <v>907</v>
      </c>
      <c r="G382" s="186" t="s">
        <v>1102</v>
      </c>
      <c r="H382" s="186" t="s">
        <v>547</v>
      </c>
      <c r="I382" s="187" t="s">
        <v>1634</v>
      </c>
      <c r="J382" s="187" t="s">
        <v>1635</v>
      </c>
      <c r="K382" s="188"/>
      <c r="L382" s="188"/>
      <c r="M382" s="189" t="s">
        <v>847</v>
      </c>
      <c r="N382" s="190">
        <v>273.71</v>
      </c>
      <c r="O382" s="190">
        <f t="shared" si="40"/>
        <v>298.34</v>
      </c>
      <c r="P382" s="191">
        <f t="shared" si="41"/>
        <v>0</v>
      </c>
      <c r="Q382" s="192">
        <f t="shared" si="42"/>
        <v>0</v>
      </c>
      <c r="R382" s="193"/>
      <c r="S382" s="194"/>
      <c r="T382" s="195">
        <f t="shared" si="43"/>
        <v>0</v>
      </c>
      <c r="U382" s="195">
        <f t="shared" si="44"/>
        <v>0</v>
      </c>
      <c r="V382" s="195">
        <f t="shared" si="45"/>
        <v>0</v>
      </c>
      <c r="W382" s="196" t="e">
        <f t="shared" si="46"/>
        <v>#DIV/0!</v>
      </c>
      <c r="X382" s="197" t="e">
        <f t="shared" si="47"/>
        <v>#DIV/0!</v>
      </c>
      <c r="AH382" s="219" t="s">
        <v>1413</v>
      </c>
    </row>
    <row r="383" ht="11.4" customHeight="1" spans="1:34">
      <c r="A383" s="184" t="s">
        <v>1625</v>
      </c>
      <c r="B383" s="184" t="s">
        <v>123</v>
      </c>
      <c r="C383" s="184" t="s">
        <v>1101</v>
      </c>
      <c r="D383" s="185" t="s">
        <v>522</v>
      </c>
      <c r="E383" s="186" t="s">
        <v>906</v>
      </c>
      <c r="F383" s="186" t="s">
        <v>907</v>
      </c>
      <c r="G383" s="186" t="s">
        <v>1102</v>
      </c>
      <c r="H383" s="186" t="s">
        <v>547</v>
      </c>
      <c r="I383" s="187" t="s">
        <v>1636</v>
      </c>
      <c r="J383" s="187" t="s">
        <v>1637</v>
      </c>
      <c r="K383" s="188"/>
      <c r="L383" s="188"/>
      <c r="M383" s="189" t="s">
        <v>807</v>
      </c>
      <c r="N383" s="190">
        <v>52.83</v>
      </c>
      <c r="O383" s="190">
        <f t="shared" si="40"/>
        <v>57.58</v>
      </c>
      <c r="P383" s="191">
        <f t="shared" si="41"/>
        <v>0</v>
      </c>
      <c r="Q383" s="192">
        <f t="shared" si="42"/>
        <v>0</v>
      </c>
      <c r="R383" s="193"/>
      <c r="S383" s="194"/>
      <c r="T383" s="195">
        <f t="shared" si="43"/>
        <v>0</v>
      </c>
      <c r="U383" s="195">
        <f t="shared" si="44"/>
        <v>0</v>
      </c>
      <c r="V383" s="195">
        <f t="shared" si="45"/>
        <v>0</v>
      </c>
      <c r="W383" s="196" t="e">
        <f t="shared" si="46"/>
        <v>#DIV/0!</v>
      </c>
      <c r="X383" s="197" t="e">
        <f t="shared" si="47"/>
        <v>#DIV/0!</v>
      </c>
      <c r="AH383" s="219" t="s">
        <v>1413</v>
      </c>
    </row>
    <row r="384" ht="11.4" customHeight="1" spans="1:34">
      <c r="A384" s="184" t="s">
        <v>1625</v>
      </c>
      <c r="B384" s="184" t="s">
        <v>123</v>
      </c>
      <c r="C384" s="184" t="s">
        <v>1101</v>
      </c>
      <c r="D384" s="185" t="s">
        <v>522</v>
      </c>
      <c r="E384" s="186" t="s">
        <v>906</v>
      </c>
      <c r="F384" s="186" t="s">
        <v>907</v>
      </c>
      <c r="G384" s="186" t="s">
        <v>1102</v>
      </c>
      <c r="H384" s="186" t="s">
        <v>547</v>
      </c>
      <c r="I384" s="187" t="s">
        <v>1638</v>
      </c>
      <c r="J384" s="187" t="s">
        <v>1639</v>
      </c>
      <c r="K384" s="188"/>
      <c r="L384" s="188"/>
      <c r="M384" s="189" t="s">
        <v>847</v>
      </c>
      <c r="N384" s="190">
        <v>289.46</v>
      </c>
      <c r="O384" s="190">
        <f t="shared" si="40"/>
        <v>315.51</v>
      </c>
      <c r="P384" s="191">
        <f t="shared" si="41"/>
        <v>0</v>
      </c>
      <c r="Q384" s="192">
        <f t="shared" si="42"/>
        <v>0</v>
      </c>
      <c r="R384" s="193"/>
      <c r="S384" s="194"/>
      <c r="T384" s="195">
        <f t="shared" si="43"/>
        <v>0</v>
      </c>
      <c r="U384" s="195">
        <f t="shared" si="44"/>
        <v>0</v>
      </c>
      <c r="V384" s="195">
        <f t="shared" si="45"/>
        <v>0</v>
      </c>
      <c r="W384" s="196" t="e">
        <f t="shared" si="46"/>
        <v>#DIV/0!</v>
      </c>
      <c r="X384" s="197" t="e">
        <f t="shared" si="47"/>
        <v>#DIV/0!</v>
      </c>
      <c r="AH384" s="219" t="s">
        <v>1413</v>
      </c>
    </row>
    <row r="385" ht="11.4" customHeight="1" spans="1:34">
      <c r="A385" s="184" t="s">
        <v>1625</v>
      </c>
      <c r="B385" s="184" t="s">
        <v>123</v>
      </c>
      <c r="C385" s="184" t="s">
        <v>1101</v>
      </c>
      <c r="D385" s="185" t="s">
        <v>522</v>
      </c>
      <c r="E385" s="186" t="s">
        <v>906</v>
      </c>
      <c r="F385" s="186" t="s">
        <v>907</v>
      </c>
      <c r="G385" s="186" t="s">
        <v>1102</v>
      </c>
      <c r="H385" s="186" t="s">
        <v>547</v>
      </c>
      <c r="I385" s="187" t="s">
        <v>1640</v>
      </c>
      <c r="J385" s="187" t="s">
        <v>1641</v>
      </c>
      <c r="K385" s="188"/>
      <c r="L385" s="188"/>
      <c r="M385" s="189" t="s">
        <v>847</v>
      </c>
      <c r="N385" s="190">
        <v>49.86</v>
      </c>
      <c r="O385" s="190">
        <f t="shared" si="40"/>
        <v>54.35</v>
      </c>
      <c r="P385" s="191">
        <f t="shared" si="41"/>
        <v>0</v>
      </c>
      <c r="Q385" s="192">
        <f t="shared" si="42"/>
        <v>0</v>
      </c>
      <c r="R385" s="193"/>
      <c r="S385" s="194"/>
      <c r="T385" s="195">
        <f t="shared" si="43"/>
        <v>0</v>
      </c>
      <c r="U385" s="195">
        <f t="shared" si="44"/>
        <v>0</v>
      </c>
      <c r="V385" s="195">
        <f t="shared" si="45"/>
        <v>0</v>
      </c>
      <c r="W385" s="196" t="e">
        <f t="shared" si="46"/>
        <v>#DIV/0!</v>
      </c>
      <c r="X385" s="197" t="e">
        <f t="shared" si="47"/>
        <v>#DIV/0!</v>
      </c>
      <c r="AH385" s="219" t="s">
        <v>1413</v>
      </c>
    </row>
    <row r="386" ht="11.4" customHeight="1" spans="1:34">
      <c r="A386" s="184" t="s">
        <v>1625</v>
      </c>
      <c r="B386" s="184" t="s">
        <v>123</v>
      </c>
      <c r="C386" s="184" t="s">
        <v>1101</v>
      </c>
      <c r="D386" s="185" t="s">
        <v>522</v>
      </c>
      <c r="E386" s="186" t="s">
        <v>906</v>
      </c>
      <c r="F386" s="186" t="s">
        <v>907</v>
      </c>
      <c r="G386" s="186" t="s">
        <v>1102</v>
      </c>
      <c r="H386" s="186" t="s">
        <v>547</v>
      </c>
      <c r="I386" s="187" t="s">
        <v>1642</v>
      </c>
      <c r="J386" s="187" t="s">
        <v>1643</v>
      </c>
      <c r="K386" s="188"/>
      <c r="L386" s="188"/>
      <c r="M386" s="189" t="s">
        <v>847</v>
      </c>
      <c r="N386" s="190">
        <v>249.51</v>
      </c>
      <c r="O386" s="190">
        <f t="shared" si="40"/>
        <v>271.97</v>
      </c>
      <c r="P386" s="191">
        <f t="shared" si="41"/>
        <v>0</v>
      </c>
      <c r="Q386" s="192">
        <f t="shared" si="42"/>
        <v>0</v>
      </c>
      <c r="R386" s="193"/>
      <c r="S386" s="194"/>
      <c r="T386" s="195">
        <f t="shared" si="43"/>
        <v>0</v>
      </c>
      <c r="U386" s="195">
        <f t="shared" si="44"/>
        <v>0</v>
      </c>
      <c r="V386" s="195">
        <f t="shared" si="45"/>
        <v>0</v>
      </c>
      <c r="W386" s="196" t="e">
        <f t="shared" si="46"/>
        <v>#DIV/0!</v>
      </c>
      <c r="X386" s="197" t="e">
        <f t="shared" si="47"/>
        <v>#DIV/0!</v>
      </c>
      <c r="AH386" s="219" t="s">
        <v>1413</v>
      </c>
    </row>
    <row r="387" ht="11.4" customHeight="1" spans="1:34">
      <c r="A387" s="184" t="s">
        <v>1625</v>
      </c>
      <c r="B387" s="184" t="s">
        <v>123</v>
      </c>
      <c r="C387" s="184" t="s">
        <v>1101</v>
      </c>
      <c r="D387" s="185" t="s">
        <v>522</v>
      </c>
      <c r="E387" s="186" t="s">
        <v>906</v>
      </c>
      <c r="F387" s="186" t="s">
        <v>907</v>
      </c>
      <c r="G387" s="186" t="s">
        <v>1102</v>
      </c>
      <c r="H387" s="186" t="s">
        <v>547</v>
      </c>
      <c r="I387" s="187" t="s">
        <v>1644</v>
      </c>
      <c r="J387" s="187" t="s">
        <v>1645</v>
      </c>
      <c r="K387" s="188"/>
      <c r="L387" s="188"/>
      <c r="M387" s="189" t="s">
        <v>807</v>
      </c>
      <c r="N387" s="190">
        <v>47.44</v>
      </c>
      <c r="O387" s="190">
        <f t="shared" si="40"/>
        <v>51.71</v>
      </c>
      <c r="P387" s="191">
        <f t="shared" si="41"/>
        <v>0</v>
      </c>
      <c r="Q387" s="192">
        <f t="shared" si="42"/>
        <v>0</v>
      </c>
      <c r="R387" s="193"/>
      <c r="S387" s="194"/>
      <c r="T387" s="195">
        <f t="shared" si="43"/>
        <v>0</v>
      </c>
      <c r="U387" s="195">
        <f t="shared" si="44"/>
        <v>0</v>
      </c>
      <c r="V387" s="195">
        <f t="shared" si="45"/>
        <v>0</v>
      </c>
      <c r="W387" s="196" t="e">
        <f t="shared" si="46"/>
        <v>#DIV/0!</v>
      </c>
      <c r="X387" s="197" t="e">
        <f t="shared" si="47"/>
        <v>#DIV/0!</v>
      </c>
      <c r="AH387" s="219" t="s">
        <v>1413</v>
      </c>
    </row>
    <row r="388" ht="11.4" customHeight="1" spans="1:34">
      <c r="A388" s="184" t="s">
        <v>1625</v>
      </c>
      <c r="B388" s="184" t="s">
        <v>123</v>
      </c>
      <c r="C388" s="184" t="s">
        <v>1101</v>
      </c>
      <c r="D388" s="185" t="s">
        <v>522</v>
      </c>
      <c r="E388" s="186" t="s">
        <v>906</v>
      </c>
      <c r="F388" s="186" t="s">
        <v>907</v>
      </c>
      <c r="G388" s="186" t="s">
        <v>1102</v>
      </c>
      <c r="H388" s="186" t="s">
        <v>547</v>
      </c>
      <c r="I388" s="187" t="s">
        <v>1646</v>
      </c>
      <c r="J388" s="187" t="s">
        <v>1647</v>
      </c>
      <c r="K388" s="188"/>
      <c r="L388" s="188"/>
      <c r="M388" s="189" t="s">
        <v>847</v>
      </c>
      <c r="N388" s="190">
        <v>290.89</v>
      </c>
      <c r="O388" s="190">
        <f t="shared" si="40"/>
        <v>317.07</v>
      </c>
      <c r="P388" s="191">
        <f t="shared" si="41"/>
        <v>0</v>
      </c>
      <c r="Q388" s="192">
        <f t="shared" si="42"/>
        <v>0</v>
      </c>
      <c r="R388" s="193"/>
      <c r="S388" s="194"/>
      <c r="T388" s="195">
        <f t="shared" si="43"/>
        <v>0</v>
      </c>
      <c r="U388" s="195">
        <f t="shared" si="44"/>
        <v>0</v>
      </c>
      <c r="V388" s="195">
        <f t="shared" si="45"/>
        <v>0</v>
      </c>
      <c r="W388" s="196" t="e">
        <f t="shared" si="46"/>
        <v>#DIV/0!</v>
      </c>
      <c r="X388" s="197" t="e">
        <f t="shared" si="47"/>
        <v>#DIV/0!</v>
      </c>
      <c r="AH388" s="219" t="s">
        <v>1413</v>
      </c>
    </row>
    <row r="389" ht="11.4" customHeight="1" spans="1:34">
      <c r="A389" s="184" t="s">
        <v>1625</v>
      </c>
      <c r="B389" s="184" t="s">
        <v>123</v>
      </c>
      <c r="C389" s="184" t="s">
        <v>1101</v>
      </c>
      <c r="D389" s="185" t="s">
        <v>522</v>
      </c>
      <c r="E389" s="186" t="s">
        <v>906</v>
      </c>
      <c r="F389" s="186" t="s">
        <v>907</v>
      </c>
      <c r="G389" s="186" t="s">
        <v>1102</v>
      </c>
      <c r="H389" s="186" t="s">
        <v>547</v>
      </c>
      <c r="I389" s="187" t="s">
        <v>1648</v>
      </c>
      <c r="J389" s="187" t="s">
        <v>1649</v>
      </c>
      <c r="K389" s="188"/>
      <c r="L389" s="188"/>
      <c r="M389" s="189" t="s">
        <v>807</v>
      </c>
      <c r="N389" s="190">
        <v>48.65</v>
      </c>
      <c r="O389" s="190">
        <f t="shared" si="40"/>
        <v>53.03</v>
      </c>
      <c r="P389" s="191">
        <f t="shared" si="41"/>
        <v>0</v>
      </c>
      <c r="Q389" s="192">
        <f t="shared" si="42"/>
        <v>0</v>
      </c>
      <c r="R389" s="193"/>
      <c r="S389" s="194"/>
      <c r="T389" s="195">
        <f t="shared" si="43"/>
        <v>0</v>
      </c>
      <c r="U389" s="195">
        <f t="shared" si="44"/>
        <v>0</v>
      </c>
      <c r="V389" s="195">
        <f t="shared" si="45"/>
        <v>0</v>
      </c>
      <c r="W389" s="196" t="e">
        <f t="shared" si="46"/>
        <v>#DIV/0!</v>
      </c>
      <c r="X389" s="197" t="e">
        <f t="shared" si="47"/>
        <v>#DIV/0!</v>
      </c>
      <c r="AH389" s="219" t="s">
        <v>1413</v>
      </c>
    </row>
    <row r="390" ht="11.4" customHeight="1" spans="1:34">
      <c r="A390" s="184" t="s">
        <v>1625</v>
      </c>
      <c r="B390" s="184" t="s">
        <v>123</v>
      </c>
      <c r="C390" s="184" t="s">
        <v>1101</v>
      </c>
      <c r="D390" s="185" t="s">
        <v>522</v>
      </c>
      <c r="E390" s="186" t="s">
        <v>906</v>
      </c>
      <c r="F390" s="186" t="s">
        <v>907</v>
      </c>
      <c r="G390" s="186" t="s">
        <v>1102</v>
      </c>
      <c r="H390" s="186" t="s">
        <v>547</v>
      </c>
      <c r="I390" s="187" t="s">
        <v>1650</v>
      </c>
      <c r="J390" s="187" t="s">
        <v>1651</v>
      </c>
      <c r="K390" s="188"/>
      <c r="L390" s="188"/>
      <c r="M390" s="189" t="s">
        <v>847</v>
      </c>
      <c r="N390" s="190">
        <v>203.51</v>
      </c>
      <c r="O390" s="190">
        <f t="shared" si="40"/>
        <v>221.83</v>
      </c>
      <c r="P390" s="191">
        <f t="shared" si="41"/>
        <v>0</v>
      </c>
      <c r="Q390" s="192">
        <f t="shared" si="42"/>
        <v>0</v>
      </c>
      <c r="R390" s="193"/>
      <c r="S390" s="194"/>
      <c r="T390" s="195">
        <f t="shared" si="43"/>
        <v>0</v>
      </c>
      <c r="U390" s="195">
        <f t="shared" si="44"/>
        <v>0</v>
      </c>
      <c r="V390" s="195">
        <f t="shared" si="45"/>
        <v>0</v>
      </c>
      <c r="W390" s="196" t="e">
        <f t="shared" si="46"/>
        <v>#DIV/0!</v>
      </c>
      <c r="X390" s="197" t="e">
        <f t="shared" si="47"/>
        <v>#DIV/0!</v>
      </c>
      <c r="AH390" s="219" t="s">
        <v>1413</v>
      </c>
    </row>
    <row r="391" ht="11.4" customHeight="1" spans="1:34">
      <c r="A391" s="184" t="s">
        <v>1625</v>
      </c>
      <c r="B391" s="184" t="s">
        <v>123</v>
      </c>
      <c r="C391" s="184" t="s">
        <v>1101</v>
      </c>
      <c r="D391" s="185" t="s">
        <v>522</v>
      </c>
      <c r="E391" s="186" t="s">
        <v>906</v>
      </c>
      <c r="F391" s="186" t="s">
        <v>907</v>
      </c>
      <c r="G391" s="186" t="s">
        <v>1102</v>
      </c>
      <c r="H391" s="186" t="s">
        <v>547</v>
      </c>
      <c r="I391" s="187" t="s">
        <v>1652</v>
      </c>
      <c r="J391" s="187" t="s">
        <v>1653</v>
      </c>
      <c r="K391" s="188"/>
      <c r="L391" s="188"/>
      <c r="M391" s="189" t="s">
        <v>807</v>
      </c>
      <c r="N391" s="190">
        <v>41.69</v>
      </c>
      <c r="O391" s="190">
        <f t="shared" si="40"/>
        <v>45.44</v>
      </c>
      <c r="P391" s="191">
        <f t="shared" si="41"/>
        <v>0</v>
      </c>
      <c r="Q391" s="192">
        <f t="shared" si="42"/>
        <v>0</v>
      </c>
      <c r="R391" s="193"/>
      <c r="S391" s="194"/>
      <c r="T391" s="195">
        <f t="shared" si="43"/>
        <v>0</v>
      </c>
      <c r="U391" s="195">
        <f t="shared" si="44"/>
        <v>0</v>
      </c>
      <c r="V391" s="195">
        <f t="shared" si="45"/>
        <v>0</v>
      </c>
      <c r="W391" s="196" t="e">
        <f t="shared" si="46"/>
        <v>#DIV/0!</v>
      </c>
      <c r="X391" s="197" t="e">
        <f t="shared" si="47"/>
        <v>#DIV/0!</v>
      </c>
      <c r="AH391" s="219" t="s">
        <v>1413</v>
      </c>
    </row>
    <row r="392" ht="11.4" customHeight="1" spans="1:34">
      <c r="A392" s="184" t="s">
        <v>1625</v>
      </c>
      <c r="B392" s="184" t="s">
        <v>123</v>
      </c>
      <c r="C392" s="184" t="s">
        <v>1101</v>
      </c>
      <c r="D392" s="185" t="s">
        <v>522</v>
      </c>
      <c r="E392" s="186" t="s">
        <v>906</v>
      </c>
      <c r="F392" s="186" t="s">
        <v>907</v>
      </c>
      <c r="G392" s="186" t="s">
        <v>1102</v>
      </c>
      <c r="H392" s="186" t="s">
        <v>547</v>
      </c>
      <c r="I392" s="187" t="s">
        <v>1654</v>
      </c>
      <c r="J392" s="187" t="s">
        <v>1655</v>
      </c>
      <c r="K392" s="188"/>
      <c r="L392" s="188"/>
      <c r="M392" s="189" t="s">
        <v>847</v>
      </c>
      <c r="N392" s="190">
        <v>180.15</v>
      </c>
      <c r="O392" s="190">
        <f t="shared" si="40"/>
        <v>196.36</v>
      </c>
      <c r="P392" s="191">
        <f t="shared" si="41"/>
        <v>0</v>
      </c>
      <c r="Q392" s="192">
        <f t="shared" si="42"/>
        <v>0</v>
      </c>
      <c r="R392" s="193"/>
      <c r="S392" s="194"/>
      <c r="T392" s="195">
        <f t="shared" si="43"/>
        <v>0</v>
      </c>
      <c r="U392" s="195">
        <f t="shared" si="44"/>
        <v>0</v>
      </c>
      <c r="V392" s="195">
        <f t="shared" si="45"/>
        <v>0</v>
      </c>
      <c r="W392" s="196" t="e">
        <f t="shared" si="46"/>
        <v>#DIV/0!</v>
      </c>
      <c r="X392" s="197" t="e">
        <f t="shared" si="47"/>
        <v>#DIV/0!</v>
      </c>
      <c r="AH392" s="219" t="s">
        <v>1413</v>
      </c>
    </row>
    <row r="393" ht="11.4" customHeight="1" spans="1:34">
      <c r="A393" s="184" t="s">
        <v>1625</v>
      </c>
      <c r="B393" s="184" t="s">
        <v>123</v>
      </c>
      <c r="C393" s="184" t="s">
        <v>1101</v>
      </c>
      <c r="D393" s="185" t="s">
        <v>522</v>
      </c>
      <c r="E393" s="186" t="s">
        <v>906</v>
      </c>
      <c r="F393" s="186" t="s">
        <v>907</v>
      </c>
      <c r="G393" s="186" t="s">
        <v>1102</v>
      </c>
      <c r="H393" s="186" t="s">
        <v>547</v>
      </c>
      <c r="I393" s="187" t="s">
        <v>1656</v>
      </c>
      <c r="J393" s="187" t="s">
        <v>1657</v>
      </c>
      <c r="K393" s="188"/>
      <c r="L393" s="188"/>
      <c r="M393" s="189" t="s">
        <v>807</v>
      </c>
      <c r="N393" s="190">
        <v>39.27</v>
      </c>
      <c r="O393" s="190">
        <f t="shared" si="40"/>
        <v>42.8</v>
      </c>
      <c r="P393" s="191">
        <f t="shared" si="41"/>
        <v>0</v>
      </c>
      <c r="Q393" s="192">
        <f t="shared" si="42"/>
        <v>0</v>
      </c>
      <c r="R393" s="193"/>
      <c r="S393" s="194"/>
      <c r="T393" s="195">
        <f t="shared" si="43"/>
        <v>0</v>
      </c>
      <c r="U393" s="195">
        <f t="shared" si="44"/>
        <v>0</v>
      </c>
      <c r="V393" s="195">
        <f t="shared" si="45"/>
        <v>0</v>
      </c>
      <c r="W393" s="196" t="e">
        <f t="shared" si="46"/>
        <v>#DIV/0!</v>
      </c>
      <c r="X393" s="197" t="e">
        <f t="shared" si="47"/>
        <v>#DIV/0!</v>
      </c>
      <c r="AH393" s="219" t="s">
        <v>1413</v>
      </c>
    </row>
    <row r="394" ht="11.4" customHeight="1" spans="1:34">
      <c r="A394" s="184" t="s">
        <v>1625</v>
      </c>
      <c r="B394" s="184" t="s">
        <v>123</v>
      </c>
      <c r="C394" s="184" t="s">
        <v>1101</v>
      </c>
      <c r="D394" s="185" t="s">
        <v>522</v>
      </c>
      <c r="E394" s="186" t="s">
        <v>906</v>
      </c>
      <c r="F394" s="186" t="s">
        <v>907</v>
      </c>
      <c r="G394" s="186" t="s">
        <v>1102</v>
      </c>
      <c r="H394" s="186" t="s">
        <v>547</v>
      </c>
      <c r="I394" s="187" t="s">
        <v>1658</v>
      </c>
      <c r="J394" s="187" t="s">
        <v>1659</v>
      </c>
      <c r="K394" s="188"/>
      <c r="L394" s="188"/>
      <c r="M394" s="189" t="s">
        <v>847</v>
      </c>
      <c r="N394" s="190">
        <v>215.19</v>
      </c>
      <c r="O394" s="190">
        <f t="shared" si="40"/>
        <v>234.56</v>
      </c>
      <c r="P394" s="191">
        <f t="shared" si="41"/>
        <v>0</v>
      </c>
      <c r="Q394" s="192">
        <f t="shared" si="42"/>
        <v>0</v>
      </c>
      <c r="R394" s="193"/>
      <c r="S394" s="194"/>
      <c r="T394" s="195">
        <f t="shared" si="43"/>
        <v>0</v>
      </c>
      <c r="U394" s="195">
        <f t="shared" si="44"/>
        <v>0</v>
      </c>
      <c r="V394" s="195">
        <f t="shared" si="45"/>
        <v>0</v>
      </c>
      <c r="W394" s="196" t="e">
        <f t="shared" si="46"/>
        <v>#DIV/0!</v>
      </c>
      <c r="X394" s="197" t="e">
        <f t="shared" si="47"/>
        <v>#DIV/0!</v>
      </c>
      <c r="AH394" s="219" t="s">
        <v>1413</v>
      </c>
    </row>
    <row r="395" ht="11.4" customHeight="1" spans="1:34">
      <c r="A395" s="184" t="s">
        <v>1625</v>
      </c>
      <c r="B395" s="184" t="s">
        <v>123</v>
      </c>
      <c r="C395" s="184" t="s">
        <v>1101</v>
      </c>
      <c r="D395" s="185" t="s">
        <v>522</v>
      </c>
      <c r="E395" s="186" t="s">
        <v>906</v>
      </c>
      <c r="F395" s="186" t="s">
        <v>907</v>
      </c>
      <c r="G395" s="186" t="s">
        <v>1102</v>
      </c>
      <c r="H395" s="186" t="s">
        <v>547</v>
      </c>
      <c r="I395" s="187" t="s">
        <v>1660</v>
      </c>
      <c r="J395" s="187" t="s">
        <v>1661</v>
      </c>
      <c r="K395" s="188"/>
      <c r="L395" s="188"/>
      <c r="M395" s="189" t="s">
        <v>807</v>
      </c>
      <c r="N395" s="190">
        <v>41.69</v>
      </c>
      <c r="O395" s="190">
        <f t="shared" si="40"/>
        <v>45.44</v>
      </c>
      <c r="P395" s="191">
        <f t="shared" si="41"/>
        <v>0</v>
      </c>
      <c r="Q395" s="192">
        <f t="shared" si="42"/>
        <v>0</v>
      </c>
      <c r="R395" s="193"/>
      <c r="S395" s="194"/>
      <c r="T395" s="195">
        <f t="shared" si="43"/>
        <v>0</v>
      </c>
      <c r="U395" s="195">
        <f t="shared" si="44"/>
        <v>0</v>
      </c>
      <c r="V395" s="195">
        <f t="shared" si="45"/>
        <v>0</v>
      </c>
      <c r="W395" s="196" t="e">
        <f t="shared" si="46"/>
        <v>#DIV/0!</v>
      </c>
      <c r="X395" s="197" t="e">
        <f t="shared" si="47"/>
        <v>#DIV/0!</v>
      </c>
      <c r="AH395" s="219" t="s">
        <v>1413</v>
      </c>
    </row>
    <row r="396" ht="11.4" customHeight="1" spans="1:34">
      <c r="A396" s="184" t="s">
        <v>1625</v>
      </c>
      <c r="B396" s="184" t="s">
        <v>123</v>
      </c>
      <c r="C396" s="184" t="s">
        <v>1101</v>
      </c>
      <c r="D396" s="185" t="s">
        <v>522</v>
      </c>
      <c r="E396" s="186" t="s">
        <v>906</v>
      </c>
      <c r="F396" s="186" t="s">
        <v>907</v>
      </c>
      <c r="G396" s="186" t="s">
        <v>1102</v>
      </c>
      <c r="H396" s="186" t="s">
        <v>547</v>
      </c>
      <c r="I396" s="187" t="s">
        <v>1662</v>
      </c>
      <c r="J396" s="187" t="s">
        <v>1663</v>
      </c>
      <c r="K396" s="188"/>
      <c r="L396" s="188"/>
      <c r="M396" s="189" t="s">
        <v>847</v>
      </c>
      <c r="N396" s="190">
        <v>272.28</v>
      </c>
      <c r="O396" s="190">
        <f t="shared" si="40"/>
        <v>296.79</v>
      </c>
      <c r="P396" s="191">
        <f t="shared" si="41"/>
        <v>0</v>
      </c>
      <c r="Q396" s="192">
        <f t="shared" si="42"/>
        <v>0</v>
      </c>
      <c r="R396" s="193"/>
      <c r="S396" s="194"/>
      <c r="T396" s="195">
        <f t="shared" si="43"/>
        <v>0</v>
      </c>
      <c r="U396" s="195">
        <f t="shared" si="44"/>
        <v>0</v>
      </c>
      <c r="V396" s="195">
        <f t="shared" si="45"/>
        <v>0</v>
      </c>
      <c r="W396" s="196" t="e">
        <f t="shared" si="46"/>
        <v>#DIV/0!</v>
      </c>
      <c r="X396" s="197" t="e">
        <f t="shared" si="47"/>
        <v>#DIV/0!</v>
      </c>
      <c r="AH396" s="219" t="s">
        <v>1413</v>
      </c>
    </row>
    <row r="397" ht="11.4" customHeight="1" spans="1:34">
      <c r="A397" s="184" t="s">
        <v>1625</v>
      </c>
      <c r="B397" s="184" t="s">
        <v>123</v>
      </c>
      <c r="C397" s="184" t="s">
        <v>1101</v>
      </c>
      <c r="D397" s="185" t="s">
        <v>522</v>
      </c>
      <c r="E397" s="186" t="s">
        <v>906</v>
      </c>
      <c r="F397" s="186" t="s">
        <v>907</v>
      </c>
      <c r="G397" s="186" t="s">
        <v>1102</v>
      </c>
      <c r="H397" s="186" t="s">
        <v>547</v>
      </c>
      <c r="I397" s="187" t="s">
        <v>1664</v>
      </c>
      <c r="J397" s="187" t="s">
        <v>1665</v>
      </c>
      <c r="K397" s="188"/>
      <c r="L397" s="188"/>
      <c r="M397" s="189" t="s">
        <v>847</v>
      </c>
      <c r="N397" s="190">
        <v>253.69</v>
      </c>
      <c r="O397" s="190">
        <f t="shared" ref="O397:O460" si="48">ROUND(N397*(1+$F$10),2)</f>
        <v>276.52</v>
      </c>
      <c r="P397" s="191">
        <f t="shared" ref="P397:P460" si="49">ROUND(K397*N397,2)</f>
        <v>0</v>
      </c>
      <c r="Q397" s="192">
        <f t="shared" si="42"/>
        <v>0</v>
      </c>
      <c r="R397" s="193"/>
      <c r="S397" s="194"/>
      <c r="T397" s="195">
        <f t="shared" si="43"/>
        <v>0</v>
      </c>
      <c r="U397" s="195">
        <f t="shared" si="44"/>
        <v>0</v>
      </c>
      <c r="V397" s="195">
        <f t="shared" si="45"/>
        <v>0</v>
      </c>
      <c r="W397" s="196" t="e">
        <f t="shared" si="46"/>
        <v>#DIV/0!</v>
      </c>
      <c r="X397" s="197" t="e">
        <f t="shared" si="47"/>
        <v>#DIV/0!</v>
      </c>
      <c r="AH397" s="219" t="s">
        <v>1413</v>
      </c>
    </row>
    <row r="398" ht="11.4" customHeight="1" spans="1:34">
      <c r="A398" s="184" t="s">
        <v>1625</v>
      </c>
      <c r="B398" s="184" t="s">
        <v>123</v>
      </c>
      <c r="C398" s="184" t="s">
        <v>1101</v>
      </c>
      <c r="D398" s="185" t="s">
        <v>522</v>
      </c>
      <c r="E398" s="186" t="s">
        <v>906</v>
      </c>
      <c r="F398" s="186" t="s">
        <v>907</v>
      </c>
      <c r="G398" s="186" t="s">
        <v>1102</v>
      </c>
      <c r="H398" s="186" t="s">
        <v>547</v>
      </c>
      <c r="I398" s="187" t="s">
        <v>1666</v>
      </c>
      <c r="J398" s="187" t="s">
        <v>1667</v>
      </c>
      <c r="K398" s="188"/>
      <c r="L398" s="188"/>
      <c r="M398" s="189" t="s">
        <v>847</v>
      </c>
      <c r="N398" s="190">
        <v>275.14</v>
      </c>
      <c r="O398" s="190">
        <f t="shared" si="48"/>
        <v>299.9</v>
      </c>
      <c r="P398" s="191">
        <f t="shared" si="49"/>
        <v>0</v>
      </c>
      <c r="Q398" s="192">
        <f t="shared" ref="Q398:Q461" si="50">ROUND(L398*N398,2)</f>
        <v>0</v>
      </c>
      <c r="R398" s="193"/>
      <c r="S398" s="194"/>
      <c r="T398" s="195">
        <f t="shared" ref="T398:T461" si="51">K398-L398</f>
        <v>0</v>
      </c>
      <c r="U398" s="195">
        <f t="shared" ref="U398:U461" si="52">P398-Q398</f>
        <v>0</v>
      </c>
      <c r="V398" s="195">
        <f t="shared" ref="V398:V461" si="53">ABS(U398)</f>
        <v>0</v>
      </c>
      <c r="W398" s="196" t="e">
        <f t="shared" ref="W398:W461" si="54">T398/L398</f>
        <v>#DIV/0!</v>
      </c>
      <c r="X398" s="197" t="e">
        <f t="shared" ref="X398:X461" si="55">ABS(W398)</f>
        <v>#DIV/0!</v>
      </c>
      <c r="AH398" s="219" t="s">
        <v>1413</v>
      </c>
    </row>
    <row r="399" ht="11.4" customHeight="1" spans="1:34">
      <c r="A399" s="184" t="s">
        <v>1625</v>
      </c>
      <c r="B399" s="184" t="s">
        <v>123</v>
      </c>
      <c r="C399" s="184" t="s">
        <v>1101</v>
      </c>
      <c r="D399" s="185" t="s">
        <v>522</v>
      </c>
      <c r="E399" s="186" t="s">
        <v>906</v>
      </c>
      <c r="F399" s="186" t="s">
        <v>907</v>
      </c>
      <c r="G399" s="186" t="s">
        <v>1102</v>
      </c>
      <c r="H399" s="186" t="s">
        <v>547</v>
      </c>
      <c r="I399" s="187" t="s">
        <v>1668</v>
      </c>
      <c r="J399" s="187" t="s">
        <v>1669</v>
      </c>
      <c r="K399" s="188"/>
      <c r="L399" s="188"/>
      <c r="M399" s="189" t="s">
        <v>807</v>
      </c>
      <c r="N399" s="190">
        <v>49.86</v>
      </c>
      <c r="O399" s="190">
        <f t="shared" si="48"/>
        <v>54.35</v>
      </c>
      <c r="P399" s="191">
        <f t="shared" si="49"/>
        <v>0</v>
      </c>
      <c r="Q399" s="192">
        <f t="shared" si="50"/>
        <v>0</v>
      </c>
      <c r="R399" s="193"/>
      <c r="S399" s="194"/>
      <c r="T399" s="195">
        <f t="shared" si="51"/>
        <v>0</v>
      </c>
      <c r="U399" s="195">
        <f t="shared" si="52"/>
        <v>0</v>
      </c>
      <c r="V399" s="195">
        <f t="shared" si="53"/>
        <v>0</v>
      </c>
      <c r="W399" s="196" t="e">
        <f t="shared" si="54"/>
        <v>#DIV/0!</v>
      </c>
      <c r="X399" s="197" t="e">
        <f t="shared" si="55"/>
        <v>#DIV/0!</v>
      </c>
      <c r="AH399" s="219" t="s">
        <v>1413</v>
      </c>
    </row>
    <row r="400" ht="11.4" customHeight="1" spans="1:34">
      <c r="A400" s="184" t="s">
        <v>1625</v>
      </c>
      <c r="B400" s="184" t="s">
        <v>123</v>
      </c>
      <c r="C400" s="184" t="s">
        <v>1101</v>
      </c>
      <c r="D400" s="185" t="s">
        <v>522</v>
      </c>
      <c r="E400" s="186" t="s">
        <v>906</v>
      </c>
      <c r="F400" s="186" t="s">
        <v>907</v>
      </c>
      <c r="G400" s="186" t="s">
        <v>1102</v>
      </c>
      <c r="H400" s="186" t="s">
        <v>547</v>
      </c>
      <c r="I400" s="187" t="s">
        <v>1670</v>
      </c>
      <c r="J400" s="187" t="s">
        <v>1671</v>
      </c>
      <c r="K400" s="188"/>
      <c r="L400" s="188"/>
      <c r="M400" s="189" t="s">
        <v>807</v>
      </c>
      <c r="N400" s="190">
        <v>48.65</v>
      </c>
      <c r="O400" s="190">
        <f t="shared" si="48"/>
        <v>53.03</v>
      </c>
      <c r="P400" s="191">
        <f t="shared" si="49"/>
        <v>0</v>
      </c>
      <c r="Q400" s="192">
        <f t="shared" si="50"/>
        <v>0</v>
      </c>
      <c r="R400" s="193"/>
      <c r="S400" s="194"/>
      <c r="T400" s="195">
        <f t="shared" si="51"/>
        <v>0</v>
      </c>
      <c r="U400" s="195">
        <f t="shared" si="52"/>
        <v>0</v>
      </c>
      <c r="V400" s="195">
        <f t="shared" si="53"/>
        <v>0</v>
      </c>
      <c r="W400" s="196" t="e">
        <f t="shared" si="54"/>
        <v>#DIV/0!</v>
      </c>
      <c r="X400" s="197" t="e">
        <f t="shared" si="55"/>
        <v>#DIV/0!</v>
      </c>
      <c r="AH400" s="219" t="s">
        <v>1413</v>
      </c>
    </row>
    <row r="401" ht="11.4" customHeight="1" spans="1:34">
      <c r="A401" s="184" t="s">
        <v>1625</v>
      </c>
      <c r="B401" s="184" t="s">
        <v>123</v>
      </c>
      <c r="C401" s="184" t="s">
        <v>1101</v>
      </c>
      <c r="D401" s="185" t="s">
        <v>522</v>
      </c>
      <c r="E401" s="186" t="s">
        <v>906</v>
      </c>
      <c r="F401" s="186" t="s">
        <v>907</v>
      </c>
      <c r="G401" s="186" t="s">
        <v>1102</v>
      </c>
      <c r="H401" s="186" t="s">
        <v>547</v>
      </c>
      <c r="I401" s="187" t="s">
        <v>1672</v>
      </c>
      <c r="J401" s="187" t="s">
        <v>1673</v>
      </c>
      <c r="K401" s="188"/>
      <c r="L401" s="188"/>
      <c r="M401" s="189" t="s">
        <v>807</v>
      </c>
      <c r="N401" s="190">
        <v>49.86</v>
      </c>
      <c r="O401" s="190">
        <f t="shared" si="48"/>
        <v>54.35</v>
      </c>
      <c r="P401" s="191">
        <f t="shared" si="49"/>
        <v>0</v>
      </c>
      <c r="Q401" s="192">
        <f t="shared" si="50"/>
        <v>0</v>
      </c>
      <c r="R401" s="193"/>
      <c r="S401" s="194"/>
      <c r="T401" s="195">
        <f t="shared" si="51"/>
        <v>0</v>
      </c>
      <c r="U401" s="195">
        <f t="shared" si="52"/>
        <v>0</v>
      </c>
      <c r="V401" s="195">
        <f t="shared" si="53"/>
        <v>0</v>
      </c>
      <c r="W401" s="196" t="e">
        <f t="shared" si="54"/>
        <v>#DIV/0!</v>
      </c>
      <c r="X401" s="197" t="e">
        <f t="shared" si="55"/>
        <v>#DIV/0!</v>
      </c>
      <c r="AH401" s="219" t="s">
        <v>1413</v>
      </c>
    </row>
    <row r="402" ht="11.4" customHeight="1" spans="1:34">
      <c r="A402" s="184" t="s">
        <v>1625</v>
      </c>
      <c r="B402" s="184" t="s">
        <v>123</v>
      </c>
      <c r="C402" s="184" t="s">
        <v>1101</v>
      </c>
      <c r="D402" s="185" t="s">
        <v>522</v>
      </c>
      <c r="E402" s="186" t="s">
        <v>906</v>
      </c>
      <c r="F402" s="186" t="s">
        <v>907</v>
      </c>
      <c r="G402" s="186" t="s">
        <v>1102</v>
      </c>
      <c r="H402" s="186" t="s">
        <v>547</v>
      </c>
      <c r="I402" s="187" t="s">
        <v>1674</v>
      </c>
      <c r="J402" s="187" t="s">
        <v>1675</v>
      </c>
      <c r="K402" s="188"/>
      <c r="L402" s="188"/>
      <c r="M402" s="189" t="s">
        <v>847</v>
      </c>
      <c r="N402" s="190">
        <v>275.14</v>
      </c>
      <c r="O402" s="190">
        <f t="shared" si="48"/>
        <v>299.9</v>
      </c>
      <c r="P402" s="191">
        <f t="shared" si="49"/>
        <v>0</v>
      </c>
      <c r="Q402" s="192">
        <f t="shared" si="50"/>
        <v>0</v>
      </c>
      <c r="R402" s="193"/>
      <c r="S402" s="194"/>
      <c r="T402" s="195">
        <f t="shared" si="51"/>
        <v>0</v>
      </c>
      <c r="U402" s="195">
        <f t="shared" si="52"/>
        <v>0</v>
      </c>
      <c r="V402" s="195">
        <f t="shared" si="53"/>
        <v>0</v>
      </c>
      <c r="W402" s="196" t="e">
        <f t="shared" si="54"/>
        <v>#DIV/0!</v>
      </c>
      <c r="X402" s="197" t="e">
        <f t="shared" si="55"/>
        <v>#DIV/0!</v>
      </c>
      <c r="AH402" s="219" t="s">
        <v>1413</v>
      </c>
    </row>
    <row r="403" ht="11.4" customHeight="1" spans="1:34">
      <c r="A403" s="184" t="s">
        <v>1625</v>
      </c>
      <c r="B403" s="184" t="s">
        <v>123</v>
      </c>
      <c r="C403" s="184" t="s">
        <v>1101</v>
      </c>
      <c r="D403" s="185" t="s">
        <v>522</v>
      </c>
      <c r="E403" s="186" t="s">
        <v>906</v>
      </c>
      <c r="F403" s="186" t="s">
        <v>907</v>
      </c>
      <c r="G403" s="186" t="s">
        <v>1102</v>
      </c>
      <c r="H403" s="186" t="s">
        <v>547</v>
      </c>
      <c r="I403" s="187" t="s">
        <v>1676</v>
      </c>
      <c r="J403" s="187" t="s">
        <v>1677</v>
      </c>
      <c r="K403" s="188"/>
      <c r="L403" s="188"/>
      <c r="M403" s="189" t="s">
        <v>847</v>
      </c>
      <c r="N403" s="190">
        <v>265.9</v>
      </c>
      <c r="O403" s="190">
        <f t="shared" si="48"/>
        <v>289.83</v>
      </c>
      <c r="P403" s="191">
        <f t="shared" si="49"/>
        <v>0</v>
      </c>
      <c r="Q403" s="192">
        <f t="shared" si="50"/>
        <v>0</v>
      </c>
      <c r="R403" s="193"/>
      <c r="S403" s="194"/>
      <c r="T403" s="195">
        <f t="shared" si="51"/>
        <v>0</v>
      </c>
      <c r="U403" s="195">
        <f t="shared" si="52"/>
        <v>0</v>
      </c>
      <c r="V403" s="195">
        <f t="shared" si="53"/>
        <v>0</v>
      </c>
      <c r="W403" s="196" t="e">
        <f t="shared" si="54"/>
        <v>#DIV/0!</v>
      </c>
      <c r="X403" s="197" t="e">
        <f t="shared" si="55"/>
        <v>#DIV/0!</v>
      </c>
      <c r="AH403" s="219" t="s">
        <v>1413</v>
      </c>
    </row>
    <row r="404" ht="11.4" customHeight="1" spans="1:34">
      <c r="A404" s="184" t="s">
        <v>1625</v>
      </c>
      <c r="B404" s="184" t="s">
        <v>123</v>
      </c>
      <c r="C404" s="184" t="s">
        <v>1101</v>
      </c>
      <c r="D404" s="185" t="s">
        <v>522</v>
      </c>
      <c r="E404" s="186" t="s">
        <v>906</v>
      </c>
      <c r="F404" s="186" t="s">
        <v>907</v>
      </c>
      <c r="G404" s="186" t="s">
        <v>1102</v>
      </c>
      <c r="H404" s="186" t="s">
        <v>547</v>
      </c>
      <c r="I404" s="187" t="s">
        <v>1678</v>
      </c>
      <c r="J404" s="187" t="s">
        <v>1679</v>
      </c>
      <c r="K404" s="188"/>
      <c r="L404" s="188"/>
      <c r="M404" s="189" t="s">
        <v>847</v>
      </c>
      <c r="N404" s="190">
        <v>279.43</v>
      </c>
      <c r="O404" s="190">
        <f t="shared" si="48"/>
        <v>304.58</v>
      </c>
      <c r="P404" s="191">
        <f t="shared" si="49"/>
        <v>0</v>
      </c>
      <c r="Q404" s="192">
        <f t="shared" si="50"/>
        <v>0</v>
      </c>
      <c r="R404" s="193"/>
      <c r="S404" s="194"/>
      <c r="T404" s="195">
        <f t="shared" si="51"/>
        <v>0</v>
      </c>
      <c r="U404" s="195">
        <f t="shared" si="52"/>
        <v>0</v>
      </c>
      <c r="V404" s="195">
        <f t="shared" si="53"/>
        <v>0</v>
      </c>
      <c r="W404" s="196" t="e">
        <f t="shared" si="54"/>
        <v>#DIV/0!</v>
      </c>
      <c r="X404" s="197" t="e">
        <f t="shared" si="55"/>
        <v>#DIV/0!</v>
      </c>
      <c r="AH404" s="219" t="s">
        <v>1413</v>
      </c>
    </row>
    <row r="405" ht="11.4" customHeight="1" spans="1:34">
      <c r="A405" s="184" t="s">
        <v>1625</v>
      </c>
      <c r="B405" s="184" t="s">
        <v>123</v>
      </c>
      <c r="C405" s="184" t="s">
        <v>1101</v>
      </c>
      <c r="D405" s="185" t="s">
        <v>522</v>
      </c>
      <c r="E405" s="186" t="s">
        <v>906</v>
      </c>
      <c r="F405" s="186" t="s">
        <v>907</v>
      </c>
      <c r="G405" s="186" t="s">
        <v>1102</v>
      </c>
      <c r="H405" s="186" t="s">
        <v>547</v>
      </c>
      <c r="I405" s="187" t="s">
        <v>1680</v>
      </c>
      <c r="J405" s="187" t="s">
        <v>1681</v>
      </c>
      <c r="K405" s="188"/>
      <c r="L405" s="188"/>
      <c r="M405" s="189" t="s">
        <v>847</v>
      </c>
      <c r="N405" s="190">
        <v>272.28</v>
      </c>
      <c r="O405" s="190">
        <f t="shared" si="48"/>
        <v>296.79</v>
      </c>
      <c r="P405" s="191">
        <f t="shared" si="49"/>
        <v>0</v>
      </c>
      <c r="Q405" s="192">
        <f t="shared" si="50"/>
        <v>0</v>
      </c>
      <c r="R405" s="193"/>
      <c r="S405" s="194"/>
      <c r="T405" s="195">
        <f t="shared" si="51"/>
        <v>0</v>
      </c>
      <c r="U405" s="195">
        <f t="shared" si="52"/>
        <v>0</v>
      </c>
      <c r="V405" s="195">
        <f t="shared" si="53"/>
        <v>0</v>
      </c>
      <c r="W405" s="196" t="e">
        <f t="shared" si="54"/>
        <v>#DIV/0!</v>
      </c>
      <c r="X405" s="197" t="e">
        <f t="shared" si="55"/>
        <v>#DIV/0!</v>
      </c>
      <c r="AH405" s="219" t="s">
        <v>1413</v>
      </c>
    </row>
    <row r="406" ht="11.4" customHeight="1" spans="1:34">
      <c r="A406" s="184" t="s">
        <v>1625</v>
      </c>
      <c r="B406" s="184" t="s">
        <v>123</v>
      </c>
      <c r="C406" s="184" t="s">
        <v>1101</v>
      </c>
      <c r="D406" s="185" t="s">
        <v>522</v>
      </c>
      <c r="E406" s="186" t="s">
        <v>906</v>
      </c>
      <c r="F406" s="186" t="s">
        <v>907</v>
      </c>
      <c r="G406" s="186" t="s">
        <v>1102</v>
      </c>
      <c r="H406" s="186" t="s">
        <v>547</v>
      </c>
      <c r="I406" s="187" t="s">
        <v>1682</v>
      </c>
      <c r="J406" s="187" t="s">
        <v>1683</v>
      </c>
      <c r="K406" s="188"/>
      <c r="L406" s="188"/>
      <c r="M406" s="189" t="s">
        <v>847</v>
      </c>
      <c r="N406" s="190">
        <v>250.83</v>
      </c>
      <c r="O406" s="190">
        <f t="shared" si="48"/>
        <v>273.4</v>
      </c>
      <c r="P406" s="191">
        <f t="shared" si="49"/>
        <v>0</v>
      </c>
      <c r="Q406" s="192">
        <f t="shared" si="50"/>
        <v>0</v>
      </c>
      <c r="R406" s="193"/>
      <c r="S406" s="194"/>
      <c r="T406" s="195">
        <f t="shared" si="51"/>
        <v>0</v>
      </c>
      <c r="U406" s="195">
        <f t="shared" si="52"/>
        <v>0</v>
      </c>
      <c r="V406" s="195">
        <f t="shared" si="53"/>
        <v>0</v>
      </c>
      <c r="W406" s="196" t="e">
        <f t="shared" si="54"/>
        <v>#DIV/0!</v>
      </c>
      <c r="X406" s="197" t="e">
        <f t="shared" si="55"/>
        <v>#DIV/0!</v>
      </c>
      <c r="AH406" s="219" t="s">
        <v>1413</v>
      </c>
    </row>
    <row r="407" ht="11.4" customHeight="1" spans="1:34">
      <c r="A407" s="184" t="s">
        <v>1625</v>
      </c>
      <c r="B407" s="184" t="s">
        <v>123</v>
      </c>
      <c r="C407" s="184" t="s">
        <v>1101</v>
      </c>
      <c r="D407" s="185" t="s">
        <v>522</v>
      </c>
      <c r="E407" s="186" t="s">
        <v>906</v>
      </c>
      <c r="F407" s="186" t="s">
        <v>907</v>
      </c>
      <c r="G407" s="186" t="s">
        <v>1102</v>
      </c>
      <c r="H407" s="186" t="s">
        <v>547</v>
      </c>
      <c r="I407" s="187" t="s">
        <v>1684</v>
      </c>
      <c r="J407" s="187" t="s">
        <v>1685</v>
      </c>
      <c r="K407" s="188"/>
      <c r="L407" s="188"/>
      <c r="M407" s="189" t="s">
        <v>847</v>
      </c>
      <c r="N407" s="190">
        <v>275.14</v>
      </c>
      <c r="O407" s="190">
        <f t="shared" si="48"/>
        <v>299.9</v>
      </c>
      <c r="P407" s="191">
        <f t="shared" si="49"/>
        <v>0</v>
      </c>
      <c r="Q407" s="192">
        <f t="shared" si="50"/>
        <v>0</v>
      </c>
      <c r="R407" s="193"/>
      <c r="S407" s="194"/>
      <c r="T407" s="195">
        <f t="shared" si="51"/>
        <v>0</v>
      </c>
      <c r="U407" s="195">
        <f t="shared" si="52"/>
        <v>0</v>
      </c>
      <c r="V407" s="195">
        <f t="shared" si="53"/>
        <v>0</v>
      </c>
      <c r="W407" s="196" t="e">
        <f t="shared" si="54"/>
        <v>#DIV/0!</v>
      </c>
      <c r="X407" s="197" t="e">
        <f t="shared" si="55"/>
        <v>#DIV/0!</v>
      </c>
      <c r="AH407" s="219" t="s">
        <v>1413</v>
      </c>
    </row>
    <row r="408" ht="11.4" customHeight="1" spans="1:34">
      <c r="A408" s="184" t="s">
        <v>1625</v>
      </c>
      <c r="B408" s="184" t="s">
        <v>123</v>
      </c>
      <c r="C408" s="184" t="s">
        <v>1101</v>
      </c>
      <c r="D408" s="185" t="s">
        <v>522</v>
      </c>
      <c r="E408" s="186" t="s">
        <v>906</v>
      </c>
      <c r="F408" s="186" t="s">
        <v>907</v>
      </c>
      <c r="G408" s="186" t="s">
        <v>1102</v>
      </c>
      <c r="H408" s="186" t="s">
        <v>547</v>
      </c>
      <c r="I408" s="187" t="s">
        <v>1686</v>
      </c>
      <c r="J408" s="187" t="s">
        <v>1687</v>
      </c>
      <c r="K408" s="188"/>
      <c r="L408" s="188"/>
      <c r="M408" s="189" t="s">
        <v>807</v>
      </c>
      <c r="N408" s="190">
        <v>130.79</v>
      </c>
      <c r="O408" s="190">
        <f t="shared" si="48"/>
        <v>142.56</v>
      </c>
      <c r="P408" s="191">
        <f t="shared" si="49"/>
        <v>0</v>
      </c>
      <c r="Q408" s="192">
        <f t="shared" si="50"/>
        <v>0</v>
      </c>
      <c r="R408" s="193"/>
      <c r="S408" s="194"/>
      <c r="T408" s="195">
        <f t="shared" si="51"/>
        <v>0</v>
      </c>
      <c r="U408" s="195">
        <f t="shared" si="52"/>
        <v>0</v>
      </c>
      <c r="V408" s="195">
        <f t="shared" si="53"/>
        <v>0</v>
      </c>
      <c r="W408" s="196" t="e">
        <f t="shared" si="54"/>
        <v>#DIV/0!</v>
      </c>
      <c r="X408" s="197" t="e">
        <f t="shared" si="55"/>
        <v>#DIV/0!</v>
      </c>
      <c r="AH408" s="219" t="s">
        <v>1413</v>
      </c>
    </row>
    <row r="409" ht="11.4" customHeight="1" spans="1:34">
      <c r="A409" s="184" t="s">
        <v>1625</v>
      </c>
      <c r="B409" s="184" t="s">
        <v>123</v>
      </c>
      <c r="C409" s="184" t="s">
        <v>1101</v>
      </c>
      <c r="D409" s="185" t="s">
        <v>522</v>
      </c>
      <c r="E409" s="186" t="s">
        <v>906</v>
      </c>
      <c r="F409" s="186" t="s">
        <v>907</v>
      </c>
      <c r="G409" s="186" t="s">
        <v>1102</v>
      </c>
      <c r="H409" s="186" t="s">
        <v>547</v>
      </c>
      <c r="I409" s="187" t="s">
        <v>1688</v>
      </c>
      <c r="J409" s="187" t="s">
        <v>1689</v>
      </c>
      <c r="K409" s="188"/>
      <c r="L409" s="188"/>
      <c r="M409" s="189" t="s">
        <v>847</v>
      </c>
      <c r="N409" s="190">
        <v>75.79</v>
      </c>
      <c r="O409" s="190">
        <f t="shared" si="48"/>
        <v>82.61</v>
      </c>
      <c r="P409" s="191">
        <f t="shared" si="49"/>
        <v>0</v>
      </c>
      <c r="Q409" s="192">
        <f t="shared" si="50"/>
        <v>0</v>
      </c>
      <c r="R409" s="193"/>
      <c r="S409" s="194"/>
      <c r="T409" s="195">
        <f t="shared" si="51"/>
        <v>0</v>
      </c>
      <c r="U409" s="195">
        <f t="shared" si="52"/>
        <v>0</v>
      </c>
      <c r="V409" s="195">
        <f t="shared" si="53"/>
        <v>0</v>
      </c>
      <c r="W409" s="196" t="e">
        <f t="shared" si="54"/>
        <v>#DIV/0!</v>
      </c>
      <c r="X409" s="197" t="e">
        <f t="shared" si="55"/>
        <v>#DIV/0!</v>
      </c>
      <c r="AH409" s="219" t="s">
        <v>1413</v>
      </c>
    </row>
    <row r="410" ht="11.4" customHeight="1" spans="1:34">
      <c r="A410" s="184" t="s">
        <v>1625</v>
      </c>
      <c r="B410" s="184" t="s">
        <v>123</v>
      </c>
      <c r="C410" s="184" t="s">
        <v>1101</v>
      </c>
      <c r="D410" s="185" t="s">
        <v>522</v>
      </c>
      <c r="E410" s="186" t="s">
        <v>906</v>
      </c>
      <c r="F410" s="186" t="s">
        <v>907</v>
      </c>
      <c r="G410" s="186" t="s">
        <v>1102</v>
      </c>
      <c r="H410" s="186" t="s">
        <v>547</v>
      </c>
      <c r="I410" s="187" t="s">
        <v>1690</v>
      </c>
      <c r="J410" s="187" t="s">
        <v>1691</v>
      </c>
      <c r="K410" s="188"/>
      <c r="L410" s="188"/>
      <c r="M410" s="189" t="s">
        <v>807</v>
      </c>
      <c r="N410" s="190">
        <v>343.86</v>
      </c>
      <c r="O410" s="190">
        <f t="shared" si="48"/>
        <v>374.81</v>
      </c>
      <c r="P410" s="191">
        <f t="shared" si="49"/>
        <v>0</v>
      </c>
      <c r="Q410" s="192">
        <f t="shared" si="50"/>
        <v>0</v>
      </c>
      <c r="R410" s="193"/>
      <c r="S410" s="194"/>
      <c r="T410" s="195">
        <f t="shared" si="51"/>
        <v>0</v>
      </c>
      <c r="U410" s="195">
        <f t="shared" si="52"/>
        <v>0</v>
      </c>
      <c r="V410" s="195">
        <f t="shared" si="53"/>
        <v>0</v>
      </c>
      <c r="W410" s="196" t="e">
        <f t="shared" si="54"/>
        <v>#DIV/0!</v>
      </c>
      <c r="X410" s="197" t="e">
        <f t="shared" si="55"/>
        <v>#DIV/0!</v>
      </c>
      <c r="AH410" s="219" t="s">
        <v>1413</v>
      </c>
    </row>
    <row r="411" ht="11.4" customHeight="1" spans="1:34">
      <c r="A411" s="184" t="s">
        <v>1625</v>
      </c>
      <c r="B411" s="184" t="s">
        <v>123</v>
      </c>
      <c r="C411" s="184" t="s">
        <v>1101</v>
      </c>
      <c r="D411" s="185" t="s">
        <v>522</v>
      </c>
      <c r="E411" s="186" t="s">
        <v>906</v>
      </c>
      <c r="F411" s="186" t="s">
        <v>907</v>
      </c>
      <c r="G411" s="186" t="s">
        <v>1102</v>
      </c>
      <c r="H411" s="186" t="s">
        <v>547</v>
      </c>
      <c r="I411" s="187" t="s">
        <v>1692</v>
      </c>
      <c r="J411" s="187" t="s">
        <v>1693</v>
      </c>
      <c r="K411" s="188"/>
      <c r="L411" s="188"/>
      <c r="M411" s="189" t="s">
        <v>807</v>
      </c>
      <c r="N411" s="190">
        <v>341.66</v>
      </c>
      <c r="O411" s="190">
        <f t="shared" si="48"/>
        <v>372.41</v>
      </c>
      <c r="P411" s="191">
        <f t="shared" si="49"/>
        <v>0</v>
      </c>
      <c r="Q411" s="192">
        <f t="shared" si="50"/>
        <v>0</v>
      </c>
      <c r="R411" s="193"/>
      <c r="S411" s="194"/>
      <c r="T411" s="195">
        <f t="shared" si="51"/>
        <v>0</v>
      </c>
      <c r="U411" s="195">
        <f t="shared" si="52"/>
        <v>0</v>
      </c>
      <c r="V411" s="195">
        <f t="shared" si="53"/>
        <v>0</v>
      </c>
      <c r="W411" s="196" t="e">
        <f t="shared" si="54"/>
        <v>#DIV/0!</v>
      </c>
      <c r="X411" s="197" t="e">
        <f t="shared" si="55"/>
        <v>#DIV/0!</v>
      </c>
      <c r="AH411" s="219" t="s">
        <v>1413</v>
      </c>
    </row>
    <row r="412" ht="11.4" customHeight="1" spans="1:34">
      <c r="A412" s="184" t="s">
        <v>1625</v>
      </c>
      <c r="B412" s="184" t="s">
        <v>123</v>
      </c>
      <c r="C412" s="184" t="s">
        <v>1101</v>
      </c>
      <c r="D412" s="185" t="s">
        <v>522</v>
      </c>
      <c r="E412" s="186" t="s">
        <v>906</v>
      </c>
      <c r="F412" s="186" t="s">
        <v>907</v>
      </c>
      <c r="G412" s="186" t="s">
        <v>1102</v>
      </c>
      <c r="H412" s="186" t="s">
        <v>547</v>
      </c>
      <c r="I412" s="187" t="s">
        <v>1694</v>
      </c>
      <c r="J412" s="187" t="s">
        <v>1695</v>
      </c>
      <c r="K412" s="188"/>
      <c r="L412" s="188"/>
      <c r="M412" s="189" t="s">
        <v>807</v>
      </c>
      <c r="N412" s="190">
        <v>481.91</v>
      </c>
      <c r="O412" s="190">
        <f t="shared" si="48"/>
        <v>525.28</v>
      </c>
      <c r="P412" s="191">
        <f t="shared" si="49"/>
        <v>0</v>
      </c>
      <c r="Q412" s="192">
        <f t="shared" si="50"/>
        <v>0</v>
      </c>
      <c r="R412" s="193"/>
      <c r="S412" s="194"/>
      <c r="T412" s="195">
        <f t="shared" si="51"/>
        <v>0</v>
      </c>
      <c r="U412" s="195">
        <f t="shared" si="52"/>
        <v>0</v>
      </c>
      <c r="V412" s="195">
        <f t="shared" si="53"/>
        <v>0</v>
      </c>
      <c r="W412" s="196" t="e">
        <f t="shared" si="54"/>
        <v>#DIV/0!</v>
      </c>
      <c r="X412" s="197" t="e">
        <f t="shared" si="55"/>
        <v>#DIV/0!</v>
      </c>
      <c r="AH412" s="219" t="s">
        <v>1413</v>
      </c>
    </row>
    <row r="413" ht="11.4" customHeight="1" spans="1:34">
      <c r="A413" s="184" t="s">
        <v>1625</v>
      </c>
      <c r="B413" s="184" t="s">
        <v>123</v>
      </c>
      <c r="C413" s="184" t="s">
        <v>1101</v>
      </c>
      <c r="D413" s="185" t="s">
        <v>522</v>
      </c>
      <c r="E413" s="186" t="s">
        <v>906</v>
      </c>
      <c r="F413" s="186" t="s">
        <v>907</v>
      </c>
      <c r="G413" s="186" t="s">
        <v>1102</v>
      </c>
      <c r="H413" s="186" t="s">
        <v>547</v>
      </c>
      <c r="I413" s="187" t="s">
        <v>1696</v>
      </c>
      <c r="J413" s="187" t="s">
        <v>1697</v>
      </c>
      <c r="K413" s="188"/>
      <c r="L413" s="188"/>
      <c r="M413" s="189" t="s">
        <v>807</v>
      </c>
      <c r="N413" s="190">
        <v>232.76</v>
      </c>
      <c r="O413" s="190">
        <f t="shared" si="48"/>
        <v>253.71</v>
      </c>
      <c r="P413" s="191">
        <f t="shared" si="49"/>
        <v>0</v>
      </c>
      <c r="Q413" s="192">
        <f t="shared" si="50"/>
        <v>0</v>
      </c>
      <c r="R413" s="193"/>
      <c r="S413" s="194"/>
      <c r="T413" s="195">
        <f t="shared" si="51"/>
        <v>0</v>
      </c>
      <c r="U413" s="195">
        <f t="shared" si="52"/>
        <v>0</v>
      </c>
      <c r="V413" s="195">
        <f t="shared" si="53"/>
        <v>0</v>
      </c>
      <c r="W413" s="196" t="e">
        <f t="shared" si="54"/>
        <v>#DIV/0!</v>
      </c>
      <c r="X413" s="197" t="e">
        <f t="shared" si="55"/>
        <v>#DIV/0!</v>
      </c>
      <c r="AH413" s="219" t="s">
        <v>1413</v>
      </c>
    </row>
    <row r="414" ht="11.4" customHeight="1" spans="1:34">
      <c r="A414" s="184" t="s">
        <v>1625</v>
      </c>
      <c r="B414" s="184" t="s">
        <v>123</v>
      </c>
      <c r="C414" s="184" t="s">
        <v>1101</v>
      </c>
      <c r="D414" s="185" t="s">
        <v>522</v>
      </c>
      <c r="E414" s="186" t="s">
        <v>906</v>
      </c>
      <c r="F414" s="186" t="s">
        <v>907</v>
      </c>
      <c r="G414" s="186" t="s">
        <v>1102</v>
      </c>
      <c r="H414" s="186" t="s">
        <v>547</v>
      </c>
      <c r="I414" s="187" t="s">
        <v>1698</v>
      </c>
      <c r="J414" s="187" t="s">
        <v>1699</v>
      </c>
      <c r="K414" s="188"/>
      <c r="L414" s="188"/>
      <c r="M414" s="189" t="s">
        <v>847</v>
      </c>
      <c r="N414" s="190">
        <v>606.85</v>
      </c>
      <c r="O414" s="190">
        <f t="shared" si="48"/>
        <v>661.47</v>
      </c>
      <c r="P414" s="191">
        <f t="shared" si="49"/>
        <v>0</v>
      </c>
      <c r="Q414" s="192">
        <f t="shared" si="50"/>
        <v>0</v>
      </c>
      <c r="R414" s="193"/>
      <c r="S414" s="194"/>
      <c r="T414" s="195">
        <f t="shared" si="51"/>
        <v>0</v>
      </c>
      <c r="U414" s="195">
        <f t="shared" si="52"/>
        <v>0</v>
      </c>
      <c r="V414" s="195">
        <f t="shared" si="53"/>
        <v>0</v>
      </c>
      <c r="W414" s="196" t="e">
        <f t="shared" si="54"/>
        <v>#DIV/0!</v>
      </c>
      <c r="X414" s="197" t="e">
        <f t="shared" si="55"/>
        <v>#DIV/0!</v>
      </c>
      <c r="AH414" s="219" t="s">
        <v>1413</v>
      </c>
    </row>
    <row r="415" ht="11.4" customHeight="1" spans="1:34">
      <c r="A415" s="184" t="s">
        <v>1625</v>
      </c>
      <c r="B415" s="184" t="s">
        <v>123</v>
      </c>
      <c r="C415" s="184" t="s">
        <v>1101</v>
      </c>
      <c r="D415" s="185" t="s">
        <v>522</v>
      </c>
      <c r="E415" s="186" t="s">
        <v>906</v>
      </c>
      <c r="F415" s="186" t="s">
        <v>907</v>
      </c>
      <c r="G415" s="186" t="s">
        <v>1102</v>
      </c>
      <c r="H415" s="186" t="s">
        <v>547</v>
      </c>
      <c r="I415" s="187" t="s">
        <v>1700</v>
      </c>
      <c r="J415" s="187" t="s">
        <v>1701</v>
      </c>
      <c r="K415" s="188"/>
      <c r="L415" s="188"/>
      <c r="M415" s="189" t="s">
        <v>807</v>
      </c>
      <c r="N415" s="190">
        <v>930.48</v>
      </c>
      <c r="O415" s="190">
        <f t="shared" si="48"/>
        <v>1014.22</v>
      </c>
      <c r="P415" s="191">
        <f t="shared" si="49"/>
        <v>0</v>
      </c>
      <c r="Q415" s="192">
        <f t="shared" si="50"/>
        <v>0</v>
      </c>
      <c r="R415" s="193"/>
      <c r="S415" s="194"/>
      <c r="T415" s="195">
        <f t="shared" si="51"/>
        <v>0</v>
      </c>
      <c r="U415" s="195">
        <f t="shared" si="52"/>
        <v>0</v>
      </c>
      <c r="V415" s="195">
        <f t="shared" si="53"/>
        <v>0</v>
      </c>
      <c r="W415" s="196" t="e">
        <f t="shared" si="54"/>
        <v>#DIV/0!</v>
      </c>
      <c r="X415" s="197" t="e">
        <f t="shared" si="55"/>
        <v>#DIV/0!</v>
      </c>
      <c r="AH415" s="219" t="s">
        <v>1413</v>
      </c>
    </row>
    <row r="416" ht="11.4" customHeight="1" spans="1:34">
      <c r="A416" s="184" t="s">
        <v>1625</v>
      </c>
      <c r="B416" s="184" t="s">
        <v>123</v>
      </c>
      <c r="C416" s="184" t="s">
        <v>1101</v>
      </c>
      <c r="D416" s="185" t="s">
        <v>522</v>
      </c>
      <c r="E416" s="186" t="s">
        <v>906</v>
      </c>
      <c r="F416" s="186" t="s">
        <v>907</v>
      </c>
      <c r="G416" s="186" t="s">
        <v>1102</v>
      </c>
      <c r="H416" s="186" t="s">
        <v>547</v>
      </c>
      <c r="I416" s="187" t="s">
        <v>1702</v>
      </c>
      <c r="J416" s="187" t="s">
        <v>1703</v>
      </c>
      <c r="K416" s="188"/>
      <c r="L416" s="188"/>
      <c r="M416" s="189" t="s">
        <v>847</v>
      </c>
      <c r="N416" s="190">
        <v>233.36</v>
      </c>
      <c r="O416" s="190">
        <f t="shared" si="48"/>
        <v>254.36</v>
      </c>
      <c r="P416" s="191">
        <f t="shared" si="49"/>
        <v>0</v>
      </c>
      <c r="Q416" s="192">
        <f t="shared" si="50"/>
        <v>0</v>
      </c>
      <c r="R416" s="193"/>
      <c r="S416" s="194"/>
      <c r="T416" s="195">
        <f t="shared" si="51"/>
        <v>0</v>
      </c>
      <c r="U416" s="195">
        <f t="shared" si="52"/>
        <v>0</v>
      </c>
      <c r="V416" s="195">
        <f t="shared" si="53"/>
        <v>0</v>
      </c>
      <c r="W416" s="196" t="e">
        <f t="shared" si="54"/>
        <v>#DIV/0!</v>
      </c>
      <c r="X416" s="197" t="e">
        <f t="shared" si="55"/>
        <v>#DIV/0!</v>
      </c>
      <c r="AH416" s="219" t="s">
        <v>1413</v>
      </c>
    </row>
    <row r="417" ht="11.4" customHeight="1" spans="1:34">
      <c r="A417" s="184" t="s">
        <v>1625</v>
      </c>
      <c r="B417" s="184" t="s">
        <v>123</v>
      </c>
      <c r="C417" s="184" t="s">
        <v>1101</v>
      </c>
      <c r="D417" s="185" t="s">
        <v>522</v>
      </c>
      <c r="E417" s="186" t="s">
        <v>906</v>
      </c>
      <c r="F417" s="186" t="s">
        <v>907</v>
      </c>
      <c r="G417" s="186" t="s">
        <v>1102</v>
      </c>
      <c r="H417" s="186" t="s">
        <v>547</v>
      </c>
      <c r="I417" s="187" t="s">
        <v>1704</v>
      </c>
      <c r="J417" s="187" t="s">
        <v>1705</v>
      </c>
      <c r="K417" s="188"/>
      <c r="L417" s="188"/>
      <c r="M417" s="189" t="s">
        <v>847</v>
      </c>
      <c r="N417" s="190">
        <v>163.76</v>
      </c>
      <c r="O417" s="190">
        <f t="shared" si="48"/>
        <v>178.5</v>
      </c>
      <c r="P417" s="191">
        <f t="shared" si="49"/>
        <v>0</v>
      </c>
      <c r="Q417" s="192">
        <f t="shared" si="50"/>
        <v>0</v>
      </c>
      <c r="R417" s="193"/>
      <c r="S417" s="194"/>
      <c r="T417" s="195">
        <f t="shared" si="51"/>
        <v>0</v>
      </c>
      <c r="U417" s="195">
        <f t="shared" si="52"/>
        <v>0</v>
      </c>
      <c r="V417" s="195">
        <f t="shared" si="53"/>
        <v>0</v>
      </c>
      <c r="W417" s="196" t="e">
        <f t="shared" si="54"/>
        <v>#DIV/0!</v>
      </c>
      <c r="X417" s="197" t="e">
        <f t="shared" si="55"/>
        <v>#DIV/0!</v>
      </c>
      <c r="AH417" s="219" t="s">
        <v>1413</v>
      </c>
    </row>
    <row r="418" ht="11.4" customHeight="1" spans="1:34">
      <c r="A418" s="184" t="s">
        <v>1625</v>
      </c>
      <c r="B418" s="184" t="s">
        <v>123</v>
      </c>
      <c r="C418" s="184" t="s">
        <v>1101</v>
      </c>
      <c r="D418" s="185" t="s">
        <v>522</v>
      </c>
      <c r="E418" s="186" t="s">
        <v>906</v>
      </c>
      <c r="F418" s="186" t="s">
        <v>907</v>
      </c>
      <c r="G418" s="186" t="s">
        <v>1102</v>
      </c>
      <c r="H418" s="186" t="s">
        <v>547</v>
      </c>
      <c r="I418" s="187" t="s">
        <v>1336</v>
      </c>
      <c r="J418" s="187" t="s">
        <v>1337</v>
      </c>
      <c r="K418" s="188"/>
      <c r="L418" s="188"/>
      <c r="M418" s="189" t="s">
        <v>847</v>
      </c>
      <c r="N418" s="190">
        <v>62.19</v>
      </c>
      <c r="O418" s="190">
        <f t="shared" si="48"/>
        <v>67.79</v>
      </c>
      <c r="P418" s="191">
        <f t="shared" si="49"/>
        <v>0</v>
      </c>
      <c r="Q418" s="192">
        <f t="shared" si="50"/>
        <v>0</v>
      </c>
      <c r="R418" s="193"/>
      <c r="S418" s="194"/>
      <c r="T418" s="195">
        <f t="shared" si="51"/>
        <v>0</v>
      </c>
      <c r="U418" s="195">
        <f t="shared" si="52"/>
        <v>0</v>
      </c>
      <c r="V418" s="195">
        <f t="shared" si="53"/>
        <v>0</v>
      </c>
      <c r="W418" s="196" t="e">
        <f t="shared" si="54"/>
        <v>#DIV/0!</v>
      </c>
      <c r="X418" s="197" t="e">
        <f t="shared" si="55"/>
        <v>#DIV/0!</v>
      </c>
      <c r="AH418" s="219" t="s">
        <v>1413</v>
      </c>
    </row>
    <row r="419" ht="11.4" customHeight="1" spans="1:34">
      <c r="A419" s="184" t="s">
        <v>1706</v>
      </c>
      <c r="B419" s="184" t="s">
        <v>125</v>
      </c>
      <c r="C419" s="184" t="s">
        <v>1101</v>
      </c>
      <c r="D419" s="185" t="s">
        <v>522</v>
      </c>
      <c r="E419" s="186" t="s">
        <v>906</v>
      </c>
      <c r="F419" s="186" t="s">
        <v>907</v>
      </c>
      <c r="G419" s="186" t="s">
        <v>1102</v>
      </c>
      <c r="H419" s="186" t="s">
        <v>1707</v>
      </c>
      <c r="I419" s="187" t="s">
        <v>1104</v>
      </c>
      <c r="J419" s="187" t="s">
        <v>1105</v>
      </c>
      <c r="K419" s="188"/>
      <c r="L419" s="188"/>
      <c r="M419" s="189" t="s">
        <v>847</v>
      </c>
      <c r="N419" s="190">
        <v>180.78</v>
      </c>
      <c r="O419" s="190">
        <f t="shared" si="48"/>
        <v>197.05</v>
      </c>
      <c r="P419" s="191">
        <f t="shared" si="49"/>
        <v>0</v>
      </c>
      <c r="Q419" s="192">
        <f t="shared" si="50"/>
        <v>0</v>
      </c>
      <c r="R419" s="193"/>
      <c r="S419" s="194"/>
      <c r="T419" s="195">
        <f t="shared" si="51"/>
        <v>0</v>
      </c>
      <c r="U419" s="195">
        <f t="shared" si="52"/>
        <v>0</v>
      </c>
      <c r="V419" s="195">
        <f t="shared" si="53"/>
        <v>0</v>
      </c>
      <c r="W419" s="196" t="e">
        <f t="shared" si="54"/>
        <v>#DIV/0!</v>
      </c>
      <c r="X419" s="197" t="e">
        <f t="shared" si="55"/>
        <v>#DIV/0!</v>
      </c>
      <c r="AG419" s="109" t="s">
        <v>883</v>
      </c>
    </row>
    <row r="420" ht="11.4" customHeight="1" spans="1:34">
      <c r="A420" s="184" t="s">
        <v>1706</v>
      </c>
      <c r="B420" s="184" t="s">
        <v>125</v>
      </c>
      <c r="C420" s="184" t="s">
        <v>1101</v>
      </c>
      <c r="D420" s="185" t="s">
        <v>522</v>
      </c>
      <c r="E420" s="186" t="s">
        <v>906</v>
      </c>
      <c r="F420" s="186" t="s">
        <v>907</v>
      </c>
      <c r="G420" s="186" t="s">
        <v>1102</v>
      </c>
      <c r="H420" s="186" t="s">
        <v>1707</v>
      </c>
      <c r="I420" s="187" t="s">
        <v>1106</v>
      </c>
      <c r="J420" s="187" t="s">
        <v>1107</v>
      </c>
      <c r="K420" s="188"/>
      <c r="L420" s="188"/>
      <c r="M420" s="189" t="s">
        <v>807</v>
      </c>
      <c r="N420" s="190">
        <v>41.36</v>
      </c>
      <c r="O420" s="190">
        <f t="shared" si="48"/>
        <v>45.08</v>
      </c>
      <c r="P420" s="191">
        <f t="shared" si="49"/>
        <v>0</v>
      </c>
      <c r="Q420" s="192">
        <f t="shared" si="50"/>
        <v>0</v>
      </c>
      <c r="R420" s="193"/>
      <c r="S420" s="194"/>
      <c r="T420" s="195">
        <f t="shared" si="51"/>
        <v>0</v>
      </c>
      <c r="U420" s="195">
        <f t="shared" si="52"/>
        <v>0</v>
      </c>
      <c r="V420" s="195">
        <f t="shared" si="53"/>
        <v>0</v>
      </c>
      <c r="W420" s="196" t="e">
        <f t="shared" si="54"/>
        <v>#DIV/0!</v>
      </c>
      <c r="X420" s="197" t="e">
        <f t="shared" si="55"/>
        <v>#DIV/0!</v>
      </c>
      <c r="AG420" s="219" t="s">
        <v>1492</v>
      </c>
    </row>
    <row r="421" ht="11.4" customHeight="1" spans="1:34">
      <c r="A421" s="184" t="s">
        <v>1706</v>
      </c>
      <c r="B421" s="184" t="s">
        <v>125</v>
      </c>
      <c r="C421" s="184" t="s">
        <v>1101</v>
      </c>
      <c r="D421" s="185" t="s">
        <v>522</v>
      </c>
      <c r="E421" s="186" t="s">
        <v>906</v>
      </c>
      <c r="F421" s="186" t="s">
        <v>907</v>
      </c>
      <c r="G421" s="186" t="s">
        <v>1102</v>
      </c>
      <c r="H421" s="186" t="s">
        <v>1707</v>
      </c>
      <c r="I421" s="187" t="s">
        <v>1109</v>
      </c>
      <c r="J421" s="187" t="s">
        <v>1110</v>
      </c>
      <c r="K421" s="188"/>
      <c r="L421" s="188"/>
      <c r="M421" s="189" t="s">
        <v>847</v>
      </c>
      <c r="N421" s="190">
        <v>160.21</v>
      </c>
      <c r="O421" s="190">
        <f t="shared" si="48"/>
        <v>174.63</v>
      </c>
      <c r="P421" s="191">
        <f t="shared" si="49"/>
        <v>0</v>
      </c>
      <c r="Q421" s="192">
        <f t="shared" si="50"/>
        <v>0</v>
      </c>
      <c r="R421" s="193"/>
      <c r="S421" s="194"/>
      <c r="T421" s="195">
        <f t="shared" si="51"/>
        <v>0</v>
      </c>
      <c r="U421" s="195">
        <f t="shared" si="52"/>
        <v>0</v>
      </c>
      <c r="V421" s="195">
        <f t="shared" si="53"/>
        <v>0</v>
      </c>
      <c r="W421" s="196" t="e">
        <f t="shared" si="54"/>
        <v>#DIV/0!</v>
      </c>
      <c r="X421" s="197" t="e">
        <f t="shared" si="55"/>
        <v>#DIV/0!</v>
      </c>
      <c r="AG421" s="109" t="s">
        <v>883</v>
      </c>
    </row>
    <row r="422" ht="11.4" customHeight="1" spans="1:34">
      <c r="A422" s="184" t="s">
        <v>1706</v>
      </c>
      <c r="B422" s="184" t="s">
        <v>125</v>
      </c>
      <c r="C422" s="184" t="s">
        <v>1101</v>
      </c>
      <c r="D422" s="185" t="s">
        <v>522</v>
      </c>
      <c r="E422" s="186" t="s">
        <v>906</v>
      </c>
      <c r="F422" s="186" t="s">
        <v>907</v>
      </c>
      <c r="G422" s="186" t="s">
        <v>1102</v>
      </c>
      <c r="H422" s="186" t="s">
        <v>1707</v>
      </c>
      <c r="I422" s="187" t="s">
        <v>1111</v>
      </c>
      <c r="J422" s="187" t="s">
        <v>1112</v>
      </c>
      <c r="K422" s="188"/>
      <c r="L422" s="188"/>
      <c r="M422" s="189" t="s">
        <v>807</v>
      </c>
      <c r="N422" s="190">
        <v>38.94</v>
      </c>
      <c r="O422" s="190">
        <f t="shared" si="48"/>
        <v>42.44</v>
      </c>
      <c r="P422" s="191">
        <f t="shared" si="49"/>
        <v>0</v>
      </c>
      <c r="Q422" s="192">
        <f t="shared" si="50"/>
        <v>0</v>
      </c>
      <c r="R422" s="193"/>
      <c r="S422" s="194"/>
      <c r="T422" s="195">
        <f t="shared" si="51"/>
        <v>0</v>
      </c>
      <c r="U422" s="195">
        <f t="shared" si="52"/>
        <v>0</v>
      </c>
      <c r="V422" s="195">
        <f t="shared" si="53"/>
        <v>0</v>
      </c>
      <c r="W422" s="196" t="e">
        <f t="shared" si="54"/>
        <v>#DIV/0!</v>
      </c>
      <c r="X422" s="197" t="e">
        <f t="shared" si="55"/>
        <v>#DIV/0!</v>
      </c>
      <c r="AG422" s="219" t="s">
        <v>1492</v>
      </c>
    </row>
    <row r="423" ht="11.4" customHeight="1" spans="1:34">
      <c r="A423" s="184" t="s">
        <v>1706</v>
      </c>
      <c r="B423" s="184" t="s">
        <v>125</v>
      </c>
      <c r="C423" s="184" t="s">
        <v>1101</v>
      </c>
      <c r="D423" s="185" t="s">
        <v>522</v>
      </c>
      <c r="E423" s="186" t="s">
        <v>906</v>
      </c>
      <c r="F423" s="186" t="s">
        <v>907</v>
      </c>
      <c r="G423" s="186" t="s">
        <v>1102</v>
      </c>
      <c r="H423" s="186" t="s">
        <v>1707</v>
      </c>
      <c r="I423" s="187" t="s">
        <v>1113</v>
      </c>
      <c r="J423" s="187" t="s">
        <v>1114</v>
      </c>
      <c r="K423" s="188">
        <v>4.12</v>
      </c>
      <c r="L423" s="188">
        <v>4.12</v>
      </c>
      <c r="M423" s="189" t="s">
        <v>847</v>
      </c>
      <c r="N423" s="190">
        <v>181.99</v>
      </c>
      <c r="O423" s="190">
        <f t="shared" si="48"/>
        <v>198.37</v>
      </c>
      <c r="P423" s="191">
        <f t="shared" si="49"/>
        <v>749.8</v>
      </c>
      <c r="Q423" s="192">
        <f t="shared" si="50"/>
        <v>749.8</v>
      </c>
      <c r="R423" s="193"/>
      <c r="S423" s="194"/>
      <c r="T423" s="195">
        <f t="shared" si="51"/>
        <v>0</v>
      </c>
      <c r="U423" s="195">
        <f t="shared" si="52"/>
        <v>0</v>
      </c>
      <c r="V423" s="195">
        <f t="shared" si="53"/>
        <v>0</v>
      </c>
      <c r="W423" s="196">
        <f t="shared" si="54"/>
        <v>0</v>
      </c>
      <c r="X423" s="197">
        <f t="shared" si="55"/>
        <v>0</v>
      </c>
      <c r="AG423" s="109" t="s">
        <v>883</v>
      </c>
    </row>
    <row r="424" ht="11.4" customHeight="1" spans="1:34">
      <c r="A424" s="184" t="s">
        <v>1706</v>
      </c>
      <c r="B424" s="184" t="s">
        <v>125</v>
      </c>
      <c r="C424" s="184" t="s">
        <v>1101</v>
      </c>
      <c r="D424" s="185" t="s">
        <v>522</v>
      </c>
      <c r="E424" s="186" t="s">
        <v>906</v>
      </c>
      <c r="F424" s="186" t="s">
        <v>907</v>
      </c>
      <c r="G424" s="186" t="s">
        <v>1102</v>
      </c>
      <c r="H424" s="186" t="s">
        <v>1707</v>
      </c>
      <c r="I424" s="187" t="s">
        <v>1115</v>
      </c>
      <c r="J424" s="187" t="s">
        <v>1116</v>
      </c>
      <c r="K424" s="188"/>
      <c r="L424" s="188"/>
      <c r="M424" s="189" t="s">
        <v>807</v>
      </c>
      <c r="N424" s="190">
        <v>42.57</v>
      </c>
      <c r="O424" s="190">
        <f t="shared" si="48"/>
        <v>46.4</v>
      </c>
      <c r="P424" s="191">
        <f t="shared" si="49"/>
        <v>0</v>
      </c>
      <c r="Q424" s="192">
        <f t="shared" si="50"/>
        <v>0</v>
      </c>
      <c r="R424" s="193"/>
      <c r="S424" s="194"/>
      <c r="T424" s="195">
        <f t="shared" si="51"/>
        <v>0</v>
      </c>
      <c r="U424" s="195">
        <f t="shared" si="52"/>
        <v>0</v>
      </c>
      <c r="V424" s="195">
        <f t="shared" si="53"/>
        <v>0</v>
      </c>
      <c r="W424" s="196" t="e">
        <f t="shared" si="54"/>
        <v>#DIV/0!</v>
      </c>
      <c r="X424" s="197" t="e">
        <f t="shared" si="55"/>
        <v>#DIV/0!</v>
      </c>
      <c r="AG424" s="219" t="s">
        <v>1492</v>
      </c>
    </row>
    <row r="425" ht="11.4" customHeight="1" spans="1:34">
      <c r="A425" s="184" t="s">
        <v>1706</v>
      </c>
      <c r="B425" s="184" t="s">
        <v>125</v>
      </c>
      <c r="C425" s="184" t="s">
        <v>1101</v>
      </c>
      <c r="D425" s="185" t="s">
        <v>522</v>
      </c>
      <c r="E425" s="186" t="s">
        <v>906</v>
      </c>
      <c r="F425" s="186" t="s">
        <v>907</v>
      </c>
      <c r="G425" s="186" t="s">
        <v>1102</v>
      </c>
      <c r="H425" s="186" t="s">
        <v>1707</v>
      </c>
      <c r="I425" s="187" t="s">
        <v>1117</v>
      </c>
      <c r="J425" s="187" t="s">
        <v>1118</v>
      </c>
      <c r="K425" s="188"/>
      <c r="L425" s="188"/>
      <c r="M425" s="189" t="s">
        <v>847</v>
      </c>
      <c r="N425" s="190">
        <v>187.98</v>
      </c>
      <c r="O425" s="190">
        <f t="shared" si="48"/>
        <v>204.9</v>
      </c>
      <c r="P425" s="191">
        <f t="shared" si="49"/>
        <v>0</v>
      </c>
      <c r="Q425" s="192">
        <f t="shared" si="50"/>
        <v>0</v>
      </c>
      <c r="R425" s="193"/>
      <c r="S425" s="194"/>
      <c r="T425" s="195">
        <f t="shared" si="51"/>
        <v>0</v>
      </c>
      <c r="U425" s="195">
        <f t="shared" si="52"/>
        <v>0</v>
      </c>
      <c r="V425" s="195">
        <f t="shared" si="53"/>
        <v>0</v>
      </c>
      <c r="W425" s="196" t="e">
        <f t="shared" si="54"/>
        <v>#DIV/0!</v>
      </c>
      <c r="X425" s="197" t="e">
        <f t="shared" si="55"/>
        <v>#DIV/0!</v>
      </c>
      <c r="AG425" s="109" t="s">
        <v>883</v>
      </c>
    </row>
    <row r="426" ht="11.4" customHeight="1" spans="1:34">
      <c r="A426" s="184" t="s">
        <v>1706</v>
      </c>
      <c r="B426" s="184" t="s">
        <v>125</v>
      </c>
      <c r="C426" s="184" t="s">
        <v>1101</v>
      </c>
      <c r="D426" s="185" t="s">
        <v>522</v>
      </c>
      <c r="E426" s="186" t="s">
        <v>906</v>
      </c>
      <c r="F426" s="186" t="s">
        <v>907</v>
      </c>
      <c r="G426" s="186" t="s">
        <v>1102</v>
      </c>
      <c r="H426" s="186" t="s">
        <v>1707</v>
      </c>
      <c r="I426" s="187" t="s">
        <v>1119</v>
      </c>
      <c r="J426" s="187" t="s">
        <v>1120</v>
      </c>
      <c r="K426" s="188"/>
      <c r="L426" s="188"/>
      <c r="M426" s="189" t="s">
        <v>847</v>
      </c>
      <c r="N426" s="190">
        <v>171.66</v>
      </c>
      <c r="O426" s="190">
        <f t="shared" si="48"/>
        <v>187.11</v>
      </c>
      <c r="P426" s="191">
        <f t="shared" si="49"/>
        <v>0</v>
      </c>
      <c r="Q426" s="192">
        <f t="shared" si="50"/>
        <v>0</v>
      </c>
      <c r="R426" s="193"/>
      <c r="S426" s="194"/>
      <c r="T426" s="195">
        <f t="shared" si="51"/>
        <v>0</v>
      </c>
      <c r="U426" s="195">
        <f t="shared" si="52"/>
        <v>0</v>
      </c>
      <c r="V426" s="195">
        <f t="shared" si="53"/>
        <v>0</v>
      </c>
      <c r="W426" s="196" t="e">
        <f t="shared" si="54"/>
        <v>#DIV/0!</v>
      </c>
      <c r="X426" s="197" t="e">
        <f t="shared" si="55"/>
        <v>#DIV/0!</v>
      </c>
    </row>
    <row r="427" ht="11.4" customHeight="1" spans="1:34">
      <c r="A427" s="184" t="s">
        <v>1706</v>
      </c>
      <c r="B427" s="184" t="s">
        <v>125</v>
      </c>
      <c r="C427" s="184" t="s">
        <v>1101</v>
      </c>
      <c r="D427" s="185" t="s">
        <v>522</v>
      </c>
      <c r="E427" s="186" t="s">
        <v>906</v>
      </c>
      <c r="F427" s="186" t="s">
        <v>907</v>
      </c>
      <c r="G427" s="186" t="s">
        <v>1102</v>
      </c>
      <c r="H427" s="186" t="s">
        <v>1707</v>
      </c>
      <c r="I427" s="187" t="s">
        <v>1121</v>
      </c>
      <c r="J427" s="187" t="s">
        <v>1122</v>
      </c>
      <c r="K427" s="188"/>
      <c r="L427" s="188"/>
      <c r="M427" s="189" t="s">
        <v>847</v>
      </c>
      <c r="N427" s="190">
        <v>189.15</v>
      </c>
      <c r="O427" s="190">
        <f t="shared" si="48"/>
        <v>206.17</v>
      </c>
      <c r="P427" s="191">
        <f t="shared" si="49"/>
        <v>0</v>
      </c>
      <c r="Q427" s="192">
        <f t="shared" si="50"/>
        <v>0</v>
      </c>
      <c r="R427" s="193"/>
      <c r="S427" s="194"/>
      <c r="T427" s="195">
        <f t="shared" si="51"/>
        <v>0</v>
      </c>
      <c r="U427" s="195">
        <f t="shared" si="52"/>
        <v>0</v>
      </c>
      <c r="V427" s="195">
        <f t="shared" si="53"/>
        <v>0</v>
      </c>
      <c r="W427" s="196" t="e">
        <f t="shared" si="54"/>
        <v>#DIV/0!</v>
      </c>
      <c r="X427" s="197" t="e">
        <f t="shared" si="55"/>
        <v>#DIV/0!</v>
      </c>
    </row>
    <row r="428" ht="11.4" customHeight="1" spans="1:34">
      <c r="A428" s="184" t="s">
        <v>1706</v>
      </c>
      <c r="B428" s="184" t="s">
        <v>125</v>
      </c>
      <c r="C428" s="184" t="s">
        <v>1101</v>
      </c>
      <c r="D428" s="185" t="s">
        <v>522</v>
      </c>
      <c r="E428" s="186" t="s">
        <v>906</v>
      </c>
      <c r="F428" s="186" t="s">
        <v>907</v>
      </c>
      <c r="G428" s="186" t="s">
        <v>1102</v>
      </c>
      <c r="H428" s="186" t="s">
        <v>1707</v>
      </c>
      <c r="I428" s="187" t="s">
        <v>1123</v>
      </c>
      <c r="J428" s="187" t="s">
        <v>1124</v>
      </c>
      <c r="K428" s="188"/>
      <c r="L428" s="188"/>
      <c r="M428" s="189" t="s">
        <v>807</v>
      </c>
      <c r="N428" s="190">
        <v>41.36</v>
      </c>
      <c r="O428" s="190">
        <f t="shared" si="48"/>
        <v>45.08</v>
      </c>
      <c r="P428" s="191">
        <f t="shared" si="49"/>
        <v>0</v>
      </c>
      <c r="Q428" s="192">
        <f t="shared" si="50"/>
        <v>0</v>
      </c>
      <c r="R428" s="193"/>
      <c r="S428" s="194"/>
      <c r="T428" s="195">
        <f t="shared" si="51"/>
        <v>0</v>
      </c>
      <c r="U428" s="195">
        <f t="shared" si="52"/>
        <v>0</v>
      </c>
      <c r="V428" s="195">
        <f t="shared" si="53"/>
        <v>0</v>
      </c>
      <c r="W428" s="196" t="e">
        <f t="shared" si="54"/>
        <v>#DIV/0!</v>
      </c>
      <c r="X428" s="197" t="e">
        <f t="shared" si="55"/>
        <v>#DIV/0!</v>
      </c>
      <c r="AG428" s="219" t="s">
        <v>1492</v>
      </c>
    </row>
    <row r="429" ht="11.4" customHeight="1" spans="1:34">
      <c r="A429" s="184" t="s">
        <v>1706</v>
      </c>
      <c r="B429" s="184" t="s">
        <v>125</v>
      </c>
      <c r="C429" s="184" t="s">
        <v>1101</v>
      </c>
      <c r="D429" s="185" t="s">
        <v>522</v>
      </c>
      <c r="E429" s="186" t="s">
        <v>906</v>
      </c>
      <c r="F429" s="186" t="s">
        <v>907</v>
      </c>
      <c r="G429" s="186" t="s">
        <v>1102</v>
      </c>
      <c r="H429" s="186" t="s">
        <v>1707</v>
      </c>
      <c r="I429" s="187" t="s">
        <v>1125</v>
      </c>
      <c r="J429" s="187" t="s">
        <v>1126</v>
      </c>
      <c r="K429" s="188"/>
      <c r="L429" s="188"/>
      <c r="M429" s="189" t="s">
        <v>807</v>
      </c>
      <c r="N429" s="190">
        <v>38.94</v>
      </c>
      <c r="O429" s="190">
        <f t="shared" si="48"/>
        <v>42.44</v>
      </c>
      <c r="P429" s="191">
        <f t="shared" si="49"/>
        <v>0</v>
      </c>
      <c r="Q429" s="192">
        <f t="shared" si="50"/>
        <v>0</v>
      </c>
      <c r="R429" s="193"/>
      <c r="S429" s="194"/>
      <c r="T429" s="195">
        <f t="shared" si="51"/>
        <v>0</v>
      </c>
      <c r="U429" s="195">
        <f t="shared" si="52"/>
        <v>0</v>
      </c>
      <c r="V429" s="195">
        <f t="shared" si="53"/>
        <v>0</v>
      </c>
      <c r="W429" s="196" t="e">
        <f t="shared" si="54"/>
        <v>#DIV/0!</v>
      </c>
      <c r="X429" s="197" t="e">
        <f t="shared" si="55"/>
        <v>#DIV/0!</v>
      </c>
    </row>
    <row r="430" ht="11.4" customHeight="1" spans="1:34">
      <c r="A430" s="184" t="s">
        <v>1706</v>
      </c>
      <c r="B430" s="184" t="s">
        <v>125</v>
      </c>
      <c r="C430" s="184" t="s">
        <v>1101</v>
      </c>
      <c r="D430" s="185" t="s">
        <v>522</v>
      </c>
      <c r="E430" s="186" t="s">
        <v>906</v>
      </c>
      <c r="F430" s="186" t="s">
        <v>907</v>
      </c>
      <c r="G430" s="186" t="s">
        <v>1102</v>
      </c>
      <c r="H430" s="186" t="s">
        <v>1707</v>
      </c>
      <c r="I430" s="187" t="s">
        <v>1127</v>
      </c>
      <c r="J430" s="187" t="s">
        <v>1128</v>
      </c>
      <c r="K430" s="188"/>
      <c r="L430" s="188"/>
      <c r="M430" s="189" t="s">
        <v>807</v>
      </c>
      <c r="N430" s="190">
        <v>40.15</v>
      </c>
      <c r="O430" s="190">
        <f t="shared" si="48"/>
        <v>43.76</v>
      </c>
      <c r="P430" s="191">
        <f t="shared" si="49"/>
        <v>0</v>
      </c>
      <c r="Q430" s="192">
        <f t="shared" si="50"/>
        <v>0</v>
      </c>
      <c r="R430" s="193"/>
      <c r="S430" s="194"/>
      <c r="T430" s="195">
        <f t="shared" si="51"/>
        <v>0</v>
      </c>
      <c r="U430" s="195">
        <f t="shared" si="52"/>
        <v>0</v>
      </c>
      <c r="V430" s="195">
        <f t="shared" si="53"/>
        <v>0</v>
      </c>
      <c r="W430" s="196" t="e">
        <f t="shared" si="54"/>
        <v>#DIV/0!</v>
      </c>
      <c r="X430" s="197" t="e">
        <f t="shared" si="55"/>
        <v>#DIV/0!</v>
      </c>
    </row>
    <row r="431" ht="11.4" customHeight="1" spans="1:34">
      <c r="A431" s="184" t="s">
        <v>1706</v>
      </c>
      <c r="B431" s="184" t="s">
        <v>125</v>
      </c>
      <c r="C431" s="184" t="s">
        <v>1101</v>
      </c>
      <c r="D431" s="185" t="s">
        <v>522</v>
      </c>
      <c r="E431" s="186" t="s">
        <v>906</v>
      </c>
      <c r="F431" s="186" t="s">
        <v>907</v>
      </c>
      <c r="G431" s="186" t="s">
        <v>1102</v>
      </c>
      <c r="H431" s="186" t="s">
        <v>1707</v>
      </c>
      <c r="I431" s="187" t="s">
        <v>1708</v>
      </c>
      <c r="J431" s="187" t="s">
        <v>1709</v>
      </c>
      <c r="K431" s="188"/>
      <c r="L431" s="188"/>
      <c r="M431" s="189" t="s">
        <v>847</v>
      </c>
      <c r="N431" s="190">
        <v>203.87</v>
      </c>
      <c r="O431" s="190">
        <f t="shared" si="48"/>
        <v>222.22</v>
      </c>
      <c r="P431" s="191">
        <f t="shared" si="49"/>
        <v>0</v>
      </c>
      <c r="Q431" s="192">
        <f t="shared" si="50"/>
        <v>0</v>
      </c>
      <c r="R431" s="193"/>
      <c r="S431" s="194"/>
      <c r="T431" s="195">
        <f t="shared" si="51"/>
        <v>0</v>
      </c>
      <c r="U431" s="195">
        <f t="shared" si="52"/>
        <v>0</v>
      </c>
      <c r="V431" s="195">
        <f t="shared" si="53"/>
        <v>0</v>
      </c>
      <c r="W431" s="196" t="e">
        <f t="shared" si="54"/>
        <v>#DIV/0!</v>
      </c>
      <c r="X431" s="197" t="e">
        <f t="shared" si="55"/>
        <v>#DIV/0!</v>
      </c>
    </row>
    <row r="432" ht="11.4" customHeight="1" spans="1:34">
      <c r="A432" s="184" t="s">
        <v>1706</v>
      </c>
      <c r="B432" s="184" t="s">
        <v>125</v>
      </c>
      <c r="C432" s="184" t="s">
        <v>1101</v>
      </c>
      <c r="D432" s="185" t="s">
        <v>522</v>
      </c>
      <c r="E432" s="186" t="s">
        <v>906</v>
      </c>
      <c r="F432" s="186" t="s">
        <v>907</v>
      </c>
      <c r="G432" s="186" t="s">
        <v>1102</v>
      </c>
      <c r="H432" s="186" t="s">
        <v>1707</v>
      </c>
      <c r="I432" s="187" t="s">
        <v>1710</v>
      </c>
      <c r="J432" s="187" t="s">
        <v>1711</v>
      </c>
      <c r="K432" s="188"/>
      <c r="L432" s="188"/>
      <c r="M432" s="189" t="s">
        <v>807</v>
      </c>
      <c r="N432" s="190">
        <v>101.27</v>
      </c>
      <c r="O432" s="190">
        <f t="shared" si="48"/>
        <v>110.38</v>
      </c>
      <c r="P432" s="191">
        <f t="shared" si="49"/>
        <v>0</v>
      </c>
      <c r="Q432" s="192">
        <f t="shared" si="50"/>
        <v>0</v>
      </c>
      <c r="R432" s="193"/>
      <c r="S432" s="194"/>
      <c r="T432" s="195">
        <f t="shared" si="51"/>
        <v>0</v>
      </c>
      <c r="U432" s="195">
        <f t="shared" si="52"/>
        <v>0</v>
      </c>
      <c r="V432" s="195">
        <f t="shared" si="53"/>
        <v>0</v>
      </c>
      <c r="W432" s="196" t="e">
        <f t="shared" si="54"/>
        <v>#DIV/0!</v>
      </c>
      <c r="X432" s="197" t="e">
        <f t="shared" si="55"/>
        <v>#DIV/0!</v>
      </c>
    </row>
    <row r="433" ht="11.4" customHeight="1" spans="1:33">
      <c r="A433" s="184" t="s">
        <v>1706</v>
      </c>
      <c r="B433" s="184" t="s">
        <v>125</v>
      </c>
      <c r="C433" s="184" t="s">
        <v>1101</v>
      </c>
      <c r="D433" s="185" t="s">
        <v>522</v>
      </c>
      <c r="E433" s="186" t="s">
        <v>906</v>
      </c>
      <c r="F433" s="186" t="s">
        <v>907</v>
      </c>
      <c r="G433" s="186" t="s">
        <v>1102</v>
      </c>
      <c r="H433" s="186" t="s">
        <v>1707</v>
      </c>
      <c r="I433" s="187" t="s">
        <v>1712</v>
      </c>
      <c r="J433" s="187" t="s">
        <v>1713</v>
      </c>
      <c r="K433" s="188"/>
      <c r="L433" s="188"/>
      <c r="M433" s="189" t="s">
        <v>847</v>
      </c>
      <c r="N433" s="190">
        <v>194.19</v>
      </c>
      <c r="O433" s="190">
        <f t="shared" si="48"/>
        <v>211.67</v>
      </c>
      <c r="P433" s="191">
        <f t="shared" si="49"/>
        <v>0</v>
      </c>
      <c r="Q433" s="192">
        <f t="shared" si="50"/>
        <v>0</v>
      </c>
      <c r="R433" s="193"/>
      <c r="S433" s="194"/>
      <c r="T433" s="195">
        <f t="shared" si="51"/>
        <v>0</v>
      </c>
      <c r="U433" s="195">
        <f t="shared" si="52"/>
        <v>0</v>
      </c>
      <c r="V433" s="195">
        <f t="shared" si="53"/>
        <v>0</v>
      </c>
      <c r="W433" s="196" t="e">
        <f t="shared" si="54"/>
        <v>#DIV/0!</v>
      </c>
      <c r="X433" s="197" t="e">
        <f t="shared" si="55"/>
        <v>#DIV/0!</v>
      </c>
    </row>
    <row r="434" ht="11.4" customHeight="1" spans="1:33">
      <c r="A434" s="184" t="s">
        <v>1706</v>
      </c>
      <c r="B434" s="184" t="s">
        <v>125</v>
      </c>
      <c r="C434" s="184" t="s">
        <v>1101</v>
      </c>
      <c r="D434" s="185" t="s">
        <v>522</v>
      </c>
      <c r="E434" s="186" t="s">
        <v>906</v>
      </c>
      <c r="F434" s="186" t="s">
        <v>907</v>
      </c>
      <c r="G434" s="186" t="s">
        <v>1102</v>
      </c>
      <c r="H434" s="186" t="s">
        <v>1707</v>
      </c>
      <c r="I434" s="187" t="s">
        <v>1714</v>
      </c>
      <c r="J434" s="187" t="s">
        <v>1715</v>
      </c>
      <c r="K434" s="188"/>
      <c r="L434" s="188"/>
      <c r="M434" s="189" t="s">
        <v>807</v>
      </c>
      <c r="N434" s="190">
        <v>83.12</v>
      </c>
      <c r="O434" s="190">
        <f t="shared" si="48"/>
        <v>90.6</v>
      </c>
      <c r="P434" s="191">
        <f t="shared" si="49"/>
        <v>0</v>
      </c>
      <c r="Q434" s="192">
        <f t="shared" si="50"/>
        <v>0</v>
      </c>
      <c r="R434" s="193"/>
      <c r="S434" s="194"/>
      <c r="T434" s="195">
        <f t="shared" si="51"/>
        <v>0</v>
      </c>
      <c r="U434" s="195">
        <f t="shared" si="52"/>
        <v>0</v>
      </c>
      <c r="V434" s="195">
        <f t="shared" si="53"/>
        <v>0</v>
      </c>
      <c r="W434" s="196" t="e">
        <f t="shared" si="54"/>
        <v>#DIV/0!</v>
      </c>
      <c r="X434" s="197" t="e">
        <f t="shared" si="55"/>
        <v>#DIV/0!</v>
      </c>
    </row>
    <row r="435" ht="11.4" customHeight="1" spans="1:33">
      <c r="A435" s="184" t="s">
        <v>1706</v>
      </c>
      <c r="B435" s="184" t="s">
        <v>125</v>
      </c>
      <c r="C435" s="184" t="s">
        <v>1101</v>
      </c>
      <c r="D435" s="185" t="s">
        <v>522</v>
      </c>
      <c r="E435" s="186" t="s">
        <v>906</v>
      </c>
      <c r="F435" s="186" t="s">
        <v>907</v>
      </c>
      <c r="G435" s="186" t="s">
        <v>1102</v>
      </c>
      <c r="H435" s="186" t="s">
        <v>1707</v>
      </c>
      <c r="I435" s="187" t="s">
        <v>1716</v>
      </c>
      <c r="J435" s="187" t="s">
        <v>1717</v>
      </c>
      <c r="K435" s="221"/>
      <c r="L435" s="188">
        <v>3.73</v>
      </c>
      <c r="M435" s="189" t="s">
        <v>847</v>
      </c>
      <c r="N435" s="190">
        <v>202.66</v>
      </c>
      <c r="O435" s="190">
        <f t="shared" si="48"/>
        <v>220.9</v>
      </c>
      <c r="P435" s="191">
        <f t="shared" si="49"/>
        <v>0</v>
      </c>
      <c r="Q435" s="192">
        <f t="shared" si="50"/>
        <v>755.92</v>
      </c>
      <c r="R435" s="193"/>
      <c r="S435" s="194"/>
      <c r="T435" s="195">
        <f t="shared" si="51"/>
        <v>-3.73</v>
      </c>
      <c r="U435" s="195">
        <f t="shared" si="52"/>
        <v>-755.92</v>
      </c>
      <c r="V435" s="195">
        <f t="shared" si="53"/>
        <v>755.92</v>
      </c>
      <c r="W435" s="196">
        <f t="shared" si="54"/>
        <v>-1</v>
      </c>
      <c r="X435" s="197">
        <f t="shared" si="55"/>
        <v>1</v>
      </c>
    </row>
    <row r="436" ht="11.4" customHeight="1" spans="1:33">
      <c r="A436" s="184" t="s">
        <v>1706</v>
      </c>
      <c r="B436" s="184" t="s">
        <v>125</v>
      </c>
      <c r="C436" s="184" t="s">
        <v>1101</v>
      </c>
      <c r="D436" s="185" t="s">
        <v>522</v>
      </c>
      <c r="E436" s="186" t="s">
        <v>906</v>
      </c>
      <c r="F436" s="186" t="s">
        <v>907</v>
      </c>
      <c r="G436" s="186" t="s">
        <v>1102</v>
      </c>
      <c r="H436" s="186" t="s">
        <v>1707</v>
      </c>
      <c r="I436" s="187" t="s">
        <v>1718</v>
      </c>
      <c r="J436" s="187" t="s">
        <v>1719</v>
      </c>
      <c r="K436" s="188"/>
      <c r="L436" s="188"/>
      <c r="M436" s="189" t="s">
        <v>807</v>
      </c>
      <c r="N436" s="190">
        <v>101.27</v>
      </c>
      <c r="O436" s="190">
        <f t="shared" si="48"/>
        <v>110.38</v>
      </c>
      <c r="P436" s="191">
        <f t="shared" si="49"/>
        <v>0</v>
      </c>
      <c r="Q436" s="192">
        <f t="shared" si="50"/>
        <v>0</v>
      </c>
      <c r="R436" s="193"/>
      <c r="S436" s="194"/>
      <c r="T436" s="195">
        <f t="shared" si="51"/>
        <v>0</v>
      </c>
      <c r="U436" s="195">
        <f t="shared" si="52"/>
        <v>0</v>
      </c>
      <c r="V436" s="195">
        <f t="shared" si="53"/>
        <v>0</v>
      </c>
      <c r="W436" s="196" t="e">
        <f t="shared" si="54"/>
        <v>#DIV/0!</v>
      </c>
      <c r="X436" s="197" t="e">
        <f t="shared" si="55"/>
        <v>#DIV/0!</v>
      </c>
    </row>
    <row r="437" ht="11.4" customHeight="1" spans="1:33">
      <c r="A437" s="184" t="s">
        <v>1706</v>
      </c>
      <c r="B437" s="184" t="s">
        <v>125</v>
      </c>
      <c r="C437" s="184" t="s">
        <v>1101</v>
      </c>
      <c r="D437" s="185" t="s">
        <v>522</v>
      </c>
      <c r="E437" s="186" t="s">
        <v>906</v>
      </c>
      <c r="F437" s="186" t="s">
        <v>907</v>
      </c>
      <c r="G437" s="186" t="s">
        <v>1102</v>
      </c>
      <c r="H437" s="186" t="s">
        <v>1707</v>
      </c>
      <c r="I437" s="187" t="s">
        <v>1141</v>
      </c>
      <c r="J437" s="187" t="s">
        <v>1142</v>
      </c>
      <c r="K437" s="188"/>
      <c r="L437" s="188"/>
      <c r="M437" s="189" t="s">
        <v>847</v>
      </c>
      <c r="N437" s="190">
        <v>196.14</v>
      </c>
      <c r="O437" s="190">
        <f t="shared" si="48"/>
        <v>213.79</v>
      </c>
      <c r="P437" s="191">
        <f t="shared" si="49"/>
        <v>0</v>
      </c>
      <c r="Q437" s="192">
        <f t="shared" si="50"/>
        <v>0</v>
      </c>
      <c r="R437" s="193"/>
      <c r="S437" s="194"/>
      <c r="T437" s="195">
        <f t="shared" si="51"/>
        <v>0</v>
      </c>
      <c r="U437" s="195">
        <f t="shared" si="52"/>
        <v>0</v>
      </c>
      <c r="V437" s="195">
        <f t="shared" si="53"/>
        <v>0</v>
      </c>
      <c r="W437" s="196" t="e">
        <f t="shared" si="54"/>
        <v>#DIV/0!</v>
      </c>
      <c r="X437" s="197" t="e">
        <f t="shared" si="55"/>
        <v>#DIV/0!</v>
      </c>
    </row>
    <row r="438" ht="11.4" customHeight="1" spans="1:33">
      <c r="A438" s="184" t="s">
        <v>1706</v>
      </c>
      <c r="B438" s="184" t="s">
        <v>125</v>
      </c>
      <c r="C438" s="184" t="s">
        <v>1101</v>
      </c>
      <c r="D438" s="185" t="s">
        <v>522</v>
      </c>
      <c r="E438" s="186" t="s">
        <v>906</v>
      </c>
      <c r="F438" s="186" t="s">
        <v>907</v>
      </c>
      <c r="G438" s="186" t="s">
        <v>1102</v>
      </c>
      <c r="H438" s="186" t="s">
        <v>1707</v>
      </c>
      <c r="I438" s="187" t="s">
        <v>1143</v>
      </c>
      <c r="J438" s="187" t="s">
        <v>1144</v>
      </c>
      <c r="K438" s="188"/>
      <c r="L438" s="188"/>
      <c r="M438" s="189" t="s">
        <v>807</v>
      </c>
      <c r="N438" s="190">
        <v>41.47</v>
      </c>
      <c r="O438" s="190">
        <f t="shared" si="48"/>
        <v>45.2</v>
      </c>
      <c r="P438" s="191">
        <f t="shared" si="49"/>
        <v>0</v>
      </c>
      <c r="Q438" s="192">
        <f t="shared" si="50"/>
        <v>0</v>
      </c>
      <c r="R438" s="193"/>
      <c r="S438" s="194"/>
      <c r="T438" s="195">
        <f t="shared" si="51"/>
        <v>0</v>
      </c>
      <c r="U438" s="195">
        <f t="shared" si="52"/>
        <v>0</v>
      </c>
      <c r="V438" s="195">
        <f t="shared" si="53"/>
        <v>0</v>
      </c>
      <c r="W438" s="196" t="e">
        <f t="shared" si="54"/>
        <v>#DIV/0!</v>
      </c>
      <c r="X438" s="197" t="e">
        <f t="shared" si="55"/>
        <v>#DIV/0!</v>
      </c>
    </row>
    <row r="439" ht="11.4" customHeight="1" spans="1:33">
      <c r="A439" s="184" t="s">
        <v>1706</v>
      </c>
      <c r="B439" s="184" t="s">
        <v>125</v>
      </c>
      <c r="C439" s="184" t="s">
        <v>1101</v>
      </c>
      <c r="D439" s="185" t="s">
        <v>522</v>
      </c>
      <c r="E439" s="186" t="s">
        <v>906</v>
      </c>
      <c r="F439" s="186" t="s">
        <v>907</v>
      </c>
      <c r="G439" s="186" t="s">
        <v>1102</v>
      </c>
      <c r="H439" s="186" t="s">
        <v>1707</v>
      </c>
      <c r="I439" s="187" t="s">
        <v>1145</v>
      </c>
      <c r="J439" s="187" t="s">
        <v>1146</v>
      </c>
      <c r="K439" s="188"/>
      <c r="L439" s="188"/>
      <c r="M439" s="189" t="s">
        <v>847</v>
      </c>
      <c r="N439" s="190">
        <v>179.82</v>
      </c>
      <c r="O439" s="190">
        <f t="shared" si="48"/>
        <v>196</v>
      </c>
      <c r="P439" s="191">
        <f t="shared" si="49"/>
        <v>0</v>
      </c>
      <c r="Q439" s="192">
        <f t="shared" si="50"/>
        <v>0</v>
      </c>
      <c r="R439" s="193"/>
      <c r="S439" s="194"/>
      <c r="T439" s="195">
        <f t="shared" si="51"/>
        <v>0</v>
      </c>
      <c r="U439" s="195">
        <f t="shared" si="52"/>
        <v>0</v>
      </c>
      <c r="V439" s="195">
        <f t="shared" si="53"/>
        <v>0</v>
      </c>
      <c r="W439" s="196" t="e">
        <f t="shared" si="54"/>
        <v>#DIV/0!</v>
      </c>
      <c r="X439" s="197" t="e">
        <f t="shared" si="55"/>
        <v>#DIV/0!</v>
      </c>
    </row>
    <row r="440" ht="11.4" customHeight="1" spans="1:33">
      <c r="A440" s="184" t="s">
        <v>1706</v>
      </c>
      <c r="B440" s="184" t="s">
        <v>125</v>
      </c>
      <c r="C440" s="184" t="s">
        <v>1101</v>
      </c>
      <c r="D440" s="185" t="s">
        <v>522</v>
      </c>
      <c r="E440" s="186" t="s">
        <v>906</v>
      </c>
      <c r="F440" s="186" t="s">
        <v>907</v>
      </c>
      <c r="G440" s="186" t="s">
        <v>1102</v>
      </c>
      <c r="H440" s="186" t="s">
        <v>1707</v>
      </c>
      <c r="I440" s="187" t="s">
        <v>1147</v>
      </c>
      <c r="J440" s="187" t="s">
        <v>1148</v>
      </c>
      <c r="K440" s="188"/>
      <c r="L440" s="188"/>
      <c r="M440" s="189" t="s">
        <v>807</v>
      </c>
      <c r="N440" s="190">
        <v>37.84</v>
      </c>
      <c r="O440" s="190">
        <f t="shared" si="48"/>
        <v>41.25</v>
      </c>
      <c r="P440" s="191">
        <f t="shared" si="49"/>
        <v>0</v>
      </c>
      <c r="Q440" s="192">
        <f t="shared" si="50"/>
        <v>0</v>
      </c>
      <c r="R440" s="193"/>
      <c r="S440" s="194"/>
      <c r="T440" s="195">
        <f t="shared" si="51"/>
        <v>0</v>
      </c>
      <c r="U440" s="195">
        <f t="shared" si="52"/>
        <v>0</v>
      </c>
      <c r="V440" s="195">
        <f t="shared" si="53"/>
        <v>0</v>
      </c>
      <c r="W440" s="196" t="e">
        <f t="shared" si="54"/>
        <v>#DIV/0!</v>
      </c>
      <c r="X440" s="197" t="e">
        <f t="shared" si="55"/>
        <v>#DIV/0!</v>
      </c>
    </row>
    <row r="441" ht="11.4" customHeight="1" spans="1:33">
      <c r="A441" s="184" t="s">
        <v>1706</v>
      </c>
      <c r="B441" s="184" t="s">
        <v>125</v>
      </c>
      <c r="C441" s="184" t="s">
        <v>1101</v>
      </c>
      <c r="D441" s="185" t="s">
        <v>522</v>
      </c>
      <c r="E441" s="186" t="s">
        <v>906</v>
      </c>
      <c r="F441" s="186" t="s">
        <v>907</v>
      </c>
      <c r="G441" s="186" t="s">
        <v>1102</v>
      </c>
      <c r="H441" s="186" t="s">
        <v>1707</v>
      </c>
      <c r="I441" s="187" t="s">
        <v>1149</v>
      </c>
      <c r="J441" s="187" t="s">
        <v>1150</v>
      </c>
      <c r="K441" s="188"/>
      <c r="L441" s="188"/>
      <c r="M441" s="189" t="s">
        <v>847</v>
      </c>
      <c r="N441" s="190">
        <v>193.81</v>
      </c>
      <c r="O441" s="190">
        <f t="shared" si="48"/>
        <v>211.25</v>
      </c>
      <c r="P441" s="191">
        <f t="shared" si="49"/>
        <v>0</v>
      </c>
      <c r="Q441" s="192">
        <f t="shared" si="50"/>
        <v>0</v>
      </c>
      <c r="R441" s="193"/>
      <c r="S441" s="194"/>
      <c r="T441" s="195">
        <f t="shared" si="51"/>
        <v>0</v>
      </c>
      <c r="U441" s="195">
        <f t="shared" si="52"/>
        <v>0</v>
      </c>
      <c r="V441" s="195">
        <f t="shared" si="53"/>
        <v>0</v>
      </c>
      <c r="W441" s="196" t="e">
        <f t="shared" si="54"/>
        <v>#DIV/0!</v>
      </c>
      <c r="X441" s="197" t="e">
        <f t="shared" si="55"/>
        <v>#DIV/0!</v>
      </c>
    </row>
    <row r="442" ht="11.4" customHeight="1" spans="1:33">
      <c r="A442" s="184" t="s">
        <v>1706</v>
      </c>
      <c r="B442" s="184" t="s">
        <v>125</v>
      </c>
      <c r="C442" s="184" t="s">
        <v>1101</v>
      </c>
      <c r="D442" s="185" t="s">
        <v>522</v>
      </c>
      <c r="E442" s="186" t="s">
        <v>906</v>
      </c>
      <c r="F442" s="186" t="s">
        <v>907</v>
      </c>
      <c r="G442" s="186" t="s">
        <v>1102</v>
      </c>
      <c r="H442" s="186" t="s">
        <v>1707</v>
      </c>
      <c r="I442" s="187" t="s">
        <v>1151</v>
      </c>
      <c r="J442" s="187" t="s">
        <v>1152</v>
      </c>
      <c r="K442" s="188"/>
      <c r="L442" s="188"/>
      <c r="M442" s="189" t="s">
        <v>807</v>
      </c>
      <c r="N442" s="190">
        <v>39.05</v>
      </c>
      <c r="O442" s="190">
        <f t="shared" si="48"/>
        <v>42.56</v>
      </c>
      <c r="P442" s="191">
        <f t="shared" si="49"/>
        <v>0</v>
      </c>
      <c r="Q442" s="192">
        <f t="shared" si="50"/>
        <v>0</v>
      </c>
      <c r="R442" s="193"/>
      <c r="S442" s="194"/>
      <c r="T442" s="195">
        <f t="shared" si="51"/>
        <v>0</v>
      </c>
      <c r="U442" s="195">
        <f t="shared" si="52"/>
        <v>0</v>
      </c>
      <c r="V442" s="195">
        <f t="shared" si="53"/>
        <v>0</v>
      </c>
      <c r="W442" s="196" t="e">
        <f t="shared" si="54"/>
        <v>#DIV/0!</v>
      </c>
      <c r="X442" s="197" t="e">
        <f t="shared" si="55"/>
        <v>#DIV/0!</v>
      </c>
    </row>
    <row r="443" ht="11.4" customHeight="1" spans="1:33">
      <c r="A443" s="184" t="s">
        <v>1706</v>
      </c>
      <c r="B443" s="184" t="s">
        <v>125</v>
      </c>
      <c r="C443" s="184" t="s">
        <v>1101</v>
      </c>
      <c r="D443" s="185" t="s">
        <v>522</v>
      </c>
      <c r="E443" s="186" t="s">
        <v>906</v>
      </c>
      <c r="F443" s="186" t="s">
        <v>907</v>
      </c>
      <c r="G443" s="186" t="s">
        <v>1102</v>
      </c>
      <c r="H443" s="186" t="s">
        <v>1707</v>
      </c>
      <c r="I443" s="187" t="s">
        <v>1153</v>
      </c>
      <c r="J443" s="187" t="s">
        <v>1154</v>
      </c>
      <c r="K443" s="188"/>
      <c r="L443" s="188"/>
      <c r="M443" s="189" t="s">
        <v>847</v>
      </c>
      <c r="N443" s="190">
        <v>178.2</v>
      </c>
      <c r="O443" s="190">
        <f t="shared" si="48"/>
        <v>194.24</v>
      </c>
      <c r="P443" s="191">
        <f t="shared" si="49"/>
        <v>0</v>
      </c>
      <c r="Q443" s="192">
        <f t="shared" si="50"/>
        <v>0</v>
      </c>
      <c r="R443" s="193"/>
      <c r="S443" s="194"/>
      <c r="T443" s="195">
        <f t="shared" si="51"/>
        <v>0</v>
      </c>
      <c r="U443" s="195">
        <f t="shared" si="52"/>
        <v>0</v>
      </c>
      <c r="V443" s="195">
        <f t="shared" si="53"/>
        <v>0</v>
      </c>
      <c r="W443" s="196" t="e">
        <f t="shared" si="54"/>
        <v>#DIV/0!</v>
      </c>
      <c r="X443" s="197" t="e">
        <f t="shared" si="55"/>
        <v>#DIV/0!</v>
      </c>
    </row>
    <row r="444" ht="11.4" customHeight="1" spans="1:33">
      <c r="A444" s="184" t="s">
        <v>1706</v>
      </c>
      <c r="B444" s="184" t="s">
        <v>125</v>
      </c>
      <c r="C444" s="184" t="s">
        <v>1101</v>
      </c>
      <c r="D444" s="185" t="s">
        <v>522</v>
      </c>
      <c r="E444" s="186" t="s">
        <v>906</v>
      </c>
      <c r="F444" s="186" t="s">
        <v>907</v>
      </c>
      <c r="G444" s="186" t="s">
        <v>1102</v>
      </c>
      <c r="H444" s="186" t="s">
        <v>1707</v>
      </c>
      <c r="I444" s="187" t="s">
        <v>1155</v>
      </c>
      <c r="J444" s="187" t="s">
        <v>1156</v>
      </c>
      <c r="K444" s="188"/>
      <c r="L444" s="188"/>
      <c r="M444" s="189" t="s">
        <v>847</v>
      </c>
      <c r="N444" s="190">
        <v>170.67</v>
      </c>
      <c r="O444" s="190">
        <f t="shared" si="48"/>
        <v>186.03</v>
      </c>
      <c r="P444" s="191">
        <f t="shared" si="49"/>
        <v>0</v>
      </c>
      <c r="Q444" s="192">
        <f t="shared" si="50"/>
        <v>0</v>
      </c>
      <c r="R444" s="193"/>
      <c r="S444" s="194"/>
      <c r="T444" s="195">
        <f t="shared" si="51"/>
        <v>0</v>
      </c>
      <c r="U444" s="195">
        <f t="shared" si="52"/>
        <v>0</v>
      </c>
      <c r="V444" s="195">
        <f t="shared" si="53"/>
        <v>0</v>
      </c>
      <c r="W444" s="196" t="e">
        <f t="shared" si="54"/>
        <v>#DIV/0!</v>
      </c>
      <c r="X444" s="197" t="e">
        <f t="shared" si="55"/>
        <v>#DIV/0!</v>
      </c>
    </row>
    <row r="445" ht="11.4" customHeight="1" spans="1:33">
      <c r="A445" s="184" t="s">
        <v>1706</v>
      </c>
      <c r="B445" s="184" t="s">
        <v>125</v>
      </c>
      <c r="C445" s="184" t="s">
        <v>1101</v>
      </c>
      <c r="D445" s="185" t="s">
        <v>522</v>
      </c>
      <c r="E445" s="186" t="s">
        <v>906</v>
      </c>
      <c r="F445" s="186" t="s">
        <v>907</v>
      </c>
      <c r="G445" s="186" t="s">
        <v>1102</v>
      </c>
      <c r="H445" s="186" t="s">
        <v>1707</v>
      </c>
      <c r="I445" s="187" t="s">
        <v>1157</v>
      </c>
      <c r="J445" s="187" t="s">
        <v>1158</v>
      </c>
      <c r="K445" s="188"/>
      <c r="L445" s="188"/>
      <c r="M445" s="189" t="s">
        <v>847</v>
      </c>
      <c r="N445" s="190">
        <v>181.7</v>
      </c>
      <c r="O445" s="190">
        <f t="shared" si="48"/>
        <v>198.05</v>
      </c>
      <c r="P445" s="191">
        <f t="shared" si="49"/>
        <v>0</v>
      </c>
      <c r="Q445" s="192">
        <f t="shared" si="50"/>
        <v>0</v>
      </c>
      <c r="R445" s="193"/>
      <c r="S445" s="194"/>
      <c r="T445" s="195">
        <f t="shared" si="51"/>
        <v>0</v>
      </c>
      <c r="U445" s="195">
        <f t="shared" si="52"/>
        <v>0</v>
      </c>
      <c r="V445" s="195">
        <f t="shared" si="53"/>
        <v>0</v>
      </c>
      <c r="W445" s="196" t="e">
        <f t="shared" si="54"/>
        <v>#DIV/0!</v>
      </c>
      <c r="X445" s="197" t="e">
        <f t="shared" si="55"/>
        <v>#DIV/0!</v>
      </c>
    </row>
    <row r="446" ht="11.4" customHeight="1" spans="1:33">
      <c r="A446" s="184" t="s">
        <v>1706</v>
      </c>
      <c r="B446" s="184" t="s">
        <v>125</v>
      </c>
      <c r="C446" s="184" t="s">
        <v>1101</v>
      </c>
      <c r="D446" s="185" t="s">
        <v>522</v>
      </c>
      <c r="E446" s="186" t="s">
        <v>906</v>
      </c>
      <c r="F446" s="186" t="s">
        <v>907</v>
      </c>
      <c r="G446" s="186" t="s">
        <v>1102</v>
      </c>
      <c r="H446" s="186" t="s">
        <v>1720</v>
      </c>
      <c r="I446" s="187" t="s">
        <v>1175</v>
      </c>
      <c r="J446" s="187" t="s">
        <v>1176</v>
      </c>
      <c r="K446" s="188"/>
      <c r="L446" s="188"/>
      <c r="M446" s="189" t="s">
        <v>847</v>
      </c>
      <c r="N446" s="190">
        <v>114.06</v>
      </c>
      <c r="O446" s="190">
        <f t="shared" si="48"/>
        <v>124.33</v>
      </c>
      <c r="P446" s="191">
        <f t="shared" si="49"/>
        <v>0</v>
      </c>
      <c r="Q446" s="192">
        <f t="shared" si="50"/>
        <v>0</v>
      </c>
      <c r="R446" s="193"/>
      <c r="S446" s="194"/>
      <c r="T446" s="195">
        <f t="shared" si="51"/>
        <v>0</v>
      </c>
      <c r="U446" s="195">
        <f t="shared" si="52"/>
        <v>0</v>
      </c>
      <c r="V446" s="195">
        <f t="shared" si="53"/>
        <v>0</v>
      </c>
      <c r="W446" s="196" t="e">
        <f t="shared" si="54"/>
        <v>#DIV/0!</v>
      </c>
      <c r="X446" s="197" t="e">
        <f t="shared" si="55"/>
        <v>#DIV/0!</v>
      </c>
      <c r="AG446" s="219" t="s">
        <v>1721</v>
      </c>
    </row>
    <row r="447" ht="11.4" customHeight="1" spans="1:33">
      <c r="A447" s="184" t="s">
        <v>1706</v>
      </c>
      <c r="B447" s="184" t="s">
        <v>125</v>
      </c>
      <c r="C447" s="184" t="s">
        <v>1101</v>
      </c>
      <c r="D447" s="185" t="s">
        <v>522</v>
      </c>
      <c r="E447" s="186" t="s">
        <v>906</v>
      </c>
      <c r="F447" s="186" t="s">
        <v>907</v>
      </c>
      <c r="G447" s="186" t="s">
        <v>1102</v>
      </c>
      <c r="H447" s="186" t="s">
        <v>1720</v>
      </c>
      <c r="I447" s="187" t="s">
        <v>1178</v>
      </c>
      <c r="J447" s="187" t="s">
        <v>1179</v>
      </c>
      <c r="K447" s="188"/>
      <c r="L447" s="188"/>
      <c r="M447" s="189" t="s">
        <v>847</v>
      </c>
      <c r="N447" s="190">
        <v>197.83</v>
      </c>
      <c r="O447" s="190">
        <f t="shared" si="48"/>
        <v>215.63</v>
      </c>
      <c r="P447" s="191">
        <f t="shared" si="49"/>
        <v>0</v>
      </c>
      <c r="Q447" s="192">
        <f t="shared" si="50"/>
        <v>0</v>
      </c>
      <c r="R447" s="193"/>
      <c r="S447" s="194"/>
      <c r="T447" s="195">
        <f t="shared" si="51"/>
        <v>0</v>
      </c>
      <c r="U447" s="195">
        <f t="shared" si="52"/>
        <v>0</v>
      </c>
      <c r="V447" s="195">
        <f t="shared" si="53"/>
        <v>0</v>
      </c>
      <c r="W447" s="196" t="e">
        <f t="shared" si="54"/>
        <v>#DIV/0!</v>
      </c>
      <c r="X447" s="197" t="e">
        <f t="shared" si="55"/>
        <v>#DIV/0!</v>
      </c>
      <c r="AG447" s="109" t="s">
        <v>865</v>
      </c>
    </row>
    <row r="448" ht="11.4" customHeight="1" spans="1:33">
      <c r="A448" s="184" t="s">
        <v>1706</v>
      </c>
      <c r="B448" s="184" t="s">
        <v>125</v>
      </c>
      <c r="C448" s="184" t="s">
        <v>1101</v>
      </c>
      <c r="D448" s="185" t="s">
        <v>522</v>
      </c>
      <c r="E448" s="186" t="s">
        <v>906</v>
      </c>
      <c r="F448" s="186" t="s">
        <v>907</v>
      </c>
      <c r="G448" s="186" t="s">
        <v>1102</v>
      </c>
      <c r="H448" s="186" t="s">
        <v>1720</v>
      </c>
      <c r="I448" s="187" t="s">
        <v>1181</v>
      </c>
      <c r="J448" s="187" t="s">
        <v>1182</v>
      </c>
      <c r="K448" s="188"/>
      <c r="L448" s="188"/>
      <c r="M448" s="189" t="s">
        <v>847</v>
      </c>
      <c r="N448" s="190">
        <v>182.9</v>
      </c>
      <c r="O448" s="190">
        <f t="shared" si="48"/>
        <v>199.36</v>
      </c>
      <c r="P448" s="191">
        <f t="shared" si="49"/>
        <v>0</v>
      </c>
      <c r="Q448" s="192">
        <f t="shared" si="50"/>
        <v>0</v>
      </c>
      <c r="R448" s="193"/>
      <c r="S448" s="194"/>
      <c r="T448" s="195">
        <f t="shared" si="51"/>
        <v>0</v>
      </c>
      <c r="U448" s="195">
        <f t="shared" si="52"/>
        <v>0</v>
      </c>
      <c r="V448" s="195">
        <f t="shared" si="53"/>
        <v>0</v>
      </c>
      <c r="W448" s="196" t="e">
        <f t="shared" si="54"/>
        <v>#DIV/0!</v>
      </c>
      <c r="X448" s="197" t="e">
        <f t="shared" si="55"/>
        <v>#DIV/0!</v>
      </c>
    </row>
    <row r="449" ht="11.4" customHeight="1" spans="1:34">
      <c r="A449" s="184" t="s">
        <v>1706</v>
      </c>
      <c r="B449" s="184" t="s">
        <v>125</v>
      </c>
      <c r="C449" s="184" t="s">
        <v>1101</v>
      </c>
      <c r="D449" s="185" t="s">
        <v>522</v>
      </c>
      <c r="E449" s="186" t="s">
        <v>906</v>
      </c>
      <c r="F449" s="186" t="s">
        <v>907</v>
      </c>
      <c r="G449" s="186" t="s">
        <v>1102</v>
      </c>
      <c r="H449" s="186" t="s">
        <v>1720</v>
      </c>
      <c r="I449" s="187" t="s">
        <v>1183</v>
      </c>
      <c r="J449" s="187" t="s">
        <v>1184</v>
      </c>
      <c r="K449" s="188"/>
      <c r="L449" s="188"/>
      <c r="M449" s="189" t="s">
        <v>847</v>
      </c>
      <c r="N449" s="190">
        <v>186.66</v>
      </c>
      <c r="O449" s="190">
        <f t="shared" si="48"/>
        <v>203.46</v>
      </c>
      <c r="P449" s="191">
        <f t="shared" si="49"/>
        <v>0</v>
      </c>
      <c r="Q449" s="192">
        <f t="shared" si="50"/>
        <v>0</v>
      </c>
      <c r="R449" s="193"/>
      <c r="S449" s="194"/>
      <c r="T449" s="195">
        <f t="shared" si="51"/>
        <v>0</v>
      </c>
      <c r="U449" s="195">
        <f t="shared" si="52"/>
        <v>0</v>
      </c>
      <c r="V449" s="195">
        <f t="shared" si="53"/>
        <v>0</v>
      </c>
      <c r="W449" s="196" t="e">
        <f t="shared" si="54"/>
        <v>#DIV/0!</v>
      </c>
      <c r="X449" s="197" t="e">
        <f t="shared" si="55"/>
        <v>#DIV/0!</v>
      </c>
    </row>
    <row r="450" ht="11.4" customHeight="1" spans="1:34">
      <c r="A450" s="184" t="s">
        <v>1706</v>
      </c>
      <c r="B450" s="184" t="s">
        <v>125</v>
      </c>
      <c r="C450" s="184" t="s">
        <v>1101</v>
      </c>
      <c r="D450" s="185" t="s">
        <v>522</v>
      </c>
      <c r="E450" s="186" t="s">
        <v>906</v>
      </c>
      <c r="F450" s="186" t="s">
        <v>907</v>
      </c>
      <c r="G450" s="186" t="s">
        <v>1102</v>
      </c>
      <c r="H450" s="186" t="s">
        <v>1720</v>
      </c>
      <c r="I450" s="187" t="s">
        <v>1185</v>
      </c>
      <c r="J450" s="187" t="s">
        <v>1186</v>
      </c>
      <c r="K450" s="188"/>
      <c r="L450" s="188"/>
      <c r="M450" s="189" t="s">
        <v>847</v>
      </c>
      <c r="N450" s="190">
        <v>174.35</v>
      </c>
      <c r="O450" s="190">
        <f t="shared" si="48"/>
        <v>190.04</v>
      </c>
      <c r="P450" s="191">
        <f t="shared" si="49"/>
        <v>0</v>
      </c>
      <c r="Q450" s="192">
        <f t="shared" si="50"/>
        <v>0</v>
      </c>
      <c r="R450" s="193"/>
      <c r="S450" s="194"/>
      <c r="T450" s="195">
        <f t="shared" si="51"/>
        <v>0</v>
      </c>
      <c r="U450" s="195">
        <f t="shared" si="52"/>
        <v>0</v>
      </c>
      <c r="V450" s="195">
        <f t="shared" si="53"/>
        <v>0</v>
      </c>
      <c r="W450" s="196" t="e">
        <f t="shared" si="54"/>
        <v>#DIV/0!</v>
      </c>
      <c r="X450" s="197" t="e">
        <f t="shared" si="55"/>
        <v>#DIV/0!</v>
      </c>
    </row>
    <row r="451" ht="11.4" customHeight="1" spans="1:34">
      <c r="A451" s="184" t="s">
        <v>1706</v>
      </c>
      <c r="B451" s="184" t="s">
        <v>125</v>
      </c>
      <c r="C451" s="184" t="s">
        <v>1101</v>
      </c>
      <c r="D451" s="185" t="s">
        <v>522</v>
      </c>
      <c r="E451" s="186" t="s">
        <v>906</v>
      </c>
      <c r="F451" s="186" t="s">
        <v>907</v>
      </c>
      <c r="G451" s="186" t="s">
        <v>1102</v>
      </c>
      <c r="H451" s="186" t="s">
        <v>1720</v>
      </c>
      <c r="I451" s="187" t="s">
        <v>1193</v>
      </c>
      <c r="J451" s="187" t="s">
        <v>1194</v>
      </c>
      <c r="K451" s="188"/>
      <c r="L451" s="188"/>
      <c r="M451" s="189" t="s">
        <v>847</v>
      </c>
      <c r="N451" s="190">
        <v>70.85</v>
      </c>
      <c r="O451" s="190">
        <f t="shared" si="48"/>
        <v>77.23</v>
      </c>
      <c r="P451" s="191">
        <f t="shared" si="49"/>
        <v>0</v>
      </c>
      <c r="Q451" s="192">
        <f t="shared" si="50"/>
        <v>0</v>
      </c>
      <c r="R451" s="193"/>
      <c r="S451" s="194"/>
      <c r="T451" s="195">
        <f t="shared" si="51"/>
        <v>0</v>
      </c>
      <c r="U451" s="195">
        <f t="shared" si="52"/>
        <v>0</v>
      </c>
      <c r="V451" s="195">
        <f t="shared" si="53"/>
        <v>0</v>
      </c>
      <c r="W451" s="196" t="e">
        <f t="shared" si="54"/>
        <v>#DIV/0!</v>
      </c>
      <c r="X451" s="197" t="e">
        <f t="shared" si="55"/>
        <v>#DIV/0!</v>
      </c>
    </row>
    <row r="452" ht="11.4" customHeight="1" spans="1:34">
      <c r="A452" s="184" t="s">
        <v>1706</v>
      </c>
      <c r="B452" s="184" t="s">
        <v>125</v>
      </c>
      <c r="C452" s="184" t="s">
        <v>1101</v>
      </c>
      <c r="D452" s="185" t="s">
        <v>522</v>
      </c>
      <c r="E452" s="186" t="s">
        <v>906</v>
      </c>
      <c r="F452" s="186" t="s">
        <v>907</v>
      </c>
      <c r="G452" s="186" t="s">
        <v>1102</v>
      </c>
      <c r="H452" s="186" t="s">
        <v>1720</v>
      </c>
      <c r="I452" s="187" t="s">
        <v>1195</v>
      </c>
      <c r="J452" s="187" t="s">
        <v>1196</v>
      </c>
      <c r="K452" s="188"/>
      <c r="L452" s="188"/>
      <c r="M452" s="189" t="s">
        <v>847</v>
      </c>
      <c r="N452" s="190">
        <v>307.56</v>
      </c>
      <c r="O452" s="190">
        <f t="shared" si="48"/>
        <v>335.24</v>
      </c>
      <c r="P452" s="191">
        <f t="shared" si="49"/>
        <v>0</v>
      </c>
      <c r="Q452" s="192">
        <f t="shared" si="50"/>
        <v>0</v>
      </c>
      <c r="R452" s="193"/>
      <c r="S452" s="194"/>
      <c r="T452" s="195">
        <f t="shared" si="51"/>
        <v>0</v>
      </c>
      <c r="U452" s="195">
        <f t="shared" si="52"/>
        <v>0</v>
      </c>
      <c r="V452" s="195">
        <f t="shared" si="53"/>
        <v>0</v>
      </c>
      <c r="W452" s="196" t="e">
        <f t="shared" si="54"/>
        <v>#DIV/0!</v>
      </c>
      <c r="X452" s="197" t="e">
        <f t="shared" si="55"/>
        <v>#DIV/0!</v>
      </c>
    </row>
    <row r="453" ht="11.4" customHeight="1" spans="1:34">
      <c r="A453" s="184" t="s">
        <v>1706</v>
      </c>
      <c r="B453" s="184" t="s">
        <v>125</v>
      </c>
      <c r="C453" s="184" t="s">
        <v>1101</v>
      </c>
      <c r="D453" s="185" t="s">
        <v>522</v>
      </c>
      <c r="E453" s="186" t="s">
        <v>906</v>
      </c>
      <c r="F453" s="186" t="s">
        <v>907</v>
      </c>
      <c r="G453" s="186" t="s">
        <v>1102</v>
      </c>
      <c r="H453" s="186" t="s">
        <v>1720</v>
      </c>
      <c r="I453" s="187" t="s">
        <v>1197</v>
      </c>
      <c r="J453" s="187" t="s">
        <v>1198</v>
      </c>
      <c r="K453" s="188"/>
      <c r="L453" s="188"/>
      <c r="M453" s="189" t="s">
        <v>847</v>
      </c>
      <c r="N453" s="190">
        <v>39.59</v>
      </c>
      <c r="O453" s="190">
        <f t="shared" si="48"/>
        <v>43.15</v>
      </c>
      <c r="P453" s="191">
        <f t="shared" si="49"/>
        <v>0</v>
      </c>
      <c r="Q453" s="192">
        <f t="shared" si="50"/>
        <v>0</v>
      </c>
      <c r="R453" s="193"/>
      <c r="S453" s="194"/>
      <c r="T453" s="195">
        <f t="shared" si="51"/>
        <v>0</v>
      </c>
      <c r="U453" s="195">
        <f t="shared" si="52"/>
        <v>0</v>
      </c>
      <c r="V453" s="195">
        <f t="shared" si="53"/>
        <v>0</v>
      </c>
      <c r="W453" s="196" t="e">
        <f t="shared" si="54"/>
        <v>#DIV/0!</v>
      </c>
      <c r="X453" s="197" t="e">
        <f t="shared" si="55"/>
        <v>#DIV/0!</v>
      </c>
    </row>
    <row r="454" ht="11.4" customHeight="1" spans="1:34">
      <c r="A454" s="184" t="s">
        <v>1706</v>
      </c>
      <c r="B454" s="184" t="s">
        <v>125</v>
      </c>
      <c r="C454" s="184" t="s">
        <v>1101</v>
      </c>
      <c r="D454" s="185" t="s">
        <v>522</v>
      </c>
      <c r="E454" s="186" t="s">
        <v>906</v>
      </c>
      <c r="F454" s="186" t="s">
        <v>907</v>
      </c>
      <c r="G454" s="186" t="s">
        <v>1102</v>
      </c>
      <c r="H454" s="186" t="s">
        <v>1720</v>
      </c>
      <c r="I454" s="187" t="s">
        <v>1559</v>
      </c>
      <c r="J454" s="187" t="s">
        <v>1560</v>
      </c>
      <c r="K454" s="188">
        <v>1.32</v>
      </c>
      <c r="L454" s="188">
        <v>1.32</v>
      </c>
      <c r="M454" s="189" t="s">
        <v>847</v>
      </c>
      <c r="N454" s="190">
        <v>58.39</v>
      </c>
      <c r="O454" s="190">
        <f t="shared" si="48"/>
        <v>63.65</v>
      </c>
      <c r="P454" s="191">
        <f t="shared" si="49"/>
        <v>77.07</v>
      </c>
      <c r="Q454" s="192">
        <f t="shared" si="50"/>
        <v>77.07</v>
      </c>
      <c r="R454" s="193"/>
      <c r="S454" s="194"/>
      <c r="T454" s="195">
        <f t="shared" si="51"/>
        <v>0</v>
      </c>
      <c r="U454" s="195">
        <f t="shared" si="52"/>
        <v>0</v>
      </c>
      <c r="V454" s="195">
        <f t="shared" si="53"/>
        <v>0</v>
      </c>
      <c r="W454" s="196">
        <f t="shared" si="54"/>
        <v>0</v>
      </c>
      <c r="X454" s="197">
        <f t="shared" si="55"/>
        <v>0</v>
      </c>
    </row>
    <row r="455" ht="11.4" customHeight="1" spans="1:34">
      <c r="A455" s="184" t="s">
        <v>1706</v>
      </c>
      <c r="B455" s="184" t="s">
        <v>125</v>
      </c>
      <c r="C455" s="184" t="s">
        <v>1101</v>
      </c>
      <c r="D455" s="185" t="s">
        <v>522</v>
      </c>
      <c r="E455" s="186" t="s">
        <v>906</v>
      </c>
      <c r="F455" s="186" t="s">
        <v>907</v>
      </c>
      <c r="G455" s="186" t="s">
        <v>1102</v>
      </c>
      <c r="H455" s="186" t="s">
        <v>1720</v>
      </c>
      <c r="I455" s="187" t="s">
        <v>1199</v>
      </c>
      <c r="J455" s="187" t="s">
        <v>1200</v>
      </c>
      <c r="K455" s="188"/>
      <c r="L455" s="188"/>
      <c r="M455" s="189" t="s">
        <v>847</v>
      </c>
      <c r="N455" s="190">
        <v>203.22</v>
      </c>
      <c r="O455" s="190">
        <f t="shared" si="48"/>
        <v>221.51</v>
      </c>
      <c r="P455" s="191">
        <f t="shared" si="49"/>
        <v>0</v>
      </c>
      <c r="Q455" s="192">
        <f t="shared" si="50"/>
        <v>0</v>
      </c>
      <c r="R455" s="193"/>
      <c r="S455" s="194"/>
      <c r="T455" s="195">
        <f t="shared" si="51"/>
        <v>0</v>
      </c>
      <c r="U455" s="195">
        <f t="shared" si="52"/>
        <v>0</v>
      </c>
      <c r="V455" s="195">
        <f t="shared" si="53"/>
        <v>0</v>
      </c>
      <c r="W455" s="196" t="e">
        <f t="shared" si="54"/>
        <v>#DIV/0!</v>
      </c>
      <c r="X455" s="197" t="e">
        <f t="shared" si="55"/>
        <v>#DIV/0!</v>
      </c>
    </row>
    <row r="456" ht="11.4" customHeight="1" spans="1:34">
      <c r="A456" s="184" t="s">
        <v>1706</v>
      </c>
      <c r="B456" s="184" t="s">
        <v>125</v>
      </c>
      <c r="C456" s="184" t="s">
        <v>1101</v>
      </c>
      <c r="D456" s="185" t="s">
        <v>522</v>
      </c>
      <c r="E456" s="186" t="s">
        <v>906</v>
      </c>
      <c r="F456" s="186" t="s">
        <v>907</v>
      </c>
      <c r="G456" s="186" t="s">
        <v>1102</v>
      </c>
      <c r="H456" s="186" t="s">
        <v>1720</v>
      </c>
      <c r="I456" s="187" t="s">
        <v>1201</v>
      </c>
      <c r="J456" s="187" t="s">
        <v>1202</v>
      </c>
      <c r="K456" s="188"/>
      <c r="L456" s="188"/>
      <c r="M456" s="189" t="s">
        <v>847</v>
      </c>
      <c r="N456" s="190">
        <v>268.9</v>
      </c>
      <c r="O456" s="190">
        <f t="shared" si="48"/>
        <v>293.1</v>
      </c>
      <c r="P456" s="191">
        <f t="shared" si="49"/>
        <v>0</v>
      </c>
      <c r="Q456" s="192">
        <f t="shared" si="50"/>
        <v>0</v>
      </c>
      <c r="R456" s="193"/>
      <c r="S456" s="194"/>
      <c r="T456" s="195">
        <f t="shared" si="51"/>
        <v>0</v>
      </c>
      <c r="U456" s="195">
        <f t="shared" si="52"/>
        <v>0</v>
      </c>
      <c r="V456" s="195">
        <f t="shared" si="53"/>
        <v>0</v>
      </c>
      <c r="W456" s="196" t="e">
        <f t="shared" si="54"/>
        <v>#DIV/0!</v>
      </c>
      <c r="X456" s="197" t="e">
        <f t="shared" si="55"/>
        <v>#DIV/0!</v>
      </c>
    </row>
    <row r="457" ht="11.4" customHeight="1" spans="1:34">
      <c r="A457" s="184" t="s">
        <v>1706</v>
      </c>
      <c r="B457" s="184" t="s">
        <v>125</v>
      </c>
      <c r="C457" s="184" t="s">
        <v>1101</v>
      </c>
      <c r="D457" s="185" t="s">
        <v>522</v>
      </c>
      <c r="E457" s="186" t="s">
        <v>906</v>
      </c>
      <c r="F457" s="186" t="s">
        <v>907</v>
      </c>
      <c r="G457" s="186" t="s">
        <v>1102</v>
      </c>
      <c r="H457" s="186" t="s">
        <v>1720</v>
      </c>
      <c r="I457" s="187" t="s">
        <v>1203</v>
      </c>
      <c r="J457" s="187" t="s">
        <v>1204</v>
      </c>
      <c r="K457" s="188"/>
      <c r="L457" s="188"/>
      <c r="M457" s="189" t="s">
        <v>847</v>
      </c>
      <c r="N457" s="190">
        <v>17.39</v>
      </c>
      <c r="O457" s="190">
        <f t="shared" si="48"/>
        <v>18.96</v>
      </c>
      <c r="P457" s="191">
        <f t="shared" si="49"/>
        <v>0</v>
      </c>
      <c r="Q457" s="192">
        <f t="shared" si="50"/>
        <v>0</v>
      </c>
      <c r="R457" s="193"/>
      <c r="S457" s="194"/>
      <c r="T457" s="195">
        <f t="shared" si="51"/>
        <v>0</v>
      </c>
      <c r="U457" s="195">
        <f t="shared" si="52"/>
        <v>0</v>
      </c>
      <c r="V457" s="195">
        <f t="shared" si="53"/>
        <v>0</v>
      </c>
      <c r="W457" s="196" t="e">
        <f t="shared" si="54"/>
        <v>#DIV/0!</v>
      </c>
      <c r="X457" s="197" t="e">
        <f t="shared" si="55"/>
        <v>#DIV/0!</v>
      </c>
      <c r="AH457" s="219" t="s">
        <v>892</v>
      </c>
    </row>
    <row r="458" ht="11.4" customHeight="1" spans="1:34">
      <c r="A458" s="184" t="s">
        <v>1706</v>
      </c>
      <c r="B458" s="184" t="s">
        <v>125</v>
      </c>
      <c r="C458" s="184" t="s">
        <v>1101</v>
      </c>
      <c r="D458" s="185" t="s">
        <v>522</v>
      </c>
      <c r="E458" s="186" t="s">
        <v>906</v>
      </c>
      <c r="F458" s="186" t="s">
        <v>907</v>
      </c>
      <c r="G458" s="186" t="s">
        <v>1102</v>
      </c>
      <c r="H458" s="186" t="s">
        <v>1720</v>
      </c>
      <c r="I458" s="187" t="s">
        <v>1206</v>
      </c>
      <c r="J458" s="187" t="s">
        <v>1207</v>
      </c>
      <c r="K458" s="188"/>
      <c r="L458" s="188"/>
      <c r="M458" s="189" t="s">
        <v>847</v>
      </c>
      <c r="N458" s="190">
        <v>266.78</v>
      </c>
      <c r="O458" s="190">
        <f t="shared" si="48"/>
        <v>290.79</v>
      </c>
      <c r="P458" s="191">
        <f t="shared" si="49"/>
        <v>0</v>
      </c>
      <c r="Q458" s="192">
        <f t="shared" si="50"/>
        <v>0</v>
      </c>
      <c r="R458" s="193"/>
      <c r="S458" s="194"/>
      <c r="T458" s="195">
        <f t="shared" si="51"/>
        <v>0</v>
      </c>
      <c r="U458" s="195">
        <f t="shared" si="52"/>
        <v>0</v>
      </c>
      <c r="V458" s="195">
        <f t="shared" si="53"/>
        <v>0</v>
      </c>
      <c r="W458" s="196" t="e">
        <f t="shared" si="54"/>
        <v>#DIV/0!</v>
      </c>
      <c r="X458" s="197" t="e">
        <f t="shared" si="55"/>
        <v>#DIV/0!</v>
      </c>
      <c r="AG458" s="219" t="s">
        <v>865</v>
      </c>
    </row>
    <row r="459" ht="11.4" customHeight="1" spans="1:34">
      <c r="A459" s="184" t="s">
        <v>1706</v>
      </c>
      <c r="B459" s="184" t="s">
        <v>125</v>
      </c>
      <c r="C459" s="184" t="s">
        <v>1101</v>
      </c>
      <c r="D459" s="185" t="s">
        <v>522</v>
      </c>
      <c r="E459" s="186" t="s">
        <v>906</v>
      </c>
      <c r="F459" s="186" t="s">
        <v>907</v>
      </c>
      <c r="G459" s="186" t="s">
        <v>1102</v>
      </c>
      <c r="H459" s="186" t="s">
        <v>1720</v>
      </c>
      <c r="I459" s="187" t="s">
        <v>1210</v>
      </c>
      <c r="J459" s="187" t="s">
        <v>1211</v>
      </c>
      <c r="K459" s="188"/>
      <c r="L459" s="188"/>
      <c r="M459" s="189" t="s">
        <v>847</v>
      </c>
      <c r="N459" s="190">
        <v>288.72</v>
      </c>
      <c r="O459" s="190">
        <f t="shared" si="48"/>
        <v>314.7</v>
      </c>
      <c r="P459" s="191">
        <f t="shared" si="49"/>
        <v>0</v>
      </c>
      <c r="Q459" s="192">
        <f t="shared" si="50"/>
        <v>0</v>
      </c>
      <c r="R459" s="193"/>
      <c r="S459" s="194"/>
      <c r="T459" s="195">
        <f t="shared" si="51"/>
        <v>0</v>
      </c>
      <c r="U459" s="195">
        <f t="shared" si="52"/>
        <v>0</v>
      </c>
      <c r="V459" s="195">
        <f t="shared" si="53"/>
        <v>0</v>
      </c>
      <c r="W459" s="196" t="e">
        <f t="shared" si="54"/>
        <v>#DIV/0!</v>
      </c>
      <c r="X459" s="197" t="e">
        <f t="shared" si="55"/>
        <v>#DIV/0!</v>
      </c>
    </row>
    <row r="460" ht="11.4" customHeight="1" spans="1:34">
      <c r="A460" s="184" t="s">
        <v>1706</v>
      </c>
      <c r="B460" s="184" t="s">
        <v>125</v>
      </c>
      <c r="C460" s="184" t="s">
        <v>1101</v>
      </c>
      <c r="D460" s="185" t="s">
        <v>522</v>
      </c>
      <c r="E460" s="186" t="s">
        <v>906</v>
      </c>
      <c r="F460" s="186" t="s">
        <v>907</v>
      </c>
      <c r="G460" s="186" t="s">
        <v>1102</v>
      </c>
      <c r="H460" s="186" t="s">
        <v>1720</v>
      </c>
      <c r="I460" s="187" t="s">
        <v>1212</v>
      </c>
      <c r="J460" s="187" t="s">
        <v>1213</v>
      </c>
      <c r="K460" s="188"/>
      <c r="L460" s="188"/>
      <c r="M460" s="189" t="s">
        <v>847</v>
      </c>
      <c r="N460" s="190">
        <v>267.97</v>
      </c>
      <c r="O460" s="190">
        <f t="shared" si="48"/>
        <v>292.09</v>
      </c>
      <c r="P460" s="191">
        <f t="shared" si="49"/>
        <v>0</v>
      </c>
      <c r="Q460" s="192">
        <f t="shared" si="50"/>
        <v>0</v>
      </c>
      <c r="R460" s="193"/>
      <c r="S460" s="194"/>
      <c r="T460" s="195">
        <f t="shared" si="51"/>
        <v>0</v>
      </c>
      <c r="U460" s="195">
        <f t="shared" si="52"/>
        <v>0</v>
      </c>
      <c r="V460" s="195">
        <f t="shared" si="53"/>
        <v>0</v>
      </c>
      <c r="W460" s="196" t="e">
        <f t="shared" si="54"/>
        <v>#DIV/0!</v>
      </c>
      <c r="X460" s="197" t="e">
        <f t="shared" si="55"/>
        <v>#DIV/0!</v>
      </c>
    </row>
    <row r="461" ht="11.4" customHeight="1" spans="1:34">
      <c r="A461" s="184" t="s">
        <v>1706</v>
      </c>
      <c r="B461" s="184" t="s">
        <v>125</v>
      </c>
      <c r="C461" s="184" t="s">
        <v>1101</v>
      </c>
      <c r="D461" s="185" t="s">
        <v>522</v>
      </c>
      <c r="E461" s="186" t="s">
        <v>906</v>
      </c>
      <c r="F461" s="186" t="s">
        <v>907</v>
      </c>
      <c r="G461" s="186" t="s">
        <v>1102</v>
      </c>
      <c r="H461" s="186" t="s">
        <v>1720</v>
      </c>
      <c r="I461" s="187" t="s">
        <v>1216</v>
      </c>
      <c r="J461" s="187" t="s">
        <v>1217</v>
      </c>
      <c r="K461" s="188"/>
      <c r="L461" s="188"/>
      <c r="M461" s="189" t="s">
        <v>847</v>
      </c>
      <c r="N461" s="190">
        <v>288.72</v>
      </c>
      <c r="O461" s="190">
        <f t="shared" ref="O461:O524" si="56">ROUND(N461*(1+$F$10),2)</f>
        <v>314.7</v>
      </c>
      <c r="P461" s="191">
        <f t="shared" ref="P461:P524" si="57">ROUND(K461*N461,2)</f>
        <v>0</v>
      </c>
      <c r="Q461" s="192">
        <f t="shared" si="50"/>
        <v>0</v>
      </c>
      <c r="R461" s="193"/>
      <c r="S461" s="194"/>
      <c r="T461" s="195">
        <f t="shared" si="51"/>
        <v>0</v>
      </c>
      <c r="U461" s="195">
        <f t="shared" si="52"/>
        <v>0</v>
      </c>
      <c r="V461" s="195">
        <f t="shared" si="53"/>
        <v>0</v>
      </c>
      <c r="W461" s="196" t="e">
        <f t="shared" si="54"/>
        <v>#DIV/0!</v>
      </c>
      <c r="X461" s="197" t="e">
        <f t="shared" si="55"/>
        <v>#DIV/0!</v>
      </c>
    </row>
    <row r="462" ht="11.4" customHeight="1" spans="1:34">
      <c r="A462" s="184" t="s">
        <v>1706</v>
      </c>
      <c r="B462" s="184" t="s">
        <v>125</v>
      </c>
      <c r="C462" s="184" t="s">
        <v>1101</v>
      </c>
      <c r="D462" s="185" t="s">
        <v>522</v>
      </c>
      <c r="E462" s="186" t="s">
        <v>906</v>
      </c>
      <c r="F462" s="186" t="s">
        <v>907</v>
      </c>
      <c r="G462" s="186" t="s">
        <v>1102</v>
      </c>
      <c r="H462" s="186" t="s">
        <v>1720</v>
      </c>
      <c r="I462" s="187" t="s">
        <v>1218</v>
      </c>
      <c r="J462" s="187" t="s">
        <v>1219</v>
      </c>
      <c r="K462" s="188"/>
      <c r="L462" s="188"/>
      <c r="M462" s="189" t="s">
        <v>847</v>
      </c>
      <c r="N462" s="190">
        <v>250.15</v>
      </c>
      <c r="O462" s="190">
        <f t="shared" si="56"/>
        <v>272.66</v>
      </c>
      <c r="P462" s="191">
        <f t="shared" si="57"/>
        <v>0</v>
      </c>
      <c r="Q462" s="192">
        <f t="shared" ref="Q462:Q525" si="58">ROUND(L462*N462,2)</f>
        <v>0</v>
      </c>
      <c r="R462" s="193"/>
      <c r="S462" s="194"/>
      <c r="T462" s="195">
        <f t="shared" ref="T462:T525" si="59">K462-L462</f>
        <v>0</v>
      </c>
      <c r="U462" s="195">
        <f t="shared" ref="U462:U525" si="60">P462-Q462</f>
        <v>0</v>
      </c>
      <c r="V462" s="195">
        <f t="shared" ref="V462:V525" si="61">ABS(U462)</f>
        <v>0</v>
      </c>
      <c r="W462" s="196" t="e">
        <f t="shared" ref="W462:W525" si="62">T462/L462</f>
        <v>#DIV/0!</v>
      </c>
      <c r="X462" s="197" t="e">
        <f t="shared" ref="X462:X525" si="63">ABS(W462)</f>
        <v>#DIV/0!</v>
      </c>
    </row>
    <row r="463" ht="11.4" customHeight="1" spans="1:34">
      <c r="A463" s="184" t="s">
        <v>1706</v>
      </c>
      <c r="B463" s="184" t="s">
        <v>125</v>
      </c>
      <c r="C463" s="184" t="s">
        <v>1101</v>
      </c>
      <c r="D463" s="185" t="s">
        <v>522</v>
      </c>
      <c r="E463" s="186" t="s">
        <v>906</v>
      </c>
      <c r="F463" s="186" t="s">
        <v>907</v>
      </c>
      <c r="G463" s="186" t="s">
        <v>1102</v>
      </c>
      <c r="H463" s="186" t="s">
        <v>1720</v>
      </c>
      <c r="I463" s="187" t="s">
        <v>1222</v>
      </c>
      <c r="J463" s="187" t="s">
        <v>1223</v>
      </c>
      <c r="K463" s="188"/>
      <c r="L463" s="188"/>
      <c r="M463" s="189" t="s">
        <v>847</v>
      </c>
      <c r="N463" s="190">
        <v>270.9</v>
      </c>
      <c r="O463" s="190">
        <f t="shared" si="56"/>
        <v>295.28</v>
      </c>
      <c r="P463" s="191">
        <f t="shared" si="57"/>
        <v>0</v>
      </c>
      <c r="Q463" s="192">
        <f t="shared" si="58"/>
        <v>0</v>
      </c>
      <c r="R463" s="193"/>
      <c r="S463" s="194"/>
      <c r="T463" s="195">
        <f t="shared" si="59"/>
        <v>0</v>
      </c>
      <c r="U463" s="195">
        <f t="shared" si="60"/>
        <v>0</v>
      </c>
      <c r="V463" s="195">
        <f t="shared" si="61"/>
        <v>0</v>
      </c>
      <c r="W463" s="196" t="e">
        <f t="shared" si="62"/>
        <v>#DIV/0!</v>
      </c>
      <c r="X463" s="197" t="e">
        <f t="shared" si="63"/>
        <v>#DIV/0!</v>
      </c>
    </row>
    <row r="464" ht="11.4" customHeight="1" spans="1:34">
      <c r="A464" s="184" t="s">
        <v>1706</v>
      </c>
      <c r="B464" s="184" t="s">
        <v>125</v>
      </c>
      <c r="C464" s="184" t="s">
        <v>1101</v>
      </c>
      <c r="D464" s="185" t="s">
        <v>522</v>
      </c>
      <c r="E464" s="186" t="s">
        <v>906</v>
      </c>
      <c r="F464" s="186" t="s">
        <v>907</v>
      </c>
      <c r="G464" s="186" t="s">
        <v>1102</v>
      </c>
      <c r="H464" s="186" t="s">
        <v>1720</v>
      </c>
      <c r="I464" s="187" t="s">
        <v>1224</v>
      </c>
      <c r="J464" s="187" t="s">
        <v>1225</v>
      </c>
      <c r="K464" s="188"/>
      <c r="L464" s="188"/>
      <c r="M464" s="189" t="s">
        <v>847</v>
      </c>
      <c r="N464" s="190">
        <v>385.58</v>
      </c>
      <c r="O464" s="190">
        <f t="shared" si="56"/>
        <v>420.28</v>
      </c>
      <c r="P464" s="191">
        <f t="shared" si="57"/>
        <v>0</v>
      </c>
      <c r="Q464" s="192">
        <f t="shared" si="58"/>
        <v>0</v>
      </c>
      <c r="R464" s="193"/>
      <c r="S464" s="194"/>
      <c r="T464" s="195">
        <f t="shared" si="59"/>
        <v>0</v>
      </c>
      <c r="U464" s="195">
        <f t="shared" si="60"/>
        <v>0</v>
      </c>
      <c r="V464" s="195">
        <f t="shared" si="61"/>
        <v>0</v>
      </c>
      <c r="W464" s="196" t="e">
        <f t="shared" si="62"/>
        <v>#DIV/0!</v>
      </c>
      <c r="X464" s="197" t="e">
        <f t="shared" si="63"/>
        <v>#DIV/0!</v>
      </c>
    </row>
    <row r="465" ht="11.4" customHeight="1" spans="1:34">
      <c r="A465" s="184" t="s">
        <v>1706</v>
      </c>
      <c r="B465" s="184" t="s">
        <v>125</v>
      </c>
      <c r="C465" s="184" t="s">
        <v>1101</v>
      </c>
      <c r="D465" s="185" t="s">
        <v>522</v>
      </c>
      <c r="E465" s="186" t="s">
        <v>906</v>
      </c>
      <c r="F465" s="186" t="s">
        <v>907</v>
      </c>
      <c r="G465" s="186" t="s">
        <v>1102</v>
      </c>
      <c r="H465" s="186" t="s">
        <v>1720</v>
      </c>
      <c r="I465" s="187" t="s">
        <v>1228</v>
      </c>
      <c r="J465" s="187" t="s">
        <v>1229</v>
      </c>
      <c r="K465" s="188"/>
      <c r="L465" s="188"/>
      <c r="M465" s="189" t="s">
        <v>847</v>
      </c>
      <c r="N465" s="190">
        <v>406.33</v>
      </c>
      <c r="O465" s="190">
        <f t="shared" si="56"/>
        <v>442.9</v>
      </c>
      <c r="P465" s="191">
        <f t="shared" si="57"/>
        <v>0</v>
      </c>
      <c r="Q465" s="192">
        <f t="shared" si="58"/>
        <v>0</v>
      </c>
      <c r="R465" s="193"/>
      <c r="S465" s="194"/>
      <c r="T465" s="195">
        <f t="shared" si="59"/>
        <v>0</v>
      </c>
      <c r="U465" s="195">
        <f t="shared" si="60"/>
        <v>0</v>
      </c>
      <c r="V465" s="195">
        <f t="shared" si="61"/>
        <v>0</v>
      </c>
      <c r="W465" s="196" t="e">
        <f t="shared" si="62"/>
        <v>#DIV/0!</v>
      </c>
      <c r="X465" s="197" t="e">
        <f t="shared" si="63"/>
        <v>#DIV/0!</v>
      </c>
    </row>
    <row r="466" ht="11.4" customHeight="1" spans="1:34">
      <c r="A466" s="184" t="s">
        <v>1706</v>
      </c>
      <c r="B466" s="184" t="s">
        <v>125</v>
      </c>
      <c r="C466" s="184" t="s">
        <v>1101</v>
      </c>
      <c r="D466" s="185" t="s">
        <v>522</v>
      </c>
      <c r="E466" s="186" t="s">
        <v>906</v>
      </c>
      <c r="F466" s="186" t="s">
        <v>907</v>
      </c>
      <c r="G466" s="186" t="s">
        <v>1102</v>
      </c>
      <c r="H466" s="186" t="s">
        <v>1720</v>
      </c>
      <c r="I466" s="187" t="s">
        <v>1230</v>
      </c>
      <c r="J466" s="187" t="s">
        <v>1231</v>
      </c>
      <c r="K466" s="188"/>
      <c r="L466" s="188"/>
      <c r="M466" s="189" t="s">
        <v>847</v>
      </c>
      <c r="N466" s="190">
        <v>387.96</v>
      </c>
      <c r="O466" s="190">
        <f t="shared" si="56"/>
        <v>422.88</v>
      </c>
      <c r="P466" s="191">
        <f t="shared" si="57"/>
        <v>0</v>
      </c>
      <c r="Q466" s="192">
        <f t="shared" si="58"/>
        <v>0</v>
      </c>
      <c r="R466" s="193"/>
      <c r="S466" s="194"/>
      <c r="T466" s="195">
        <f t="shared" si="59"/>
        <v>0</v>
      </c>
      <c r="U466" s="195">
        <f t="shared" si="60"/>
        <v>0</v>
      </c>
      <c r="V466" s="195">
        <f t="shared" si="61"/>
        <v>0</v>
      </c>
      <c r="W466" s="196" t="e">
        <f t="shared" si="62"/>
        <v>#DIV/0!</v>
      </c>
      <c r="X466" s="197" t="e">
        <f t="shared" si="63"/>
        <v>#DIV/0!</v>
      </c>
    </row>
    <row r="467" ht="11.4" customHeight="1" spans="1:34">
      <c r="A467" s="184" t="s">
        <v>1706</v>
      </c>
      <c r="B467" s="184" t="s">
        <v>125</v>
      </c>
      <c r="C467" s="184" t="s">
        <v>1101</v>
      </c>
      <c r="D467" s="185" t="s">
        <v>522</v>
      </c>
      <c r="E467" s="186" t="s">
        <v>906</v>
      </c>
      <c r="F467" s="186" t="s">
        <v>907</v>
      </c>
      <c r="G467" s="186" t="s">
        <v>1102</v>
      </c>
      <c r="H467" s="186" t="s">
        <v>1720</v>
      </c>
      <c r="I467" s="187" t="s">
        <v>1234</v>
      </c>
      <c r="J467" s="187" t="s">
        <v>1235</v>
      </c>
      <c r="K467" s="188"/>
      <c r="L467" s="188"/>
      <c r="M467" s="189" t="s">
        <v>847</v>
      </c>
      <c r="N467" s="190">
        <v>408.71</v>
      </c>
      <c r="O467" s="190">
        <f t="shared" si="56"/>
        <v>445.49</v>
      </c>
      <c r="P467" s="191">
        <f t="shared" si="57"/>
        <v>0</v>
      </c>
      <c r="Q467" s="192">
        <f t="shared" si="58"/>
        <v>0</v>
      </c>
      <c r="R467" s="193"/>
      <c r="S467" s="194"/>
      <c r="T467" s="195">
        <f t="shared" si="59"/>
        <v>0</v>
      </c>
      <c r="U467" s="195">
        <f t="shared" si="60"/>
        <v>0</v>
      </c>
      <c r="V467" s="195">
        <f t="shared" si="61"/>
        <v>0</v>
      </c>
      <c r="W467" s="196" t="e">
        <f t="shared" si="62"/>
        <v>#DIV/0!</v>
      </c>
      <c r="X467" s="197" t="e">
        <f t="shared" si="63"/>
        <v>#DIV/0!</v>
      </c>
    </row>
    <row r="468" ht="11.4" customHeight="1" spans="1:34">
      <c r="A468" s="184" t="s">
        <v>1706</v>
      </c>
      <c r="B468" s="184" t="s">
        <v>125</v>
      </c>
      <c r="C468" s="184" t="s">
        <v>1101</v>
      </c>
      <c r="D468" s="185" t="s">
        <v>522</v>
      </c>
      <c r="E468" s="186" t="s">
        <v>906</v>
      </c>
      <c r="F468" s="186" t="s">
        <v>907</v>
      </c>
      <c r="G468" s="186" t="s">
        <v>1102</v>
      </c>
      <c r="H468" s="186" t="s">
        <v>1720</v>
      </c>
      <c r="I468" s="187" t="s">
        <v>1236</v>
      </c>
      <c r="J468" s="187" t="s">
        <v>1237</v>
      </c>
      <c r="K468" s="188"/>
      <c r="L468" s="188"/>
      <c r="M468" s="189" t="s">
        <v>847</v>
      </c>
      <c r="N468" s="190">
        <v>385.58</v>
      </c>
      <c r="O468" s="190">
        <f t="shared" si="56"/>
        <v>420.28</v>
      </c>
      <c r="P468" s="191">
        <f t="shared" si="57"/>
        <v>0</v>
      </c>
      <c r="Q468" s="192">
        <f t="shared" si="58"/>
        <v>0</v>
      </c>
      <c r="R468" s="193"/>
      <c r="S468" s="194"/>
      <c r="T468" s="195">
        <f t="shared" si="59"/>
        <v>0</v>
      </c>
      <c r="U468" s="195">
        <f t="shared" si="60"/>
        <v>0</v>
      </c>
      <c r="V468" s="195">
        <f t="shared" si="61"/>
        <v>0</v>
      </c>
      <c r="W468" s="196" t="e">
        <f t="shared" si="62"/>
        <v>#DIV/0!</v>
      </c>
      <c r="X468" s="197" t="e">
        <f t="shared" si="63"/>
        <v>#DIV/0!</v>
      </c>
    </row>
    <row r="469" ht="11.4" customHeight="1" spans="1:34">
      <c r="A469" s="184" t="s">
        <v>1706</v>
      </c>
      <c r="B469" s="184" t="s">
        <v>125</v>
      </c>
      <c r="C469" s="184" t="s">
        <v>1101</v>
      </c>
      <c r="D469" s="185" t="s">
        <v>522</v>
      </c>
      <c r="E469" s="186" t="s">
        <v>906</v>
      </c>
      <c r="F469" s="186" t="s">
        <v>907</v>
      </c>
      <c r="G469" s="186" t="s">
        <v>1102</v>
      </c>
      <c r="H469" s="186" t="s">
        <v>1720</v>
      </c>
      <c r="I469" s="187" t="s">
        <v>1240</v>
      </c>
      <c r="J469" s="187" t="s">
        <v>1241</v>
      </c>
      <c r="K469" s="188"/>
      <c r="L469" s="188"/>
      <c r="M469" s="189" t="s">
        <v>847</v>
      </c>
      <c r="N469" s="190">
        <v>406.33</v>
      </c>
      <c r="O469" s="190">
        <f t="shared" si="56"/>
        <v>442.9</v>
      </c>
      <c r="P469" s="191">
        <f t="shared" si="57"/>
        <v>0</v>
      </c>
      <c r="Q469" s="192">
        <f t="shared" si="58"/>
        <v>0</v>
      </c>
      <c r="R469" s="193"/>
      <c r="S469" s="194"/>
      <c r="T469" s="195">
        <f t="shared" si="59"/>
        <v>0</v>
      </c>
      <c r="U469" s="195">
        <f t="shared" si="60"/>
        <v>0</v>
      </c>
      <c r="V469" s="195">
        <f t="shared" si="61"/>
        <v>0</v>
      </c>
      <c r="W469" s="196" t="e">
        <f t="shared" si="62"/>
        <v>#DIV/0!</v>
      </c>
      <c r="X469" s="197" t="e">
        <f t="shared" si="63"/>
        <v>#DIV/0!</v>
      </c>
    </row>
    <row r="470" ht="11.4" customHeight="1" spans="1:34">
      <c r="A470" s="184" t="s">
        <v>1706</v>
      </c>
      <c r="B470" s="184" t="s">
        <v>125</v>
      </c>
      <c r="C470" s="184" t="s">
        <v>1101</v>
      </c>
      <c r="D470" s="185" t="s">
        <v>522</v>
      </c>
      <c r="E470" s="186" t="s">
        <v>906</v>
      </c>
      <c r="F470" s="186" t="s">
        <v>907</v>
      </c>
      <c r="G470" s="186" t="s">
        <v>1102</v>
      </c>
      <c r="H470" s="186" t="s">
        <v>1722</v>
      </c>
      <c r="I470" s="187" t="s">
        <v>1359</v>
      </c>
      <c r="J470" s="187" t="s">
        <v>1360</v>
      </c>
      <c r="K470" s="188"/>
      <c r="L470" s="188"/>
      <c r="M470" s="189" t="s">
        <v>847</v>
      </c>
      <c r="N470" s="190">
        <v>127.36</v>
      </c>
      <c r="O470" s="190">
        <f t="shared" si="56"/>
        <v>138.82</v>
      </c>
      <c r="P470" s="191">
        <f t="shared" si="57"/>
        <v>0</v>
      </c>
      <c r="Q470" s="192">
        <f t="shared" si="58"/>
        <v>0</v>
      </c>
      <c r="R470" s="193"/>
      <c r="S470" s="194"/>
      <c r="T470" s="195">
        <f t="shared" si="59"/>
        <v>0</v>
      </c>
      <c r="U470" s="195">
        <f t="shared" si="60"/>
        <v>0</v>
      </c>
      <c r="V470" s="195">
        <f t="shared" si="61"/>
        <v>0</v>
      </c>
      <c r="W470" s="196" t="e">
        <f t="shared" si="62"/>
        <v>#DIV/0!</v>
      </c>
      <c r="X470" s="197" t="e">
        <f t="shared" si="63"/>
        <v>#DIV/0!</v>
      </c>
      <c r="AG470" s="109" t="s">
        <v>1361</v>
      </c>
    </row>
    <row r="471" ht="11.4" customHeight="1" spans="1:34">
      <c r="A471" s="184" t="s">
        <v>1706</v>
      </c>
      <c r="B471" s="184" t="s">
        <v>125</v>
      </c>
      <c r="C471" s="184" t="s">
        <v>1101</v>
      </c>
      <c r="D471" s="185" t="s">
        <v>522</v>
      </c>
      <c r="E471" s="186" t="s">
        <v>906</v>
      </c>
      <c r="F471" s="186" t="s">
        <v>907</v>
      </c>
      <c r="G471" s="186" t="s">
        <v>1102</v>
      </c>
      <c r="H471" s="186" t="s">
        <v>1722</v>
      </c>
      <c r="I471" s="187" t="s">
        <v>1362</v>
      </c>
      <c r="J471" s="187" t="s">
        <v>1363</v>
      </c>
      <c r="K471" s="188"/>
      <c r="L471" s="188"/>
      <c r="M471" s="189" t="s">
        <v>847</v>
      </c>
      <c r="N471" s="190">
        <v>138.36</v>
      </c>
      <c r="O471" s="190">
        <f t="shared" si="56"/>
        <v>150.81</v>
      </c>
      <c r="P471" s="191">
        <f t="shared" si="57"/>
        <v>0</v>
      </c>
      <c r="Q471" s="192">
        <f t="shared" si="58"/>
        <v>0</v>
      </c>
      <c r="R471" s="193"/>
      <c r="S471" s="194"/>
      <c r="T471" s="195">
        <f t="shared" si="59"/>
        <v>0</v>
      </c>
      <c r="U471" s="195">
        <f t="shared" si="60"/>
        <v>0</v>
      </c>
      <c r="V471" s="195">
        <f t="shared" si="61"/>
        <v>0</v>
      </c>
      <c r="W471" s="196" t="e">
        <f t="shared" si="62"/>
        <v>#DIV/0!</v>
      </c>
      <c r="X471" s="197" t="e">
        <f t="shared" si="63"/>
        <v>#DIV/0!</v>
      </c>
      <c r="AG471" s="109" t="s">
        <v>1361</v>
      </c>
    </row>
    <row r="472" ht="11.4" customHeight="1" spans="1:34">
      <c r="A472" s="184" t="s">
        <v>1706</v>
      </c>
      <c r="B472" s="184" t="s">
        <v>125</v>
      </c>
      <c r="C472" s="184" t="s">
        <v>1101</v>
      </c>
      <c r="D472" s="185" t="s">
        <v>522</v>
      </c>
      <c r="E472" s="186" t="s">
        <v>906</v>
      </c>
      <c r="F472" s="186" t="s">
        <v>907</v>
      </c>
      <c r="G472" s="186" t="s">
        <v>1102</v>
      </c>
      <c r="H472" s="186" t="s">
        <v>1722</v>
      </c>
      <c r="I472" s="187" t="s">
        <v>1723</v>
      </c>
      <c r="J472" s="187" t="s">
        <v>1724</v>
      </c>
      <c r="K472" s="188">
        <v>2.8</v>
      </c>
      <c r="L472" s="188">
        <v>6.32</v>
      </c>
      <c r="M472" s="189" t="s">
        <v>847</v>
      </c>
      <c r="N472" s="190">
        <v>132.76</v>
      </c>
      <c r="O472" s="190">
        <f t="shared" si="56"/>
        <v>144.71</v>
      </c>
      <c r="P472" s="191">
        <f t="shared" si="57"/>
        <v>371.73</v>
      </c>
      <c r="Q472" s="192">
        <f t="shared" si="58"/>
        <v>839.04</v>
      </c>
      <c r="R472" s="193"/>
      <c r="S472" s="194"/>
      <c r="T472" s="195">
        <f t="shared" si="59"/>
        <v>-3.52</v>
      </c>
      <c r="U472" s="195">
        <f t="shared" si="60"/>
        <v>-467.31</v>
      </c>
      <c r="V472" s="195">
        <f t="shared" si="61"/>
        <v>467.31</v>
      </c>
      <c r="W472" s="196">
        <f t="shared" si="62"/>
        <v>-0.556962025316456</v>
      </c>
      <c r="X472" s="197">
        <f t="shared" si="63"/>
        <v>0.556962025316456</v>
      </c>
      <c r="AG472" s="219" t="s">
        <v>1361</v>
      </c>
    </row>
    <row r="473" ht="11.4" customHeight="1" spans="1:34">
      <c r="A473" s="184" t="s">
        <v>1706</v>
      </c>
      <c r="B473" s="184" t="s">
        <v>125</v>
      </c>
      <c r="C473" s="184" t="s">
        <v>1101</v>
      </c>
      <c r="D473" s="185" t="s">
        <v>522</v>
      </c>
      <c r="E473" s="186" t="s">
        <v>906</v>
      </c>
      <c r="F473" s="186" t="s">
        <v>907</v>
      </c>
      <c r="G473" s="186" t="s">
        <v>1102</v>
      </c>
      <c r="H473" s="186" t="s">
        <v>1722</v>
      </c>
      <c r="I473" s="187" t="s">
        <v>1384</v>
      </c>
      <c r="J473" s="187" t="s">
        <v>1385</v>
      </c>
      <c r="K473" s="188">
        <v>1.32</v>
      </c>
      <c r="L473" s="188">
        <v>1.32</v>
      </c>
      <c r="M473" s="189" t="s">
        <v>847</v>
      </c>
      <c r="N473" s="190">
        <v>139.73</v>
      </c>
      <c r="O473" s="190">
        <f t="shared" si="56"/>
        <v>152.31</v>
      </c>
      <c r="P473" s="191">
        <f t="shared" si="57"/>
        <v>184.44</v>
      </c>
      <c r="Q473" s="192">
        <f t="shared" si="58"/>
        <v>184.44</v>
      </c>
      <c r="R473" s="193"/>
      <c r="S473" s="194"/>
      <c r="T473" s="195">
        <f t="shared" si="59"/>
        <v>0</v>
      </c>
      <c r="U473" s="195">
        <f t="shared" si="60"/>
        <v>0</v>
      </c>
      <c r="V473" s="195">
        <f t="shared" si="61"/>
        <v>0</v>
      </c>
      <c r="W473" s="196">
        <f t="shared" si="62"/>
        <v>0</v>
      </c>
      <c r="X473" s="197">
        <f t="shared" si="63"/>
        <v>0</v>
      </c>
      <c r="AG473" s="219" t="s">
        <v>1361</v>
      </c>
    </row>
    <row r="474" ht="11.4" customHeight="1" spans="1:34">
      <c r="A474" s="184" t="s">
        <v>1706</v>
      </c>
      <c r="B474" s="184" t="s">
        <v>125</v>
      </c>
      <c r="C474" s="184" t="s">
        <v>1101</v>
      </c>
      <c r="D474" s="185" t="s">
        <v>522</v>
      </c>
      <c r="E474" s="186" t="s">
        <v>906</v>
      </c>
      <c r="F474" s="186" t="s">
        <v>907</v>
      </c>
      <c r="G474" s="186" t="s">
        <v>1102</v>
      </c>
      <c r="H474" s="186" t="s">
        <v>1725</v>
      </c>
      <c r="I474" s="187" t="s">
        <v>1726</v>
      </c>
      <c r="J474" s="222" t="s">
        <v>1727</v>
      </c>
      <c r="K474" s="188"/>
      <c r="L474" s="188"/>
      <c r="M474" s="189" t="s">
        <v>793</v>
      </c>
      <c r="N474" s="190">
        <v>10720.16</v>
      </c>
      <c r="O474" s="190">
        <f t="shared" si="56"/>
        <v>11684.97</v>
      </c>
      <c r="P474" s="191">
        <f t="shared" si="57"/>
        <v>0</v>
      </c>
      <c r="Q474" s="192">
        <f t="shared" si="58"/>
        <v>0</v>
      </c>
      <c r="R474" s="193"/>
      <c r="S474" s="194"/>
      <c r="T474" s="195">
        <f t="shared" si="59"/>
        <v>0</v>
      </c>
      <c r="U474" s="195">
        <f t="shared" si="60"/>
        <v>0</v>
      </c>
      <c r="V474" s="195">
        <f t="shared" si="61"/>
        <v>0</v>
      </c>
      <c r="W474" s="196" t="e">
        <f t="shared" si="62"/>
        <v>#DIV/0!</v>
      </c>
      <c r="X474" s="197" t="e">
        <f t="shared" si="63"/>
        <v>#DIV/0!</v>
      </c>
    </row>
    <row r="475" ht="11.4" customHeight="1" spans="1:34">
      <c r="A475" s="184" t="s">
        <v>1706</v>
      </c>
      <c r="B475" s="184" t="s">
        <v>125</v>
      </c>
      <c r="C475" s="184" t="s">
        <v>1101</v>
      </c>
      <c r="D475" s="185" t="s">
        <v>522</v>
      </c>
      <c r="E475" s="186" t="s">
        <v>906</v>
      </c>
      <c r="F475" s="186" t="s">
        <v>907</v>
      </c>
      <c r="G475" s="186" t="s">
        <v>1102</v>
      </c>
      <c r="H475" s="186" t="s">
        <v>1725</v>
      </c>
      <c r="I475" s="187" t="s">
        <v>1728</v>
      </c>
      <c r="J475" s="187" t="s">
        <v>1729</v>
      </c>
      <c r="K475" s="221">
        <v>1</v>
      </c>
      <c r="L475" s="188"/>
      <c r="M475" s="189" t="s">
        <v>1580</v>
      </c>
      <c r="N475" s="190">
        <v>211.97</v>
      </c>
      <c r="O475" s="190">
        <f t="shared" si="56"/>
        <v>231.05</v>
      </c>
      <c r="P475" s="191">
        <f t="shared" si="57"/>
        <v>211.97</v>
      </c>
      <c r="Q475" s="192">
        <f t="shared" si="58"/>
        <v>0</v>
      </c>
      <c r="R475" s="193"/>
      <c r="S475" s="194"/>
      <c r="T475" s="195">
        <f t="shared" si="59"/>
        <v>1</v>
      </c>
      <c r="U475" s="195">
        <f t="shared" si="60"/>
        <v>211.97</v>
      </c>
      <c r="V475" s="195">
        <f t="shared" si="61"/>
        <v>211.97</v>
      </c>
      <c r="W475" s="196" t="e">
        <f t="shared" si="62"/>
        <v>#DIV/0!</v>
      </c>
      <c r="X475" s="197" t="e">
        <f t="shared" si="63"/>
        <v>#DIV/0!</v>
      </c>
    </row>
    <row r="476" ht="11.4" customHeight="1" spans="1:34">
      <c r="A476" s="184" t="s">
        <v>1706</v>
      </c>
      <c r="B476" s="184" t="s">
        <v>125</v>
      </c>
      <c r="C476" s="184" t="s">
        <v>1101</v>
      </c>
      <c r="D476" s="185" t="s">
        <v>522</v>
      </c>
      <c r="E476" s="186" t="s">
        <v>906</v>
      </c>
      <c r="F476" s="186" t="s">
        <v>907</v>
      </c>
      <c r="G476" s="186" t="s">
        <v>1102</v>
      </c>
      <c r="H476" s="186" t="s">
        <v>1725</v>
      </c>
      <c r="I476" s="187" t="s">
        <v>1730</v>
      </c>
      <c r="J476" s="187" t="s">
        <v>1731</v>
      </c>
      <c r="K476" s="188"/>
      <c r="L476" s="188"/>
      <c r="M476" s="189" t="s">
        <v>1580</v>
      </c>
      <c r="N476" s="190">
        <v>191.29</v>
      </c>
      <c r="O476" s="190">
        <f t="shared" si="56"/>
        <v>208.51</v>
      </c>
      <c r="P476" s="191">
        <f t="shared" si="57"/>
        <v>0</v>
      </c>
      <c r="Q476" s="192">
        <f t="shared" si="58"/>
        <v>0</v>
      </c>
      <c r="R476" s="193"/>
      <c r="S476" s="194"/>
      <c r="T476" s="195">
        <f t="shared" si="59"/>
        <v>0</v>
      </c>
      <c r="U476" s="195">
        <f t="shared" si="60"/>
        <v>0</v>
      </c>
      <c r="V476" s="195">
        <f t="shared" si="61"/>
        <v>0</v>
      </c>
      <c r="W476" s="196" t="e">
        <f t="shared" si="62"/>
        <v>#DIV/0!</v>
      </c>
      <c r="X476" s="197" t="e">
        <f t="shared" si="63"/>
        <v>#DIV/0!</v>
      </c>
    </row>
    <row r="477" ht="11.4" customHeight="1" spans="1:34">
      <c r="A477" s="184" t="s">
        <v>1706</v>
      </c>
      <c r="B477" s="184" t="s">
        <v>125</v>
      </c>
      <c r="C477" s="184" t="s">
        <v>1101</v>
      </c>
      <c r="D477" s="185" t="s">
        <v>522</v>
      </c>
      <c r="E477" s="186" t="s">
        <v>906</v>
      </c>
      <c r="F477" s="186" t="s">
        <v>907</v>
      </c>
      <c r="G477" s="186" t="s">
        <v>1102</v>
      </c>
      <c r="H477" s="186" t="s">
        <v>1725</v>
      </c>
      <c r="I477" s="187" t="s">
        <v>1732</v>
      </c>
      <c r="J477" s="187" t="s">
        <v>1733</v>
      </c>
      <c r="K477" s="188"/>
      <c r="L477" s="188"/>
      <c r="M477" s="189" t="s">
        <v>793</v>
      </c>
      <c r="N477" s="190">
        <v>404.91</v>
      </c>
      <c r="O477" s="190">
        <f t="shared" si="56"/>
        <v>441.35</v>
      </c>
      <c r="P477" s="191">
        <f t="shared" si="57"/>
        <v>0</v>
      </c>
      <c r="Q477" s="192">
        <f t="shared" si="58"/>
        <v>0</v>
      </c>
      <c r="R477" s="193"/>
      <c r="S477" s="194"/>
      <c r="T477" s="195">
        <f t="shared" si="59"/>
        <v>0</v>
      </c>
      <c r="U477" s="195">
        <f t="shared" si="60"/>
        <v>0</v>
      </c>
      <c r="V477" s="195">
        <f t="shared" si="61"/>
        <v>0</v>
      </c>
      <c r="W477" s="196" t="e">
        <f t="shared" si="62"/>
        <v>#DIV/0!</v>
      </c>
      <c r="X477" s="197" t="e">
        <f t="shared" si="63"/>
        <v>#DIV/0!</v>
      </c>
    </row>
    <row r="478" ht="11.4" customHeight="1" spans="1:34">
      <c r="A478" s="184" t="s">
        <v>1706</v>
      </c>
      <c r="B478" s="184" t="s">
        <v>125</v>
      </c>
      <c r="C478" s="184" t="s">
        <v>1101</v>
      </c>
      <c r="D478" s="185" t="s">
        <v>522</v>
      </c>
      <c r="E478" s="186" t="s">
        <v>906</v>
      </c>
      <c r="F478" s="186" t="s">
        <v>907</v>
      </c>
      <c r="G478" s="186" t="s">
        <v>1102</v>
      </c>
      <c r="H478" s="186" t="s">
        <v>1725</v>
      </c>
      <c r="I478" s="187" t="s">
        <v>1734</v>
      </c>
      <c r="J478" s="222" t="s">
        <v>1735</v>
      </c>
      <c r="K478" s="188">
        <v>4.13</v>
      </c>
      <c r="L478" s="188">
        <v>4.13</v>
      </c>
      <c r="M478" s="189" t="s">
        <v>847</v>
      </c>
      <c r="N478" s="190">
        <v>645.8</v>
      </c>
      <c r="O478" s="190">
        <f t="shared" si="56"/>
        <v>703.92</v>
      </c>
      <c r="P478" s="191">
        <f t="shared" si="57"/>
        <v>2667.15</v>
      </c>
      <c r="Q478" s="192">
        <f t="shared" si="58"/>
        <v>2667.15</v>
      </c>
      <c r="R478" s="193"/>
      <c r="S478" s="194"/>
      <c r="T478" s="195">
        <f t="shared" si="59"/>
        <v>0</v>
      </c>
      <c r="U478" s="195">
        <f t="shared" si="60"/>
        <v>0</v>
      </c>
      <c r="V478" s="195">
        <f t="shared" si="61"/>
        <v>0</v>
      </c>
      <c r="W478" s="196">
        <f t="shared" si="62"/>
        <v>0</v>
      </c>
      <c r="X478" s="197">
        <f t="shared" si="63"/>
        <v>0</v>
      </c>
      <c r="AG478" s="219" t="s">
        <v>865</v>
      </c>
    </row>
    <row r="479" ht="11.4" customHeight="1" spans="1:34">
      <c r="A479" s="184" t="s">
        <v>1706</v>
      </c>
      <c r="B479" s="184" t="s">
        <v>125</v>
      </c>
      <c r="C479" s="184" t="s">
        <v>1101</v>
      </c>
      <c r="D479" s="185" t="s">
        <v>522</v>
      </c>
      <c r="E479" s="186" t="s">
        <v>906</v>
      </c>
      <c r="F479" s="186" t="s">
        <v>907</v>
      </c>
      <c r="G479" s="186" t="s">
        <v>1102</v>
      </c>
      <c r="H479" s="186" t="s">
        <v>1725</v>
      </c>
      <c r="I479" s="187" t="s">
        <v>1736</v>
      </c>
      <c r="J479" s="222" t="s">
        <v>1737</v>
      </c>
      <c r="K479" s="188"/>
      <c r="L479" s="188"/>
      <c r="M479" s="189" t="s">
        <v>847</v>
      </c>
      <c r="N479" s="190"/>
      <c r="O479" s="190">
        <f t="shared" si="56"/>
        <v>0</v>
      </c>
      <c r="P479" s="191">
        <f t="shared" si="57"/>
        <v>0</v>
      </c>
      <c r="Q479" s="192">
        <f t="shared" si="58"/>
        <v>0</v>
      </c>
      <c r="R479" s="193"/>
      <c r="S479" s="194"/>
      <c r="T479" s="195">
        <f t="shared" si="59"/>
        <v>0</v>
      </c>
      <c r="U479" s="195">
        <f t="shared" si="60"/>
        <v>0</v>
      </c>
      <c r="V479" s="195">
        <f t="shared" si="61"/>
        <v>0</v>
      </c>
      <c r="W479" s="196" t="e">
        <f t="shared" si="62"/>
        <v>#DIV/0!</v>
      </c>
      <c r="X479" s="197" t="e">
        <f t="shared" si="63"/>
        <v>#DIV/0!</v>
      </c>
      <c r="AG479" s="219" t="s">
        <v>865</v>
      </c>
    </row>
    <row r="480" ht="11.4" customHeight="1" spans="1:34">
      <c r="A480" s="184" t="s">
        <v>1706</v>
      </c>
      <c r="B480" s="184" t="s">
        <v>125</v>
      </c>
      <c r="C480" s="184" t="s">
        <v>1101</v>
      </c>
      <c r="D480" s="185" t="s">
        <v>522</v>
      </c>
      <c r="E480" s="186" t="s">
        <v>906</v>
      </c>
      <c r="F480" s="186" t="s">
        <v>907</v>
      </c>
      <c r="G480" s="186" t="s">
        <v>1102</v>
      </c>
      <c r="H480" s="186" t="s">
        <v>1725</v>
      </c>
      <c r="I480" s="187" t="s">
        <v>1738</v>
      </c>
      <c r="J480" s="187" t="s">
        <v>1739</v>
      </c>
      <c r="K480" s="188"/>
      <c r="L480" s="188"/>
      <c r="M480" s="189" t="s">
        <v>793</v>
      </c>
      <c r="N480" s="190"/>
      <c r="O480" s="190">
        <f t="shared" si="56"/>
        <v>0</v>
      </c>
      <c r="P480" s="191">
        <f t="shared" si="57"/>
        <v>0</v>
      </c>
      <c r="Q480" s="192">
        <f t="shared" si="58"/>
        <v>0</v>
      </c>
      <c r="R480" s="193"/>
      <c r="S480" s="194"/>
      <c r="T480" s="195">
        <f t="shared" si="59"/>
        <v>0</v>
      </c>
      <c r="U480" s="195">
        <f t="shared" si="60"/>
        <v>0</v>
      </c>
      <c r="V480" s="195">
        <f t="shared" si="61"/>
        <v>0</v>
      </c>
      <c r="W480" s="196" t="e">
        <f t="shared" si="62"/>
        <v>#DIV/0!</v>
      </c>
      <c r="X480" s="197" t="e">
        <f t="shared" si="63"/>
        <v>#DIV/0!</v>
      </c>
      <c r="AH480" s="219" t="s">
        <v>794</v>
      </c>
    </row>
    <row r="481" ht="11.4" customHeight="1" spans="1:33">
      <c r="A481" s="184" t="s">
        <v>1740</v>
      </c>
      <c r="B481" s="184" t="s">
        <v>109</v>
      </c>
      <c r="C481" s="184" t="s">
        <v>1101</v>
      </c>
      <c r="D481" s="185" t="s">
        <v>522</v>
      </c>
      <c r="E481" s="186" t="s">
        <v>906</v>
      </c>
      <c r="F481" s="186" t="s">
        <v>907</v>
      </c>
      <c r="G481" s="186" t="s">
        <v>1102</v>
      </c>
      <c r="H481" s="186" t="s">
        <v>1741</v>
      </c>
      <c r="I481" s="187" t="s">
        <v>1708</v>
      </c>
      <c r="J481" s="187" t="s">
        <v>1709</v>
      </c>
      <c r="K481" s="188"/>
      <c r="L481" s="188"/>
      <c r="M481" s="189" t="s">
        <v>847</v>
      </c>
      <c r="N481" s="190">
        <v>203.87</v>
      </c>
      <c r="O481" s="190">
        <f t="shared" si="56"/>
        <v>222.22</v>
      </c>
      <c r="P481" s="191">
        <f t="shared" si="57"/>
        <v>0</v>
      </c>
      <c r="Q481" s="192">
        <f t="shared" si="58"/>
        <v>0</v>
      </c>
      <c r="R481" s="193"/>
      <c r="S481" s="194"/>
      <c r="T481" s="195">
        <f t="shared" si="59"/>
        <v>0</v>
      </c>
      <c r="U481" s="195">
        <f t="shared" si="60"/>
        <v>0</v>
      </c>
      <c r="V481" s="195">
        <f t="shared" si="61"/>
        <v>0</v>
      </c>
      <c r="W481" s="196" t="e">
        <f t="shared" si="62"/>
        <v>#DIV/0!</v>
      </c>
      <c r="X481" s="197" t="e">
        <f t="shared" si="63"/>
        <v>#DIV/0!</v>
      </c>
      <c r="AG481" s="109" t="s">
        <v>1742</v>
      </c>
    </row>
    <row r="482" ht="11.4" customHeight="1" spans="1:33">
      <c r="A482" s="184" t="s">
        <v>1740</v>
      </c>
      <c r="B482" s="184" t="s">
        <v>109</v>
      </c>
      <c r="C482" s="184" t="s">
        <v>1101</v>
      </c>
      <c r="D482" s="185" t="s">
        <v>522</v>
      </c>
      <c r="E482" s="186" t="s">
        <v>906</v>
      </c>
      <c r="F482" s="186" t="s">
        <v>907</v>
      </c>
      <c r="G482" s="186" t="s">
        <v>1102</v>
      </c>
      <c r="H482" s="186" t="s">
        <v>1741</v>
      </c>
      <c r="I482" s="187" t="s">
        <v>1710</v>
      </c>
      <c r="J482" s="187" t="s">
        <v>1711</v>
      </c>
      <c r="K482" s="188"/>
      <c r="L482" s="188"/>
      <c r="M482" s="189" t="s">
        <v>807</v>
      </c>
      <c r="N482" s="190">
        <v>101.27</v>
      </c>
      <c r="O482" s="190">
        <f t="shared" si="56"/>
        <v>110.38</v>
      </c>
      <c r="P482" s="191">
        <f t="shared" si="57"/>
        <v>0</v>
      </c>
      <c r="Q482" s="192">
        <f t="shared" si="58"/>
        <v>0</v>
      </c>
      <c r="R482" s="193"/>
      <c r="S482" s="194"/>
      <c r="T482" s="195">
        <f t="shared" si="59"/>
        <v>0</v>
      </c>
      <c r="U482" s="195">
        <f t="shared" si="60"/>
        <v>0</v>
      </c>
      <c r="V482" s="195">
        <f t="shared" si="61"/>
        <v>0</v>
      </c>
      <c r="W482" s="196" t="e">
        <f t="shared" si="62"/>
        <v>#DIV/0!</v>
      </c>
      <c r="X482" s="197" t="e">
        <f t="shared" si="63"/>
        <v>#DIV/0!</v>
      </c>
      <c r="AG482" s="109" t="s">
        <v>1492</v>
      </c>
    </row>
    <row r="483" ht="11.4" customHeight="1" spans="1:33">
      <c r="A483" s="184" t="s">
        <v>1740</v>
      </c>
      <c r="B483" s="184" t="s">
        <v>109</v>
      </c>
      <c r="C483" s="184" t="s">
        <v>1101</v>
      </c>
      <c r="D483" s="185" t="s">
        <v>522</v>
      </c>
      <c r="E483" s="186" t="s">
        <v>906</v>
      </c>
      <c r="F483" s="186" t="s">
        <v>907</v>
      </c>
      <c r="G483" s="186" t="s">
        <v>1102</v>
      </c>
      <c r="H483" s="186" t="s">
        <v>1741</v>
      </c>
      <c r="I483" s="187" t="s">
        <v>1712</v>
      </c>
      <c r="J483" s="187" t="s">
        <v>1713</v>
      </c>
      <c r="K483" s="188"/>
      <c r="L483" s="188"/>
      <c r="M483" s="189" t="s">
        <v>847</v>
      </c>
      <c r="N483" s="190">
        <v>194.19</v>
      </c>
      <c r="O483" s="190">
        <f t="shared" si="56"/>
        <v>211.67</v>
      </c>
      <c r="P483" s="191">
        <f t="shared" si="57"/>
        <v>0</v>
      </c>
      <c r="Q483" s="192">
        <f t="shared" si="58"/>
        <v>0</v>
      </c>
      <c r="R483" s="193"/>
      <c r="S483" s="194"/>
      <c r="T483" s="195">
        <f t="shared" si="59"/>
        <v>0</v>
      </c>
      <c r="U483" s="195">
        <f t="shared" si="60"/>
        <v>0</v>
      </c>
      <c r="V483" s="195">
        <f t="shared" si="61"/>
        <v>0</v>
      </c>
      <c r="W483" s="196" t="e">
        <f t="shared" si="62"/>
        <v>#DIV/0!</v>
      </c>
      <c r="X483" s="197" t="e">
        <f t="shared" si="63"/>
        <v>#DIV/0!</v>
      </c>
      <c r="AG483" s="109" t="s">
        <v>1742</v>
      </c>
    </row>
    <row r="484" ht="11.4" customHeight="1" spans="1:33">
      <c r="A484" s="184" t="s">
        <v>1740</v>
      </c>
      <c r="B484" s="184" t="s">
        <v>109</v>
      </c>
      <c r="C484" s="184" t="s">
        <v>1101</v>
      </c>
      <c r="D484" s="185" t="s">
        <v>522</v>
      </c>
      <c r="E484" s="186" t="s">
        <v>906</v>
      </c>
      <c r="F484" s="186" t="s">
        <v>907</v>
      </c>
      <c r="G484" s="186" t="s">
        <v>1102</v>
      </c>
      <c r="H484" s="186" t="s">
        <v>1741</v>
      </c>
      <c r="I484" s="187" t="s">
        <v>1714</v>
      </c>
      <c r="J484" s="187" t="s">
        <v>1715</v>
      </c>
      <c r="K484" s="188"/>
      <c r="L484" s="188"/>
      <c r="M484" s="189" t="s">
        <v>807</v>
      </c>
      <c r="N484" s="190">
        <v>83.12</v>
      </c>
      <c r="O484" s="190">
        <f t="shared" si="56"/>
        <v>90.6</v>
      </c>
      <c r="P484" s="191">
        <f t="shared" si="57"/>
        <v>0</v>
      </c>
      <c r="Q484" s="192">
        <f t="shared" si="58"/>
        <v>0</v>
      </c>
      <c r="R484" s="193"/>
      <c r="S484" s="194"/>
      <c r="T484" s="195">
        <f t="shared" si="59"/>
        <v>0</v>
      </c>
      <c r="U484" s="195">
        <f t="shared" si="60"/>
        <v>0</v>
      </c>
      <c r="V484" s="195">
        <f t="shared" si="61"/>
        <v>0</v>
      </c>
      <c r="W484" s="196" t="e">
        <f t="shared" si="62"/>
        <v>#DIV/0!</v>
      </c>
      <c r="X484" s="197" t="e">
        <f t="shared" si="63"/>
        <v>#DIV/0!</v>
      </c>
      <c r="AG484" s="109" t="s">
        <v>1492</v>
      </c>
    </row>
    <row r="485" ht="11.4" customHeight="1" spans="1:33">
      <c r="A485" s="184" t="s">
        <v>1740</v>
      </c>
      <c r="B485" s="184" t="s">
        <v>109</v>
      </c>
      <c r="C485" s="184" t="s">
        <v>1101</v>
      </c>
      <c r="D485" s="185" t="s">
        <v>522</v>
      </c>
      <c r="E485" s="186" t="s">
        <v>906</v>
      </c>
      <c r="F485" s="186" t="s">
        <v>907</v>
      </c>
      <c r="G485" s="186" t="s">
        <v>1102</v>
      </c>
      <c r="H485" s="186" t="s">
        <v>1741</v>
      </c>
      <c r="I485" s="187" t="s">
        <v>1716</v>
      </c>
      <c r="J485" s="187" t="s">
        <v>1717</v>
      </c>
      <c r="K485" s="188">
        <v>52.11</v>
      </c>
      <c r="L485" s="188">
        <v>52.1</v>
      </c>
      <c r="M485" s="189" t="s">
        <v>847</v>
      </c>
      <c r="N485" s="190">
        <v>202.66</v>
      </c>
      <c r="O485" s="190">
        <f t="shared" si="56"/>
        <v>220.9</v>
      </c>
      <c r="P485" s="191">
        <f t="shared" si="57"/>
        <v>10560.61</v>
      </c>
      <c r="Q485" s="192">
        <f t="shared" si="58"/>
        <v>10558.59</v>
      </c>
      <c r="R485" s="193"/>
      <c r="S485" s="194"/>
      <c r="T485" s="195">
        <f t="shared" si="59"/>
        <v>0.00999999999999801</v>
      </c>
      <c r="U485" s="195">
        <f t="shared" si="60"/>
        <v>2.02000000000044</v>
      </c>
      <c r="V485" s="195">
        <f t="shared" si="61"/>
        <v>2.02000000000044</v>
      </c>
      <c r="W485" s="196">
        <f t="shared" si="62"/>
        <v>0.000191938579654472</v>
      </c>
      <c r="X485" s="197">
        <f t="shared" si="63"/>
        <v>0.000191938579654472</v>
      </c>
      <c r="AG485" s="109" t="s">
        <v>1742</v>
      </c>
    </row>
    <row r="486" ht="11.4" customHeight="1" spans="1:33">
      <c r="A486" s="184" t="s">
        <v>1740</v>
      </c>
      <c r="B486" s="184" t="s">
        <v>109</v>
      </c>
      <c r="C486" s="184" t="s">
        <v>1101</v>
      </c>
      <c r="D486" s="185" t="s">
        <v>522</v>
      </c>
      <c r="E486" s="186" t="s">
        <v>906</v>
      </c>
      <c r="F486" s="186" t="s">
        <v>907</v>
      </c>
      <c r="G486" s="186" t="s">
        <v>1102</v>
      </c>
      <c r="H486" s="186" t="s">
        <v>1741</v>
      </c>
      <c r="I486" s="187" t="s">
        <v>1718</v>
      </c>
      <c r="J486" s="187" t="s">
        <v>1719</v>
      </c>
      <c r="K486" s="188">
        <v>47.33</v>
      </c>
      <c r="L486" s="188">
        <v>47.13</v>
      </c>
      <c r="M486" s="189" t="s">
        <v>807</v>
      </c>
      <c r="N486" s="190">
        <v>101.27</v>
      </c>
      <c r="O486" s="190">
        <f t="shared" si="56"/>
        <v>110.38</v>
      </c>
      <c r="P486" s="191">
        <f t="shared" si="57"/>
        <v>4793.11</v>
      </c>
      <c r="Q486" s="192">
        <f t="shared" si="58"/>
        <v>4772.86</v>
      </c>
      <c r="R486" s="193"/>
      <c r="S486" s="194"/>
      <c r="T486" s="195">
        <f t="shared" si="59"/>
        <v>0.199999999999996</v>
      </c>
      <c r="U486" s="195">
        <f t="shared" si="60"/>
        <v>20.25</v>
      </c>
      <c r="V486" s="195">
        <f t="shared" si="61"/>
        <v>20.25</v>
      </c>
      <c r="W486" s="196">
        <f t="shared" si="62"/>
        <v>0.00424358158285584</v>
      </c>
      <c r="X486" s="197">
        <f t="shared" si="63"/>
        <v>0.00424358158285584</v>
      </c>
      <c r="AG486" s="109" t="s">
        <v>1492</v>
      </c>
    </row>
    <row r="487" ht="11.4" customHeight="1" spans="1:33">
      <c r="A487" s="184" t="s">
        <v>1740</v>
      </c>
      <c r="B487" s="184" t="s">
        <v>109</v>
      </c>
      <c r="C487" s="184" t="s">
        <v>1101</v>
      </c>
      <c r="D487" s="185" t="s">
        <v>522</v>
      </c>
      <c r="E487" s="186" t="s">
        <v>906</v>
      </c>
      <c r="F487" s="186" t="s">
        <v>907</v>
      </c>
      <c r="G487" s="186" t="s">
        <v>1102</v>
      </c>
      <c r="H487" s="186" t="s">
        <v>1741</v>
      </c>
      <c r="I487" s="187" t="s">
        <v>1104</v>
      </c>
      <c r="J487" s="187" t="s">
        <v>1105</v>
      </c>
      <c r="K487" s="188"/>
      <c r="L487" s="188"/>
      <c r="M487" s="189" t="s">
        <v>847</v>
      </c>
      <c r="N487" s="190">
        <v>180.78</v>
      </c>
      <c r="O487" s="190">
        <f t="shared" si="56"/>
        <v>197.05</v>
      </c>
      <c r="P487" s="191">
        <f t="shared" si="57"/>
        <v>0</v>
      </c>
      <c r="Q487" s="192">
        <f t="shared" si="58"/>
        <v>0</v>
      </c>
      <c r="R487" s="193"/>
      <c r="S487" s="194"/>
      <c r="T487" s="195">
        <f t="shared" si="59"/>
        <v>0</v>
      </c>
      <c r="U487" s="195">
        <f t="shared" si="60"/>
        <v>0</v>
      </c>
      <c r="V487" s="195">
        <f t="shared" si="61"/>
        <v>0</v>
      </c>
      <c r="W487" s="196" t="e">
        <f t="shared" si="62"/>
        <v>#DIV/0!</v>
      </c>
      <c r="X487" s="197" t="e">
        <f t="shared" si="63"/>
        <v>#DIV/0!</v>
      </c>
      <c r="AG487" s="109" t="s">
        <v>1742</v>
      </c>
    </row>
    <row r="488" ht="11.4" customHeight="1" spans="1:33">
      <c r="A488" s="184" t="s">
        <v>1740</v>
      </c>
      <c r="B488" s="184" t="s">
        <v>109</v>
      </c>
      <c r="C488" s="184" t="s">
        <v>1101</v>
      </c>
      <c r="D488" s="185" t="s">
        <v>522</v>
      </c>
      <c r="E488" s="186" t="s">
        <v>906</v>
      </c>
      <c r="F488" s="186" t="s">
        <v>907</v>
      </c>
      <c r="G488" s="186" t="s">
        <v>1102</v>
      </c>
      <c r="H488" s="186" t="s">
        <v>1741</v>
      </c>
      <c r="I488" s="187" t="s">
        <v>1106</v>
      </c>
      <c r="J488" s="187" t="s">
        <v>1107</v>
      </c>
      <c r="K488" s="188"/>
      <c r="L488" s="188"/>
      <c r="M488" s="189" t="s">
        <v>807</v>
      </c>
      <c r="N488" s="190">
        <v>41.36</v>
      </c>
      <c r="O488" s="190">
        <f t="shared" si="56"/>
        <v>45.08</v>
      </c>
      <c r="P488" s="191">
        <f t="shared" si="57"/>
        <v>0</v>
      </c>
      <c r="Q488" s="192">
        <f t="shared" si="58"/>
        <v>0</v>
      </c>
      <c r="R488" s="193"/>
      <c r="S488" s="194"/>
      <c r="T488" s="195">
        <f t="shared" si="59"/>
        <v>0</v>
      </c>
      <c r="U488" s="195">
        <f t="shared" si="60"/>
        <v>0</v>
      </c>
      <c r="V488" s="195">
        <f t="shared" si="61"/>
        <v>0</v>
      </c>
      <c r="W488" s="196" t="e">
        <f t="shared" si="62"/>
        <v>#DIV/0!</v>
      </c>
      <c r="X488" s="197" t="e">
        <f t="shared" si="63"/>
        <v>#DIV/0!</v>
      </c>
      <c r="AG488" s="109" t="s">
        <v>1492</v>
      </c>
    </row>
    <row r="489" ht="11.4" customHeight="1" spans="1:33">
      <c r="A489" s="184" t="s">
        <v>1740</v>
      </c>
      <c r="B489" s="184" t="s">
        <v>109</v>
      </c>
      <c r="C489" s="184" t="s">
        <v>1101</v>
      </c>
      <c r="D489" s="185" t="s">
        <v>522</v>
      </c>
      <c r="E489" s="186" t="s">
        <v>906</v>
      </c>
      <c r="F489" s="186" t="s">
        <v>907</v>
      </c>
      <c r="G489" s="186" t="s">
        <v>1102</v>
      </c>
      <c r="H489" s="186" t="s">
        <v>1741</v>
      </c>
      <c r="I489" s="187" t="s">
        <v>1109</v>
      </c>
      <c r="J489" s="187" t="s">
        <v>1110</v>
      </c>
      <c r="K489" s="188"/>
      <c r="L489" s="188"/>
      <c r="M489" s="189" t="s">
        <v>847</v>
      </c>
      <c r="N489" s="190">
        <v>160.21</v>
      </c>
      <c r="O489" s="190">
        <f t="shared" si="56"/>
        <v>174.63</v>
      </c>
      <c r="P489" s="191">
        <f t="shared" si="57"/>
        <v>0</v>
      </c>
      <c r="Q489" s="192">
        <f t="shared" si="58"/>
        <v>0</v>
      </c>
      <c r="R489" s="193"/>
      <c r="S489" s="194"/>
      <c r="T489" s="195">
        <f t="shared" si="59"/>
        <v>0</v>
      </c>
      <c r="U489" s="195">
        <f t="shared" si="60"/>
        <v>0</v>
      </c>
      <c r="V489" s="195">
        <f t="shared" si="61"/>
        <v>0</v>
      </c>
      <c r="W489" s="196" t="e">
        <f t="shared" si="62"/>
        <v>#DIV/0!</v>
      </c>
      <c r="X489" s="197" t="e">
        <f t="shared" si="63"/>
        <v>#DIV/0!</v>
      </c>
      <c r="AG489" s="109" t="s">
        <v>1742</v>
      </c>
    </row>
    <row r="490" ht="11.4" customHeight="1" spans="1:33">
      <c r="A490" s="184" t="s">
        <v>1740</v>
      </c>
      <c r="B490" s="184" t="s">
        <v>109</v>
      </c>
      <c r="C490" s="184" t="s">
        <v>1101</v>
      </c>
      <c r="D490" s="185" t="s">
        <v>522</v>
      </c>
      <c r="E490" s="186" t="s">
        <v>906</v>
      </c>
      <c r="F490" s="186" t="s">
        <v>907</v>
      </c>
      <c r="G490" s="186" t="s">
        <v>1102</v>
      </c>
      <c r="H490" s="186" t="s">
        <v>1741</v>
      </c>
      <c r="I490" s="187" t="s">
        <v>1111</v>
      </c>
      <c r="J490" s="187" t="s">
        <v>1112</v>
      </c>
      <c r="K490" s="188"/>
      <c r="L490" s="188"/>
      <c r="M490" s="189" t="s">
        <v>807</v>
      </c>
      <c r="N490" s="190">
        <v>38.94</v>
      </c>
      <c r="O490" s="190">
        <f t="shared" si="56"/>
        <v>42.44</v>
      </c>
      <c r="P490" s="191">
        <f t="shared" si="57"/>
        <v>0</v>
      </c>
      <c r="Q490" s="192">
        <f t="shared" si="58"/>
        <v>0</v>
      </c>
      <c r="R490" s="193"/>
      <c r="S490" s="194"/>
      <c r="T490" s="195">
        <f t="shared" si="59"/>
        <v>0</v>
      </c>
      <c r="U490" s="195">
        <f t="shared" si="60"/>
        <v>0</v>
      </c>
      <c r="V490" s="195">
        <f t="shared" si="61"/>
        <v>0</v>
      </c>
      <c r="W490" s="196" t="e">
        <f t="shared" si="62"/>
        <v>#DIV/0!</v>
      </c>
      <c r="X490" s="197" t="e">
        <f t="shared" si="63"/>
        <v>#DIV/0!</v>
      </c>
      <c r="AG490" s="109" t="s">
        <v>1492</v>
      </c>
    </row>
    <row r="491" ht="11.4" customHeight="1" spans="1:33">
      <c r="A491" s="184" t="s">
        <v>1740</v>
      </c>
      <c r="B491" s="184" t="s">
        <v>109</v>
      </c>
      <c r="C491" s="184" t="s">
        <v>1101</v>
      </c>
      <c r="D491" s="185" t="s">
        <v>522</v>
      </c>
      <c r="E491" s="186" t="s">
        <v>906</v>
      </c>
      <c r="F491" s="186" t="s">
        <v>907</v>
      </c>
      <c r="G491" s="186" t="s">
        <v>1102</v>
      </c>
      <c r="H491" s="186" t="s">
        <v>1741</v>
      </c>
      <c r="I491" s="187" t="s">
        <v>1113</v>
      </c>
      <c r="J491" s="187" t="s">
        <v>1114</v>
      </c>
      <c r="K491" s="188">
        <v>6.02</v>
      </c>
      <c r="L491" s="188">
        <v>6.01</v>
      </c>
      <c r="M491" s="189" t="s">
        <v>847</v>
      </c>
      <c r="N491" s="190">
        <v>181.99</v>
      </c>
      <c r="O491" s="190">
        <f t="shared" si="56"/>
        <v>198.37</v>
      </c>
      <c r="P491" s="191">
        <f t="shared" si="57"/>
        <v>1095.58</v>
      </c>
      <c r="Q491" s="192">
        <f t="shared" si="58"/>
        <v>1093.76</v>
      </c>
      <c r="R491" s="193"/>
      <c r="S491" s="194"/>
      <c r="T491" s="195">
        <f t="shared" si="59"/>
        <v>0.00999999999999979</v>
      </c>
      <c r="U491" s="195">
        <f t="shared" si="60"/>
        <v>1.81999999999994</v>
      </c>
      <c r="V491" s="195">
        <f t="shared" si="61"/>
        <v>1.81999999999994</v>
      </c>
      <c r="W491" s="196">
        <f t="shared" si="62"/>
        <v>0.00166389351081527</v>
      </c>
      <c r="X491" s="197">
        <f t="shared" si="63"/>
        <v>0.00166389351081527</v>
      </c>
      <c r="AG491" s="109" t="s">
        <v>1742</v>
      </c>
    </row>
    <row r="492" ht="11.4" customHeight="1" spans="1:33">
      <c r="A492" s="184" t="s">
        <v>1740</v>
      </c>
      <c r="B492" s="184" t="s">
        <v>109</v>
      </c>
      <c r="C492" s="184" t="s">
        <v>1101</v>
      </c>
      <c r="D492" s="185" t="s">
        <v>522</v>
      </c>
      <c r="E492" s="186" t="s">
        <v>906</v>
      </c>
      <c r="F492" s="186" t="s">
        <v>907</v>
      </c>
      <c r="G492" s="186" t="s">
        <v>1102</v>
      </c>
      <c r="H492" s="186" t="s">
        <v>1741</v>
      </c>
      <c r="I492" s="187" t="s">
        <v>1115</v>
      </c>
      <c r="J492" s="187" t="s">
        <v>1116</v>
      </c>
      <c r="K492" s="188">
        <v>10.21</v>
      </c>
      <c r="L492" s="188">
        <v>10.2</v>
      </c>
      <c r="M492" s="189" t="s">
        <v>807</v>
      </c>
      <c r="N492" s="190">
        <v>42.57</v>
      </c>
      <c r="O492" s="190">
        <f t="shared" si="56"/>
        <v>46.4</v>
      </c>
      <c r="P492" s="191">
        <f t="shared" si="57"/>
        <v>434.64</v>
      </c>
      <c r="Q492" s="192">
        <f t="shared" si="58"/>
        <v>434.21</v>
      </c>
      <c r="R492" s="193"/>
      <c r="S492" s="194"/>
      <c r="T492" s="195">
        <f t="shared" si="59"/>
        <v>0.0100000000000016</v>
      </c>
      <c r="U492" s="195">
        <f t="shared" si="60"/>
        <v>0.430000000000007</v>
      </c>
      <c r="V492" s="195">
        <f t="shared" si="61"/>
        <v>0.430000000000007</v>
      </c>
      <c r="W492" s="196">
        <f t="shared" si="62"/>
        <v>0.000980392156862898</v>
      </c>
      <c r="X492" s="197">
        <f t="shared" si="63"/>
        <v>0.000980392156862898</v>
      </c>
      <c r="AG492" s="109" t="s">
        <v>1492</v>
      </c>
    </row>
    <row r="493" ht="11.4" customHeight="1" spans="1:33">
      <c r="A493" s="184" t="s">
        <v>1740</v>
      </c>
      <c r="B493" s="184" t="s">
        <v>109</v>
      </c>
      <c r="C493" s="184" t="s">
        <v>1101</v>
      </c>
      <c r="D493" s="185" t="s">
        <v>522</v>
      </c>
      <c r="E493" s="186" t="s">
        <v>906</v>
      </c>
      <c r="F493" s="186" t="s">
        <v>907</v>
      </c>
      <c r="G493" s="186" t="s">
        <v>1102</v>
      </c>
      <c r="H493" s="186" t="s">
        <v>1741</v>
      </c>
      <c r="I493" s="187" t="s">
        <v>1117</v>
      </c>
      <c r="J493" s="187" t="s">
        <v>1118</v>
      </c>
      <c r="K493" s="188"/>
      <c r="L493" s="188"/>
      <c r="M493" s="189" t="s">
        <v>847</v>
      </c>
      <c r="N493" s="190">
        <v>187.98</v>
      </c>
      <c r="O493" s="190">
        <f t="shared" si="56"/>
        <v>204.9</v>
      </c>
      <c r="P493" s="191">
        <f t="shared" si="57"/>
        <v>0</v>
      </c>
      <c r="Q493" s="192">
        <f t="shared" si="58"/>
        <v>0</v>
      </c>
      <c r="R493" s="193"/>
      <c r="S493" s="194"/>
      <c r="T493" s="195">
        <f t="shared" si="59"/>
        <v>0</v>
      </c>
      <c r="U493" s="195">
        <f t="shared" si="60"/>
        <v>0</v>
      </c>
      <c r="V493" s="195">
        <f t="shared" si="61"/>
        <v>0</v>
      </c>
      <c r="W493" s="196" t="e">
        <f t="shared" si="62"/>
        <v>#DIV/0!</v>
      </c>
      <c r="X493" s="197" t="e">
        <f t="shared" si="63"/>
        <v>#DIV/0!</v>
      </c>
      <c r="AG493" s="109" t="s">
        <v>1742</v>
      </c>
    </row>
    <row r="494" ht="11.4" customHeight="1" spans="1:33">
      <c r="A494" s="184" t="s">
        <v>1740</v>
      </c>
      <c r="B494" s="184" t="s">
        <v>109</v>
      </c>
      <c r="C494" s="184" t="s">
        <v>1101</v>
      </c>
      <c r="D494" s="185" t="s">
        <v>522</v>
      </c>
      <c r="E494" s="186" t="s">
        <v>906</v>
      </c>
      <c r="F494" s="186" t="s">
        <v>907</v>
      </c>
      <c r="G494" s="186" t="s">
        <v>1102</v>
      </c>
      <c r="H494" s="186" t="s">
        <v>1741</v>
      </c>
      <c r="I494" s="187" t="s">
        <v>1119</v>
      </c>
      <c r="J494" s="187" t="s">
        <v>1120</v>
      </c>
      <c r="K494" s="188"/>
      <c r="L494" s="188"/>
      <c r="M494" s="189" t="s">
        <v>847</v>
      </c>
      <c r="N494" s="190">
        <v>171.66</v>
      </c>
      <c r="O494" s="190">
        <f t="shared" si="56"/>
        <v>187.11</v>
      </c>
      <c r="P494" s="191">
        <f t="shared" si="57"/>
        <v>0</v>
      </c>
      <c r="Q494" s="192">
        <f t="shared" si="58"/>
        <v>0</v>
      </c>
      <c r="R494" s="193"/>
      <c r="S494" s="194"/>
      <c r="T494" s="195">
        <f t="shared" si="59"/>
        <v>0</v>
      </c>
      <c r="U494" s="195">
        <f t="shared" si="60"/>
        <v>0</v>
      </c>
      <c r="V494" s="195">
        <f t="shared" si="61"/>
        <v>0</v>
      </c>
      <c r="W494" s="196" t="e">
        <f t="shared" si="62"/>
        <v>#DIV/0!</v>
      </c>
      <c r="X494" s="197" t="e">
        <f t="shared" si="63"/>
        <v>#DIV/0!</v>
      </c>
      <c r="AG494" s="109" t="s">
        <v>1492</v>
      </c>
    </row>
    <row r="495" ht="11.4" customHeight="1" spans="1:33">
      <c r="A495" s="184" t="s">
        <v>1740</v>
      </c>
      <c r="B495" s="184" t="s">
        <v>109</v>
      </c>
      <c r="C495" s="184" t="s">
        <v>1101</v>
      </c>
      <c r="D495" s="185" t="s">
        <v>522</v>
      </c>
      <c r="E495" s="186" t="s">
        <v>906</v>
      </c>
      <c r="F495" s="186" t="s">
        <v>907</v>
      </c>
      <c r="G495" s="186" t="s">
        <v>1102</v>
      </c>
      <c r="H495" s="186" t="s">
        <v>1741</v>
      </c>
      <c r="I495" s="187" t="s">
        <v>1121</v>
      </c>
      <c r="J495" s="187" t="s">
        <v>1122</v>
      </c>
      <c r="K495" s="188"/>
      <c r="L495" s="188"/>
      <c r="M495" s="189" t="s">
        <v>847</v>
      </c>
      <c r="N495" s="190">
        <v>189.15</v>
      </c>
      <c r="O495" s="190">
        <f t="shared" si="56"/>
        <v>206.17</v>
      </c>
      <c r="P495" s="191">
        <f t="shared" si="57"/>
        <v>0</v>
      </c>
      <c r="Q495" s="192">
        <f t="shared" si="58"/>
        <v>0</v>
      </c>
      <c r="R495" s="193"/>
      <c r="S495" s="194"/>
      <c r="T495" s="195">
        <f t="shared" si="59"/>
        <v>0</v>
      </c>
      <c r="U495" s="195">
        <f t="shared" si="60"/>
        <v>0</v>
      </c>
      <c r="V495" s="195">
        <f t="shared" si="61"/>
        <v>0</v>
      </c>
      <c r="W495" s="196" t="e">
        <f t="shared" si="62"/>
        <v>#DIV/0!</v>
      </c>
      <c r="X495" s="197" t="e">
        <f t="shared" si="63"/>
        <v>#DIV/0!</v>
      </c>
      <c r="AG495" s="109" t="s">
        <v>1742</v>
      </c>
    </row>
    <row r="496" ht="11.4" customHeight="1" spans="1:33">
      <c r="A496" s="184" t="s">
        <v>1740</v>
      </c>
      <c r="B496" s="184" t="s">
        <v>109</v>
      </c>
      <c r="C496" s="184" t="s">
        <v>1101</v>
      </c>
      <c r="D496" s="185" t="s">
        <v>522</v>
      </c>
      <c r="E496" s="186" t="s">
        <v>906</v>
      </c>
      <c r="F496" s="186" t="s">
        <v>907</v>
      </c>
      <c r="G496" s="186" t="s">
        <v>1102</v>
      </c>
      <c r="H496" s="186" t="s">
        <v>1741</v>
      </c>
      <c r="I496" s="187" t="s">
        <v>1123</v>
      </c>
      <c r="J496" s="187" t="s">
        <v>1124</v>
      </c>
      <c r="K496" s="188"/>
      <c r="L496" s="188"/>
      <c r="M496" s="189" t="s">
        <v>807</v>
      </c>
      <c r="N496" s="190">
        <v>41.36</v>
      </c>
      <c r="O496" s="190">
        <f t="shared" si="56"/>
        <v>45.08</v>
      </c>
      <c r="P496" s="191">
        <f t="shared" si="57"/>
        <v>0</v>
      </c>
      <c r="Q496" s="192">
        <f t="shared" si="58"/>
        <v>0</v>
      </c>
      <c r="R496" s="193"/>
      <c r="S496" s="194"/>
      <c r="T496" s="195">
        <f t="shared" si="59"/>
        <v>0</v>
      </c>
      <c r="U496" s="195">
        <f t="shared" si="60"/>
        <v>0</v>
      </c>
      <c r="V496" s="195">
        <f t="shared" si="61"/>
        <v>0</v>
      </c>
      <c r="W496" s="196" t="e">
        <f t="shared" si="62"/>
        <v>#DIV/0!</v>
      </c>
      <c r="X496" s="197" t="e">
        <f t="shared" si="63"/>
        <v>#DIV/0!</v>
      </c>
      <c r="AG496" s="109" t="s">
        <v>1492</v>
      </c>
    </row>
    <row r="497" ht="11.4" customHeight="1" spans="1:33">
      <c r="A497" s="184" t="s">
        <v>1740</v>
      </c>
      <c r="B497" s="184" t="s">
        <v>109</v>
      </c>
      <c r="C497" s="184" t="s">
        <v>1101</v>
      </c>
      <c r="D497" s="185" t="s">
        <v>522</v>
      </c>
      <c r="E497" s="186" t="s">
        <v>906</v>
      </c>
      <c r="F497" s="186" t="s">
        <v>907</v>
      </c>
      <c r="G497" s="186" t="s">
        <v>1102</v>
      </c>
      <c r="H497" s="186" t="s">
        <v>1741</v>
      </c>
      <c r="I497" s="187" t="s">
        <v>1125</v>
      </c>
      <c r="J497" s="187" t="s">
        <v>1126</v>
      </c>
      <c r="K497" s="188"/>
      <c r="L497" s="188"/>
      <c r="M497" s="189" t="s">
        <v>807</v>
      </c>
      <c r="N497" s="190">
        <v>38.94</v>
      </c>
      <c r="O497" s="190">
        <f t="shared" si="56"/>
        <v>42.44</v>
      </c>
      <c r="P497" s="191">
        <f t="shared" si="57"/>
        <v>0</v>
      </c>
      <c r="Q497" s="192">
        <f t="shared" si="58"/>
        <v>0</v>
      </c>
      <c r="R497" s="193"/>
      <c r="S497" s="194"/>
      <c r="T497" s="195">
        <f t="shared" si="59"/>
        <v>0</v>
      </c>
      <c r="U497" s="195">
        <f t="shared" si="60"/>
        <v>0</v>
      </c>
      <c r="V497" s="195">
        <f t="shared" si="61"/>
        <v>0</v>
      </c>
      <c r="W497" s="196" t="e">
        <f t="shared" si="62"/>
        <v>#DIV/0!</v>
      </c>
      <c r="X497" s="197" t="e">
        <f t="shared" si="63"/>
        <v>#DIV/0!</v>
      </c>
      <c r="AG497" s="109" t="s">
        <v>1742</v>
      </c>
    </row>
    <row r="498" ht="11.4" customHeight="1" spans="1:33">
      <c r="A498" s="184" t="s">
        <v>1740</v>
      </c>
      <c r="B498" s="184" t="s">
        <v>109</v>
      </c>
      <c r="C498" s="184" t="s">
        <v>1101</v>
      </c>
      <c r="D498" s="185" t="s">
        <v>522</v>
      </c>
      <c r="E498" s="186" t="s">
        <v>906</v>
      </c>
      <c r="F498" s="186" t="s">
        <v>907</v>
      </c>
      <c r="G498" s="186" t="s">
        <v>1102</v>
      </c>
      <c r="H498" s="186" t="s">
        <v>1741</v>
      </c>
      <c r="I498" s="187" t="s">
        <v>1127</v>
      </c>
      <c r="J498" s="187" t="s">
        <v>1128</v>
      </c>
      <c r="K498" s="188"/>
      <c r="L498" s="188"/>
      <c r="M498" s="189" t="s">
        <v>807</v>
      </c>
      <c r="N498" s="190">
        <v>40.15</v>
      </c>
      <c r="O498" s="190">
        <f t="shared" si="56"/>
        <v>43.76</v>
      </c>
      <c r="P498" s="191">
        <f t="shared" si="57"/>
        <v>0</v>
      </c>
      <c r="Q498" s="192">
        <f t="shared" si="58"/>
        <v>0</v>
      </c>
      <c r="R498" s="193"/>
      <c r="S498" s="194"/>
      <c r="T498" s="195">
        <f t="shared" si="59"/>
        <v>0</v>
      </c>
      <c r="U498" s="195">
        <f t="shared" si="60"/>
        <v>0</v>
      </c>
      <c r="V498" s="195">
        <f t="shared" si="61"/>
        <v>0</v>
      </c>
      <c r="W498" s="196" t="e">
        <f t="shared" si="62"/>
        <v>#DIV/0!</v>
      </c>
      <c r="X498" s="197" t="e">
        <f t="shared" si="63"/>
        <v>#DIV/0!</v>
      </c>
      <c r="AG498" s="109" t="s">
        <v>1492</v>
      </c>
    </row>
    <row r="499" ht="11.4" customHeight="1" spans="1:33">
      <c r="A499" s="184" t="s">
        <v>1740</v>
      </c>
      <c r="B499" s="184" t="s">
        <v>109</v>
      </c>
      <c r="C499" s="184" t="s">
        <v>1101</v>
      </c>
      <c r="D499" s="185" t="s">
        <v>522</v>
      </c>
      <c r="E499" s="186" t="s">
        <v>906</v>
      </c>
      <c r="F499" s="186" t="s">
        <v>907</v>
      </c>
      <c r="G499" s="186" t="s">
        <v>1102</v>
      </c>
      <c r="H499" s="186" t="s">
        <v>1741</v>
      </c>
      <c r="I499" s="187" t="s">
        <v>1141</v>
      </c>
      <c r="J499" s="187" t="s">
        <v>1142</v>
      </c>
      <c r="K499" s="188"/>
      <c r="L499" s="188"/>
      <c r="M499" s="189" t="s">
        <v>847</v>
      </c>
      <c r="N499" s="190">
        <v>196.14</v>
      </c>
      <c r="O499" s="190">
        <f t="shared" si="56"/>
        <v>213.79</v>
      </c>
      <c r="P499" s="191">
        <f t="shared" si="57"/>
        <v>0</v>
      </c>
      <c r="Q499" s="192">
        <f t="shared" si="58"/>
        <v>0</v>
      </c>
      <c r="R499" s="193"/>
      <c r="S499" s="194"/>
      <c r="T499" s="195">
        <f t="shared" si="59"/>
        <v>0</v>
      </c>
      <c r="U499" s="195">
        <f t="shared" si="60"/>
        <v>0</v>
      </c>
      <c r="V499" s="195">
        <f t="shared" si="61"/>
        <v>0</v>
      </c>
      <c r="W499" s="196" t="e">
        <f t="shared" si="62"/>
        <v>#DIV/0!</v>
      </c>
      <c r="X499" s="197" t="e">
        <f t="shared" si="63"/>
        <v>#DIV/0!</v>
      </c>
      <c r="AG499" s="109" t="s">
        <v>1742</v>
      </c>
    </row>
    <row r="500" ht="11.4" customHeight="1" spans="1:33">
      <c r="A500" s="184" t="s">
        <v>1740</v>
      </c>
      <c r="B500" s="184" t="s">
        <v>109</v>
      </c>
      <c r="C500" s="184" t="s">
        <v>1101</v>
      </c>
      <c r="D500" s="185" t="s">
        <v>522</v>
      </c>
      <c r="E500" s="186" t="s">
        <v>906</v>
      </c>
      <c r="F500" s="186" t="s">
        <v>907</v>
      </c>
      <c r="G500" s="186" t="s">
        <v>1102</v>
      </c>
      <c r="H500" s="186" t="s">
        <v>1741</v>
      </c>
      <c r="I500" s="187" t="s">
        <v>1143</v>
      </c>
      <c r="J500" s="187" t="s">
        <v>1144</v>
      </c>
      <c r="K500" s="188"/>
      <c r="L500" s="188"/>
      <c r="M500" s="189" t="s">
        <v>807</v>
      </c>
      <c r="N500" s="190">
        <v>41.47</v>
      </c>
      <c r="O500" s="190">
        <f t="shared" si="56"/>
        <v>45.2</v>
      </c>
      <c r="P500" s="191">
        <f t="shared" si="57"/>
        <v>0</v>
      </c>
      <c r="Q500" s="192">
        <f t="shared" si="58"/>
        <v>0</v>
      </c>
      <c r="R500" s="193"/>
      <c r="S500" s="194"/>
      <c r="T500" s="195">
        <f t="shared" si="59"/>
        <v>0</v>
      </c>
      <c r="U500" s="195">
        <f t="shared" si="60"/>
        <v>0</v>
      </c>
      <c r="V500" s="195">
        <f t="shared" si="61"/>
        <v>0</v>
      </c>
      <c r="W500" s="196" t="e">
        <f t="shared" si="62"/>
        <v>#DIV/0!</v>
      </c>
      <c r="X500" s="197" t="e">
        <f t="shared" si="63"/>
        <v>#DIV/0!</v>
      </c>
      <c r="AG500" s="109" t="s">
        <v>1492</v>
      </c>
    </row>
    <row r="501" ht="11.4" customHeight="1" spans="1:33">
      <c r="A501" s="184" t="s">
        <v>1740</v>
      </c>
      <c r="B501" s="184" t="s">
        <v>109</v>
      </c>
      <c r="C501" s="184" t="s">
        <v>1101</v>
      </c>
      <c r="D501" s="185" t="s">
        <v>522</v>
      </c>
      <c r="E501" s="186" t="s">
        <v>906</v>
      </c>
      <c r="F501" s="186" t="s">
        <v>907</v>
      </c>
      <c r="G501" s="186" t="s">
        <v>1102</v>
      </c>
      <c r="H501" s="186" t="s">
        <v>1741</v>
      </c>
      <c r="I501" s="187" t="s">
        <v>1145</v>
      </c>
      <c r="J501" s="187" t="s">
        <v>1146</v>
      </c>
      <c r="K501" s="188"/>
      <c r="L501" s="188"/>
      <c r="M501" s="189" t="s">
        <v>847</v>
      </c>
      <c r="N501" s="190">
        <v>179.82</v>
      </c>
      <c r="O501" s="190">
        <f t="shared" si="56"/>
        <v>196</v>
      </c>
      <c r="P501" s="191">
        <f t="shared" si="57"/>
        <v>0</v>
      </c>
      <c r="Q501" s="192">
        <f t="shared" si="58"/>
        <v>0</v>
      </c>
      <c r="R501" s="193"/>
      <c r="S501" s="194"/>
      <c r="T501" s="195">
        <f t="shared" si="59"/>
        <v>0</v>
      </c>
      <c r="U501" s="195">
        <f t="shared" si="60"/>
        <v>0</v>
      </c>
      <c r="V501" s="195">
        <f t="shared" si="61"/>
        <v>0</v>
      </c>
      <c r="W501" s="196" t="e">
        <f t="shared" si="62"/>
        <v>#DIV/0!</v>
      </c>
      <c r="X501" s="197" t="e">
        <f t="shared" si="63"/>
        <v>#DIV/0!</v>
      </c>
      <c r="AG501" s="109" t="s">
        <v>1742</v>
      </c>
    </row>
    <row r="502" ht="11.4" customHeight="1" spans="1:33">
      <c r="A502" s="184" t="s">
        <v>1740</v>
      </c>
      <c r="B502" s="184" t="s">
        <v>109</v>
      </c>
      <c r="C502" s="184" t="s">
        <v>1101</v>
      </c>
      <c r="D502" s="185" t="s">
        <v>522</v>
      </c>
      <c r="E502" s="186" t="s">
        <v>906</v>
      </c>
      <c r="F502" s="186" t="s">
        <v>907</v>
      </c>
      <c r="G502" s="186" t="s">
        <v>1102</v>
      </c>
      <c r="H502" s="186" t="s">
        <v>1741</v>
      </c>
      <c r="I502" s="187" t="s">
        <v>1147</v>
      </c>
      <c r="J502" s="187" t="s">
        <v>1148</v>
      </c>
      <c r="K502" s="188"/>
      <c r="L502" s="188"/>
      <c r="M502" s="189" t="s">
        <v>807</v>
      </c>
      <c r="N502" s="190">
        <v>37.84</v>
      </c>
      <c r="O502" s="190">
        <f t="shared" si="56"/>
        <v>41.25</v>
      </c>
      <c r="P502" s="191">
        <f t="shared" si="57"/>
        <v>0</v>
      </c>
      <c r="Q502" s="192">
        <f t="shared" si="58"/>
        <v>0</v>
      </c>
      <c r="R502" s="193"/>
      <c r="S502" s="194"/>
      <c r="T502" s="195">
        <f t="shared" si="59"/>
        <v>0</v>
      </c>
      <c r="U502" s="195">
        <f t="shared" si="60"/>
        <v>0</v>
      </c>
      <c r="V502" s="195">
        <f t="shared" si="61"/>
        <v>0</v>
      </c>
      <c r="W502" s="196" t="e">
        <f t="shared" si="62"/>
        <v>#DIV/0!</v>
      </c>
      <c r="X502" s="197" t="e">
        <f t="shared" si="63"/>
        <v>#DIV/0!</v>
      </c>
      <c r="AG502" s="109" t="s">
        <v>1492</v>
      </c>
    </row>
    <row r="503" ht="11.4" customHeight="1" spans="1:33">
      <c r="A503" s="184" t="s">
        <v>1740</v>
      </c>
      <c r="B503" s="184" t="s">
        <v>109</v>
      </c>
      <c r="C503" s="184" t="s">
        <v>1101</v>
      </c>
      <c r="D503" s="185" t="s">
        <v>522</v>
      </c>
      <c r="E503" s="186" t="s">
        <v>906</v>
      </c>
      <c r="F503" s="186" t="s">
        <v>907</v>
      </c>
      <c r="G503" s="186" t="s">
        <v>1102</v>
      </c>
      <c r="H503" s="186" t="s">
        <v>1741</v>
      </c>
      <c r="I503" s="187" t="s">
        <v>1149</v>
      </c>
      <c r="J503" s="187" t="s">
        <v>1150</v>
      </c>
      <c r="K503" s="188"/>
      <c r="L503" s="188"/>
      <c r="M503" s="189" t="s">
        <v>847</v>
      </c>
      <c r="N503" s="190">
        <v>193.81</v>
      </c>
      <c r="O503" s="190">
        <f t="shared" si="56"/>
        <v>211.25</v>
      </c>
      <c r="P503" s="191">
        <f t="shared" si="57"/>
        <v>0</v>
      </c>
      <c r="Q503" s="192">
        <f t="shared" si="58"/>
        <v>0</v>
      </c>
      <c r="R503" s="193"/>
      <c r="S503" s="194"/>
      <c r="T503" s="195">
        <f t="shared" si="59"/>
        <v>0</v>
      </c>
      <c r="U503" s="195">
        <f t="shared" si="60"/>
        <v>0</v>
      </c>
      <c r="V503" s="195">
        <f t="shared" si="61"/>
        <v>0</v>
      </c>
      <c r="W503" s="196" t="e">
        <f t="shared" si="62"/>
        <v>#DIV/0!</v>
      </c>
      <c r="X503" s="197" t="e">
        <f t="shared" si="63"/>
        <v>#DIV/0!</v>
      </c>
      <c r="AG503" s="109" t="s">
        <v>1742</v>
      </c>
    </row>
    <row r="504" ht="11.4" customHeight="1" spans="1:33">
      <c r="A504" s="184" t="s">
        <v>1740</v>
      </c>
      <c r="B504" s="184" t="s">
        <v>109</v>
      </c>
      <c r="C504" s="184" t="s">
        <v>1101</v>
      </c>
      <c r="D504" s="185" t="s">
        <v>522</v>
      </c>
      <c r="E504" s="186" t="s">
        <v>906</v>
      </c>
      <c r="F504" s="186" t="s">
        <v>907</v>
      </c>
      <c r="G504" s="186" t="s">
        <v>1102</v>
      </c>
      <c r="H504" s="186" t="s">
        <v>1741</v>
      </c>
      <c r="I504" s="187" t="s">
        <v>1151</v>
      </c>
      <c r="J504" s="187" t="s">
        <v>1152</v>
      </c>
      <c r="K504" s="188"/>
      <c r="L504" s="188"/>
      <c r="M504" s="189" t="s">
        <v>807</v>
      </c>
      <c r="N504" s="190">
        <v>39.05</v>
      </c>
      <c r="O504" s="190">
        <f t="shared" si="56"/>
        <v>42.56</v>
      </c>
      <c r="P504" s="191">
        <f t="shared" si="57"/>
        <v>0</v>
      </c>
      <c r="Q504" s="192">
        <f t="shared" si="58"/>
        <v>0</v>
      </c>
      <c r="R504" s="193"/>
      <c r="S504" s="194"/>
      <c r="T504" s="195">
        <f t="shared" si="59"/>
        <v>0</v>
      </c>
      <c r="U504" s="195">
        <f t="shared" si="60"/>
        <v>0</v>
      </c>
      <c r="V504" s="195">
        <f t="shared" si="61"/>
        <v>0</v>
      </c>
      <c r="W504" s="196" t="e">
        <f t="shared" si="62"/>
        <v>#DIV/0!</v>
      </c>
      <c r="X504" s="197" t="e">
        <f t="shared" si="63"/>
        <v>#DIV/0!</v>
      </c>
      <c r="AG504" s="109" t="s">
        <v>1492</v>
      </c>
    </row>
    <row r="505" ht="11.4" customHeight="1" spans="1:33">
      <c r="A505" s="184" t="s">
        <v>1740</v>
      </c>
      <c r="B505" s="184" t="s">
        <v>109</v>
      </c>
      <c r="C505" s="184" t="s">
        <v>1101</v>
      </c>
      <c r="D505" s="185" t="s">
        <v>522</v>
      </c>
      <c r="E505" s="186" t="s">
        <v>906</v>
      </c>
      <c r="F505" s="186" t="s">
        <v>907</v>
      </c>
      <c r="G505" s="186" t="s">
        <v>1102</v>
      </c>
      <c r="H505" s="186" t="s">
        <v>1741</v>
      </c>
      <c r="I505" s="187" t="s">
        <v>1743</v>
      </c>
      <c r="J505" s="187" t="s">
        <v>1744</v>
      </c>
      <c r="K505" s="188">
        <v>10.28</v>
      </c>
      <c r="L505" s="188">
        <v>10.28</v>
      </c>
      <c r="M505" s="189" t="s">
        <v>847</v>
      </c>
      <c r="N505" s="190">
        <v>46.31</v>
      </c>
      <c r="O505" s="190">
        <f t="shared" si="56"/>
        <v>50.48</v>
      </c>
      <c r="P505" s="191">
        <f t="shared" si="57"/>
        <v>476.07</v>
      </c>
      <c r="Q505" s="192">
        <f t="shared" si="58"/>
        <v>476.07</v>
      </c>
      <c r="R505" s="193"/>
      <c r="S505" s="194"/>
      <c r="T505" s="195">
        <f t="shared" si="59"/>
        <v>0</v>
      </c>
      <c r="U505" s="195">
        <f t="shared" si="60"/>
        <v>0</v>
      </c>
      <c r="V505" s="195">
        <f t="shared" si="61"/>
        <v>0</v>
      </c>
      <c r="W505" s="196">
        <f t="shared" si="62"/>
        <v>0</v>
      </c>
      <c r="X505" s="197">
        <f t="shared" si="63"/>
        <v>0</v>
      </c>
      <c r="AG505" s="219" t="s">
        <v>883</v>
      </c>
    </row>
    <row r="506" ht="11.4" customHeight="1" spans="1:33">
      <c r="A506" s="184" t="s">
        <v>1740</v>
      </c>
      <c r="B506" s="184" t="s">
        <v>109</v>
      </c>
      <c r="C506" s="184" t="s">
        <v>1101</v>
      </c>
      <c r="D506" s="185" t="s">
        <v>522</v>
      </c>
      <c r="E506" s="186" t="s">
        <v>906</v>
      </c>
      <c r="F506" s="186" t="s">
        <v>907</v>
      </c>
      <c r="G506" s="186" t="s">
        <v>1102</v>
      </c>
      <c r="H506" s="186" t="s">
        <v>1479</v>
      </c>
      <c r="I506" s="187" t="s">
        <v>1745</v>
      </c>
      <c r="J506" s="187" t="s">
        <v>1746</v>
      </c>
      <c r="K506" s="188"/>
      <c r="L506" s="188"/>
      <c r="M506" s="189" t="s">
        <v>847</v>
      </c>
      <c r="N506" s="190">
        <v>118.11</v>
      </c>
      <c r="O506" s="190">
        <f t="shared" si="56"/>
        <v>128.74</v>
      </c>
      <c r="P506" s="191">
        <f t="shared" si="57"/>
        <v>0</v>
      </c>
      <c r="Q506" s="192">
        <f t="shared" si="58"/>
        <v>0</v>
      </c>
      <c r="R506" s="193"/>
      <c r="S506" s="194"/>
      <c r="T506" s="195">
        <f t="shared" si="59"/>
        <v>0</v>
      </c>
      <c r="U506" s="195">
        <f t="shared" si="60"/>
        <v>0</v>
      </c>
      <c r="V506" s="195">
        <f t="shared" si="61"/>
        <v>0</v>
      </c>
      <c r="W506" s="196" t="e">
        <f t="shared" si="62"/>
        <v>#DIV/0!</v>
      </c>
      <c r="X506" s="197" t="e">
        <f t="shared" si="63"/>
        <v>#DIV/0!</v>
      </c>
      <c r="AG506" s="109" t="s">
        <v>865</v>
      </c>
    </row>
    <row r="507" ht="11.4" customHeight="1" spans="1:33">
      <c r="A507" s="184" t="s">
        <v>1740</v>
      </c>
      <c r="B507" s="184" t="s">
        <v>109</v>
      </c>
      <c r="C507" s="184" t="s">
        <v>1101</v>
      </c>
      <c r="D507" s="185" t="s">
        <v>522</v>
      </c>
      <c r="E507" s="186" t="s">
        <v>906</v>
      </c>
      <c r="F507" s="186" t="s">
        <v>907</v>
      </c>
      <c r="G507" s="186" t="s">
        <v>1102</v>
      </c>
      <c r="H507" s="186" t="s">
        <v>1479</v>
      </c>
      <c r="I507" s="187" t="s">
        <v>1747</v>
      </c>
      <c r="J507" s="187" t="s">
        <v>1748</v>
      </c>
      <c r="K507" s="188"/>
      <c r="L507" s="188"/>
      <c r="M507" s="189" t="s">
        <v>847</v>
      </c>
      <c r="N507" s="190">
        <v>113.49</v>
      </c>
      <c r="O507" s="190">
        <f t="shared" si="56"/>
        <v>123.7</v>
      </c>
      <c r="P507" s="191">
        <f t="shared" si="57"/>
        <v>0</v>
      </c>
      <c r="Q507" s="192">
        <f t="shared" si="58"/>
        <v>0</v>
      </c>
      <c r="R507" s="193"/>
      <c r="S507" s="194"/>
      <c r="T507" s="195">
        <f t="shared" si="59"/>
        <v>0</v>
      </c>
      <c r="U507" s="195">
        <f t="shared" si="60"/>
        <v>0</v>
      </c>
      <c r="V507" s="195">
        <f t="shared" si="61"/>
        <v>0</v>
      </c>
      <c r="W507" s="196" t="e">
        <f t="shared" si="62"/>
        <v>#DIV/0!</v>
      </c>
      <c r="X507" s="197" t="e">
        <f t="shared" si="63"/>
        <v>#DIV/0!</v>
      </c>
      <c r="AG507" s="109" t="s">
        <v>865</v>
      </c>
    </row>
    <row r="508" ht="11.4" customHeight="1" spans="1:33">
      <c r="A508" s="184" t="s">
        <v>1740</v>
      </c>
      <c r="B508" s="184" t="s">
        <v>109</v>
      </c>
      <c r="C508" s="184" t="s">
        <v>1101</v>
      </c>
      <c r="D508" s="185" t="s">
        <v>522</v>
      </c>
      <c r="E508" s="186" t="s">
        <v>906</v>
      </c>
      <c r="F508" s="186" t="s">
        <v>907</v>
      </c>
      <c r="G508" s="186" t="s">
        <v>1102</v>
      </c>
      <c r="H508" s="186" t="s">
        <v>1479</v>
      </c>
      <c r="I508" s="187" t="s">
        <v>1749</v>
      </c>
      <c r="J508" s="187" t="s">
        <v>1750</v>
      </c>
      <c r="K508" s="188">
        <v>124.93</v>
      </c>
      <c r="L508" s="188">
        <v>124.46</v>
      </c>
      <c r="M508" s="189" t="s">
        <v>847</v>
      </c>
      <c r="N508" s="190">
        <v>118.11</v>
      </c>
      <c r="O508" s="190">
        <f t="shared" si="56"/>
        <v>128.74</v>
      </c>
      <c r="P508" s="191">
        <f t="shared" si="57"/>
        <v>14755.48</v>
      </c>
      <c r="Q508" s="192">
        <f t="shared" si="58"/>
        <v>14699.97</v>
      </c>
      <c r="R508" s="193"/>
      <c r="S508" s="194"/>
      <c r="T508" s="195">
        <f t="shared" si="59"/>
        <v>0.470000000000013</v>
      </c>
      <c r="U508" s="195">
        <f t="shared" si="60"/>
        <v>55.5100000000002</v>
      </c>
      <c r="V508" s="195">
        <f t="shared" si="61"/>
        <v>55.5100000000002</v>
      </c>
      <c r="W508" s="196">
        <f t="shared" si="62"/>
        <v>0.00377631367507644</v>
      </c>
      <c r="X508" s="197">
        <f t="shared" si="63"/>
        <v>0.00377631367507644</v>
      </c>
      <c r="AG508" s="109" t="s">
        <v>865</v>
      </c>
    </row>
    <row r="509" ht="11.4" customHeight="1" spans="1:33">
      <c r="A509" s="184" t="s">
        <v>1740</v>
      </c>
      <c r="B509" s="184" t="s">
        <v>109</v>
      </c>
      <c r="C509" s="184" t="s">
        <v>1101</v>
      </c>
      <c r="D509" s="185" t="s">
        <v>522</v>
      </c>
      <c r="E509" s="186" t="s">
        <v>906</v>
      </c>
      <c r="F509" s="186" t="s">
        <v>907</v>
      </c>
      <c r="G509" s="186" t="s">
        <v>1102</v>
      </c>
      <c r="H509" s="186" t="s">
        <v>1479</v>
      </c>
      <c r="I509" s="187" t="s">
        <v>1751</v>
      </c>
      <c r="J509" s="187" t="s">
        <v>1752</v>
      </c>
      <c r="K509" s="188"/>
      <c r="L509" s="188"/>
      <c r="M509" s="189" t="s">
        <v>847</v>
      </c>
      <c r="N509" s="190">
        <v>467.36</v>
      </c>
      <c r="O509" s="190">
        <f t="shared" si="56"/>
        <v>509.42</v>
      </c>
      <c r="P509" s="191">
        <f t="shared" si="57"/>
        <v>0</v>
      </c>
      <c r="Q509" s="192">
        <f t="shared" si="58"/>
        <v>0</v>
      </c>
      <c r="R509" s="193"/>
      <c r="S509" s="194"/>
      <c r="T509" s="195">
        <f t="shared" si="59"/>
        <v>0</v>
      </c>
      <c r="U509" s="195">
        <f t="shared" si="60"/>
        <v>0</v>
      </c>
      <c r="V509" s="195">
        <f t="shared" si="61"/>
        <v>0</v>
      </c>
      <c r="W509" s="196" t="e">
        <f t="shared" si="62"/>
        <v>#DIV/0!</v>
      </c>
      <c r="X509" s="197" t="e">
        <f t="shared" si="63"/>
        <v>#DIV/0!</v>
      </c>
      <c r="AG509" s="219" t="s">
        <v>865</v>
      </c>
    </row>
    <row r="510" ht="11.4" customHeight="1" spans="1:33">
      <c r="A510" s="184" t="s">
        <v>1740</v>
      </c>
      <c r="B510" s="184" t="s">
        <v>109</v>
      </c>
      <c r="C510" s="184" t="s">
        <v>1101</v>
      </c>
      <c r="D510" s="185" t="s">
        <v>522</v>
      </c>
      <c r="E510" s="186" t="s">
        <v>906</v>
      </c>
      <c r="F510" s="186" t="s">
        <v>907</v>
      </c>
      <c r="G510" s="186" t="s">
        <v>1102</v>
      </c>
      <c r="H510" s="186" t="s">
        <v>1479</v>
      </c>
      <c r="I510" s="187" t="s">
        <v>1753</v>
      </c>
      <c r="J510" s="187" t="s">
        <v>1754</v>
      </c>
      <c r="K510" s="188">
        <v>7</v>
      </c>
      <c r="L510" s="188">
        <v>7</v>
      </c>
      <c r="M510" s="189" t="s">
        <v>1755</v>
      </c>
      <c r="N510" s="190">
        <v>184.69</v>
      </c>
      <c r="O510" s="190">
        <f t="shared" si="56"/>
        <v>201.31</v>
      </c>
      <c r="P510" s="191">
        <f t="shared" si="57"/>
        <v>1292.83</v>
      </c>
      <c r="Q510" s="192">
        <f t="shared" si="58"/>
        <v>1292.83</v>
      </c>
      <c r="R510" s="193"/>
      <c r="S510" s="194"/>
      <c r="T510" s="195">
        <f t="shared" si="59"/>
        <v>0</v>
      </c>
      <c r="U510" s="195">
        <f t="shared" si="60"/>
        <v>0</v>
      </c>
      <c r="V510" s="195">
        <f t="shared" si="61"/>
        <v>0</v>
      </c>
      <c r="W510" s="196">
        <f t="shared" si="62"/>
        <v>0</v>
      </c>
      <c r="X510" s="197">
        <f t="shared" si="63"/>
        <v>0</v>
      </c>
    </row>
    <row r="511" ht="11.4" customHeight="1" spans="1:33">
      <c r="A511" s="184" t="s">
        <v>1740</v>
      </c>
      <c r="B511" s="184" t="s">
        <v>109</v>
      </c>
      <c r="C511" s="184" t="s">
        <v>1101</v>
      </c>
      <c r="D511" s="185" t="s">
        <v>522</v>
      </c>
      <c r="E511" s="186" t="s">
        <v>906</v>
      </c>
      <c r="F511" s="186" t="s">
        <v>907</v>
      </c>
      <c r="G511" s="186" t="s">
        <v>1102</v>
      </c>
      <c r="H511" s="186" t="s">
        <v>1479</v>
      </c>
      <c r="I511" s="187" t="s">
        <v>1756</v>
      </c>
      <c r="J511" s="187" t="s">
        <v>1757</v>
      </c>
      <c r="K511" s="188">
        <v>2</v>
      </c>
      <c r="L511" s="188">
        <v>2</v>
      </c>
      <c r="M511" s="189" t="s">
        <v>1755</v>
      </c>
      <c r="N511" s="190">
        <v>374.99</v>
      </c>
      <c r="O511" s="190">
        <f t="shared" si="56"/>
        <v>408.74</v>
      </c>
      <c r="P511" s="191">
        <f t="shared" si="57"/>
        <v>749.98</v>
      </c>
      <c r="Q511" s="192">
        <f t="shared" si="58"/>
        <v>749.98</v>
      </c>
      <c r="R511" s="193"/>
      <c r="S511" s="194"/>
      <c r="T511" s="195">
        <f t="shared" si="59"/>
        <v>0</v>
      </c>
      <c r="U511" s="195">
        <f t="shared" si="60"/>
        <v>0</v>
      </c>
      <c r="V511" s="195">
        <f t="shared" si="61"/>
        <v>0</v>
      </c>
      <c r="W511" s="196">
        <f t="shared" si="62"/>
        <v>0</v>
      </c>
      <c r="X511" s="197">
        <f t="shared" si="63"/>
        <v>0</v>
      </c>
    </row>
    <row r="512" ht="11.4" customHeight="1" spans="1:33">
      <c r="A512" s="184" t="s">
        <v>1740</v>
      </c>
      <c r="B512" s="184" t="s">
        <v>109</v>
      </c>
      <c r="C512" s="184" t="s">
        <v>1101</v>
      </c>
      <c r="D512" s="185" t="s">
        <v>522</v>
      </c>
      <c r="E512" s="186" t="s">
        <v>906</v>
      </c>
      <c r="F512" s="186" t="s">
        <v>907</v>
      </c>
      <c r="G512" s="186" t="s">
        <v>1102</v>
      </c>
      <c r="H512" s="186" t="s">
        <v>1479</v>
      </c>
      <c r="I512" s="187" t="s">
        <v>1758</v>
      </c>
      <c r="J512" s="187" t="s">
        <v>1759</v>
      </c>
      <c r="K512" s="188"/>
      <c r="L512" s="188"/>
      <c r="M512" s="189" t="s">
        <v>847</v>
      </c>
      <c r="N512" s="190">
        <v>167.98</v>
      </c>
      <c r="O512" s="190">
        <f t="shared" si="56"/>
        <v>183.1</v>
      </c>
      <c r="P512" s="191">
        <f t="shared" si="57"/>
        <v>0</v>
      </c>
      <c r="Q512" s="192">
        <f t="shared" si="58"/>
        <v>0</v>
      </c>
      <c r="R512" s="193"/>
      <c r="S512" s="194"/>
      <c r="T512" s="195">
        <f t="shared" si="59"/>
        <v>0</v>
      </c>
      <c r="U512" s="195">
        <f t="shared" si="60"/>
        <v>0</v>
      </c>
      <c r="V512" s="195">
        <f t="shared" si="61"/>
        <v>0</v>
      </c>
      <c r="W512" s="196" t="e">
        <f t="shared" si="62"/>
        <v>#DIV/0!</v>
      </c>
      <c r="X512" s="197" t="e">
        <f t="shared" si="63"/>
        <v>#DIV/0!</v>
      </c>
      <c r="AG512" s="219" t="s">
        <v>865</v>
      </c>
    </row>
    <row r="513" ht="11.4" customHeight="1" spans="1:34">
      <c r="A513" s="184" t="s">
        <v>1740</v>
      </c>
      <c r="B513" s="184" t="s">
        <v>109</v>
      </c>
      <c r="C513" s="184" t="s">
        <v>1101</v>
      </c>
      <c r="D513" s="185" t="s">
        <v>522</v>
      </c>
      <c r="E513" s="186" t="s">
        <v>906</v>
      </c>
      <c r="F513" s="186" t="s">
        <v>907</v>
      </c>
      <c r="G513" s="186" t="s">
        <v>1102</v>
      </c>
      <c r="H513" s="186" t="s">
        <v>1479</v>
      </c>
      <c r="I513" s="187" t="s">
        <v>1760</v>
      </c>
      <c r="J513" s="187" t="s">
        <v>1761</v>
      </c>
      <c r="K513" s="188"/>
      <c r="L513" s="188"/>
      <c r="M513" s="189" t="s">
        <v>847</v>
      </c>
      <c r="N513" s="190">
        <v>147.41</v>
      </c>
      <c r="O513" s="190">
        <f t="shared" si="56"/>
        <v>160.68</v>
      </c>
      <c r="P513" s="191">
        <f t="shared" si="57"/>
        <v>0</v>
      </c>
      <c r="Q513" s="192">
        <f t="shared" si="58"/>
        <v>0</v>
      </c>
      <c r="R513" s="193"/>
      <c r="S513" s="194"/>
      <c r="T513" s="195">
        <f t="shared" si="59"/>
        <v>0</v>
      </c>
      <c r="U513" s="195">
        <f t="shared" si="60"/>
        <v>0</v>
      </c>
      <c r="V513" s="195">
        <f t="shared" si="61"/>
        <v>0</v>
      </c>
      <c r="W513" s="196" t="e">
        <f t="shared" si="62"/>
        <v>#DIV/0!</v>
      </c>
      <c r="X513" s="197" t="e">
        <f t="shared" si="63"/>
        <v>#DIV/0!</v>
      </c>
      <c r="AG513" s="219" t="s">
        <v>865</v>
      </c>
    </row>
    <row r="514" ht="11.4" customHeight="1" spans="1:34">
      <c r="A514" s="184" t="s">
        <v>1740</v>
      </c>
      <c r="B514" s="184" t="s">
        <v>109</v>
      </c>
      <c r="C514" s="184" t="s">
        <v>1101</v>
      </c>
      <c r="D514" s="185" t="s">
        <v>522</v>
      </c>
      <c r="E514" s="186" t="s">
        <v>906</v>
      </c>
      <c r="F514" s="186" t="s">
        <v>907</v>
      </c>
      <c r="G514" s="186" t="s">
        <v>1102</v>
      </c>
      <c r="H514" s="186" t="s">
        <v>1479</v>
      </c>
      <c r="I514" s="187" t="s">
        <v>1294</v>
      </c>
      <c r="J514" s="187" t="s">
        <v>1295</v>
      </c>
      <c r="K514" s="188"/>
      <c r="L514" s="188"/>
      <c r="M514" s="189" t="s">
        <v>847</v>
      </c>
      <c r="N514" s="190">
        <v>169.19</v>
      </c>
      <c r="O514" s="190">
        <f t="shared" si="56"/>
        <v>184.42</v>
      </c>
      <c r="P514" s="191">
        <f t="shared" si="57"/>
        <v>0</v>
      </c>
      <c r="Q514" s="192">
        <f t="shared" si="58"/>
        <v>0</v>
      </c>
      <c r="R514" s="193"/>
      <c r="S514" s="194"/>
      <c r="T514" s="195">
        <f t="shared" si="59"/>
        <v>0</v>
      </c>
      <c r="U514" s="195">
        <f t="shared" si="60"/>
        <v>0</v>
      </c>
      <c r="V514" s="195">
        <f t="shared" si="61"/>
        <v>0</v>
      </c>
      <c r="W514" s="196" t="e">
        <f t="shared" si="62"/>
        <v>#DIV/0!</v>
      </c>
      <c r="X514" s="197" t="e">
        <f t="shared" si="63"/>
        <v>#DIV/0!</v>
      </c>
      <c r="AG514" s="219" t="s">
        <v>865</v>
      </c>
    </row>
    <row r="515" ht="11.4" customHeight="1" spans="1:34">
      <c r="A515" s="184" t="s">
        <v>1740</v>
      </c>
      <c r="B515" s="184" t="s">
        <v>109</v>
      </c>
      <c r="C515" s="184" t="s">
        <v>1101</v>
      </c>
      <c r="D515" s="185" t="s">
        <v>522</v>
      </c>
      <c r="E515" s="186" t="s">
        <v>906</v>
      </c>
      <c r="F515" s="186" t="s">
        <v>907</v>
      </c>
      <c r="G515" s="186" t="s">
        <v>1102</v>
      </c>
      <c r="H515" s="186" t="s">
        <v>1479</v>
      </c>
      <c r="I515" s="187" t="s">
        <v>1314</v>
      </c>
      <c r="J515" s="187" t="s">
        <v>1315</v>
      </c>
      <c r="K515" s="188"/>
      <c r="L515" s="188"/>
      <c r="M515" s="189" t="s">
        <v>847</v>
      </c>
      <c r="N515" s="190">
        <v>179.53</v>
      </c>
      <c r="O515" s="190">
        <f t="shared" si="56"/>
        <v>195.69</v>
      </c>
      <c r="P515" s="191">
        <f t="shared" si="57"/>
        <v>0</v>
      </c>
      <c r="Q515" s="192">
        <f t="shared" si="58"/>
        <v>0</v>
      </c>
      <c r="R515" s="193"/>
      <c r="S515" s="194"/>
      <c r="T515" s="195">
        <f t="shared" si="59"/>
        <v>0</v>
      </c>
      <c r="U515" s="195">
        <f t="shared" si="60"/>
        <v>0</v>
      </c>
      <c r="V515" s="195">
        <f t="shared" si="61"/>
        <v>0</v>
      </c>
      <c r="W515" s="196" t="e">
        <f t="shared" si="62"/>
        <v>#DIV/0!</v>
      </c>
      <c r="X515" s="197" t="e">
        <f t="shared" si="63"/>
        <v>#DIV/0!</v>
      </c>
      <c r="AG515" s="219" t="s">
        <v>865</v>
      </c>
    </row>
    <row r="516" ht="11.4" customHeight="1" spans="1:34">
      <c r="A516" s="184" t="s">
        <v>1740</v>
      </c>
      <c r="B516" s="184" t="s">
        <v>109</v>
      </c>
      <c r="C516" s="184" t="s">
        <v>1101</v>
      </c>
      <c r="D516" s="185" t="s">
        <v>522</v>
      </c>
      <c r="E516" s="186" t="s">
        <v>906</v>
      </c>
      <c r="F516" s="186" t="s">
        <v>907</v>
      </c>
      <c r="G516" s="186" t="s">
        <v>1102</v>
      </c>
      <c r="H516" s="186" t="s">
        <v>1479</v>
      </c>
      <c r="I516" s="187" t="s">
        <v>1316</v>
      </c>
      <c r="J516" s="187" t="s">
        <v>1317</v>
      </c>
      <c r="K516" s="188"/>
      <c r="L516" s="188"/>
      <c r="M516" s="189" t="s">
        <v>847</v>
      </c>
      <c r="N516" s="190">
        <v>168.64</v>
      </c>
      <c r="O516" s="190">
        <f t="shared" si="56"/>
        <v>183.82</v>
      </c>
      <c r="P516" s="191">
        <f t="shared" si="57"/>
        <v>0</v>
      </c>
      <c r="Q516" s="192">
        <f t="shared" si="58"/>
        <v>0</v>
      </c>
      <c r="R516" s="193"/>
      <c r="S516" s="194"/>
      <c r="T516" s="195">
        <f t="shared" si="59"/>
        <v>0</v>
      </c>
      <c r="U516" s="195">
        <f t="shared" si="60"/>
        <v>0</v>
      </c>
      <c r="V516" s="195">
        <f t="shared" si="61"/>
        <v>0</v>
      </c>
      <c r="W516" s="196" t="e">
        <f t="shared" si="62"/>
        <v>#DIV/0!</v>
      </c>
      <c r="X516" s="197" t="e">
        <f t="shared" si="63"/>
        <v>#DIV/0!</v>
      </c>
      <c r="AG516" s="219" t="s">
        <v>865</v>
      </c>
    </row>
    <row r="517" ht="11.4" customHeight="1" spans="1:34">
      <c r="A517" s="184" t="s">
        <v>1740</v>
      </c>
      <c r="B517" s="184" t="s">
        <v>109</v>
      </c>
      <c r="C517" s="184" t="s">
        <v>1101</v>
      </c>
      <c r="D517" s="185" t="s">
        <v>522</v>
      </c>
      <c r="E517" s="186" t="s">
        <v>906</v>
      </c>
      <c r="F517" s="186" t="s">
        <v>907</v>
      </c>
      <c r="G517" s="186" t="s">
        <v>1102</v>
      </c>
      <c r="H517" s="186" t="s">
        <v>1479</v>
      </c>
      <c r="I517" s="187" t="s">
        <v>1318</v>
      </c>
      <c r="J517" s="187" t="s">
        <v>1319</v>
      </c>
      <c r="K517" s="188"/>
      <c r="L517" s="188"/>
      <c r="M517" s="189" t="s">
        <v>847</v>
      </c>
      <c r="N517" s="190">
        <v>179.53</v>
      </c>
      <c r="O517" s="190">
        <f t="shared" si="56"/>
        <v>195.69</v>
      </c>
      <c r="P517" s="191">
        <f t="shared" si="57"/>
        <v>0</v>
      </c>
      <c r="Q517" s="192">
        <f t="shared" si="58"/>
        <v>0</v>
      </c>
      <c r="R517" s="193"/>
      <c r="S517" s="194"/>
      <c r="T517" s="195">
        <f t="shared" si="59"/>
        <v>0</v>
      </c>
      <c r="U517" s="195">
        <f t="shared" si="60"/>
        <v>0</v>
      </c>
      <c r="V517" s="195">
        <f t="shared" si="61"/>
        <v>0</v>
      </c>
      <c r="W517" s="196" t="e">
        <f t="shared" si="62"/>
        <v>#DIV/0!</v>
      </c>
      <c r="X517" s="197" t="e">
        <f t="shared" si="63"/>
        <v>#DIV/0!</v>
      </c>
      <c r="AG517" s="219" t="s">
        <v>865</v>
      </c>
    </row>
    <row r="518" ht="11.4" customHeight="1" spans="1:34">
      <c r="A518" s="184" t="s">
        <v>1740</v>
      </c>
      <c r="B518" s="184" t="s">
        <v>109</v>
      </c>
      <c r="C518" s="184" t="s">
        <v>1101</v>
      </c>
      <c r="D518" s="185" t="s">
        <v>522</v>
      </c>
      <c r="E518" s="186" t="s">
        <v>906</v>
      </c>
      <c r="F518" s="186" t="s">
        <v>907</v>
      </c>
      <c r="G518" s="186" t="s">
        <v>1102</v>
      </c>
      <c r="H518" s="186" t="s">
        <v>1479</v>
      </c>
      <c r="I518" s="187" t="s">
        <v>1175</v>
      </c>
      <c r="J518" s="187" t="s">
        <v>1176</v>
      </c>
      <c r="K518" s="188"/>
      <c r="L518" s="188"/>
      <c r="M518" s="189" t="s">
        <v>847</v>
      </c>
      <c r="N518" s="190">
        <v>114.06</v>
      </c>
      <c r="O518" s="190">
        <f t="shared" si="56"/>
        <v>124.33</v>
      </c>
      <c r="P518" s="191">
        <f t="shared" si="57"/>
        <v>0</v>
      </c>
      <c r="Q518" s="192">
        <f t="shared" si="58"/>
        <v>0</v>
      </c>
      <c r="R518" s="193"/>
      <c r="S518" s="194"/>
      <c r="T518" s="195">
        <f t="shared" si="59"/>
        <v>0</v>
      </c>
      <c r="U518" s="195">
        <f t="shared" si="60"/>
        <v>0</v>
      </c>
      <c r="V518" s="195">
        <f t="shared" si="61"/>
        <v>0</v>
      </c>
      <c r="W518" s="196" t="e">
        <f t="shared" si="62"/>
        <v>#DIV/0!</v>
      </c>
      <c r="X518" s="197" t="e">
        <f t="shared" si="63"/>
        <v>#DIV/0!</v>
      </c>
      <c r="AG518" s="219" t="s">
        <v>1762</v>
      </c>
    </row>
    <row r="519" ht="11.4" customHeight="1" spans="1:34">
      <c r="A519" s="184" t="s">
        <v>1740</v>
      </c>
      <c r="B519" s="184" t="s">
        <v>109</v>
      </c>
      <c r="C519" s="184" t="s">
        <v>1101</v>
      </c>
      <c r="D519" s="185" t="s">
        <v>522</v>
      </c>
      <c r="E519" s="186" t="s">
        <v>906</v>
      </c>
      <c r="F519" s="186" t="s">
        <v>907</v>
      </c>
      <c r="G519" s="186" t="s">
        <v>1102</v>
      </c>
      <c r="H519" s="186" t="s">
        <v>1479</v>
      </c>
      <c r="I519" s="187" t="s">
        <v>1178</v>
      </c>
      <c r="J519" s="187" t="s">
        <v>1179</v>
      </c>
      <c r="K519" s="188"/>
      <c r="L519" s="188"/>
      <c r="M519" s="189" t="s">
        <v>847</v>
      </c>
      <c r="N519" s="190">
        <v>197.83</v>
      </c>
      <c r="O519" s="190">
        <f t="shared" si="56"/>
        <v>215.63</v>
      </c>
      <c r="P519" s="191">
        <f t="shared" si="57"/>
        <v>0</v>
      </c>
      <c r="Q519" s="192">
        <f t="shared" si="58"/>
        <v>0</v>
      </c>
      <c r="R519" s="193"/>
      <c r="S519" s="194"/>
      <c r="T519" s="195">
        <f t="shared" si="59"/>
        <v>0</v>
      </c>
      <c r="U519" s="195">
        <f t="shared" si="60"/>
        <v>0</v>
      </c>
      <c r="V519" s="195">
        <f t="shared" si="61"/>
        <v>0</v>
      </c>
      <c r="W519" s="196" t="e">
        <f t="shared" si="62"/>
        <v>#DIV/0!</v>
      </c>
      <c r="X519" s="197" t="e">
        <f t="shared" si="63"/>
        <v>#DIV/0!</v>
      </c>
      <c r="AG519" s="219" t="s">
        <v>865</v>
      </c>
    </row>
    <row r="520" ht="11.4" customHeight="1" spans="1:34">
      <c r="A520" s="184" t="s">
        <v>1740</v>
      </c>
      <c r="B520" s="184" t="s">
        <v>109</v>
      </c>
      <c r="C520" s="184" t="s">
        <v>1101</v>
      </c>
      <c r="D520" s="185" t="s">
        <v>522</v>
      </c>
      <c r="E520" s="186" t="s">
        <v>906</v>
      </c>
      <c r="F520" s="186" t="s">
        <v>907</v>
      </c>
      <c r="G520" s="186" t="s">
        <v>1102</v>
      </c>
      <c r="H520" s="186" t="s">
        <v>1479</v>
      </c>
      <c r="I520" s="187" t="s">
        <v>1181</v>
      </c>
      <c r="J520" s="187" t="s">
        <v>1182</v>
      </c>
      <c r="K520" s="188"/>
      <c r="L520" s="188"/>
      <c r="M520" s="189" t="s">
        <v>847</v>
      </c>
      <c r="N520" s="190">
        <v>182.9</v>
      </c>
      <c r="O520" s="190">
        <f t="shared" si="56"/>
        <v>199.36</v>
      </c>
      <c r="P520" s="191">
        <f t="shared" si="57"/>
        <v>0</v>
      </c>
      <c r="Q520" s="192">
        <f t="shared" si="58"/>
        <v>0</v>
      </c>
      <c r="R520" s="193"/>
      <c r="S520" s="194"/>
      <c r="T520" s="195">
        <f t="shared" si="59"/>
        <v>0</v>
      </c>
      <c r="U520" s="195">
        <f t="shared" si="60"/>
        <v>0</v>
      </c>
      <c r="V520" s="195">
        <f t="shared" si="61"/>
        <v>0</v>
      </c>
      <c r="W520" s="196" t="e">
        <f t="shared" si="62"/>
        <v>#DIV/0!</v>
      </c>
      <c r="X520" s="197" t="e">
        <f t="shared" si="63"/>
        <v>#DIV/0!</v>
      </c>
      <c r="AG520" s="219" t="s">
        <v>865</v>
      </c>
    </row>
    <row r="521" ht="11.4" customHeight="1" spans="1:34">
      <c r="A521" s="184" t="s">
        <v>1740</v>
      </c>
      <c r="B521" s="184" t="s">
        <v>109</v>
      </c>
      <c r="C521" s="184" t="s">
        <v>1101</v>
      </c>
      <c r="D521" s="185" t="s">
        <v>522</v>
      </c>
      <c r="E521" s="186" t="s">
        <v>906</v>
      </c>
      <c r="F521" s="186" t="s">
        <v>907</v>
      </c>
      <c r="G521" s="186" t="s">
        <v>1102</v>
      </c>
      <c r="H521" s="186" t="s">
        <v>1479</v>
      </c>
      <c r="I521" s="187" t="s">
        <v>1183</v>
      </c>
      <c r="J521" s="187" t="s">
        <v>1184</v>
      </c>
      <c r="K521" s="188"/>
      <c r="L521" s="188"/>
      <c r="M521" s="189" t="s">
        <v>847</v>
      </c>
      <c r="N521" s="190">
        <v>186.66</v>
      </c>
      <c r="O521" s="190">
        <f t="shared" si="56"/>
        <v>203.46</v>
      </c>
      <c r="P521" s="191">
        <f t="shared" si="57"/>
        <v>0</v>
      </c>
      <c r="Q521" s="192">
        <f t="shared" si="58"/>
        <v>0</v>
      </c>
      <c r="R521" s="193"/>
      <c r="S521" s="194"/>
      <c r="T521" s="195">
        <f t="shared" si="59"/>
        <v>0</v>
      </c>
      <c r="U521" s="195">
        <f t="shared" si="60"/>
        <v>0</v>
      </c>
      <c r="V521" s="195">
        <f t="shared" si="61"/>
        <v>0</v>
      </c>
      <c r="W521" s="196" t="e">
        <f t="shared" si="62"/>
        <v>#DIV/0!</v>
      </c>
      <c r="X521" s="197" t="e">
        <f t="shared" si="63"/>
        <v>#DIV/0!</v>
      </c>
      <c r="AG521" s="219" t="s">
        <v>865</v>
      </c>
    </row>
    <row r="522" ht="11.4" customHeight="1" spans="1:34">
      <c r="A522" s="184" t="s">
        <v>1740</v>
      </c>
      <c r="B522" s="184" t="s">
        <v>109</v>
      </c>
      <c r="C522" s="184" t="s">
        <v>1101</v>
      </c>
      <c r="D522" s="185" t="s">
        <v>522</v>
      </c>
      <c r="E522" s="186" t="s">
        <v>906</v>
      </c>
      <c r="F522" s="186" t="s">
        <v>907</v>
      </c>
      <c r="G522" s="186" t="s">
        <v>1102</v>
      </c>
      <c r="H522" s="186" t="s">
        <v>1479</v>
      </c>
      <c r="I522" s="187" t="s">
        <v>1185</v>
      </c>
      <c r="J522" s="187" t="s">
        <v>1186</v>
      </c>
      <c r="K522" s="188"/>
      <c r="L522" s="188"/>
      <c r="M522" s="189" t="s">
        <v>847</v>
      </c>
      <c r="N522" s="190">
        <v>174.35</v>
      </c>
      <c r="O522" s="190">
        <f t="shared" si="56"/>
        <v>190.04</v>
      </c>
      <c r="P522" s="191">
        <f t="shared" si="57"/>
        <v>0</v>
      </c>
      <c r="Q522" s="192">
        <f t="shared" si="58"/>
        <v>0</v>
      </c>
      <c r="R522" s="193"/>
      <c r="S522" s="194"/>
      <c r="T522" s="195">
        <f t="shared" si="59"/>
        <v>0</v>
      </c>
      <c r="U522" s="195">
        <f t="shared" si="60"/>
        <v>0</v>
      </c>
      <c r="V522" s="195">
        <f t="shared" si="61"/>
        <v>0</v>
      </c>
      <c r="W522" s="196" t="e">
        <f t="shared" si="62"/>
        <v>#DIV/0!</v>
      </c>
      <c r="X522" s="197" t="e">
        <f t="shared" si="63"/>
        <v>#DIV/0!</v>
      </c>
      <c r="AG522" s="219" t="s">
        <v>865</v>
      </c>
    </row>
    <row r="523" ht="11.4" customHeight="1" spans="1:34">
      <c r="A523" s="184" t="s">
        <v>1740</v>
      </c>
      <c r="B523" s="184" t="s">
        <v>109</v>
      </c>
      <c r="C523" s="184" t="s">
        <v>1101</v>
      </c>
      <c r="D523" s="185" t="s">
        <v>522</v>
      </c>
      <c r="E523" s="186" t="s">
        <v>906</v>
      </c>
      <c r="F523" s="186" t="s">
        <v>907</v>
      </c>
      <c r="G523" s="186" t="s">
        <v>1102</v>
      </c>
      <c r="H523" s="186" t="s">
        <v>1479</v>
      </c>
      <c r="I523" s="187" t="s">
        <v>1193</v>
      </c>
      <c r="J523" s="187" t="s">
        <v>1194</v>
      </c>
      <c r="K523" s="188"/>
      <c r="L523" s="188"/>
      <c r="M523" s="189" t="s">
        <v>847</v>
      </c>
      <c r="N523" s="190">
        <v>70.85</v>
      </c>
      <c r="O523" s="190">
        <f t="shared" si="56"/>
        <v>77.23</v>
      </c>
      <c r="P523" s="191">
        <f t="shared" si="57"/>
        <v>0</v>
      </c>
      <c r="Q523" s="192">
        <f t="shared" si="58"/>
        <v>0</v>
      </c>
      <c r="R523" s="193"/>
      <c r="S523" s="194"/>
      <c r="T523" s="195">
        <f t="shared" si="59"/>
        <v>0</v>
      </c>
      <c r="U523" s="195">
        <f t="shared" si="60"/>
        <v>0</v>
      </c>
      <c r="V523" s="195">
        <f t="shared" si="61"/>
        <v>0</v>
      </c>
      <c r="W523" s="196" t="e">
        <f t="shared" si="62"/>
        <v>#DIV/0!</v>
      </c>
      <c r="X523" s="197" t="e">
        <f t="shared" si="63"/>
        <v>#DIV/0!</v>
      </c>
      <c r="AG523" s="219" t="s">
        <v>865</v>
      </c>
    </row>
    <row r="524" ht="11.4" customHeight="1" spans="1:34">
      <c r="A524" s="184" t="s">
        <v>1740</v>
      </c>
      <c r="B524" s="184" t="s">
        <v>109</v>
      </c>
      <c r="C524" s="184" t="s">
        <v>1101</v>
      </c>
      <c r="D524" s="185" t="s">
        <v>522</v>
      </c>
      <c r="E524" s="186" t="s">
        <v>906</v>
      </c>
      <c r="F524" s="186" t="s">
        <v>907</v>
      </c>
      <c r="G524" s="186" t="s">
        <v>1102</v>
      </c>
      <c r="H524" s="186" t="s">
        <v>1479</v>
      </c>
      <c r="I524" s="187" t="s">
        <v>1195</v>
      </c>
      <c r="J524" s="187" t="s">
        <v>1196</v>
      </c>
      <c r="K524" s="188"/>
      <c r="L524" s="188"/>
      <c r="M524" s="189" t="s">
        <v>847</v>
      </c>
      <c r="N524" s="190">
        <v>307.56</v>
      </c>
      <c r="O524" s="190">
        <f t="shared" si="56"/>
        <v>335.24</v>
      </c>
      <c r="P524" s="191">
        <f t="shared" si="57"/>
        <v>0</v>
      </c>
      <c r="Q524" s="192">
        <f t="shared" si="58"/>
        <v>0</v>
      </c>
      <c r="R524" s="193"/>
      <c r="S524" s="194"/>
      <c r="T524" s="195">
        <f t="shared" si="59"/>
        <v>0</v>
      </c>
      <c r="U524" s="195">
        <f t="shared" si="60"/>
        <v>0</v>
      </c>
      <c r="V524" s="195">
        <f t="shared" si="61"/>
        <v>0</v>
      </c>
      <c r="W524" s="196" t="e">
        <f t="shared" si="62"/>
        <v>#DIV/0!</v>
      </c>
      <c r="X524" s="197" t="e">
        <f t="shared" si="63"/>
        <v>#DIV/0!</v>
      </c>
      <c r="AG524" s="219" t="s">
        <v>865</v>
      </c>
    </row>
    <row r="525" ht="11.4" customHeight="1" spans="1:34">
      <c r="A525" s="184" t="s">
        <v>1740</v>
      </c>
      <c r="B525" s="184" t="s">
        <v>109</v>
      </c>
      <c r="C525" s="184" t="s">
        <v>1101</v>
      </c>
      <c r="D525" s="185" t="s">
        <v>522</v>
      </c>
      <c r="E525" s="186" t="s">
        <v>906</v>
      </c>
      <c r="F525" s="186" t="s">
        <v>907</v>
      </c>
      <c r="G525" s="186" t="s">
        <v>1102</v>
      </c>
      <c r="H525" s="186" t="s">
        <v>1479</v>
      </c>
      <c r="I525" s="187" t="s">
        <v>1197</v>
      </c>
      <c r="J525" s="187" t="s">
        <v>1198</v>
      </c>
      <c r="K525" s="188"/>
      <c r="L525" s="188"/>
      <c r="M525" s="189" t="s">
        <v>847</v>
      </c>
      <c r="N525" s="190">
        <v>39.59</v>
      </c>
      <c r="O525" s="190">
        <f t="shared" ref="O525:O588" si="64">ROUND(N525*(1+$F$10),2)</f>
        <v>43.15</v>
      </c>
      <c r="P525" s="191">
        <f t="shared" ref="P525:P588" si="65">ROUND(K525*N525,2)</f>
        <v>0</v>
      </c>
      <c r="Q525" s="192">
        <f t="shared" si="58"/>
        <v>0</v>
      </c>
      <c r="R525" s="193"/>
      <c r="S525" s="194"/>
      <c r="T525" s="195">
        <f t="shared" si="59"/>
        <v>0</v>
      </c>
      <c r="U525" s="195">
        <f t="shared" si="60"/>
        <v>0</v>
      </c>
      <c r="V525" s="195">
        <f t="shared" si="61"/>
        <v>0</v>
      </c>
      <c r="W525" s="196" t="e">
        <f t="shared" si="62"/>
        <v>#DIV/0!</v>
      </c>
      <c r="X525" s="197" t="e">
        <f t="shared" si="63"/>
        <v>#DIV/0!</v>
      </c>
      <c r="AG525" s="219" t="s">
        <v>865</v>
      </c>
    </row>
    <row r="526" ht="11.4" customHeight="1" spans="1:34">
      <c r="A526" s="184" t="s">
        <v>1740</v>
      </c>
      <c r="B526" s="184" t="s">
        <v>109</v>
      </c>
      <c r="C526" s="184" t="s">
        <v>1101</v>
      </c>
      <c r="D526" s="185" t="s">
        <v>522</v>
      </c>
      <c r="E526" s="186" t="s">
        <v>906</v>
      </c>
      <c r="F526" s="186" t="s">
        <v>907</v>
      </c>
      <c r="G526" s="186" t="s">
        <v>1102</v>
      </c>
      <c r="H526" s="186" t="s">
        <v>1479</v>
      </c>
      <c r="I526" s="187" t="s">
        <v>1559</v>
      </c>
      <c r="J526" s="187" t="s">
        <v>1560</v>
      </c>
      <c r="K526" s="188">
        <v>32.78</v>
      </c>
      <c r="L526" s="188">
        <v>32.76</v>
      </c>
      <c r="M526" s="189" t="s">
        <v>847</v>
      </c>
      <c r="N526" s="190">
        <v>58.39</v>
      </c>
      <c r="O526" s="190">
        <f t="shared" si="64"/>
        <v>63.65</v>
      </c>
      <c r="P526" s="191">
        <f t="shared" si="65"/>
        <v>1914.02</v>
      </c>
      <c r="Q526" s="192">
        <f t="shared" ref="Q526:Q589" si="66">ROUND(L526*N526,2)</f>
        <v>1912.86</v>
      </c>
      <c r="R526" s="193"/>
      <c r="S526" s="194"/>
      <c r="T526" s="195">
        <f t="shared" ref="T526:T589" si="67">K526-L526</f>
        <v>0.0200000000000031</v>
      </c>
      <c r="U526" s="195">
        <f t="shared" ref="U526:U589" si="68">P526-Q526</f>
        <v>1.16000000000008</v>
      </c>
      <c r="V526" s="195">
        <f t="shared" ref="V526:V589" si="69">ABS(U526)</f>
        <v>1.16000000000008</v>
      </c>
      <c r="W526" s="196">
        <f t="shared" ref="W526:W589" si="70">T526/L526</f>
        <v>0.000610500610500706</v>
      </c>
      <c r="X526" s="197">
        <f t="shared" ref="X526:X589" si="71">ABS(W526)</f>
        <v>0.000610500610500706</v>
      </c>
      <c r="AG526" s="219" t="s">
        <v>865</v>
      </c>
    </row>
    <row r="527" ht="11.4" customHeight="1" spans="1:34">
      <c r="A527" s="184" t="s">
        <v>1740</v>
      </c>
      <c r="B527" s="184" t="s">
        <v>109</v>
      </c>
      <c r="C527" s="184" t="s">
        <v>1101</v>
      </c>
      <c r="D527" s="185" t="s">
        <v>522</v>
      </c>
      <c r="E527" s="186" t="s">
        <v>906</v>
      </c>
      <c r="F527" s="186" t="s">
        <v>907</v>
      </c>
      <c r="G527" s="186" t="s">
        <v>1102</v>
      </c>
      <c r="H527" s="186" t="s">
        <v>1479</v>
      </c>
      <c r="I527" s="187" t="s">
        <v>1203</v>
      </c>
      <c r="J527" s="187" t="s">
        <v>1204</v>
      </c>
      <c r="K527" s="188"/>
      <c r="L527" s="188"/>
      <c r="M527" s="189" t="s">
        <v>847</v>
      </c>
      <c r="N527" s="190">
        <v>17.39</v>
      </c>
      <c r="O527" s="190">
        <f t="shared" si="64"/>
        <v>18.96</v>
      </c>
      <c r="P527" s="191">
        <f t="shared" si="65"/>
        <v>0</v>
      </c>
      <c r="Q527" s="192">
        <f t="shared" si="66"/>
        <v>0</v>
      </c>
      <c r="R527" s="193"/>
      <c r="S527" s="194"/>
      <c r="T527" s="195">
        <f t="shared" si="67"/>
        <v>0</v>
      </c>
      <c r="U527" s="195">
        <f t="shared" si="68"/>
        <v>0</v>
      </c>
      <c r="V527" s="195">
        <f t="shared" si="69"/>
        <v>0</v>
      </c>
      <c r="W527" s="196" t="e">
        <f t="shared" si="70"/>
        <v>#DIV/0!</v>
      </c>
      <c r="X527" s="197" t="e">
        <f t="shared" si="71"/>
        <v>#DIV/0!</v>
      </c>
      <c r="AG527" s="219"/>
      <c r="AH527" s="219" t="s">
        <v>892</v>
      </c>
    </row>
    <row r="528" ht="11.4" customHeight="1" spans="1:34">
      <c r="A528" s="184" t="s">
        <v>1740</v>
      </c>
      <c r="B528" s="184" t="s">
        <v>109</v>
      </c>
      <c r="C528" s="184" t="s">
        <v>1101</v>
      </c>
      <c r="D528" s="185" t="s">
        <v>522</v>
      </c>
      <c r="E528" s="186" t="s">
        <v>906</v>
      </c>
      <c r="F528" s="186" t="s">
        <v>907</v>
      </c>
      <c r="G528" s="186" t="s">
        <v>1102</v>
      </c>
      <c r="H528" s="186" t="s">
        <v>1763</v>
      </c>
      <c r="I528" s="187" t="s">
        <v>1723</v>
      </c>
      <c r="J528" s="187" t="s">
        <v>1724</v>
      </c>
      <c r="K528" s="188">
        <v>53.29</v>
      </c>
      <c r="L528" s="188">
        <v>49.54</v>
      </c>
      <c r="M528" s="189" t="s">
        <v>847</v>
      </c>
      <c r="N528" s="190">
        <v>132.76</v>
      </c>
      <c r="O528" s="190">
        <f t="shared" si="64"/>
        <v>144.71</v>
      </c>
      <c r="P528" s="191">
        <f t="shared" si="65"/>
        <v>7074.78</v>
      </c>
      <c r="Q528" s="192">
        <f t="shared" si="66"/>
        <v>6576.93</v>
      </c>
      <c r="R528" s="193"/>
      <c r="S528" s="194"/>
      <c r="T528" s="195">
        <f t="shared" si="67"/>
        <v>3.75</v>
      </c>
      <c r="U528" s="195">
        <f t="shared" si="68"/>
        <v>497.849999999999</v>
      </c>
      <c r="V528" s="195">
        <f t="shared" si="69"/>
        <v>497.849999999999</v>
      </c>
      <c r="W528" s="196">
        <f t="shared" si="70"/>
        <v>0.0756964069438837</v>
      </c>
      <c r="X528" s="197">
        <f t="shared" si="71"/>
        <v>0.0756964069438837</v>
      </c>
      <c r="AG528" s="219" t="s">
        <v>1361</v>
      </c>
    </row>
    <row r="529" ht="11.4" customHeight="1" spans="1:34">
      <c r="A529" s="184" t="s">
        <v>1740</v>
      </c>
      <c r="B529" s="184" t="s">
        <v>109</v>
      </c>
      <c r="C529" s="184" t="s">
        <v>1101</v>
      </c>
      <c r="D529" s="185" t="s">
        <v>522</v>
      </c>
      <c r="E529" s="186" t="s">
        <v>906</v>
      </c>
      <c r="F529" s="186" t="s">
        <v>907</v>
      </c>
      <c r="G529" s="186" t="s">
        <v>1102</v>
      </c>
      <c r="H529" s="186" t="s">
        <v>1763</v>
      </c>
      <c r="I529" s="187" t="s">
        <v>1764</v>
      </c>
      <c r="J529" s="187" t="s">
        <v>1765</v>
      </c>
      <c r="K529" s="188">
        <v>8.36</v>
      </c>
      <c r="L529" s="188">
        <v>8.35</v>
      </c>
      <c r="M529" s="189" t="s">
        <v>847</v>
      </c>
      <c r="N529" s="190">
        <v>139.73</v>
      </c>
      <c r="O529" s="190">
        <f t="shared" si="64"/>
        <v>152.31</v>
      </c>
      <c r="P529" s="191">
        <f t="shared" si="65"/>
        <v>1168.14</v>
      </c>
      <c r="Q529" s="192">
        <f t="shared" si="66"/>
        <v>1166.75</v>
      </c>
      <c r="R529" s="193"/>
      <c r="S529" s="194"/>
      <c r="T529" s="195">
        <f t="shared" si="67"/>
        <v>0.00999999999999979</v>
      </c>
      <c r="U529" s="195">
        <f t="shared" si="68"/>
        <v>1.3900000000001</v>
      </c>
      <c r="V529" s="195">
        <f t="shared" si="69"/>
        <v>1.3900000000001</v>
      </c>
      <c r="W529" s="196">
        <f t="shared" si="70"/>
        <v>0.00119760479041914</v>
      </c>
      <c r="X529" s="197">
        <f t="shared" si="71"/>
        <v>0.00119760479041914</v>
      </c>
      <c r="AG529" s="219" t="s">
        <v>1361</v>
      </c>
    </row>
    <row r="530" ht="11.4" customHeight="1" spans="1:34">
      <c r="A530" s="184" t="s">
        <v>1740</v>
      </c>
      <c r="B530" s="184" t="s">
        <v>109</v>
      </c>
      <c r="C530" s="184" t="s">
        <v>1101</v>
      </c>
      <c r="D530" s="185" t="s">
        <v>522</v>
      </c>
      <c r="E530" s="186" t="s">
        <v>906</v>
      </c>
      <c r="F530" s="186" t="s">
        <v>907</v>
      </c>
      <c r="G530" s="186" t="s">
        <v>1102</v>
      </c>
      <c r="H530" s="186" t="s">
        <v>1763</v>
      </c>
      <c r="I530" s="187" t="s">
        <v>1359</v>
      </c>
      <c r="J530" s="187" t="s">
        <v>1360</v>
      </c>
      <c r="K530" s="188"/>
      <c r="L530" s="188"/>
      <c r="M530" s="189" t="s">
        <v>847</v>
      </c>
      <c r="N530" s="190">
        <v>127.36</v>
      </c>
      <c r="O530" s="190">
        <f t="shared" si="64"/>
        <v>138.82</v>
      </c>
      <c r="P530" s="191">
        <f t="shared" si="65"/>
        <v>0</v>
      </c>
      <c r="Q530" s="192">
        <f t="shared" si="66"/>
        <v>0</v>
      </c>
      <c r="R530" s="193"/>
      <c r="S530" s="194"/>
      <c r="T530" s="195">
        <f t="shared" si="67"/>
        <v>0</v>
      </c>
      <c r="U530" s="195">
        <f t="shared" si="68"/>
        <v>0</v>
      </c>
      <c r="V530" s="195">
        <f t="shared" si="69"/>
        <v>0</v>
      </c>
      <c r="W530" s="196" t="e">
        <f t="shared" si="70"/>
        <v>#DIV/0!</v>
      </c>
      <c r="X530" s="197" t="e">
        <f t="shared" si="71"/>
        <v>#DIV/0!</v>
      </c>
      <c r="AG530" s="219" t="s">
        <v>1361</v>
      </c>
    </row>
    <row r="531" ht="11.4" customHeight="1" spans="1:34">
      <c r="A531" s="184" t="s">
        <v>1740</v>
      </c>
      <c r="B531" s="184" t="s">
        <v>109</v>
      </c>
      <c r="C531" s="184" t="s">
        <v>1101</v>
      </c>
      <c r="D531" s="185" t="s">
        <v>522</v>
      </c>
      <c r="E531" s="186" t="s">
        <v>906</v>
      </c>
      <c r="F531" s="186" t="s">
        <v>907</v>
      </c>
      <c r="G531" s="186" t="s">
        <v>1102</v>
      </c>
      <c r="H531" s="186" t="s">
        <v>1763</v>
      </c>
      <c r="I531" s="187" t="s">
        <v>1362</v>
      </c>
      <c r="J531" s="187" t="s">
        <v>1363</v>
      </c>
      <c r="K531" s="188"/>
      <c r="L531" s="188"/>
      <c r="M531" s="189" t="s">
        <v>847</v>
      </c>
      <c r="N531" s="190">
        <v>138.36</v>
      </c>
      <c r="O531" s="190">
        <f t="shared" si="64"/>
        <v>150.81</v>
      </c>
      <c r="P531" s="191">
        <f t="shared" si="65"/>
        <v>0</v>
      </c>
      <c r="Q531" s="192">
        <f t="shared" si="66"/>
        <v>0</v>
      </c>
      <c r="R531" s="193"/>
      <c r="S531" s="194"/>
      <c r="T531" s="195">
        <f t="shared" si="67"/>
        <v>0</v>
      </c>
      <c r="U531" s="195">
        <f t="shared" si="68"/>
        <v>0</v>
      </c>
      <c r="V531" s="195">
        <f t="shared" si="69"/>
        <v>0</v>
      </c>
      <c r="W531" s="196" t="e">
        <f t="shared" si="70"/>
        <v>#DIV/0!</v>
      </c>
      <c r="X531" s="197" t="e">
        <f t="shared" si="71"/>
        <v>#DIV/0!</v>
      </c>
      <c r="AG531" s="219" t="s">
        <v>1361</v>
      </c>
    </row>
    <row r="532" ht="11.4" customHeight="1" spans="1:34">
      <c r="A532" s="184" t="s">
        <v>1740</v>
      </c>
      <c r="B532" s="184" t="s">
        <v>109</v>
      </c>
      <c r="C532" s="184" t="s">
        <v>1101</v>
      </c>
      <c r="D532" s="185" t="s">
        <v>522</v>
      </c>
      <c r="E532" s="186" t="s">
        <v>906</v>
      </c>
      <c r="F532" s="186" t="s">
        <v>907</v>
      </c>
      <c r="G532" s="186" t="s">
        <v>1102</v>
      </c>
      <c r="H532" s="186" t="s">
        <v>1763</v>
      </c>
      <c r="I532" s="187" t="s">
        <v>1766</v>
      </c>
      <c r="J532" s="222" t="s">
        <v>1767</v>
      </c>
      <c r="K532" s="188"/>
      <c r="L532" s="188"/>
      <c r="M532" s="189" t="s">
        <v>807</v>
      </c>
      <c r="N532" s="190">
        <v>323.64</v>
      </c>
      <c r="O532" s="190">
        <f t="shared" si="64"/>
        <v>352.77</v>
      </c>
      <c r="P532" s="191">
        <f t="shared" si="65"/>
        <v>0</v>
      </c>
      <c r="Q532" s="192">
        <f t="shared" si="66"/>
        <v>0</v>
      </c>
      <c r="R532" s="193"/>
      <c r="S532" s="194"/>
      <c r="T532" s="195">
        <f t="shared" si="67"/>
        <v>0</v>
      </c>
      <c r="U532" s="195">
        <f t="shared" si="68"/>
        <v>0</v>
      </c>
      <c r="V532" s="195">
        <f t="shared" si="69"/>
        <v>0</v>
      </c>
      <c r="W532" s="196" t="e">
        <f t="shared" si="70"/>
        <v>#DIV/0!</v>
      </c>
      <c r="X532" s="197" t="e">
        <f t="shared" si="71"/>
        <v>#DIV/0!</v>
      </c>
    </row>
    <row r="533" ht="11.4" customHeight="1" spans="1:34">
      <c r="A533" s="184" t="s">
        <v>1740</v>
      </c>
      <c r="B533" s="184" t="s">
        <v>109</v>
      </c>
      <c r="C533" s="184" t="s">
        <v>1101</v>
      </c>
      <c r="D533" s="185" t="s">
        <v>522</v>
      </c>
      <c r="E533" s="186" t="s">
        <v>906</v>
      </c>
      <c r="F533" s="186" t="s">
        <v>907</v>
      </c>
      <c r="G533" s="186" t="s">
        <v>1102</v>
      </c>
      <c r="H533" s="186" t="s">
        <v>1768</v>
      </c>
      <c r="I533" s="187" t="s">
        <v>1769</v>
      </c>
      <c r="J533" s="187" t="s">
        <v>1770</v>
      </c>
      <c r="K533" s="188"/>
      <c r="L533" s="188"/>
      <c r="M533" s="189" t="s">
        <v>807</v>
      </c>
      <c r="N533" s="190">
        <v>1368.15</v>
      </c>
      <c r="O533" s="190">
        <f t="shared" si="64"/>
        <v>1491.28</v>
      </c>
      <c r="P533" s="191">
        <f t="shared" si="65"/>
        <v>0</v>
      </c>
      <c r="Q533" s="192">
        <f t="shared" si="66"/>
        <v>0</v>
      </c>
      <c r="R533" s="193"/>
      <c r="S533" s="194"/>
      <c r="T533" s="195">
        <f t="shared" si="67"/>
        <v>0</v>
      </c>
      <c r="U533" s="195">
        <f t="shared" si="68"/>
        <v>0</v>
      </c>
      <c r="V533" s="195">
        <f t="shared" si="69"/>
        <v>0</v>
      </c>
      <c r="W533" s="196" t="e">
        <f t="shared" si="70"/>
        <v>#DIV/0!</v>
      </c>
      <c r="X533" s="197" t="e">
        <f t="shared" si="71"/>
        <v>#DIV/0!</v>
      </c>
      <c r="AH533" s="219" t="s">
        <v>892</v>
      </c>
    </row>
    <row r="534" ht="11.4" customHeight="1" spans="1:34">
      <c r="A534" s="184" t="s">
        <v>1740</v>
      </c>
      <c r="B534" s="184" t="s">
        <v>109</v>
      </c>
      <c r="C534" s="184" t="s">
        <v>1101</v>
      </c>
      <c r="D534" s="185" t="s">
        <v>522</v>
      </c>
      <c r="E534" s="186" t="s">
        <v>906</v>
      </c>
      <c r="F534" s="186" t="s">
        <v>907</v>
      </c>
      <c r="G534" s="186" t="s">
        <v>1102</v>
      </c>
      <c r="H534" s="186" t="s">
        <v>1768</v>
      </c>
      <c r="I534" s="187" t="s">
        <v>1771</v>
      </c>
      <c r="J534" s="187" t="s">
        <v>1772</v>
      </c>
      <c r="K534" s="188">
        <v>1</v>
      </c>
      <c r="L534" s="188">
        <v>1</v>
      </c>
      <c r="M534" s="189" t="s">
        <v>793</v>
      </c>
      <c r="N534" s="190">
        <v>1175</v>
      </c>
      <c r="O534" s="190">
        <f t="shared" si="64"/>
        <v>1280.75</v>
      </c>
      <c r="P534" s="191">
        <f t="shared" si="65"/>
        <v>1175</v>
      </c>
      <c r="Q534" s="192">
        <f t="shared" si="66"/>
        <v>1175</v>
      </c>
      <c r="R534" s="193"/>
      <c r="S534" s="194"/>
      <c r="T534" s="195">
        <f t="shared" si="67"/>
        <v>0</v>
      </c>
      <c r="U534" s="195">
        <f t="shared" si="68"/>
        <v>0</v>
      </c>
      <c r="V534" s="195">
        <f t="shared" si="69"/>
        <v>0</v>
      </c>
      <c r="W534" s="196">
        <f t="shared" si="70"/>
        <v>0</v>
      </c>
      <c r="X534" s="197">
        <f t="shared" si="71"/>
        <v>0</v>
      </c>
      <c r="AH534" s="219" t="s">
        <v>1773</v>
      </c>
    </row>
    <row r="535" ht="11.4" customHeight="1" spans="1:34">
      <c r="A535" s="184" t="s">
        <v>1740</v>
      </c>
      <c r="B535" s="184" t="s">
        <v>109</v>
      </c>
      <c r="C535" s="184" t="s">
        <v>1101</v>
      </c>
      <c r="D535" s="185" t="s">
        <v>522</v>
      </c>
      <c r="E535" s="186" t="s">
        <v>906</v>
      </c>
      <c r="F535" s="186" t="s">
        <v>907</v>
      </c>
      <c r="G535" s="186" t="s">
        <v>1102</v>
      </c>
      <c r="H535" s="186" t="s">
        <v>1768</v>
      </c>
      <c r="I535" s="187" t="s">
        <v>1774</v>
      </c>
      <c r="J535" s="187" t="s">
        <v>1775</v>
      </c>
      <c r="K535" s="188"/>
      <c r="L535" s="188"/>
      <c r="M535" s="189" t="s">
        <v>793</v>
      </c>
      <c r="N535" s="190"/>
      <c r="O535" s="190">
        <f t="shared" si="64"/>
        <v>0</v>
      </c>
      <c r="P535" s="191">
        <f t="shared" si="65"/>
        <v>0</v>
      </c>
      <c r="Q535" s="192">
        <f t="shared" si="66"/>
        <v>0</v>
      </c>
      <c r="R535" s="193"/>
      <c r="S535" s="194"/>
      <c r="T535" s="195">
        <f t="shared" si="67"/>
        <v>0</v>
      </c>
      <c r="U535" s="195">
        <f t="shared" si="68"/>
        <v>0</v>
      </c>
      <c r="V535" s="195">
        <f t="shared" si="69"/>
        <v>0</v>
      </c>
      <c r="W535" s="196" t="e">
        <f t="shared" si="70"/>
        <v>#DIV/0!</v>
      </c>
      <c r="X535" s="197" t="e">
        <f t="shared" si="71"/>
        <v>#DIV/0!</v>
      </c>
      <c r="AH535" s="219" t="s">
        <v>794</v>
      </c>
    </row>
    <row r="536" ht="11.4" customHeight="1" spans="1:34">
      <c r="A536" s="184" t="s">
        <v>1740</v>
      </c>
      <c r="B536" s="184" t="s">
        <v>109</v>
      </c>
      <c r="C536" s="184" t="s">
        <v>1101</v>
      </c>
      <c r="D536" s="185" t="s">
        <v>522</v>
      </c>
      <c r="E536" s="186" t="s">
        <v>906</v>
      </c>
      <c r="F536" s="186" t="s">
        <v>907</v>
      </c>
      <c r="G536" s="186" t="s">
        <v>1102</v>
      </c>
      <c r="H536" s="186" t="s">
        <v>1768</v>
      </c>
      <c r="I536" s="187" t="s">
        <v>1776</v>
      </c>
      <c r="J536" s="187" t="s">
        <v>1777</v>
      </c>
      <c r="K536" s="188"/>
      <c r="L536" s="188"/>
      <c r="M536" s="189" t="s">
        <v>1778</v>
      </c>
      <c r="N536" s="190">
        <v>1841.7</v>
      </c>
      <c r="O536" s="190">
        <f t="shared" si="64"/>
        <v>2007.45</v>
      </c>
      <c r="P536" s="191">
        <f t="shared" si="65"/>
        <v>0</v>
      </c>
      <c r="Q536" s="192">
        <f t="shared" si="66"/>
        <v>0</v>
      </c>
      <c r="R536" s="193"/>
      <c r="S536" s="194"/>
      <c r="T536" s="195">
        <f t="shared" si="67"/>
        <v>0</v>
      </c>
      <c r="U536" s="195">
        <f t="shared" si="68"/>
        <v>0</v>
      </c>
      <c r="V536" s="195">
        <f t="shared" si="69"/>
        <v>0</v>
      </c>
      <c r="W536" s="196" t="e">
        <f t="shared" si="70"/>
        <v>#DIV/0!</v>
      </c>
      <c r="X536" s="197" t="e">
        <f t="shared" si="71"/>
        <v>#DIV/0!</v>
      </c>
      <c r="AH536" s="219" t="s">
        <v>794</v>
      </c>
    </row>
    <row r="537" ht="11.4" customHeight="1" spans="1:34">
      <c r="A537" s="184" t="s">
        <v>1740</v>
      </c>
      <c r="B537" s="184" t="s">
        <v>109</v>
      </c>
      <c r="C537" s="184" t="s">
        <v>1101</v>
      </c>
      <c r="D537" s="185" t="s">
        <v>522</v>
      </c>
      <c r="E537" s="186" t="s">
        <v>906</v>
      </c>
      <c r="F537" s="186" t="s">
        <v>907</v>
      </c>
      <c r="G537" s="186" t="s">
        <v>1102</v>
      </c>
      <c r="H537" s="186" t="s">
        <v>1768</v>
      </c>
      <c r="I537" s="187" t="s">
        <v>1779</v>
      </c>
      <c r="J537" s="187" t="s">
        <v>1780</v>
      </c>
      <c r="K537" s="188">
        <v>1</v>
      </c>
      <c r="L537" s="188">
        <v>1</v>
      </c>
      <c r="M537" s="189" t="s">
        <v>793</v>
      </c>
      <c r="N537" s="190">
        <v>493.05</v>
      </c>
      <c r="O537" s="190">
        <f t="shared" si="64"/>
        <v>537.42</v>
      </c>
      <c r="P537" s="191">
        <f t="shared" si="65"/>
        <v>493.05</v>
      </c>
      <c r="Q537" s="192">
        <f t="shared" si="66"/>
        <v>493.05</v>
      </c>
      <c r="R537" s="193"/>
      <c r="S537" s="194"/>
      <c r="T537" s="195">
        <f t="shared" si="67"/>
        <v>0</v>
      </c>
      <c r="U537" s="195">
        <f t="shared" si="68"/>
        <v>0</v>
      </c>
      <c r="V537" s="195">
        <f t="shared" si="69"/>
        <v>0</v>
      </c>
      <c r="W537" s="196">
        <f t="shared" si="70"/>
        <v>0</v>
      </c>
      <c r="X537" s="197">
        <f t="shared" si="71"/>
        <v>0</v>
      </c>
      <c r="AH537" s="109" t="s">
        <v>1773</v>
      </c>
    </row>
    <row r="538" ht="11.4" customHeight="1" spans="1:34">
      <c r="A538" s="184" t="s">
        <v>1781</v>
      </c>
      <c r="B538" s="184" t="s">
        <v>130</v>
      </c>
      <c r="C538" s="184" t="s">
        <v>1782</v>
      </c>
      <c r="D538" s="185" t="s">
        <v>522</v>
      </c>
      <c r="E538" s="186" t="s">
        <v>906</v>
      </c>
      <c r="F538" s="186" t="s">
        <v>907</v>
      </c>
      <c r="G538" s="186" t="s">
        <v>1102</v>
      </c>
      <c r="H538" s="186" t="s">
        <v>1783</v>
      </c>
      <c r="I538" s="187" t="s">
        <v>1784</v>
      </c>
      <c r="J538" s="187" t="s">
        <v>1785</v>
      </c>
      <c r="K538" s="188"/>
      <c r="L538" s="188"/>
      <c r="M538" s="189" t="s">
        <v>847</v>
      </c>
      <c r="N538" s="190">
        <v>153.82</v>
      </c>
      <c r="O538" s="190">
        <f t="shared" si="64"/>
        <v>167.66</v>
      </c>
      <c r="P538" s="191">
        <f t="shared" si="65"/>
        <v>0</v>
      </c>
      <c r="Q538" s="192">
        <f t="shared" si="66"/>
        <v>0</v>
      </c>
      <c r="R538" s="193"/>
      <c r="S538" s="194"/>
      <c r="T538" s="195">
        <f t="shared" si="67"/>
        <v>0</v>
      </c>
      <c r="U538" s="195">
        <f t="shared" si="68"/>
        <v>0</v>
      </c>
      <c r="V538" s="195">
        <f t="shared" si="69"/>
        <v>0</v>
      </c>
      <c r="W538" s="196" t="e">
        <f t="shared" si="70"/>
        <v>#DIV/0!</v>
      </c>
      <c r="X538" s="197" t="e">
        <f t="shared" si="71"/>
        <v>#DIV/0!</v>
      </c>
      <c r="AG538" s="219" t="s">
        <v>865</v>
      </c>
    </row>
    <row r="539" ht="11.4" customHeight="1" spans="1:34">
      <c r="A539" s="184" t="s">
        <v>1781</v>
      </c>
      <c r="B539" s="184" t="s">
        <v>130</v>
      </c>
      <c r="C539" s="184" t="s">
        <v>1782</v>
      </c>
      <c r="D539" s="185" t="s">
        <v>522</v>
      </c>
      <c r="E539" s="186" t="s">
        <v>906</v>
      </c>
      <c r="F539" s="186" t="s">
        <v>907</v>
      </c>
      <c r="G539" s="186" t="s">
        <v>1102</v>
      </c>
      <c r="H539" s="186" t="s">
        <v>1783</v>
      </c>
      <c r="I539" s="187" t="s">
        <v>1786</v>
      </c>
      <c r="J539" s="187" t="s">
        <v>1787</v>
      </c>
      <c r="K539" s="188">
        <v>261.79</v>
      </c>
      <c r="L539" s="188">
        <v>263.07</v>
      </c>
      <c r="M539" s="189" t="s">
        <v>847</v>
      </c>
      <c r="N539" s="190">
        <v>121.97</v>
      </c>
      <c r="O539" s="190">
        <f t="shared" si="64"/>
        <v>132.95</v>
      </c>
      <c r="P539" s="191">
        <f t="shared" si="65"/>
        <v>31930.53</v>
      </c>
      <c r="Q539" s="192">
        <f t="shared" si="66"/>
        <v>32086.65</v>
      </c>
      <c r="R539" s="193"/>
      <c r="S539" s="194"/>
      <c r="T539" s="195">
        <f t="shared" si="67"/>
        <v>-1.27999999999997</v>
      </c>
      <c r="U539" s="195">
        <f t="shared" si="68"/>
        <v>-156.120000000003</v>
      </c>
      <c r="V539" s="195">
        <f t="shared" si="69"/>
        <v>156.120000000003</v>
      </c>
      <c r="W539" s="196">
        <f t="shared" si="70"/>
        <v>-0.00486562511878957</v>
      </c>
      <c r="X539" s="197">
        <f t="shared" si="71"/>
        <v>0.00486562511878957</v>
      </c>
      <c r="AG539" s="219" t="s">
        <v>865</v>
      </c>
    </row>
    <row r="540" ht="11.4" customHeight="1" spans="1:34">
      <c r="A540" s="184" t="s">
        <v>1781</v>
      </c>
      <c r="B540" s="184" t="s">
        <v>130</v>
      </c>
      <c r="C540" s="184" t="s">
        <v>1782</v>
      </c>
      <c r="D540" s="185" t="s">
        <v>522</v>
      </c>
      <c r="E540" s="186" t="s">
        <v>906</v>
      </c>
      <c r="F540" s="186" t="s">
        <v>907</v>
      </c>
      <c r="G540" s="186" t="s">
        <v>1102</v>
      </c>
      <c r="H540" s="186" t="s">
        <v>1783</v>
      </c>
      <c r="I540" s="187" t="s">
        <v>1788</v>
      </c>
      <c r="J540" s="187" t="s">
        <v>1789</v>
      </c>
      <c r="K540" s="188"/>
      <c r="L540" s="188"/>
      <c r="M540" s="189" t="s">
        <v>847</v>
      </c>
      <c r="N540" s="190">
        <v>93.01</v>
      </c>
      <c r="O540" s="190">
        <f t="shared" si="64"/>
        <v>101.38</v>
      </c>
      <c r="P540" s="191">
        <f t="shared" si="65"/>
        <v>0</v>
      </c>
      <c r="Q540" s="192">
        <f t="shared" si="66"/>
        <v>0</v>
      </c>
      <c r="R540" s="193"/>
      <c r="S540" s="194"/>
      <c r="T540" s="195">
        <f t="shared" si="67"/>
        <v>0</v>
      </c>
      <c r="U540" s="195">
        <f t="shared" si="68"/>
        <v>0</v>
      </c>
      <c r="V540" s="195">
        <f t="shared" si="69"/>
        <v>0</v>
      </c>
      <c r="W540" s="196" t="e">
        <f t="shared" si="70"/>
        <v>#DIV/0!</v>
      </c>
      <c r="X540" s="197" t="e">
        <f t="shared" si="71"/>
        <v>#DIV/0!</v>
      </c>
      <c r="AG540" s="219" t="s">
        <v>865</v>
      </c>
    </row>
    <row r="541" ht="11.4" customHeight="1" spans="1:34">
      <c r="A541" s="184" t="s">
        <v>1781</v>
      </c>
      <c r="B541" s="184" t="s">
        <v>130</v>
      </c>
      <c r="C541" s="184" t="s">
        <v>1782</v>
      </c>
      <c r="D541" s="185" t="s">
        <v>522</v>
      </c>
      <c r="E541" s="186" t="s">
        <v>906</v>
      </c>
      <c r="F541" s="186" t="s">
        <v>907</v>
      </c>
      <c r="G541" s="186" t="s">
        <v>1102</v>
      </c>
      <c r="H541" s="186" t="s">
        <v>1783</v>
      </c>
      <c r="I541" s="187" t="s">
        <v>1790</v>
      </c>
      <c r="J541" s="187" t="s">
        <v>1791</v>
      </c>
      <c r="K541" s="188"/>
      <c r="L541" s="188"/>
      <c r="M541" s="189" t="s">
        <v>847</v>
      </c>
      <c r="N541" s="190">
        <v>147.12</v>
      </c>
      <c r="O541" s="190">
        <f t="shared" si="64"/>
        <v>160.36</v>
      </c>
      <c r="P541" s="191">
        <f t="shared" si="65"/>
        <v>0</v>
      </c>
      <c r="Q541" s="192">
        <f t="shared" si="66"/>
        <v>0</v>
      </c>
      <c r="R541" s="193"/>
      <c r="S541" s="194"/>
      <c r="T541" s="195">
        <f t="shared" si="67"/>
        <v>0</v>
      </c>
      <c r="U541" s="195">
        <f t="shared" si="68"/>
        <v>0</v>
      </c>
      <c r="V541" s="195">
        <f t="shared" si="69"/>
        <v>0</v>
      </c>
      <c r="W541" s="196" t="e">
        <f t="shared" si="70"/>
        <v>#DIV/0!</v>
      </c>
      <c r="X541" s="197" t="e">
        <f t="shared" si="71"/>
        <v>#DIV/0!</v>
      </c>
      <c r="AG541" s="219" t="s">
        <v>865</v>
      </c>
    </row>
    <row r="542" ht="11.4" customHeight="1" spans="1:34">
      <c r="A542" s="184" t="s">
        <v>1781</v>
      </c>
      <c r="B542" s="184" t="s">
        <v>130</v>
      </c>
      <c r="C542" s="184" t="s">
        <v>1782</v>
      </c>
      <c r="D542" s="185" t="s">
        <v>522</v>
      </c>
      <c r="E542" s="186" t="s">
        <v>906</v>
      </c>
      <c r="F542" s="186" t="s">
        <v>907</v>
      </c>
      <c r="G542" s="186" t="s">
        <v>1102</v>
      </c>
      <c r="H542" s="186" t="s">
        <v>1783</v>
      </c>
      <c r="I542" s="187" t="s">
        <v>1792</v>
      </c>
      <c r="J542" s="187" t="s">
        <v>1793</v>
      </c>
      <c r="K542" s="188"/>
      <c r="L542" s="188"/>
      <c r="M542" s="189" t="s">
        <v>847</v>
      </c>
      <c r="N542" s="190">
        <v>246.52</v>
      </c>
      <c r="O542" s="190">
        <f t="shared" si="64"/>
        <v>268.71</v>
      </c>
      <c r="P542" s="191">
        <f t="shared" si="65"/>
        <v>0</v>
      </c>
      <c r="Q542" s="192">
        <f t="shared" si="66"/>
        <v>0</v>
      </c>
      <c r="R542" s="193"/>
      <c r="S542" s="194"/>
      <c r="T542" s="195">
        <f t="shared" si="67"/>
        <v>0</v>
      </c>
      <c r="U542" s="195">
        <f t="shared" si="68"/>
        <v>0</v>
      </c>
      <c r="V542" s="195">
        <f t="shared" si="69"/>
        <v>0</v>
      </c>
      <c r="W542" s="196" t="e">
        <f t="shared" si="70"/>
        <v>#DIV/0!</v>
      </c>
      <c r="X542" s="197" t="e">
        <f t="shared" si="71"/>
        <v>#DIV/0!</v>
      </c>
      <c r="AG542" s="219"/>
      <c r="AH542" s="219" t="s">
        <v>892</v>
      </c>
    </row>
    <row r="543" ht="11.4" customHeight="1" spans="1:34">
      <c r="A543" s="184" t="s">
        <v>1781</v>
      </c>
      <c r="B543" s="184" t="s">
        <v>130</v>
      </c>
      <c r="C543" s="184" t="s">
        <v>1782</v>
      </c>
      <c r="D543" s="185" t="s">
        <v>522</v>
      </c>
      <c r="E543" s="186" t="s">
        <v>906</v>
      </c>
      <c r="F543" s="186" t="s">
        <v>907</v>
      </c>
      <c r="G543" s="186" t="s">
        <v>1102</v>
      </c>
      <c r="H543" s="186" t="s">
        <v>1783</v>
      </c>
      <c r="I543" s="187" t="s">
        <v>1794</v>
      </c>
      <c r="J543" s="187" t="s">
        <v>1795</v>
      </c>
      <c r="K543" s="188"/>
      <c r="L543" s="188"/>
      <c r="M543" s="189" t="s">
        <v>847</v>
      </c>
      <c r="N543" s="190">
        <v>142.03</v>
      </c>
      <c r="O543" s="190">
        <f t="shared" si="64"/>
        <v>154.81</v>
      </c>
      <c r="P543" s="191">
        <f t="shared" si="65"/>
        <v>0</v>
      </c>
      <c r="Q543" s="192">
        <f t="shared" si="66"/>
        <v>0</v>
      </c>
      <c r="R543" s="193"/>
      <c r="S543" s="194"/>
      <c r="T543" s="195">
        <f t="shared" si="67"/>
        <v>0</v>
      </c>
      <c r="U543" s="195">
        <f t="shared" si="68"/>
        <v>0</v>
      </c>
      <c r="V543" s="195">
        <f t="shared" si="69"/>
        <v>0</v>
      </c>
      <c r="W543" s="196" t="e">
        <f t="shared" si="70"/>
        <v>#DIV/0!</v>
      </c>
      <c r="X543" s="197" t="e">
        <f t="shared" si="71"/>
        <v>#DIV/0!</v>
      </c>
      <c r="AG543" s="219"/>
      <c r="AH543" s="219" t="s">
        <v>892</v>
      </c>
    </row>
    <row r="544" ht="11.4" customHeight="1" spans="1:34">
      <c r="A544" s="184" t="s">
        <v>1781</v>
      </c>
      <c r="B544" s="184" t="s">
        <v>130</v>
      </c>
      <c r="C544" s="184" t="s">
        <v>1782</v>
      </c>
      <c r="D544" s="185" t="s">
        <v>522</v>
      </c>
      <c r="E544" s="186" t="s">
        <v>906</v>
      </c>
      <c r="F544" s="186" t="s">
        <v>907</v>
      </c>
      <c r="G544" s="186" t="s">
        <v>1102</v>
      </c>
      <c r="H544" s="186" t="s">
        <v>1783</v>
      </c>
      <c r="I544" s="187" t="s">
        <v>1796</v>
      </c>
      <c r="J544" s="187" t="s">
        <v>1797</v>
      </c>
      <c r="K544" s="188"/>
      <c r="L544" s="188"/>
      <c r="M544" s="189" t="s">
        <v>807</v>
      </c>
      <c r="N544" s="190">
        <v>550.98</v>
      </c>
      <c r="O544" s="190">
        <f t="shared" si="64"/>
        <v>600.57</v>
      </c>
      <c r="P544" s="191">
        <f t="shared" si="65"/>
        <v>0</v>
      </c>
      <c r="Q544" s="192">
        <f t="shared" si="66"/>
        <v>0</v>
      </c>
      <c r="R544" s="193"/>
      <c r="S544" s="194"/>
      <c r="T544" s="195">
        <f t="shared" si="67"/>
        <v>0</v>
      </c>
      <c r="U544" s="195">
        <f t="shared" si="68"/>
        <v>0</v>
      </c>
      <c r="V544" s="195">
        <f t="shared" si="69"/>
        <v>0</v>
      </c>
      <c r="W544" s="196" t="e">
        <f t="shared" si="70"/>
        <v>#DIV/0!</v>
      </c>
      <c r="X544" s="197" t="e">
        <f t="shared" si="71"/>
        <v>#DIV/0!</v>
      </c>
      <c r="AG544" s="219" t="s">
        <v>1798</v>
      </c>
    </row>
    <row r="545" ht="11.4" customHeight="1" spans="1:34">
      <c r="A545" s="184" t="s">
        <v>1781</v>
      </c>
      <c r="B545" s="184" t="s">
        <v>130</v>
      </c>
      <c r="C545" s="184" t="s">
        <v>1782</v>
      </c>
      <c r="D545" s="185" t="s">
        <v>522</v>
      </c>
      <c r="E545" s="186" t="s">
        <v>906</v>
      </c>
      <c r="F545" s="186" t="s">
        <v>907</v>
      </c>
      <c r="G545" s="186" t="s">
        <v>1102</v>
      </c>
      <c r="H545" s="186" t="s">
        <v>1783</v>
      </c>
      <c r="I545" s="187" t="s">
        <v>1799</v>
      </c>
      <c r="J545" s="222" t="s">
        <v>1800</v>
      </c>
      <c r="K545" s="188"/>
      <c r="L545" s="188"/>
      <c r="M545" s="189" t="s">
        <v>847</v>
      </c>
      <c r="N545" s="190">
        <v>360.14</v>
      </c>
      <c r="O545" s="190">
        <f t="shared" si="64"/>
        <v>392.55</v>
      </c>
      <c r="P545" s="191">
        <f t="shared" si="65"/>
        <v>0</v>
      </c>
      <c r="Q545" s="192">
        <f t="shared" si="66"/>
        <v>0</v>
      </c>
      <c r="R545" s="193"/>
      <c r="S545" s="194"/>
      <c r="T545" s="195">
        <f t="shared" si="67"/>
        <v>0</v>
      </c>
      <c r="U545" s="195">
        <f t="shared" si="68"/>
        <v>0</v>
      </c>
      <c r="V545" s="195">
        <f t="shared" si="69"/>
        <v>0</v>
      </c>
      <c r="W545" s="196" t="e">
        <f t="shared" si="70"/>
        <v>#DIV/0!</v>
      </c>
      <c r="X545" s="197" t="e">
        <f t="shared" si="71"/>
        <v>#DIV/0!</v>
      </c>
    </row>
    <row r="546" ht="11.4" customHeight="1" spans="1:34">
      <c r="A546" s="184" t="s">
        <v>1781</v>
      </c>
      <c r="B546" s="184" t="s">
        <v>130</v>
      </c>
      <c r="C546" s="184" t="s">
        <v>1782</v>
      </c>
      <c r="D546" s="185" t="s">
        <v>522</v>
      </c>
      <c r="E546" s="186" t="s">
        <v>906</v>
      </c>
      <c r="F546" s="186" t="s">
        <v>907</v>
      </c>
      <c r="G546" s="186" t="s">
        <v>1102</v>
      </c>
      <c r="H546" s="186" t="s">
        <v>1783</v>
      </c>
      <c r="I546" s="187" t="s">
        <v>1801</v>
      </c>
      <c r="J546" s="187" t="s">
        <v>1802</v>
      </c>
      <c r="K546" s="188"/>
      <c r="L546" s="188"/>
      <c r="M546" s="189" t="s">
        <v>847</v>
      </c>
      <c r="N546" s="190">
        <v>36.37</v>
      </c>
      <c r="O546" s="190">
        <f t="shared" si="64"/>
        <v>39.64</v>
      </c>
      <c r="P546" s="191">
        <f t="shared" si="65"/>
        <v>0</v>
      </c>
      <c r="Q546" s="192">
        <f t="shared" si="66"/>
        <v>0</v>
      </c>
      <c r="R546" s="193"/>
      <c r="S546" s="194"/>
      <c r="T546" s="195">
        <f t="shared" si="67"/>
        <v>0</v>
      </c>
      <c r="U546" s="195">
        <f t="shared" si="68"/>
        <v>0</v>
      </c>
      <c r="V546" s="195">
        <f t="shared" si="69"/>
        <v>0</v>
      </c>
      <c r="W546" s="196" t="e">
        <f t="shared" si="70"/>
        <v>#DIV/0!</v>
      </c>
      <c r="X546" s="197" t="e">
        <f t="shared" si="71"/>
        <v>#DIV/0!</v>
      </c>
      <c r="AH546" s="219" t="s">
        <v>892</v>
      </c>
    </row>
    <row r="547" ht="11.4" customHeight="1" spans="1:34">
      <c r="A547" s="184" t="s">
        <v>1781</v>
      </c>
      <c r="B547" s="184" t="s">
        <v>130</v>
      </c>
      <c r="C547" s="184" t="s">
        <v>1782</v>
      </c>
      <c r="D547" s="185" t="s">
        <v>522</v>
      </c>
      <c r="E547" s="186" t="s">
        <v>906</v>
      </c>
      <c r="F547" s="186" t="s">
        <v>907</v>
      </c>
      <c r="G547" s="186" t="s">
        <v>1102</v>
      </c>
      <c r="H547" s="186" t="s">
        <v>1783</v>
      </c>
      <c r="I547" s="187" t="s">
        <v>1803</v>
      </c>
      <c r="J547" s="187" t="s">
        <v>1804</v>
      </c>
      <c r="K547" s="188">
        <v>3</v>
      </c>
      <c r="L547" s="188">
        <v>3</v>
      </c>
      <c r="M547" s="189" t="s">
        <v>847</v>
      </c>
      <c r="N547" s="190">
        <v>106.36</v>
      </c>
      <c r="O547" s="190">
        <f t="shared" si="64"/>
        <v>115.93</v>
      </c>
      <c r="P547" s="191">
        <f t="shared" si="65"/>
        <v>319.08</v>
      </c>
      <c r="Q547" s="192">
        <f t="shared" si="66"/>
        <v>319.08</v>
      </c>
      <c r="R547" s="193"/>
      <c r="S547" s="194"/>
      <c r="T547" s="195">
        <f t="shared" si="67"/>
        <v>0</v>
      </c>
      <c r="U547" s="195">
        <f t="shared" si="68"/>
        <v>0</v>
      </c>
      <c r="V547" s="195">
        <f t="shared" si="69"/>
        <v>0</v>
      </c>
      <c r="W547" s="196">
        <f t="shared" si="70"/>
        <v>0</v>
      </c>
      <c r="X547" s="197">
        <f t="shared" si="71"/>
        <v>0</v>
      </c>
      <c r="AG547" s="219" t="s">
        <v>990</v>
      </c>
    </row>
    <row r="548" ht="11.4" customHeight="1" spans="1:34">
      <c r="A548" s="184" t="s">
        <v>1805</v>
      </c>
      <c r="B548" s="184" t="s">
        <v>127</v>
      </c>
      <c r="C548" s="184" t="s">
        <v>1101</v>
      </c>
      <c r="D548" s="185" t="s">
        <v>522</v>
      </c>
      <c r="E548" s="186" t="s">
        <v>906</v>
      </c>
      <c r="F548" s="186" t="s">
        <v>907</v>
      </c>
      <c r="G548" s="186" t="s">
        <v>1102</v>
      </c>
      <c r="H548" s="186" t="s">
        <v>1806</v>
      </c>
      <c r="I548" s="187" t="s">
        <v>1807</v>
      </c>
      <c r="J548" s="187" t="s">
        <v>1808</v>
      </c>
      <c r="K548" s="188">
        <v>3</v>
      </c>
      <c r="L548" s="188">
        <v>3</v>
      </c>
      <c r="M548" s="189" t="s">
        <v>1500</v>
      </c>
      <c r="N548" s="190">
        <v>2585.55</v>
      </c>
      <c r="O548" s="190">
        <f t="shared" si="64"/>
        <v>2818.25</v>
      </c>
      <c r="P548" s="191">
        <f t="shared" si="65"/>
        <v>7756.65</v>
      </c>
      <c r="Q548" s="192">
        <f t="shared" si="66"/>
        <v>7756.65</v>
      </c>
      <c r="R548" s="193"/>
      <c r="S548" s="194"/>
      <c r="T548" s="195">
        <f t="shared" si="67"/>
        <v>0</v>
      </c>
      <c r="U548" s="195">
        <f t="shared" si="68"/>
        <v>0</v>
      </c>
      <c r="V548" s="195">
        <f t="shared" si="69"/>
        <v>0</v>
      </c>
      <c r="W548" s="196">
        <f t="shared" si="70"/>
        <v>0</v>
      </c>
      <c r="X548" s="197">
        <f t="shared" si="71"/>
        <v>0</v>
      </c>
      <c r="AG548" s="219" t="s">
        <v>990</v>
      </c>
    </row>
    <row r="549" ht="11.4" customHeight="1" spans="1:34">
      <c r="A549" s="184" t="s">
        <v>1805</v>
      </c>
      <c r="B549" s="184" t="s">
        <v>127</v>
      </c>
      <c r="C549" s="184" t="s">
        <v>1101</v>
      </c>
      <c r="D549" s="185" t="s">
        <v>522</v>
      </c>
      <c r="E549" s="186" t="s">
        <v>906</v>
      </c>
      <c r="F549" s="186" t="s">
        <v>907</v>
      </c>
      <c r="G549" s="186" t="s">
        <v>1102</v>
      </c>
      <c r="H549" s="186" t="s">
        <v>1806</v>
      </c>
      <c r="I549" s="187" t="s">
        <v>1809</v>
      </c>
      <c r="J549" s="187" t="s">
        <v>1810</v>
      </c>
      <c r="K549" s="188"/>
      <c r="L549" s="188"/>
      <c r="M549" s="189" t="s">
        <v>1500</v>
      </c>
      <c r="N549" s="190">
        <v>2585.55</v>
      </c>
      <c r="O549" s="190">
        <f t="shared" si="64"/>
        <v>2818.25</v>
      </c>
      <c r="P549" s="191">
        <f t="shared" si="65"/>
        <v>0</v>
      </c>
      <c r="Q549" s="192">
        <f t="shared" si="66"/>
        <v>0</v>
      </c>
      <c r="R549" s="193"/>
      <c r="S549" s="194"/>
      <c r="T549" s="195">
        <f t="shared" si="67"/>
        <v>0</v>
      </c>
      <c r="U549" s="195">
        <f t="shared" si="68"/>
        <v>0</v>
      </c>
      <c r="V549" s="195">
        <f t="shared" si="69"/>
        <v>0</v>
      </c>
      <c r="W549" s="196" t="e">
        <f t="shared" si="70"/>
        <v>#DIV/0!</v>
      </c>
      <c r="X549" s="197" t="e">
        <f t="shared" si="71"/>
        <v>#DIV/0!</v>
      </c>
      <c r="AG549" s="219" t="s">
        <v>990</v>
      </c>
    </row>
    <row r="550" ht="11.4" customHeight="1" spans="1:34">
      <c r="A550" s="184" t="s">
        <v>1805</v>
      </c>
      <c r="B550" s="184" t="s">
        <v>127</v>
      </c>
      <c r="C550" s="184" t="s">
        <v>1101</v>
      </c>
      <c r="D550" s="185" t="s">
        <v>522</v>
      </c>
      <c r="E550" s="186" t="s">
        <v>906</v>
      </c>
      <c r="F550" s="186" t="s">
        <v>907</v>
      </c>
      <c r="G550" s="186" t="s">
        <v>1102</v>
      </c>
      <c r="H550" s="186" t="s">
        <v>1806</v>
      </c>
      <c r="I550" s="187" t="s">
        <v>1811</v>
      </c>
      <c r="J550" s="187" t="s">
        <v>1812</v>
      </c>
      <c r="K550" s="188"/>
      <c r="L550" s="188"/>
      <c r="M550" s="189" t="s">
        <v>1500</v>
      </c>
      <c r="N550" s="190">
        <v>2941.14</v>
      </c>
      <c r="O550" s="190">
        <f t="shared" si="64"/>
        <v>3205.84</v>
      </c>
      <c r="P550" s="191">
        <f t="shared" si="65"/>
        <v>0</v>
      </c>
      <c r="Q550" s="192">
        <f t="shared" si="66"/>
        <v>0</v>
      </c>
      <c r="R550" s="193"/>
      <c r="S550" s="194"/>
      <c r="T550" s="195">
        <f t="shared" si="67"/>
        <v>0</v>
      </c>
      <c r="U550" s="195">
        <f t="shared" si="68"/>
        <v>0</v>
      </c>
      <c r="V550" s="195">
        <f t="shared" si="69"/>
        <v>0</v>
      </c>
      <c r="W550" s="196" t="e">
        <f t="shared" si="70"/>
        <v>#DIV/0!</v>
      </c>
      <c r="X550" s="197" t="e">
        <f t="shared" si="71"/>
        <v>#DIV/0!</v>
      </c>
      <c r="AG550" s="219" t="s">
        <v>990</v>
      </c>
    </row>
    <row r="551" ht="11.4" customHeight="1" spans="1:34">
      <c r="A551" s="184" t="s">
        <v>1805</v>
      </c>
      <c r="B551" s="184" t="s">
        <v>127</v>
      </c>
      <c r="C551" s="184" t="s">
        <v>1101</v>
      </c>
      <c r="D551" s="185" t="s">
        <v>522</v>
      </c>
      <c r="E551" s="186" t="s">
        <v>906</v>
      </c>
      <c r="F551" s="186" t="s">
        <v>907</v>
      </c>
      <c r="G551" s="186" t="s">
        <v>1102</v>
      </c>
      <c r="H551" s="186" t="s">
        <v>1806</v>
      </c>
      <c r="I551" s="187" t="s">
        <v>1813</v>
      </c>
      <c r="J551" s="187" t="s">
        <v>1814</v>
      </c>
      <c r="K551" s="188"/>
      <c r="L551" s="188"/>
      <c r="M551" s="189" t="s">
        <v>1500</v>
      </c>
      <c r="N551" s="190">
        <v>1580.15</v>
      </c>
      <c r="O551" s="190">
        <f t="shared" si="64"/>
        <v>1722.36</v>
      </c>
      <c r="P551" s="191">
        <f t="shared" si="65"/>
        <v>0</v>
      </c>
      <c r="Q551" s="192">
        <f t="shared" si="66"/>
        <v>0</v>
      </c>
      <c r="R551" s="193"/>
      <c r="S551" s="194"/>
      <c r="T551" s="195">
        <f t="shared" si="67"/>
        <v>0</v>
      </c>
      <c r="U551" s="195">
        <f t="shared" si="68"/>
        <v>0</v>
      </c>
      <c r="V551" s="195">
        <f t="shared" si="69"/>
        <v>0</v>
      </c>
      <c r="W551" s="196" t="e">
        <f t="shared" si="70"/>
        <v>#DIV/0!</v>
      </c>
      <c r="X551" s="197" t="e">
        <f t="shared" si="71"/>
        <v>#DIV/0!</v>
      </c>
      <c r="AG551" s="219" t="s">
        <v>990</v>
      </c>
    </row>
    <row r="552" ht="11.4" customHeight="1" spans="1:34">
      <c r="A552" s="184" t="s">
        <v>1805</v>
      </c>
      <c r="B552" s="184" t="s">
        <v>127</v>
      </c>
      <c r="C552" s="184" t="s">
        <v>1101</v>
      </c>
      <c r="D552" s="185" t="s">
        <v>522</v>
      </c>
      <c r="E552" s="186" t="s">
        <v>906</v>
      </c>
      <c r="F552" s="186" t="s">
        <v>907</v>
      </c>
      <c r="G552" s="186" t="s">
        <v>1102</v>
      </c>
      <c r="H552" s="186" t="s">
        <v>1806</v>
      </c>
      <c r="I552" s="187" t="s">
        <v>1815</v>
      </c>
      <c r="J552" s="187" t="s">
        <v>1816</v>
      </c>
      <c r="K552" s="188"/>
      <c r="L552" s="188"/>
      <c r="M552" s="189" t="s">
        <v>1500</v>
      </c>
      <c r="N552" s="190">
        <v>1238.26</v>
      </c>
      <c r="O552" s="190">
        <f t="shared" si="64"/>
        <v>1349.7</v>
      </c>
      <c r="P552" s="191">
        <f t="shared" si="65"/>
        <v>0</v>
      </c>
      <c r="Q552" s="192">
        <f t="shared" si="66"/>
        <v>0</v>
      </c>
      <c r="R552" s="193"/>
      <c r="S552" s="194"/>
      <c r="T552" s="195">
        <f t="shared" si="67"/>
        <v>0</v>
      </c>
      <c r="U552" s="195">
        <f t="shared" si="68"/>
        <v>0</v>
      </c>
      <c r="V552" s="195">
        <f t="shared" si="69"/>
        <v>0</v>
      </c>
      <c r="W552" s="196" t="e">
        <f t="shared" si="70"/>
        <v>#DIV/0!</v>
      </c>
      <c r="X552" s="197" t="e">
        <f t="shared" si="71"/>
        <v>#DIV/0!</v>
      </c>
      <c r="AG552" s="219" t="s">
        <v>990</v>
      </c>
    </row>
    <row r="553" ht="11.4" customHeight="1" spans="1:34">
      <c r="A553" s="184" t="s">
        <v>1805</v>
      </c>
      <c r="B553" s="184" t="s">
        <v>127</v>
      </c>
      <c r="C553" s="184" t="s">
        <v>1101</v>
      </c>
      <c r="D553" s="185" t="s">
        <v>522</v>
      </c>
      <c r="E553" s="186" t="s">
        <v>906</v>
      </c>
      <c r="F553" s="186" t="s">
        <v>907</v>
      </c>
      <c r="G553" s="186" t="s">
        <v>1102</v>
      </c>
      <c r="H553" s="186" t="s">
        <v>1806</v>
      </c>
      <c r="I553" s="187" t="s">
        <v>1817</v>
      </c>
      <c r="J553" s="187" t="s">
        <v>1818</v>
      </c>
      <c r="K553" s="188"/>
      <c r="L553" s="188"/>
      <c r="M553" s="189" t="s">
        <v>1500</v>
      </c>
      <c r="N553" s="190">
        <v>1580.15</v>
      </c>
      <c r="O553" s="190">
        <f t="shared" si="64"/>
        <v>1722.36</v>
      </c>
      <c r="P553" s="191">
        <f t="shared" si="65"/>
        <v>0</v>
      </c>
      <c r="Q553" s="192">
        <f t="shared" si="66"/>
        <v>0</v>
      </c>
      <c r="R553" s="193"/>
      <c r="S553" s="194"/>
      <c r="T553" s="195">
        <f t="shared" si="67"/>
        <v>0</v>
      </c>
      <c r="U553" s="195">
        <f t="shared" si="68"/>
        <v>0</v>
      </c>
      <c r="V553" s="195">
        <f t="shared" si="69"/>
        <v>0</v>
      </c>
      <c r="W553" s="196" t="e">
        <f t="shared" si="70"/>
        <v>#DIV/0!</v>
      </c>
      <c r="X553" s="197" t="e">
        <f t="shared" si="71"/>
        <v>#DIV/0!</v>
      </c>
      <c r="AG553" s="219" t="s">
        <v>990</v>
      </c>
    </row>
    <row r="554" ht="11.4" customHeight="1" spans="1:34">
      <c r="A554" s="184" t="s">
        <v>1805</v>
      </c>
      <c r="B554" s="184" t="s">
        <v>127</v>
      </c>
      <c r="C554" s="184" t="s">
        <v>1101</v>
      </c>
      <c r="D554" s="185" t="s">
        <v>522</v>
      </c>
      <c r="E554" s="186" t="s">
        <v>906</v>
      </c>
      <c r="F554" s="186" t="s">
        <v>907</v>
      </c>
      <c r="G554" s="186" t="s">
        <v>1102</v>
      </c>
      <c r="H554" s="186" t="s">
        <v>1806</v>
      </c>
      <c r="I554" s="187" t="s">
        <v>1819</v>
      </c>
      <c r="J554" s="187" t="s">
        <v>1820</v>
      </c>
      <c r="K554" s="188"/>
      <c r="L554" s="188"/>
      <c r="M554" s="189" t="s">
        <v>1500</v>
      </c>
      <c r="N554" s="190">
        <v>1238.26</v>
      </c>
      <c r="O554" s="190">
        <f t="shared" si="64"/>
        <v>1349.7</v>
      </c>
      <c r="P554" s="191">
        <f t="shared" si="65"/>
        <v>0</v>
      </c>
      <c r="Q554" s="192">
        <f t="shared" si="66"/>
        <v>0</v>
      </c>
      <c r="R554" s="193"/>
      <c r="S554" s="194"/>
      <c r="T554" s="195">
        <f t="shared" si="67"/>
        <v>0</v>
      </c>
      <c r="U554" s="195">
        <f t="shared" si="68"/>
        <v>0</v>
      </c>
      <c r="V554" s="195">
        <f t="shared" si="69"/>
        <v>0</v>
      </c>
      <c r="W554" s="196" t="e">
        <f t="shared" si="70"/>
        <v>#DIV/0!</v>
      </c>
      <c r="X554" s="197" t="e">
        <f t="shared" si="71"/>
        <v>#DIV/0!</v>
      </c>
      <c r="AG554" s="219" t="s">
        <v>990</v>
      </c>
    </row>
    <row r="555" ht="11.4" customHeight="1" spans="1:34">
      <c r="A555" s="184" t="s">
        <v>1805</v>
      </c>
      <c r="B555" s="184" t="s">
        <v>127</v>
      </c>
      <c r="C555" s="184" t="s">
        <v>1101</v>
      </c>
      <c r="D555" s="185" t="s">
        <v>522</v>
      </c>
      <c r="E555" s="186" t="s">
        <v>906</v>
      </c>
      <c r="F555" s="186" t="s">
        <v>907</v>
      </c>
      <c r="G555" s="186" t="s">
        <v>1102</v>
      </c>
      <c r="H555" s="186" t="s">
        <v>1806</v>
      </c>
      <c r="I555" s="187" t="s">
        <v>1821</v>
      </c>
      <c r="J555" s="187" t="s">
        <v>1822</v>
      </c>
      <c r="K555" s="188"/>
      <c r="L555" s="188"/>
      <c r="M555" s="189" t="s">
        <v>1500</v>
      </c>
      <c r="N555" s="190">
        <v>972.95</v>
      </c>
      <c r="O555" s="190">
        <f t="shared" si="64"/>
        <v>1060.52</v>
      </c>
      <c r="P555" s="191">
        <f t="shared" si="65"/>
        <v>0</v>
      </c>
      <c r="Q555" s="192">
        <f t="shared" si="66"/>
        <v>0</v>
      </c>
      <c r="R555" s="193"/>
      <c r="S555" s="194"/>
      <c r="T555" s="195">
        <f t="shared" si="67"/>
        <v>0</v>
      </c>
      <c r="U555" s="195">
        <f t="shared" si="68"/>
        <v>0</v>
      </c>
      <c r="V555" s="195">
        <f t="shared" si="69"/>
        <v>0</v>
      </c>
      <c r="W555" s="196" t="e">
        <f t="shared" si="70"/>
        <v>#DIV/0!</v>
      </c>
      <c r="X555" s="197" t="e">
        <f t="shared" si="71"/>
        <v>#DIV/0!</v>
      </c>
      <c r="AG555" s="219" t="s">
        <v>990</v>
      </c>
    </row>
    <row r="556" ht="11.4" customHeight="1" spans="1:34">
      <c r="A556" s="184" t="s">
        <v>1805</v>
      </c>
      <c r="B556" s="184" t="s">
        <v>127</v>
      </c>
      <c r="C556" s="184" t="s">
        <v>1101</v>
      </c>
      <c r="D556" s="185" t="s">
        <v>522</v>
      </c>
      <c r="E556" s="186" t="s">
        <v>906</v>
      </c>
      <c r="F556" s="186" t="s">
        <v>907</v>
      </c>
      <c r="G556" s="186" t="s">
        <v>1102</v>
      </c>
      <c r="H556" s="186" t="s">
        <v>1806</v>
      </c>
      <c r="I556" s="187" t="s">
        <v>1823</v>
      </c>
      <c r="J556" s="187" t="s">
        <v>1824</v>
      </c>
      <c r="K556" s="188"/>
      <c r="L556" s="188"/>
      <c r="M556" s="189" t="s">
        <v>1500</v>
      </c>
      <c r="N556" s="190">
        <v>1852.95</v>
      </c>
      <c r="O556" s="190">
        <f t="shared" si="64"/>
        <v>2019.72</v>
      </c>
      <c r="P556" s="191">
        <f t="shared" si="65"/>
        <v>0</v>
      </c>
      <c r="Q556" s="192">
        <f t="shared" si="66"/>
        <v>0</v>
      </c>
      <c r="R556" s="193"/>
      <c r="S556" s="194"/>
      <c r="T556" s="195">
        <f t="shared" si="67"/>
        <v>0</v>
      </c>
      <c r="U556" s="195">
        <f t="shared" si="68"/>
        <v>0</v>
      </c>
      <c r="V556" s="195">
        <f t="shared" si="69"/>
        <v>0</v>
      </c>
      <c r="W556" s="196" t="e">
        <f t="shared" si="70"/>
        <v>#DIV/0!</v>
      </c>
      <c r="X556" s="197" t="e">
        <f t="shared" si="71"/>
        <v>#DIV/0!</v>
      </c>
      <c r="AG556" s="219" t="s">
        <v>990</v>
      </c>
    </row>
    <row r="557" ht="11.4" customHeight="1" spans="1:34">
      <c r="A557" s="184" t="s">
        <v>1805</v>
      </c>
      <c r="B557" s="184" t="s">
        <v>127</v>
      </c>
      <c r="C557" s="184" t="s">
        <v>1101</v>
      </c>
      <c r="D557" s="185" t="s">
        <v>522</v>
      </c>
      <c r="E557" s="186" t="s">
        <v>906</v>
      </c>
      <c r="F557" s="186" t="s">
        <v>907</v>
      </c>
      <c r="G557" s="186" t="s">
        <v>1102</v>
      </c>
      <c r="H557" s="186" t="s">
        <v>1806</v>
      </c>
      <c r="I557" s="187" t="s">
        <v>1825</v>
      </c>
      <c r="J557" s="187" t="s">
        <v>1826</v>
      </c>
      <c r="K557" s="188"/>
      <c r="L557" s="188"/>
      <c r="M557" s="189" t="s">
        <v>989</v>
      </c>
      <c r="N557" s="190">
        <v>2221.2</v>
      </c>
      <c r="O557" s="190">
        <f t="shared" si="64"/>
        <v>2421.11</v>
      </c>
      <c r="P557" s="191">
        <f t="shared" si="65"/>
        <v>0</v>
      </c>
      <c r="Q557" s="192">
        <f t="shared" si="66"/>
        <v>0</v>
      </c>
      <c r="R557" s="193"/>
      <c r="S557" s="194"/>
      <c r="T557" s="195">
        <f t="shared" si="67"/>
        <v>0</v>
      </c>
      <c r="U557" s="195">
        <f t="shared" si="68"/>
        <v>0</v>
      </c>
      <c r="V557" s="195">
        <f t="shared" si="69"/>
        <v>0</v>
      </c>
      <c r="W557" s="196" t="e">
        <f t="shared" si="70"/>
        <v>#DIV/0!</v>
      </c>
      <c r="X557" s="197" t="e">
        <f t="shared" si="71"/>
        <v>#DIV/0!</v>
      </c>
      <c r="AG557" s="219" t="s">
        <v>990</v>
      </c>
    </row>
    <row r="558" ht="11.4" customHeight="1" spans="1:34">
      <c r="A558" s="184" t="s">
        <v>1805</v>
      </c>
      <c r="B558" s="184" t="s">
        <v>127</v>
      </c>
      <c r="C558" s="184" t="s">
        <v>1101</v>
      </c>
      <c r="D558" s="185" t="s">
        <v>522</v>
      </c>
      <c r="E558" s="186" t="s">
        <v>906</v>
      </c>
      <c r="F558" s="186" t="s">
        <v>907</v>
      </c>
      <c r="G558" s="186" t="s">
        <v>1102</v>
      </c>
      <c r="H558" s="186" t="s">
        <v>1806</v>
      </c>
      <c r="I558" s="187" t="s">
        <v>1827</v>
      </c>
      <c r="J558" s="187" t="s">
        <v>1828</v>
      </c>
      <c r="K558" s="188"/>
      <c r="L558" s="188"/>
      <c r="M558" s="189" t="s">
        <v>1500</v>
      </c>
      <c r="N558" s="190">
        <v>1687.95</v>
      </c>
      <c r="O558" s="190">
        <f t="shared" si="64"/>
        <v>1839.87</v>
      </c>
      <c r="P558" s="191">
        <f t="shared" si="65"/>
        <v>0</v>
      </c>
      <c r="Q558" s="192">
        <f t="shared" si="66"/>
        <v>0</v>
      </c>
      <c r="R558" s="193"/>
      <c r="S558" s="194"/>
      <c r="T558" s="195">
        <f t="shared" si="67"/>
        <v>0</v>
      </c>
      <c r="U558" s="195">
        <f t="shared" si="68"/>
        <v>0</v>
      </c>
      <c r="V558" s="195">
        <f t="shared" si="69"/>
        <v>0</v>
      </c>
      <c r="W558" s="196" t="e">
        <f t="shared" si="70"/>
        <v>#DIV/0!</v>
      </c>
      <c r="X558" s="197" t="e">
        <f t="shared" si="71"/>
        <v>#DIV/0!</v>
      </c>
      <c r="AG558" s="219" t="s">
        <v>990</v>
      </c>
    </row>
    <row r="559" ht="11.4" customHeight="1" spans="1:34">
      <c r="A559" s="184" t="s">
        <v>1805</v>
      </c>
      <c r="B559" s="184" t="s">
        <v>127</v>
      </c>
      <c r="C559" s="184" t="s">
        <v>1101</v>
      </c>
      <c r="D559" s="185" t="s">
        <v>522</v>
      </c>
      <c r="E559" s="186" t="s">
        <v>906</v>
      </c>
      <c r="F559" s="186" t="s">
        <v>907</v>
      </c>
      <c r="G559" s="186" t="s">
        <v>1102</v>
      </c>
      <c r="H559" s="186" t="s">
        <v>1806</v>
      </c>
      <c r="I559" s="187" t="s">
        <v>1829</v>
      </c>
      <c r="J559" s="187" t="s">
        <v>1830</v>
      </c>
      <c r="K559" s="188"/>
      <c r="L559" s="188"/>
      <c r="M559" s="189" t="s">
        <v>847</v>
      </c>
      <c r="N559" s="190">
        <v>1204.38</v>
      </c>
      <c r="O559" s="190">
        <f t="shared" si="64"/>
        <v>1312.77</v>
      </c>
      <c r="P559" s="191">
        <f t="shared" si="65"/>
        <v>0</v>
      </c>
      <c r="Q559" s="192">
        <f t="shared" si="66"/>
        <v>0</v>
      </c>
      <c r="R559" s="193"/>
      <c r="S559" s="194"/>
      <c r="T559" s="195">
        <f t="shared" si="67"/>
        <v>0</v>
      </c>
      <c r="U559" s="195">
        <f t="shared" si="68"/>
        <v>0</v>
      </c>
      <c r="V559" s="195">
        <f t="shared" si="69"/>
        <v>0</v>
      </c>
      <c r="W559" s="196" t="e">
        <f t="shared" si="70"/>
        <v>#DIV/0!</v>
      </c>
      <c r="X559" s="197" t="e">
        <f t="shared" si="71"/>
        <v>#DIV/0!</v>
      </c>
      <c r="AG559" s="219" t="s">
        <v>865</v>
      </c>
    </row>
    <row r="560" ht="11.4" customHeight="1" spans="1:34">
      <c r="A560" s="184" t="s">
        <v>1805</v>
      </c>
      <c r="B560" s="184" t="s">
        <v>127</v>
      </c>
      <c r="C560" s="184" t="s">
        <v>1101</v>
      </c>
      <c r="D560" s="185" t="s">
        <v>522</v>
      </c>
      <c r="E560" s="186" t="s">
        <v>906</v>
      </c>
      <c r="F560" s="186" t="s">
        <v>907</v>
      </c>
      <c r="G560" s="186" t="s">
        <v>1102</v>
      </c>
      <c r="H560" s="186" t="s">
        <v>1806</v>
      </c>
      <c r="I560" s="187" t="s">
        <v>1831</v>
      </c>
      <c r="J560" s="187" t="s">
        <v>1832</v>
      </c>
      <c r="K560" s="188"/>
      <c r="L560" s="188"/>
      <c r="M560" s="189" t="s">
        <v>1500</v>
      </c>
      <c r="N560" s="190">
        <v>2804.45</v>
      </c>
      <c r="O560" s="190">
        <f t="shared" si="64"/>
        <v>3056.85</v>
      </c>
      <c r="P560" s="191">
        <f t="shared" si="65"/>
        <v>0</v>
      </c>
      <c r="Q560" s="192">
        <f t="shared" si="66"/>
        <v>0</v>
      </c>
      <c r="R560" s="193"/>
      <c r="S560" s="194"/>
      <c r="T560" s="195">
        <f t="shared" si="67"/>
        <v>0</v>
      </c>
      <c r="U560" s="195">
        <f t="shared" si="68"/>
        <v>0</v>
      </c>
      <c r="V560" s="195">
        <f t="shared" si="69"/>
        <v>0</v>
      </c>
      <c r="W560" s="196" t="e">
        <f t="shared" si="70"/>
        <v>#DIV/0!</v>
      </c>
      <c r="X560" s="197" t="e">
        <f t="shared" si="71"/>
        <v>#DIV/0!</v>
      </c>
      <c r="AG560" s="219" t="s">
        <v>990</v>
      </c>
    </row>
    <row r="561" ht="11.4" customHeight="1" spans="1:34">
      <c r="A561" s="184" t="s">
        <v>1805</v>
      </c>
      <c r="B561" s="184" t="s">
        <v>127</v>
      </c>
      <c r="C561" s="184" t="s">
        <v>1101</v>
      </c>
      <c r="D561" s="185" t="s">
        <v>522</v>
      </c>
      <c r="E561" s="186" t="s">
        <v>906</v>
      </c>
      <c r="F561" s="186" t="s">
        <v>907</v>
      </c>
      <c r="G561" s="186" t="s">
        <v>1102</v>
      </c>
      <c r="H561" s="186" t="s">
        <v>1806</v>
      </c>
      <c r="I561" s="187" t="s">
        <v>1833</v>
      </c>
      <c r="J561" s="187" t="s">
        <v>1834</v>
      </c>
      <c r="K561" s="188">
        <v>2</v>
      </c>
      <c r="L561" s="188">
        <v>2</v>
      </c>
      <c r="M561" s="189" t="s">
        <v>1500</v>
      </c>
      <c r="N561" s="190">
        <v>2496.45</v>
      </c>
      <c r="O561" s="190">
        <f t="shared" si="64"/>
        <v>2721.13</v>
      </c>
      <c r="P561" s="191">
        <f t="shared" si="65"/>
        <v>4992.9</v>
      </c>
      <c r="Q561" s="192">
        <f t="shared" si="66"/>
        <v>4992.9</v>
      </c>
      <c r="R561" s="193"/>
      <c r="S561" s="194"/>
      <c r="T561" s="195">
        <f t="shared" si="67"/>
        <v>0</v>
      </c>
      <c r="U561" s="195">
        <f t="shared" si="68"/>
        <v>0</v>
      </c>
      <c r="V561" s="195">
        <f t="shared" si="69"/>
        <v>0</v>
      </c>
      <c r="W561" s="196">
        <f t="shared" si="70"/>
        <v>0</v>
      </c>
      <c r="X561" s="197">
        <f t="shared" si="71"/>
        <v>0</v>
      </c>
      <c r="AG561" s="219" t="s">
        <v>990</v>
      </c>
    </row>
    <row r="562" ht="11.4" customHeight="1" spans="1:34">
      <c r="A562" s="184" t="s">
        <v>1805</v>
      </c>
      <c r="B562" s="184" t="s">
        <v>127</v>
      </c>
      <c r="C562" s="184" t="s">
        <v>1101</v>
      </c>
      <c r="D562" s="185" t="s">
        <v>522</v>
      </c>
      <c r="E562" s="186" t="s">
        <v>906</v>
      </c>
      <c r="F562" s="186" t="s">
        <v>907</v>
      </c>
      <c r="G562" s="186" t="s">
        <v>1102</v>
      </c>
      <c r="H562" s="186" t="s">
        <v>1806</v>
      </c>
      <c r="I562" s="187" t="s">
        <v>1835</v>
      </c>
      <c r="J562" s="187" t="s">
        <v>1836</v>
      </c>
      <c r="K562" s="188">
        <v>1</v>
      </c>
      <c r="L562" s="188">
        <v>1</v>
      </c>
      <c r="M562" s="189" t="s">
        <v>1837</v>
      </c>
      <c r="N562" s="190">
        <v>1332.65</v>
      </c>
      <c r="O562" s="190">
        <f t="shared" si="64"/>
        <v>1452.59</v>
      </c>
      <c r="P562" s="191">
        <f t="shared" si="65"/>
        <v>1332.65</v>
      </c>
      <c r="Q562" s="192">
        <f t="shared" si="66"/>
        <v>1332.65</v>
      </c>
      <c r="R562" s="193"/>
      <c r="S562" s="194"/>
      <c r="T562" s="195">
        <f t="shared" si="67"/>
        <v>0</v>
      </c>
      <c r="U562" s="195">
        <f t="shared" si="68"/>
        <v>0</v>
      </c>
      <c r="V562" s="195">
        <f t="shared" si="69"/>
        <v>0</v>
      </c>
      <c r="W562" s="196">
        <f t="shared" si="70"/>
        <v>0</v>
      </c>
      <c r="X562" s="197">
        <f t="shared" si="71"/>
        <v>0</v>
      </c>
      <c r="AH562" s="219" t="s">
        <v>794</v>
      </c>
    </row>
    <row r="563" ht="11.4" customHeight="1" spans="1:34">
      <c r="A563" s="184" t="s">
        <v>1805</v>
      </c>
      <c r="B563" s="184" t="s">
        <v>127</v>
      </c>
      <c r="C563" s="184" t="s">
        <v>1101</v>
      </c>
      <c r="D563" s="185" t="s">
        <v>522</v>
      </c>
      <c r="E563" s="186" t="s">
        <v>906</v>
      </c>
      <c r="F563" s="186" t="s">
        <v>907</v>
      </c>
      <c r="G563" s="186" t="s">
        <v>1102</v>
      </c>
      <c r="H563" s="186" t="s">
        <v>1806</v>
      </c>
      <c r="I563" s="187" t="s">
        <v>1838</v>
      </c>
      <c r="J563" s="187" t="s">
        <v>1839</v>
      </c>
      <c r="K563" s="188"/>
      <c r="L563" s="188"/>
      <c r="M563" s="189" t="s">
        <v>1837</v>
      </c>
      <c r="N563" s="190">
        <v>689.15</v>
      </c>
      <c r="O563" s="190">
        <f t="shared" si="64"/>
        <v>751.17</v>
      </c>
      <c r="P563" s="191">
        <f t="shared" si="65"/>
        <v>0</v>
      </c>
      <c r="Q563" s="192">
        <f t="shared" si="66"/>
        <v>0</v>
      </c>
      <c r="R563" s="193"/>
      <c r="S563" s="194"/>
      <c r="T563" s="195">
        <f t="shared" si="67"/>
        <v>0</v>
      </c>
      <c r="U563" s="195">
        <f t="shared" si="68"/>
        <v>0</v>
      </c>
      <c r="V563" s="195">
        <f t="shared" si="69"/>
        <v>0</v>
      </c>
      <c r="W563" s="196" t="e">
        <f t="shared" si="70"/>
        <v>#DIV/0!</v>
      </c>
      <c r="X563" s="197" t="e">
        <f t="shared" si="71"/>
        <v>#DIV/0!</v>
      </c>
      <c r="AH563" s="109" t="s">
        <v>1585</v>
      </c>
    </row>
    <row r="564" ht="11.4" customHeight="1" spans="1:34">
      <c r="A564" s="184" t="s">
        <v>1805</v>
      </c>
      <c r="B564" s="184" t="s">
        <v>127</v>
      </c>
      <c r="C564" s="184" t="s">
        <v>1101</v>
      </c>
      <c r="D564" s="185" t="s">
        <v>522</v>
      </c>
      <c r="E564" s="186" t="s">
        <v>906</v>
      </c>
      <c r="F564" s="186" t="s">
        <v>907</v>
      </c>
      <c r="G564" s="186" t="s">
        <v>1102</v>
      </c>
      <c r="H564" s="186" t="s">
        <v>1806</v>
      </c>
      <c r="I564" s="187" t="s">
        <v>1840</v>
      </c>
      <c r="J564" s="187" t="s">
        <v>1841</v>
      </c>
      <c r="K564" s="188"/>
      <c r="L564" s="188"/>
      <c r="M564" s="189" t="s">
        <v>807</v>
      </c>
      <c r="N564" s="190">
        <v>76.08</v>
      </c>
      <c r="O564" s="190">
        <f t="shared" si="64"/>
        <v>82.93</v>
      </c>
      <c r="P564" s="191">
        <f t="shared" si="65"/>
        <v>0</v>
      </c>
      <c r="Q564" s="192">
        <f t="shared" si="66"/>
        <v>0</v>
      </c>
      <c r="R564" s="193"/>
      <c r="S564" s="194"/>
      <c r="T564" s="195">
        <f t="shared" si="67"/>
        <v>0</v>
      </c>
      <c r="U564" s="195">
        <f t="shared" si="68"/>
        <v>0</v>
      </c>
      <c r="V564" s="195">
        <f t="shared" si="69"/>
        <v>0</v>
      </c>
      <c r="W564" s="196" t="e">
        <f t="shared" si="70"/>
        <v>#DIV/0!</v>
      </c>
      <c r="X564" s="197" t="e">
        <f t="shared" si="71"/>
        <v>#DIV/0!</v>
      </c>
      <c r="AG564" s="109" t="s">
        <v>1492</v>
      </c>
    </row>
    <row r="565" ht="11.4" customHeight="1" spans="1:34">
      <c r="A565" s="184" t="s">
        <v>1805</v>
      </c>
      <c r="B565" s="184" t="s">
        <v>127</v>
      </c>
      <c r="C565" s="184" t="s">
        <v>1101</v>
      </c>
      <c r="D565" s="185" t="s">
        <v>522</v>
      </c>
      <c r="E565" s="186" t="s">
        <v>906</v>
      </c>
      <c r="F565" s="186" t="s">
        <v>907</v>
      </c>
      <c r="G565" s="186" t="s">
        <v>1102</v>
      </c>
      <c r="H565" s="186" t="s">
        <v>1806</v>
      </c>
      <c r="I565" s="187" t="s">
        <v>1495</v>
      </c>
      <c r="J565" s="187" t="s">
        <v>1496</v>
      </c>
      <c r="K565" s="188"/>
      <c r="L565" s="188"/>
      <c r="M565" s="189" t="s">
        <v>807</v>
      </c>
      <c r="N565" s="190">
        <v>114.14</v>
      </c>
      <c r="O565" s="190">
        <f t="shared" si="64"/>
        <v>124.41</v>
      </c>
      <c r="P565" s="191">
        <f t="shared" si="65"/>
        <v>0</v>
      </c>
      <c r="Q565" s="192">
        <f t="shared" si="66"/>
        <v>0</v>
      </c>
      <c r="R565" s="193"/>
      <c r="S565" s="194"/>
      <c r="T565" s="195">
        <f t="shared" si="67"/>
        <v>0</v>
      </c>
      <c r="U565" s="195">
        <f t="shared" si="68"/>
        <v>0</v>
      </c>
      <c r="V565" s="195">
        <f t="shared" si="69"/>
        <v>0</v>
      </c>
      <c r="W565" s="196" t="e">
        <f t="shared" si="70"/>
        <v>#DIV/0!</v>
      </c>
      <c r="X565" s="197" t="e">
        <f t="shared" si="71"/>
        <v>#DIV/0!</v>
      </c>
      <c r="AG565" s="109" t="s">
        <v>1492</v>
      </c>
    </row>
    <row r="566" ht="11.4" customHeight="1" spans="1:34">
      <c r="A566" s="184" t="s">
        <v>1805</v>
      </c>
      <c r="B566" s="184" t="s">
        <v>127</v>
      </c>
      <c r="C566" s="184" t="s">
        <v>1101</v>
      </c>
      <c r="D566" s="185" t="s">
        <v>522</v>
      </c>
      <c r="E566" s="186" t="s">
        <v>906</v>
      </c>
      <c r="F566" s="186" t="s">
        <v>907</v>
      </c>
      <c r="G566" s="186" t="s">
        <v>1102</v>
      </c>
      <c r="H566" s="186" t="s">
        <v>1806</v>
      </c>
      <c r="I566" s="187" t="s">
        <v>1842</v>
      </c>
      <c r="J566" s="187" t="s">
        <v>1843</v>
      </c>
      <c r="K566" s="188"/>
      <c r="L566" s="188"/>
      <c r="M566" s="189" t="s">
        <v>847</v>
      </c>
      <c r="N566" s="190">
        <v>46.31</v>
      </c>
      <c r="O566" s="190">
        <f t="shared" si="64"/>
        <v>50.48</v>
      </c>
      <c r="P566" s="191">
        <f t="shared" si="65"/>
        <v>0</v>
      </c>
      <c r="Q566" s="192">
        <f t="shared" si="66"/>
        <v>0</v>
      </c>
      <c r="R566" s="193"/>
      <c r="S566" s="194"/>
      <c r="T566" s="195">
        <f t="shared" si="67"/>
        <v>0</v>
      </c>
      <c r="U566" s="195">
        <f t="shared" si="68"/>
        <v>0</v>
      </c>
      <c r="V566" s="195">
        <f t="shared" si="69"/>
        <v>0</v>
      </c>
      <c r="W566" s="196" t="e">
        <f t="shared" si="70"/>
        <v>#DIV/0!</v>
      </c>
      <c r="X566" s="197" t="e">
        <f t="shared" si="71"/>
        <v>#DIV/0!</v>
      </c>
      <c r="AG566" s="109" t="s">
        <v>883</v>
      </c>
    </row>
    <row r="567" ht="11.4" customHeight="1" spans="1:34">
      <c r="A567" s="184" t="s">
        <v>1805</v>
      </c>
      <c r="B567" s="184" t="s">
        <v>127</v>
      </c>
      <c r="C567" s="184" t="s">
        <v>1101</v>
      </c>
      <c r="D567" s="185" t="s">
        <v>522</v>
      </c>
      <c r="E567" s="186" t="s">
        <v>906</v>
      </c>
      <c r="F567" s="186" t="s">
        <v>907</v>
      </c>
      <c r="G567" s="186" t="s">
        <v>1102</v>
      </c>
      <c r="H567" s="186" t="s">
        <v>1806</v>
      </c>
      <c r="I567" s="187" t="s">
        <v>1844</v>
      </c>
      <c r="J567" s="187" t="s">
        <v>1845</v>
      </c>
      <c r="K567" s="188"/>
      <c r="L567" s="188"/>
      <c r="M567" s="189" t="s">
        <v>847</v>
      </c>
      <c r="N567" s="190">
        <v>284.15</v>
      </c>
      <c r="O567" s="190">
        <f t="shared" si="64"/>
        <v>309.72</v>
      </c>
      <c r="P567" s="191">
        <f t="shared" si="65"/>
        <v>0</v>
      </c>
      <c r="Q567" s="192">
        <f t="shared" si="66"/>
        <v>0</v>
      </c>
      <c r="R567" s="193"/>
      <c r="S567" s="194"/>
      <c r="T567" s="195">
        <f t="shared" si="67"/>
        <v>0</v>
      </c>
      <c r="U567" s="195">
        <f t="shared" si="68"/>
        <v>0</v>
      </c>
      <c r="V567" s="195">
        <f t="shared" si="69"/>
        <v>0</v>
      </c>
      <c r="W567" s="196" t="e">
        <f t="shared" si="70"/>
        <v>#DIV/0!</v>
      </c>
      <c r="X567" s="197" t="e">
        <f t="shared" si="71"/>
        <v>#DIV/0!</v>
      </c>
      <c r="AG567" s="219" t="s">
        <v>1428</v>
      </c>
    </row>
    <row r="568" ht="11.4" customHeight="1" spans="1:34">
      <c r="A568" s="184" t="s">
        <v>1805</v>
      </c>
      <c r="B568" s="184" t="s">
        <v>127</v>
      </c>
      <c r="C568" s="184" t="s">
        <v>1101</v>
      </c>
      <c r="D568" s="185" t="s">
        <v>522</v>
      </c>
      <c r="E568" s="186" t="s">
        <v>906</v>
      </c>
      <c r="F568" s="186" t="s">
        <v>907</v>
      </c>
      <c r="G568" s="186" t="s">
        <v>1102</v>
      </c>
      <c r="H568" s="186" t="s">
        <v>1806</v>
      </c>
      <c r="I568" s="187" t="s">
        <v>1846</v>
      </c>
      <c r="J568" s="187" t="s">
        <v>1847</v>
      </c>
      <c r="K568" s="188"/>
      <c r="L568" s="188"/>
      <c r="M568" s="189" t="s">
        <v>847</v>
      </c>
      <c r="N568" s="190">
        <v>648</v>
      </c>
      <c r="O568" s="190">
        <f t="shared" si="64"/>
        <v>706.32</v>
      </c>
      <c r="P568" s="191">
        <f t="shared" si="65"/>
        <v>0</v>
      </c>
      <c r="Q568" s="192">
        <f t="shared" si="66"/>
        <v>0</v>
      </c>
      <c r="R568" s="193"/>
      <c r="S568" s="194"/>
      <c r="T568" s="195">
        <f t="shared" si="67"/>
        <v>0</v>
      </c>
      <c r="U568" s="195">
        <f t="shared" si="68"/>
        <v>0</v>
      </c>
      <c r="V568" s="195">
        <f t="shared" si="69"/>
        <v>0</v>
      </c>
      <c r="W568" s="196" t="e">
        <f t="shared" si="70"/>
        <v>#DIV/0!</v>
      </c>
      <c r="X568" s="197" t="e">
        <f t="shared" si="71"/>
        <v>#DIV/0!</v>
      </c>
      <c r="AG568" s="219" t="s">
        <v>1428</v>
      </c>
    </row>
    <row r="569" ht="11.4" customHeight="1" spans="1:34">
      <c r="A569" s="184" t="s">
        <v>1805</v>
      </c>
      <c r="B569" s="184" t="s">
        <v>127</v>
      </c>
      <c r="C569" s="184" t="s">
        <v>1101</v>
      </c>
      <c r="D569" s="185" t="s">
        <v>522</v>
      </c>
      <c r="E569" s="186" t="s">
        <v>906</v>
      </c>
      <c r="F569" s="186" t="s">
        <v>907</v>
      </c>
      <c r="G569" s="186" t="s">
        <v>1102</v>
      </c>
      <c r="H569" s="186" t="s">
        <v>1806</v>
      </c>
      <c r="I569" s="187" t="s">
        <v>1848</v>
      </c>
      <c r="J569" s="187" t="s">
        <v>1849</v>
      </c>
      <c r="K569" s="188"/>
      <c r="L569" s="188"/>
      <c r="M569" s="189" t="s">
        <v>807</v>
      </c>
      <c r="N569" s="190">
        <v>75.27</v>
      </c>
      <c r="O569" s="190">
        <f t="shared" si="64"/>
        <v>82.04</v>
      </c>
      <c r="P569" s="191">
        <f t="shared" si="65"/>
        <v>0</v>
      </c>
      <c r="Q569" s="192">
        <f t="shared" si="66"/>
        <v>0</v>
      </c>
      <c r="R569" s="193"/>
      <c r="S569" s="194"/>
      <c r="T569" s="195">
        <f t="shared" si="67"/>
        <v>0</v>
      </c>
      <c r="U569" s="195">
        <f t="shared" si="68"/>
        <v>0</v>
      </c>
      <c r="V569" s="195">
        <f t="shared" si="69"/>
        <v>0</v>
      </c>
      <c r="W569" s="196" t="e">
        <f t="shared" si="70"/>
        <v>#DIV/0!</v>
      </c>
      <c r="X569" s="197" t="e">
        <f t="shared" si="71"/>
        <v>#DIV/0!</v>
      </c>
      <c r="AG569" s="219" t="s">
        <v>1850</v>
      </c>
    </row>
    <row r="570" ht="11.4" customHeight="1" spans="1:34">
      <c r="A570" s="184" t="s">
        <v>1805</v>
      </c>
      <c r="B570" s="184" t="s">
        <v>127</v>
      </c>
      <c r="C570" s="184" t="s">
        <v>1101</v>
      </c>
      <c r="D570" s="185" t="s">
        <v>522</v>
      </c>
      <c r="E570" s="186" t="s">
        <v>906</v>
      </c>
      <c r="F570" s="186" t="s">
        <v>907</v>
      </c>
      <c r="G570" s="186" t="s">
        <v>1102</v>
      </c>
      <c r="H570" s="186" t="s">
        <v>1806</v>
      </c>
      <c r="I570" s="187" t="s">
        <v>1851</v>
      </c>
      <c r="J570" s="187" t="s">
        <v>1852</v>
      </c>
      <c r="K570" s="188"/>
      <c r="L570" s="188"/>
      <c r="M570" s="189" t="s">
        <v>807</v>
      </c>
      <c r="N570" s="190">
        <v>845.78</v>
      </c>
      <c r="O570" s="190">
        <f t="shared" si="64"/>
        <v>921.9</v>
      </c>
      <c r="P570" s="191">
        <f t="shared" si="65"/>
        <v>0</v>
      </c>
      <c r="Q570" s="192">
        <f t="shared" si="66"/>
        <v>0</v>
      </c>
      <c r="R570" s="193"/>
      <c r="S570" s="194"/>
      <c r="T570" s="195">
        <f t="shared" si="67"/>
        <v>0</v>
      </c>
      <c r="U570" s="195">
        <f t="shared" si="68"/>
        <v>0</v>
      </c>
      <c r="V570" s="195">
        <f t="shared" si="69"/>
        <v>0</v>
      </c>
      <c r="W570" s="196" t="e">
        <f t="shared" si="70"/>
        <v>#DIV/0!</v>
      </c>
      <c r="X570" s="197" t="e">
        <f t="shared" si="71"/>
        <v>#DIV/0!</v>
      </c>
      <c r="AG570" s="219" t="s">
        <v>1853</v>
      </c>
    </row>
    <row r="571" ht="11.4" customHeight="1" spans="1:34">
      <c r="A571" s="184" t="s">
        <v>1805</v>
      </c>
      <c r="B571" s="184" t="s">
        <v>127</v>
      </c>
      <c r="C571" s="184" t="s">
        <v>1101</v>
      </c>
      <c r="D571" s="185" t="s">
        <v>522</v>
      </c>
      <c r="E571" s="186" t="s">
        <v>906</v>
      </c>
      <c r="F571" s="186" t="s">
        <v>907</v>
      </c>
      <c r="G571" s="186" t="s">
        <v>1102</v>
      </c>
      <c r="H571" s="186" t="s">
        <v>1806</v>
      </c>
      <c r="I571" s="187" t="s">
        <v>1854</v>
      </c>
      <c r="J571" s="187" t="s">
        <v>1855</v>
      </c>
      <c r="K571" s="188">
        <v>1</v>
      </c>
      <c r="L571" s="188">
        <v>1</v>
      </c>
      <c r="M571" s="189" t="s">
        <v>1018</v>
      </c>
      <c r="N571" s="190">
        <v>658.89</v>
      </c>
      <c r="O571" s="190">
        <f t="shared" si="64"/>
        <v>718.19</v>
      </c>
      <c r="P571" s="191">
        <f t="shared" si="65"/>
        <v>658.89</v>
      </c>
      <c r="Q571" s="192">
        <f t="shared" si="66"/>
        <v>658.89</v>
      </c>
      <c r="R571" s="193"/>
      <c r="S571" s="194"/>
      <c r="T571" s="195">
        <f t="shared" si="67"/>
        <v>0</v>
      </c>
      <c r="U571" s="195">
        <f t="shared" si="68"/>
        <v>0</v>
      </c>
      <c r="V571" s="195">
        <f t="shared" si="69"/>
        <v>0</v>
      </c>
      <c r="W571" s="196">
        <f t="shared" si="70"/>
        <v>0</v>
      </c>
      <c r="X571" s="197">
        <f t="shared" si="71"/>
        <v>0</v>
      </c>
      <c r="AG571" s="219" t="s">
        <v>990</v>
      </c>
    </row>
    <row r="572" ht="11.4" customHeight="1" spans="1:34">
      <c r="A572" s="184" t="s">
        <v>1805</v>
      </c>
      <c r="B572" s="184" t="s">
        <v>127</v>
      </c>
      <c r="C572" s="184" t="s">
        <v>1101</v>
      </c>
      <c r="D572" s="185" t="s">
        <v>522</v>
      </c>
      <c r="E572" s="186" t="s">
        <v>906</v>
      </c>
      <c r="F572" s="186" t="s">
        <v>907</v>
      </c>
      <c r="G572" s="186" t="s">
        <v>1102</v>
      </c>
      <c r="H572" s="186" t="s">
        <v>1806</v>
      </c>
      <c r="I572" s="187" t="s">
        <v>1856</v>
      </c>
      <c r="J572" s="187" t="s">
        <v>1857</v>
      </c>
      <c r="K572" s="188">
        <v>1</v>
      </c>
      <c r="L572" s="188">
        <v>1</v>
      </c>
      <c r="M572" s="189" t="s">
        <v>793</v>
      </c>
      <c r="N572" s="190">
        <v>1160</v>
      </c>
      <c r="O572" s="190">
        <f t="shared" si="64"/>
        <v>1264.4</v>
      </c>
      <c r="P572" s="191">
        <f t="shared" si="65"/>
        <v>1160</v>
      </c>
      <c r="Q572" s="192">
        <f t="shared" si="66"/>
        <v>1160</v>
      </c>
      <c r="R572" s="193"/>
      <c r="S572" s="194"/>
      <c r="T572" s="195">
        <f t="shared" si="67"/>
        <v>0</v>
      </c>
      <c r="U572" s="195">
        <f t="shared" si="68"/>
        <v>0</v>
      </c>
      <c r="V572" s="195">
        <f t="shared" si="69"/>
        <v>0</v>
      </c>
      <c r="W572" s="196">
        <f t="shared" si="70"/>
        <v>0</v>
      </c>
      <c r="X572" s="197">
        <f t="shared" si="71"/>
        <v>0</v>
      </c>
      <c r="AG572" s="219" t="s">
        <v>990</v>
      </c>
    </row>
    <row r="573" ht="11.4" customHeight="1" spans="1:34">
      <c r="A573" s="184" t="s">
        <v>1805</v>
      </c>
      <c r="B573" s="184" t="s">
        <v>127</v>
      </c>
      <c r="C573" s="184" t="s">
        <v>1101</v>
      </c>
      <c r="D573" s="185" t="s">
        <v>522</v>
      </c>
      <c r="E573" s="186" t="s">
        <v>906</v>
      </c>
      <c r="F573" s="186" t="s">
        <v>907</v>
      </c>
      <c r="G573" s="186" t="s">
        <v>1102</v>
      </c>
      <c r="H573" s="186" t="s">
        <v>1806</v>
      </c>
      <c r="I573" s="187" t="s">
        <v>1858</v>
      </c>
      <c r="J573" s="187" t="s">
        <v>1859</v>
      </c>
      <c r="K573" s="188">
        <v>0.82</v>
      </c>
      <c r="L573" s="188">
        <v>0.82</v>
      </c>
      <c r="M573" s="189" t="s">
        <v>847</v>
      </c>
      <c r="N573" s="190">
        <v>54</v>
      </c>
      <c r="O573" s="190">
        <f t="shared" si="64"/>
        <v>58.86</v>
      </c>
      <c r="P573" s="191">
        <f t="shared" si="65"/>
        <v>44.28</v>
      </c>
      <c r="Q573" s="192">
        <f t="shared" si="66"/>
        <v>44.28</v>
      </c>
      <c r="R573" s="193"/>
      <c r="S573" s="194"/>
      <c r="T573" s="195">
        <f t="shared" si="67"/>
        <v>0</v>
      </c>
      <c r="U573" s="195">
        <f t="shared" si="68"/>
        <v>0</v>
      </c>
      <c r="V573" s="195">
        <f t="shared" si="69"/>
        <v>0</v>
      </c>
      <c r="W573" s="196">
        <f t="shared" si="70"/>
        <v>0</v>
      </c>
      <c r="X573" s="197">
        <f t="shared" si="71"/>
        <v>0</v>
      </c>
      <c r="AG573" s="219" t="s">
        <v>865</v>
      </c>
    </row>
    <row r="574" ht="11.4" customHeight="1" spans="1:34">
      <c r="A574" s="184" t="s">
        <v>1805</v>
      </c>
      <c r="B574" s="184" t="s">
        <v>127</v>
      </c>
      <c r="C574" s="184" t="s">
        <v>1101</v>
      </c>
      <c r="D574" s="185" t="s">
        <v>522</v>
      </c>
      <c r="E574" s="186" t="s">
        <v>906</v>
      </c>
      <c r="F574" s="186" t="s">
        <v>907</v>
      </c>
      <c r="G574" s="186" t="s">
        <v>1102</v>
      </c>
      <c r="H574" s="186" t="s">
        <v>1806</v>
      </c>
      <c r="I574" s="187" t="s">
        <v>1860</v>
      </c>
      <c r="J574" s="187" t="s">
        <v>1861</v>
      </c>
      <c r="K574" s="188"/>
      <c r="L574" s="188"/>
      <c r="M574" s="189" t="s">
        <v>847</v>
      </c>
      <c r="N574" s="190">
        <v>89.42</v>
      </c>
      <c r="O574" s="190">
        <f t="shared" si="64"/>
        <v>97.47</v>
      </c>
      <c r="P574" s="191">
        <f t="shared" si="65"/>
        <v>0</v>
      </c>
      <c r="Q574" s="192">
        <f t="shared" si="66"/>
        <v>0</v>
      </c>
      <c r="R574" s="193"/>
      <c r="S574" s="194"/>
      <c r="T574" s="195">
        <f t="shared" si="67"/>
        <v>0</v>
      </c>
      <c r="U574" s="195">
        <f t="shared" si="68"/>
        <v>0</v>
      </c>
      <c r="V574" s="195">
        <f t="shared" si="69"/>
        <v>0</v>
      </c>
      <c r="W574" s="196" t="e">
        <f t="shared" si="70"/>
        <v>#DIV/0!</v>
      </c>
      <c r="X574" s="197" t="e">
        <f t="shared" si="71"/>
        <v>#DIV/0!</v>
      </c>
      <c r="AG574" s="219" t="s">
        <v>865</v>
      </c>
    </row>
    <row r="575" ht="11.4" customHeight="1" spans="1:34">
      <c r="A575" s="184" t="s">
        <v>1805</v>
      </c>
      <c r="B575" s="184" t="s">
        <v>127</v>
      </c>
      <c r="C575" s="184" t="s">
        <v>1101</v>
      </c>
      <c r="D575" s="185" t="s">
        <v>522</v>
      </c>
      <c r="E575" s="186" t="s">
        <v>906</v>
      </c>
      <c r="F575" s="186" t="s">
        <v>907</v>
      </c>
      <c r="G575" s="186" t="s">
        <v>1102</v>
      </c>
      <c r="H575" s="186" t="s">
        <v>1806</v>
      </c>
      <c r="I575" s="187" t="s">
        <v>1862</v>
      </c>
      <c r="J575" s="187" t="s">
        <v>1863</v>
      </c>
      <c r="K575" s="188"/>
      <c r="L575" s="188"/>
      <c r="M575" s="189" t="s">
        <v>847</v>
      </c>
      <c r="N575" s="190">
        <v>85.02</v>
      </c>
      <c r="O575" s="190">
        <f t="shared" si="64"/>
        <v>92.67</v>
      </c>
      <c r="P575" s="191">
        <f t="shared" si="65"/>
        <v>0</v>
      </c>
      <c r="Q575" s="192">
        <f t="shared" si="66"/>
        <v>0</v>
      </c>
      <c r="R575" s="193"/>
      <c r="S575" s="194"/>
      <c r="T575" s="195">
        <f t="shared" si="67"/>
        <v>0</v>
      </c>
      <c r="U575" s="195">
        <f t="shared" si="68"/>
        <v>0</v>
      </c>
      <c r="V575" s="195">
        <f t="shared" si="69"/>
        <v>0</v>
      </c>
      <c r="W575" s="196" t="e">
        <f t="shared" si="70"/>
        <v>#DIV/0!</v>
      </c>
      <c r="X575" s="197" t="e">
        <f t="shared" si="71"/>
        <v>#DIV/0!</v>
      </c>
      <c r="AG575" s="219" t="s">
        <v>865</v>
      </c>
    </row>
    <row r="576" ht="11.4" customHeight="1" spans="1:34">
      <c r="A576" s="184" t="s">
        <v>1805</v>
      </c>
      <c r="B576" s="184" t="s">
        <v>127</v>
      </c>
      <c r="C576" s="184" t="s">
        <v>1101</v>
      </c>
      <c r="D576" s="185" t="s">
        <v>522</v>
      </c>
      <c r="E576" s="186" t="s">
        <v>906</v>
      </c>
      <c r="F576" s="186" t="s">
        <v>907</v>
      </c>
      <c r="G576" s="186" t="s">
        <v>1102</v>
      </c>
      <c r="H576" s="186" t="s">
        <v>1806</v>
      </c>
      <c r="I576" s="187" t="s">
        <v>1864</v>
      </c>
      <c r="J576" s="187" t="s">
        <v>1865</v>
      </c>
      <c r="K576" s="188"/>
      <c r="L576" s="188"/>
      <c r="M576" s="189" t="s">
        <v>847</v>
      </c>
      <c r="N576" s="190">
        <v>93.63</v>
      </c>
      <c r="O576" s="190">
        <f t="shared" si="64"/>
        <v>102.06</v>
      </c>
      <c r="P576" s="191">
        <f t="shared" si="65"/>
        <v>0</v>
      </c>
      <c r="Q576" s="192">
        <f t="shared" si="66"/>
        <v>0</v>
      </c>
      <c r="R576" s="193"/>
      <c r="S576" s="194"/>
      <c r="T576" s="195">
        <f t="shared" si="67"/>
        <v>0</v>
      </c>
      <c r="U576" s="195">
        <f t="shared" si="68"/>
        <v>0</v>
      </c>
      <c r="V576" s="195">
        <f t="shared" si="69"/>
        <v>0</v>
      </c>
      <c r="W576" s="196" t="e">
        <f t="shared" si="70"/>
        <v>#DIV/0!</v>
      </c>
      <c r="X576" s="197" t="e">
        <f t="shared" si="71"/>
        <v>#DIV/0!</v>
      </c>
      <c r="AG576" s="219"/>
      <c r="AH576" s="219" t="s">
        <v>892</v>
      </c>
    </row>
    <row r="577" ht="11.4" customHeight="1" spans="1:34">
      <c r="A577" s="184" t="s">
        <v>1805</v>
      </c>
      <c r="B577" s="184" t="s">
        <v>127</v>
      </c>
      <c r="C577" s="184" t="s">
        <v>1101</v>
      </c>
      <c r="D577" s="185" t="s">
        <v>522</v>
      </c>
      <c r="E577" s="186" t="s">
        <v>906</v>
      </c>
      <c r="F577" s="186" t="s">
        <v>907</v>
      </c>
      <c r="G577" s="186" t="s">
        <v>1102</v>
      </c>
      <c r="H577" s="186" t="s">
        <v>1806</v>
      </c>
      <c r="I577" s="187" t="s">
        <v>1866</v>
      </c>
      <c r="J577" s="187" t="s">
        <v>1867</v>
      </c>
      <c r="K577" s="188"/>
      <c r="L577" s="188"/>
      <c r="M577" s="189" t="s">
        <v>1018</v>
      </c>
      <c r="N577" s="190">
        <v>14.17</v>
      </c>
      <c r="O577" s="190">
        <f t="shared" si="64"/>
        <v>15.45</v>
      </c>
      <c r="P577" s="191">
        <f t="shared" si="65"/>
        <v>0</v>
      </c>
      <c r="Q577" s="192">
        <f t="shared" si="66"/>
        <v>0</v>
      </c>
      <c r="R577" s="193"/>
      <c r="S577" s="194"/>
      <c r="T577" s="195">
        <f t="shared" si="67"/>
        <v>0</v>
      </c>
      <c r="U577" s="195">
        <f t="shared" si="68"/>
        <v>0</v>
      </c>
      <c r="V577" s="195">
        <f t="shared" si="69"/>
        <v>0</v>
      </c>
      <c r="W577" s="196" t="e">
        <f t="shared" si="70"/>
        <v>#DIV/0!</v>
      </c>
      <c r="X577" s="197" t="e">
        <f t="shared" si="71"/>
        <v>#DIV/0!</v>
      </c>
      <c r="AG577" s="219" t="s">
        <v>990</v>
      </c>
    </row>
    <row r="578" ht="11.4" customHeight="1" spans="1:34">
      <c r="A578" s="184" t="s">
        <v>1805</v>
      </c>
      <c r="B578" s="184" t="s">
        <v>127</v>
      </c>
      <c r="C578" s="184" t="s">
        <v>1101</v>
      </c>
      <c r="D578" s="185" t="s">
        <v>522</v>
      </c>
      <c r="E578" s="186" t="s">
        <v>906</v>
      </c>
      <c r="F578" s="186" t="s">
        <v>907</v>
      </c>
      <c r="G578" s="186" t="s">
        <v>1102</v>
      </c>
      <c r="H578" s="186" t="s">
        <v>1806</v>
      </c>
      <c r="I578" s="187" t="s">
        <v>1868</v>
      </c>
      <c r="J578" s="187" t="s">
        <v>1869</v>
      </c>
      <c r="K578" s="188"/>
      <c r="L578" s="188"/>
      <c r="M578" s="189" t="s">
        <v>989</v>
      </c>
      <c r="N578" s="190">
        <v>794.43</v>
      </c>
      <c r="O578" s="190">
        <f t="shared" si="64"/>
        <v>865.93</v>
      </c>
      <c r="P578" s="191">
        <f t="shared" si="65"/>
        <v>0</v>
      </c>
      <c r="Q578" s="192">
        <f t="shared" si="66"/>
        <v>0</v>
      </c>
      <c r="R578" s="193"/>
      <c r="S578" s="194"/>
      <c r="T578" s="195">
        <f t="shared" si="67"/>
        <v>0</v>
      </c>
      <c r="U578" s="195">
        <f t="shared" si="68"/>
        <v>0</v>
      </c>
      <c r="V578" s="195">
        <f t="shared" si="69"/>
        <v>0</v>
      </c>
      <c r="W578" s="196" t="e">
        <f t="shared" si="70"/>
        <v>#DIV/0!</v>
      </c>
      <c r="X578" s="197" t="e">
        <f t="shared" si="71"/>
        <v>#DIV/0!</v>
      </c>
      <c r="AG578" s="219" t="s">
        <v>990</v>
      </c>
    </row>
    <row r="579" ht="11.4" customHeight="1" spans="1:34">
      <c r="A579" s="184" t="s">
        <v>1805</v>
      </c>
      <c r="B579" s="184" t="s">
        <v>127</v>
      </c>
      <c r="C579" s="184" t="s">
        <v>1101</v>
      </c>
      <c r="D579" s="185" t="s">
        <v>522</v>
      </c>
      <c r="E579" s="186" t="s">
        <v>906</v>
      </c>
      <c r="F579" s="186" t="s">
        <v>907</v>
      </c>
      <c r="G579" s="186" t="s">
        <v>1102</v>
      </c>
      <c r="H579" s="186" t="s">
        <v>1806</v>
      </c>
      <c r="I579" s="187" t="s">
        <v>1870</v>
      </c>
      <c r="J579" s="187" t="s">
        <v>1871</v>
      </c>
      <c r="K579" s="188"/>
      <c r="L579" s="188"/>
      <c r="M579" s="189" t="s">
        <v>989</v>
      </c>
      <c r="N579" s="190">
        <v>1467.85</v>
      </c>
      <c r="O579" s="190">
        <f t="shared" si="64"/>
        <v>1599.96</v>
      </c>
      <c r="P579" s="191">
        <f t="shared" si="65"/>
        <v>0</v>
      </c>
      <c r="Q579" s="192">
        <f t="shared" si="66"/>
        <v>0</v>
      </c>
      <c r="R579" s="193"/>
      <c r="S579" s="194"/>
      <c r="T579" s="195">
        <f t="shared" si="67"/>
        <v>0</v>
      </c>
      <c r="U579" s="195">
        <f t="shared" si="68"/>
        <v>0</v>
      </c>
      <c r="V579" s="195">
        <f t="shared" si="69"/>
        <v>0</v>
      </c>
      <c r="W579" s="196" t="e">
        <f t="shared" si="70"/>
        <v>#DIV/0!</v>
      </c>
      <c r="X579" s="197" t="e">
        <f t="shared" si="71"/>
        <v>#DIV/0!</v>
      </c>
      <c r="AG579" s="219" t="s">
        <v>990</v>
      </c>
    </row>
    <row r="580" ht="11.4" customHeight="1" spans="1:34">
      <c r="A580" s="184" t="s">
        <v>1805</v>
      </c>
      <c r="B580" s="184" t="s">
        <v>127</v>
      </c>
      <c r="C580" s="184" t="s">
        <v>1101</v>
      </c>
      <c r="D580" s="185" t="s">
        <v>522</v>
      </c>
      <c r="E580" s="186" t="s">
        <v>906</v>
      </c>
      <c r="F580" s="186" t="s">
        <v>907</v>
      </c>
      <c r="G580" s="186" t="s">
        <v>1102</v>
      </c>
      <c r="H580" s="186" t="s">
        <v>1806</v>
      </c>
      <c r="I580" s="187" t="s">
        <v>1872</v>
      </c>
      <c r="J580" s="187" t="s">
        <v>1873</v>
      </c>
      <c r="K580" s="188">
        <v>1</v>
      </c>
      <c r="L580" s="188">
        <v>1</v>
      </c>
      <c r="M580" s="189" t="s">
        <v>793</v>
      </c>
      <c r="N580" s="190">
        <v>1545.16</v>
      </c>
      <c r="O580" s="190">
        <f t="shared" si="64"/>
        <v>1684.22</v>
      </c>
      <c r="P580" s="191">
        <f t="shared" si="65"/>
        <v>1545.16</v>
      </c>
      <c r="Q580" s="192">
        <f t="shared" si="66"/>
        <v>1545.16</v>
      </c>
      <c r="R580" s="193"/>
      <c r="S580" s="194"/>
      <c r="T580" s="195">
        <f t="shared" si="67"/>
        <v>0</v>
      </c>
      <c r="U580" s="195">
        <f t="shared" si="68"/>
        <v>0</v>
      </c>
      <c r="V580" s="195">
        <f t="shared" si="69"/>
        <v>0</v>
      </c>
      <c r="W580" s="196">
        <f t="shared" si="70"/>
        <v>0</v>
      </c>
      <c r="X580" s="197">
        <f t="shared" si="71"/>
        <v>0</v>
      </c>
      <c r="AH580" s="109" t="s">
        <v>1773</v>
      </c>
    </row>
    <row r="581" ht="11.4" customHeight="1" spans="1:34">
      <c r="A581" s="184" t="s">
        <v>1805</v>
      </c>
      <c r="B581" s="184" t="s">
        <v>109</v>
      </c>
      <c r="C581" s="184" t="s">
        <v>1101</v>
      </c>
      <c r="D581" s="185" t="s">
        <v>522</v>
      </c>
      <c r="E581" s="186" t="s">
        <v>906</v>
      </c>
      <c r="F581" s="186" t="s">
        <v>907</v>
      </c>
      <c r="G581" s="186" t="s">
        <v>1102</v>
      </c>
      <c r="H581" s="186" t="s">
        <v>1806</v>
      </c>
      <c r="I581" s="187" t="s">
        <v>1874</v>
      </c>
      <c r="J581" s="187" t="s">
        <v>1875</v>
      </c>
      <c r="K581" s="188"/>
      <c r="L581" s="188"/>
      <c r="M581" s="189" t="s">
        <v>1778</v>
      </c>
      <c r="N581" s="190">
        <v>899</v>
      </c>
      <c r="O581" s="190">
        <f t="shared" si="64"/>
        <v>979.91</v>
      </c>
      <c r="P581" s="191">
        <f t="shared" si="65"/>
        <v>0</v>
      </c>
      <c r="Q581" s="192">
        <f t="shared" si="66"/>
        <v>0</v>
      </c>
      <c r="R581" s="193"/>
      <c r="S581" s="194"/>
      <c r="T581" s="195">
        <f t="shared" si="67"/>
        <v>0</v>
      </c>
      <c r="U581" s="195">
        <f t="shared" si="68"/>
        <v>0</v>
      </c>
      <c r="V581" s="195">
        <f t="shared" si="69"/>
        <v>0</v>
      </c>
      <c r="W581" s="196" t="e">
        <f t="shared" si="70"/>
        <v>#DIV/0!</v>
      </c>
      <c r="X581" s="197" t="e">
        <f t="shared" si="71"/>
        <v>#DIV/0!</v>
      </c>
      <c r="AH581" s="109" t="s">
        <v>1585</v>
      </c>
    </row>
    <row r="582" ht="11.4" customHeight="1" spans="1:34">
      <c r="A582" s="184" t="s">
        <v>1805</v>
      </c>
      <c r="B582" s="184" t="s">
        <v>127</v>
      </c>
      <c r="C582" s="184" t="s">
        <v>1101</v>
      </c>
      <c r="D582" s="185" t="s">
        <v>522</v>
      </c>
      <c r="E582" s="186" t="s">
        <v>906</v>
      </c>
      <c r="F582" s="186" t="s">
        <v>907</v>
      </c>
      <c r="G582" s="186" t="s">
        <v>1102</v>
      </c>
      <c r="H582" s="186" t="s">
        <v>1806</v>
      </c>
      <c r="I582" s="187" t="s">
        <v>1876</v>
      </c>
      <c r="J582" s="187" t="s">
        <v>1877</v>
      </c>
      <c r="K582" s="188"/>
      <c r="L582" s="188"/>
      <c r="M582" s="189" t="s">
        <v>847</v>
      </c>
      <c r="N582" s="190">
        <v>45.72</v>
      </c>
      <c r="O582" s="190">
        <f t="shared" si="64"/>
        <v>49.83</v>
      </c>
      <c r="P582" s="191">
        <f t="shared" si="65"/>
        <v>0</v>
      </c>
      <c r="Q582" s="192">
        <f t="shared" si="66"/>
        <v>0</v>
      </c>
      <c r="R582" s="193"/>
      <c r="S582" s="194"/>
      <c r="T582" s="195">
        <f t="shared" si="67"/>
        <v>0</v>
      </c>
      <c r="U582" s="195">
        <f t="shared" si="68"/>
        <v>0</v>
      </c>
      <c r="V582" s="195">
        <f t="shared" si="69"/>
        <v>0</v>
      </c>
      <c r="W582" s="196" t="e">
        <f t="shared" si="70"/>
        <v>#DIV/0!</v>
      </c>
      <c r="X582" s="197" t="e">
        <f t="shared" si="71"/>
        <v>#DIV/0!</v>
      </c>
      <c r="AG582" s="109" t="s">
        <v>1878</v>
      </c>
    </row>
    <row r="583" ht="11.4" customHeight="1" spans="1:34">
      <c r="A583" s="184" t="s">
        <v>1879</v>
      </c>
      <c r="B583" s="184" t="s">
        <v>139</v>
      </c>
      <c r="C583" s="184" t="s">
        <v>1880</v>
      </c>
      <c r="D583" s="185" t="s">
        <v>522</v>
      </c>
      <c r="E583" s="186" t="s">
        <v>906</v>
      </c>
      <c r="F583" s="186" t="s">
        <v>907</v>
      </c>
      <c r="G583" s="186" t="s">
        <v>1881</v>
      </c>
      <c r="H583" s="186" t="s">
        <v>1882</v>
      </c>
      <c r="I583" s="187" t="s">
        <v>1883</v>
      </c>
      <c r="J583" s="187" t="s">
        <v>1884</v>
      </c>
      <c r="K583" s="188">
        <v>1</v>
      </c>
      <c r="L583" s="188">
        <v>1</v>
      </c>
      <c r="M583" s="189" t="s">
        <v>793</v>
      </c>
      <c r="N583" s="190">
        <v>4237.59</v>
      </c>
      <c r="O583" s="190">
        <f t="shared" si="64"/>
        <v>4618.97</v>
      </c>
      <c r="P583" s="191">
        <f t="shared" si="65"/>
        <v>4237.59</v>
      </c>
      <c r="Q583" s="192">
        <f t="shared" si="66"/>
        <v>4237.59</v>
      </c>
      <c r="R583" s="193"/>
      <c r="S583" s="194"/>
      <c r="T583" s="195">
        <f t="shared" si="67"/>
        <v>0</v>
      </c>
      <c r="U583" s="195">
        <f t="shared" si="68"/>
        <v>0</v>
      </c>
      <c r="V583" s="195">
        <f t="shared" si="69"/>
        <v>0</v>
      </c>
      <c r="W583" s="196">
        <f t="shared" si="70"/>
        <v>0</v>
      </c>
      <c r="X583" s="197">
        <f t="shared" si="71"/>
        <v>0</v>
      </c>
      <c r="AH583" s="109" t="s">
        <v>1773</v>
      </c>
    </row>
    <row r="584" ht="11.4" customHeight="1" spans="1:34">
      <c r="A584" s="184" t="s">
        <v>1879</v>
      </c>
      <c r="B584" s="184" t="s">
        <v>139</v>
      </c>
      <c r="C584" s="184" t="s">
        <v>1880</v>
      </c>
      <c r="D584" s="185" t="s">
        <v>522</v>
      </c>
      <c r="E584" s="186" t="s">
        <v>906</v>
      </c>
      <c r="F584" s="186" t="s">
        <v>907</v>
      </c>
      <c r="G584" s="186" t="s">
        <v>1881</v>
      </c>
      <c r="H584" s="186" t="s">
        <v>1882</v>
      </c>
      <c r="I584" s="187" t="s">
        <v>1885</v>
      </c>
      <c r="J584" s="187" t="s">
        <v>1886</v>
      </c>
      <c r="K584" s="188"/>
      <c r="L584" s="188"/>
      <c r="M584" s="189" t="s">
        <v>793</v>
      </c>
      <c r="N584" s="190">
        <v>1859</v>
      </c>
      <c r="O584" s="190">
        <f t="shared" si="64"/>
        <v>2026.31</v>
      </c>
      <c r="P584" s="191">
        <f t="shared" si="65"/>
        <v>0</v>
      </c>
      <c r="Q584" s="192">
        <f t="shared" si="66"/>
        <v>0</v>
      </c>
      <c r="R584" s="193"/>
      <c r="S584" s="194"/>
      <c r="T584" s="195">
        <f t="shared" si="67"/>
        <v>0</v>
      </c>
      <c r="U584" s="195">
        <f t="shared" si="68"/>
        <v>0</v>
      </c>
      <c r="V584" s="195">
        <f t="shared" si="69"/>
        <v>0</v>
      </c>
      <c r="W584" s="196" t="e">
        <f t="shared" si="70"/>
        <v>#DIV/0!</v>
      </c>
      <c r="X584" s="197" t="e">
        <f t="shared" si="71"/>
        <v>#DIV/0!</v>
      </c>
      <c r="AH584" s="219" t="s">
        <v>794</v>
      </c>
    </row>
    <row r="585" ht="11.4" customHeight="1" spans="1:34">
      <c r="A585" s="184" t="s">
        <v>1879</v>
      </c>
      <c r="B585" s="184" t="s">
        <v>139</v>
      </c>
      <c r="C585" s="184" t="s">
        <v>1880</v>
      </c>
      <c r="D585" s="185" t="s">
        <v>522</v>
      </c>
      <c r="E585" s="186" t="s">
        <v>906</v>
      </c>
      <c r="F585" s="186" t="s">
        <v>907</v>
      </c>
      <c r="G585" s="186" t="s">
        <v>1881</v>
      </c>
      <c r="H585" s="186" t="s">
        <v>1882</v>
      </c>
      <c r="I585" s="187" t="s">
        <v>1887</v>
      </c>
      <c r="J585" s="187" t="s">
        <v>1888</v>
      </c>
      <c r="K585" s="188">
        <v>1</v>
      </c>
      <c r="L585" s="188">
        <v>1</v>
      </c>
      <c r="M585" s="189" t="s">
        <v>793</v>
      </c>
      <c r="N585" s="190">
        <v>1850</v>
      </c>
      <c r="O585" s="190">
        <f t="shared" si="64"/>
        <v>2016.5</v>
      </c>
      <c r="P585" s="191">
        <f t="shared" si="65"/>
        <v>1850</v>
      </c>
      <c r="Q585" s="192">
        <f t="shared" si="66"/>
        <v>1850</v>
      </c>
      <c r="R585" s="193"/>
      <c r="S585" s="194"/>
      <c r="T585" s="195">
        <f t="shared" si="67"/>
        <v>0</v>
      </c>
      <c r="U585" s="195">
        <f t="shared" si="68"/>
        <v>0</v>
      </c>
      <c r="V585" s="195">
        <f t="shared" si="69"/>
        <v>0</v>
      </c>
      <c r="W585" s="196">
        <f t="shared" si="70"/>
        <v>0</v>
      </c>
      <c r="X585" s="197">
        <f t="shared" si="71"/>
        <v>0</v>
      </c>
      <c r="AH585" s="109" t="s">
        <v>1773</v>
      </c>
    </row>
    <row r="586" ht="11.4" customHeight="1" spans="1:34">
      <c r="A586" s="184" t="s">
        <v>1879</v>
      </c>
      <c r="B586" s="184" t="s">
        <v>139</v>
      </c>
      <c r="C586" s="184" t="s">
        <v>1880</v>
      </c>
      <c r="D586" s="185" t="s">
        <v>522</v>
      </c>
      <c r="E586" s="186" t="s">
        <v>906</v>
      </c>
      <c r="F586" s="186" t="s">
        <v>907</v>
      </c>
      <c r="G586" s="186" t="s">
        <v>1881</v>
      </c>
      <c r="H586" s="186" t="s">
        <v>1882</v>
      </c>
      <c r="I586" s="187" t="s">
        <v>1889</v>
      </c>
      <c r="J586" s="187" t="s">
        <v>1890</v>
      </c>
      <c r="K586" s="188"/>
      <c r="L586" s="188"/>
      <c r="M586" s="189" t="s">
        <v>793</v>
      </c>
      <c r="N586" s="190"/>
      <c r="O586" s="190">
        <f t="shared" si="64"/>
        <v>0</v>
      </c>
      <c r="P586" s="191">
        <f t="shared" si="65"/>
        <v>0</v>
      </c>
      <c r="Q586" s="192">
        <f t="shared" si="66"/>
        <v>0</v>
      </c>
      <c r="R586" s="193"/>
      <c r="S586" s="194"/>
      <c r="T586" s="195">
        <f t="shared" si="67"/>
        <v>0</v>
      </c>
      <c r="U586" s="195">
        <f t="shared" si="68"/>
        <v>0</v>
      </c>
      <c r="V586" s="195">
        <f t="shared" si="69"/>
        <v>0</v>
      </c>
      <c r="W586" s="196" t="e">
        <f t="shared" si="70"/>
        <v>#DIV/0!</v>
      </c>
      <c r="X586" s="197" t="e">
        <f t="shared" si="71"/>
        <v>#DIV/0!</v>
      </c>
      <c r="AH586" s="109" t="s">
        <v>1773</v>
      </c>
    </row>
    <row r="587" ht="11.4" customHeight="1" spans="1:34">
      <c r="A587" s="184" t="s">
        <v>1879</v>
      </c>
      <c r="B587" s="184" t="s">
        <v>139</v>
      </c>
      <c r="C587" s="184" t="s">
        <v>1880</v>
      </c>
      <c r="D587" s="185" t="s">
        <v>522</v>
      </c>
      <c r="E587" s="186" t="s">
        <v>906</v>
      </c>
      <c r="F587" s="186" t="s">
        <v>907</v>
      </c>
      <c r="G587" s="186" t="s">
        <v>1881</v>
      </c>
      <c r="H587" s="186" t="s">
        <v>1891</v>
      </c>
      <c r="I587" s="187" t="s">
        <v>1892</v>
      </c>
      <c r="J587" s="187" t="s">
        <v>1893</v>
      </c>
      <c r="K587" s="221">
        <v>21</v>
      </c>
      <c r="L587" s="188">
        <v>20</v>
      </c>
      <c r="M587" s="189" t="s">
        <v>1778</v>
      </c>
      <c r="N587" s="190">
        <v>486.16</v>
      </c>
      <c r="O587" s="190">
        <f t="shared" si="64"/>
        <v>529.91</v>
      </c>
      <c r="P587" s="191">
        <f t="shared" si="65"/>
        <v>10209.36</v>
      </c>
      <c r="Q587" s="192">
        <f t="shared" si="66"/>
        <v>9723.2</v>
      </c>
      <c r="R587" s="193"/>
      <c r="S587" s="194"/>
      <c r="T587" s="195">
        <f t="shared" si="67"/>
        <v>1</v>
      </c>
      <c r="U587" s="195">
        <f t="shared" si="68"/>
        <v>486.16</v>
      </c>
      <c r="V587" s="195">
        <f t="shared" si="69"/>
        <v>486.16</v>
      </c>
      <c r="W587" s="196">
        <f t="shared" si="70"/>
        <v>0.05</v>
      </c>
      <c r="X587" s="197">
        <f t="shared" si="71"/>
        <v>0.05</v>
      </c>
      <c r="AH587" s="219" t="s">
        <v>1894</v>
      </c>
    </row>
    <row r="588" ht="11.4" customHeight="1" spans="1:34">
      <c r="A588" s="184" t="s">
        <v>1879</v>
      </c>
      <c r="B588" s="184" t="s">
        <v>139</v>
      </c>
      <c r="C588" s="184" t="s">
        <v>1880</v>
      </c>
      <c r="D588" s="185" t="s">
        <v>522</v>
      </c>
      <c r="E588" s="186" t="s">
        <v>906</v>
      </c>
      <c r="F588" s="186" t="s">
        <v>907</v>
      </c>
      <c r="G588" s="186" t="s">
        <v>1881</v>
      </c>
      <c r="H588" s="186" t="s">
        <v>1891</v>
      </c>
      <c r="I588" s="187" t="s">
        <v>1895</v>
      </c>
      <c r="J588" s="187" t="s">
        <v>1896</v>
      </c>
      <c r="K588" s="188">
        <v>36</v>
      </c>
      <c r="L588" s="188">
        <v>36</v>
      </c>
      <c r="M588" s="189" t="s">
        <v>1018</v>
      </c>
      <c r="N588" s="190">
        <v>105.21</v>
      </c>
      <c r="O588" s="190">
        <f t="shared" si="64"/>
        <v>114.68</v>
      </c>
      <c r="P588" s="191">
        <f t="shared" si="65"/>
        <v>3787.56</v>
      </c>
      <c r="Q588" s="192">
        <f t="shared" si="66"/>
        <v>3787.56</v>
      </c>
      <c r="R588" s="193"/>
      <c r="S588" s="194"/>
      <c r="T588" s="195">
        <f t="shared" si="67"/>
        <v>0</v>
      </c>
      <c r="U588" s="195">
        <f t="shared" si="68"/>
        <v>0</v>
      </c>
      <c r="V588" s="195">
        <f t="shared" si="69"/>
        <v>0</v>
      </c>
      <c r="W588" s="196">
        <f t="shared" si="70"/>
        <v>0</v>
      </c>
      <c r="X588" s="197">
        <f t="shared" si="71"/>
        <v>0</v>
      </c>
      <c r="AH588" s="219" t="s">
        <v>1894</v>
      </c>
    </row>
    <row r="589" ht="11.4" customHeight="1" spans="1:34">
      <c r="A589" s="184" t="s">
        <v>1879</v>
      </c>
      <c r="B589" s="184" t="s">
        <v>139</v>
      </c>
      <c r="C589" s="184" t="s">
        <v>1880</v>
      </c>
      <c r="D589" s="185" t="s">
        <v>522</v>
      </c>
      <c r="E589" s="186" t="s">
        <v>906</v>
      </c>
      <c r="F589" s="186" t="s">
        <v>907</v>
      </c>
      <c r="G589" s="186" t="s">
        <v>1881</v>
      </c>
      <c r="H589" s="186" t="s">
        <v>1891</v>
      </c>
      <c r="I589" s="187" t="s">
        <v>1897</v>
      </c>
      <c r="J589" s="187" t="s">
        <v>1898</v>
      </c>
      <c r="K589" s="188">
        <v>1</v>
      </c>
      <c r="L589" s="188">
        <v>1</v>
      </c>
      <c r="M589" s="189" t="s">
        <v>1778</v>
      </c>
      <c r="N589" s="190">
        <v>511.41</v>
      </c>
      <c r="O589" s="190">
        <f t="shared" ref="O589:O652" si="72">ROUND(N589*(1+$F$10),2)</f>
        <v>557.44</v>
      </c>
      <c r="P589" s="191">
        <f t="shared" ref="P589:P652" si="73">ROUND(K589*N589,2)</f>
        <v>511.41</v>
      </c>
      <c r="Q589" s="192">
        <f t="shared" si="66"/>
        <v>511.41</v>
      </c>
      <c r="R589" s="193"/>
      <c r="S589" s="194"/>
      <c r="T589" s="195">
        <f t="shared" si="67"/>
        <v>0</v>
      </c>
      <c r="U589" s="195">
        <f t="shared" si="68"/>
        <v>0</v>
      </c>
      <c r="V589" s="195">
        <f t="shared" si="69"/>
        <v>0</v>
      </c>
      <c r="W589" s="196">
        <f t="shared" si="70"/>
        <v>0</v>
      </c>
      <c r="X589" s="197">
        <f t="shared" si="71"/>
        <v>0</v>
      </c>
      <c r="AH589" s="219" t="s">
        <v>1894</v>
      </c>
    </row>
    <row r="590" ht="11.4" customHeight="1" spans="1:34">
      <c r="A590" s="184" t="s">
        <v>1879</v>
      </c>
      <c r="B590" s="184" t="s">
        <v>139</v>
      </c>
      <c r="C590" s="184" t="s">
        <v>1880</v>
      </c>
      <c r="D590" s="185" t="s">
        <v>522</v>
      </c>
      <c r="E590" s="186" t="s">
        <v>906</v>
      </c>
      <c r="F590" s="186" t="s">
        <v>907</v>
      </c>
      <c r="G590" s="186" t="s">
        <v>1881</v>
      </c>
      <c r="H590" s="186" t="s">
        <v>1891</v>
      </c>
      <c r="I590" s="187" t="s">
        <v>1899</v>
      </c>
      <c r="J590" s="187" t="s">
        <v>1900</v>
      </c>
      <c r="K590" s="188">
        <v>16</v>
      </c>
      <c r="L590" s="188">
        <v>16</v>
      </c>
      <c r="M590" s="189" t="s">
        <v>1018</v>
      </c>
      <c r="N590" s="190">
        <v>105.85</v>
      </c>
      <c r="O590" s="190">
        <f t="shared" si="72"/>
        <v>115.38</v>
      </c>
      <c r="P590" s="191">
        <f t="shared" si="73"/>
        <v>1693.6</v>
      </c>
      <c r="Q590" s="192">
        <f t="shared" ref="Q590:Q653" si="74">ROUND(L590*N590,2)</f>
        <v>1693.6</v>
      </c>
      <c r="R590" s="193"/>
      <c r="S590" s="194"/>
      <c r="T590" s="195">
        <f t="shared" ref="T590:T653" si="75">K590-L590</f>
        <v>0</v>
      </c>
      <c r="U590" s="195">
        <f t="shared" ref="U590:U653" si="76">P590-Q590</f>
        <v>0</v>
      </c>
      <c r="V590" s="195">
        <f t="shared" ref="V590:V653" si="77">ABS(U590)</f>
        <v>0</v>
      </c>
      <c r="W590" s="196">
        <f t="shared" ref="W590:W653" si="78">T590/L590</f>
        <v>0</v>
      </c>
      <c r="X590" s="197">
        <f t="shared" ref="X590:X653" si="79">ABS(W590)</f>
        <v>0</v>
      </c>
      <c r="AH590" s="219" t="s">
        <v>1894</v>
      </c>
    </row>
    <row r="591" ht="11.4" customHeight="1" spans="1:34">
      <c r="A591" s="184" t="s">
        <v>1879</v>
      </c>
      <c r="B591" s="184" t="s">
        <v>139</v>
      </c>
      <c r="C591" s="184" t="s">
        <v>1880</v>
      </c>
      <c r="D591" s="185" t="s">
        <v>522</v>
      </c>
      <c r="E591" s="186" t="s">
        <v>906</v>
      </c>
      <c r="F591" s="186" t="s">
        <v>907</v>
      </c>
      <c r="G591" s="186" t="s">
        <v>1881</v>
      </c>
      <c r="H591" s="186" t="s">
        <v>1891</v>
      </c>
      <c r="I591" s="187" t="s">
        <v>1901</v>
      </c>
      <c r="J591" s="187" t="s">
        <v>1902</v>
      </c>
      <c r="K591" s="188"/>
      <c r="L591" s="188"/>
      <c r="M591" s="189" t="s">
        <v>1018</v>
      </c>
      <c r="N591" s="190">
        <v>82.71</v>
      </c>
      <c r="O591" s="190">
        <f t="shared" si="72"/>
        <v>90.15</v>
      </c>
      <c r="P591" s="191">
        <f t="shared" si="73"/>
        <v>0</v>
      </c>
      <c r="Q591" s="192">
        <f t="shared" si="74"/>
        <v>0</v>
      </c>
      <c r="R591" s="193"/>
      <c r="S591" s="194"/>
      <c r="T591" s="195">
        <f t="shared" si="75"/>
        <v>0</v>
      </c>
      <c r="U591" s="195">
        <f t="shared" si="76"/>
        <v>0</v>
      </c>
      <c r="V591" s="195">
        <f t="shared" si="77"/>
        <v>0</v>
      </c>
      <c r="W591" s="196" t="e">
        <f t="shared" si="78"/>
        <v>#DIV/0!</v>
      </c>
      <c r="X591" s="197" t="e">
        <f t="shared" si="79"/>
        <v>#DIV/0!</v>
      </c>
      <c r="AH591" s="219" t="s">
        <v>1903</v>
      </c>
    </row>
    <row r="592" ht="11.4" customHeight="1" spans="1:34">
      <c r="A592" s="184" t="s">
        <v>1879</v>
      </c>
      <c r="B592" s="184" t="s">
        <v>139</v>
      </c>
      <c r="C592" s="184" t="s">
        <v>1880</v>
      </c>
      <c r="D592" s="185" t="s">
        <v>522</v>
      </c>
      <c r="E592" s="186" t="s">
        <v>906</v>
      </c>
      <c r="F592" s="186" t="s">
        <v>907</v>
      </c>
      <c r="G592" s="186" t="s">
        <v>1881</v>
      </c>
      <c r="H592" s="186" t="s">
        <v>1891</v>
      </c>
      <c r="I592" s="187" t="s">
        <v>1904</v>
      </c>
      <c r="J592" s="187" t="s">
        <v>1905</v>
      </c>
      <c r="K592" s="188">
        <v>3</v>
      </c>
      <c r="L592" s="188">
        <v>3</v>
      </c>
      <c r="M592" s="189" t="s">
        <v>1018</v>
      </c>
      <c r="N592" s="190">
        <v>536.25</v>
      </c>
      <c r="O592" s="190">
        <f t="shared" si="72"/>
        <v>584.51</v>
      </c>
      <c r="P592" s="191">
        <f t="shared" si="73"/>
        <v>1608.75</v>
      </c>
      <c r="Q592" s="192">
        <f t="shared" si="74"/>
        <v>1608.75</v>
      </c>
      <c r="R592" s="193"/>
      <c r="S592" s="194"/>
      <c r="T592" s="195">
        <f t="shared" si="75"/>
        <v>0</v>
      </c>
      <c r="U592" s="195">
        <f t="shared" si="76"/>
        <v>0</v>
      </c>
      <c r="V592" s="195">
        <f t="shared" si="77"/>
        <v>0</v>
      </c>
      <c r="W592" s="196">
        <f t="shared" si="78"/>
        <v>0</v>
      </c>
      <c r="X592" s="197">
        <f t="shared" si="79"/>
        <v>0</v>
      </c>
      <c r="AH592" s="219" t="s">
        <v>1894</v>
      </c>
    </row>
    <row r="593" ht="11.4" customHeight="1" spans="1:34">
      <c r="A593" s="184" t="s">
        <v>1879</v>
      </c>
      <c r="B593" s="184" t="s">
        <v>139</v>
      </c>
      <c r="C593" s="184" t="s">
        <v>1880</v>
      </c>
      <c r="D593" s="185" t="s">
        <v>522</v>
      </c>
      <c r="E593" s="186" t="s">
        <v>906</v>
      </c>
      <c r="F593" s="186" t="s">
        <v>907</v>
      </c>
      <c r="G593" s="186" t="s">
        <v>1881</v>
      </c>
      <c r="H593" s="186" t="s">
        <v>1891</v>
      </c>
      <c r="I593" s="187" t="s">
        <v>1906</v>
      </c>
      <c r="J593" s="187" t="s">
        <v>1907</v>
      </c>
      <c r="K593" s="188">
        <v>2</v>
      </c>
      <c r="L593" s="188">
        <v>2</v>
      </c>
      <c r="M593" s="189" t="s">
        <v>1018</v>
      </c>
      <c r="N593" s="190">
        <v>453.75</v>
      </c>
      <c r="O593" s="190">
        <f t="shared" si="72"/>
        <v>494.59</v>
      </c>
      <c r="P593" s="191">
        <f t="shared" si="73"/>
        <v>907.5</v>
      </c>
      <c r="Q593" s="192">
        <f t="shared" si="74"/>
        <v>907.5</v>
      </c>
      <c r="R593" s="193"/>
      <c r="S593" s="194"/>
      <c r="T593" s="195">
        <f t="shared" si="75"/>
        <v>0</v>
      </c>
      <c r="U593" s="195">
        <f t="shared" si="76"/>
        <v>0</v>
      </c>
      <c r="V593" s="195">
        <f t="shared" si="77"/>
        <v>0</v>
      </c>
      <c r="W593" s="196">
        <f t="shared" si="78"/>
        <v>0</v>
      </c>
      <c r="X593" s="197">
        <f t="shared" si="79"/>
        <v>0</v>
      </c>
      <c r="AH593" s="219" t="s">
        <v>1894</v>
      </c>
    </row>
    <row r="594" ht="11.4" customHeight="1" spans="1:34">
      <c r="A594" s="184" t="s">
        <v>1879</v>
      </c>
      <c r="B594" s="184" t="s">
        <v>139</v>
      </c>
      <c r="C594" s="184" t="s">
        <v>1880</v>
      </c>
      <c r="D594" s="185" t="s">
        <v>522</v>
      </c>
      <c r="E594" s="186" t="s">
        <v>906</v>
      </c>
      <c r="F594" s="186" t="s">
        <v>907</v>
      </c>
      <c r="G594" s="186" t="s">
        <v>1881</v>
      </c>
      <c r="H594" s="186" t="s">
        <v>1891</v>
      </c>
      <c r="I594" s="187" t="s">
        <v>1908</v>
      </c>
      <c r="J594" s="187" t="s">
        <v>1909</v>
      </c>
      <c r="K594" s="188">
        <v>1</v>
      </c>
      <c r="L594" s="188">
        <v>1</v>
      </c>
      <c r="M594" s="189" t="s">
        <v>1018</v>
      </c>
      <c r="N594" s="190">
        <v>1088.45</v>
      </c>
      <c r="O594" s="190">
        <f t="shared" si="72"/>
        <v>1186.41</v>
      </c>
      <c r="P594" s="191">
        <f t="shared" si="73"/>
        <v>1088.45</v>
      </c>
      <c r="Q594" s="192">
        <f t="shared" si="74"/>
        <v>1088.45</v>
      </c>
      <c r="R594" s="193"/>
      <c r="S594" s="194"/>
      <c r="T594" s="195">
        <f t="shared" si="75"/>
        <v>0</v>
      </c>
      <c r="U594" s="195">
        <f t="shared" si="76"/>
        <v>0</v>
      </c>
      <c r="V594" s="195">
        <f t="shared" si="77"/>
        <v>0</v>
      </c>
      <c r="W594" s="196">
        <f t="shared" si="78"/>
        <v>0</v>
      </c>
      <c r="X594" s="197">
        <f t="shared" si="79"/>
        <v>0</v>
      </c>
      <c r="AH594" s="219" t="s">
        <v>1894</v>
      </c>
    </row>
    <row r="595" ht="11.4" customHeight="1" spans="1:34">
      <c r="A595" s="184" t="s">
        <v>1879</v>
      </c>
      <c r="B595" s="184" t="s">
        <v>139</v>
      </c>
      <c r="C595" s="184" t="s">
        <v>1880</v>
      </c>
      <c r="D595" s="185" t="s">
        <v>522</v>
      </c>
      <c r="E595" s="186" t="s">
        <v>906</v>
      </c>
      <c r="F595" s="186" t="s">
        <v>907</v>
      </c>
      <c r="G595" s="186" t="s">
        <v>1881</v>
      </c>
      <c r="H595" s="186" t="s">
        <v>1891</v>
      </c>
      <c r="I595" s="187" t="s">
        <v>1910</v>
      </c>
      <c r="J595" s="187" t="s">
        <v>1911</v>
      </c>
      <c r="K595" s="188">
        <v>1</v>
      </c>
      <c r="L595" s="188">
        <v>1</v>
      </c>
      <c r="M595" s="189" t="s">
        <v>1018</v>
      </c>
      <c r="N595" s="190">
        <v>359.26</v>
      </c>
      <c r="O595" s="190">
        <f t="shared" si="72"/>
        <v>391.59</v>
      </c>
      <c r="P595" s="191">
        <f t="shared" si="73"/>
        <v>359.26</v>
      </c>
      <c r="Q595" s="192">
        <f t="shared" si="74"/>
        <v>359.26</v>
      </c>
      <c r="R595" s="193"/>
      <c r="S595" s="194"/>
      <c r="T595" s="195">
        <f t="shared" si="75"/>
        <v>0</v>
      </c>
      <c r="U595" s="195">
        <f t="shared" si="76"/>
        <v>0</v>
      </c>
      <c r="V595" s="195">
        <f t="shared" si="77"/>
        <v>0</v>
      </c>
      <c r="W595" s="196">
        <f t="shared" si="78"/>
        <v>0</v>
      </c>
      <c r="X595" s="197">
        <f t="shared" si="79"/>
        <v>0</v>
      </c>
      <c r="AH595" s="219" t="s">
        <v>1894</v>
      </c>
    </row>
    <row r="596" ht="11.4" customHeight="1" spans="1:34">
      <c r="A596" s="184" t="s">
        <v>1879</v>
      </c>
      <c r="B596" s="184" t="s">
        <v>139</v>
      </c>
      <c r="C596" s="184" t="s">
        <v>1880</v>
      </c>
      <c r="D596" s="185" t="s">
        <v>522</v>
      </c>
      <c r="E596" s="186" t="s">
        <v>906</v>
      </c>
      <c r="F596" s="186" t="s">
        <v>907</v>
      </c>
      <c r="G596" s="186" t="s">
        <v>1881</v>
      </c>
      <c r="H596" s="186" t="s">
        <v>1891</v>
      </c>
      <c r="I596" s="187" t="s">
        <v>1912</v>
      </c>
      <c r="J596" s="187" t="s">
        <v>1913</v>
      </c>
      <c r="K596" s="188">
        <v>3</v>
      </c>
      <c r="L596" s="188">
        <v>3</v>
      </c>
      <c r="M596" s="189" t="s">
        <v>1018</v>
      </c>
      <c r="N596" s="190">
        <v>708.28</v>
      </c>
      <c r="O596" s="190">
        <f t="shared" si="72"/>
        <v>772.03</v>
      </c>
      <c r="P596" s="191">
        <f t="shared" si="73"/>
        <v>2124.84</v>
      </c>
      <c r="Q596" s="192">
        <f t="shared" si="74"/>
        <v>2124.84</v>
      </c>
      <c r="R596" s="193"/>
      <c r="S596" s="194"/>
      <c r="T596" s="195">
        <f t="shared" si="75"/>
        <v>0</v>
      </c>
      <c r="U596" s="195">
        <f t="shared" si="76"/>
        <v>0</v>
      </c>
      <c r="V596" s="195">
        <f t="shared" si="77"/>
        <v>0</v>
      </c>
      <c r="W596" s="196">
        <f t="shared" si="78"/>
        <v>0</v>
      </c>
      <c r="X596" s="197">
        <f t="shared" si="79"/>
        <v>0</v>
      </c>
      <c r="AH596" s="219" t="s">
        <v>1894</v>
      </c>
    </row>
    <row r="597" ht="11.4" customHeight="1" spans="1:34">
      <c r="A597" s="184" t="s">
        <v>1879</v>
      </c>
      <c r="B597" s="184" t="s">
        <v>139</v>
      </c>
      <c r="C597" s="184" t="s">
        <v>1880</v>
      </c>
      <c r="D597" s="185" t="s">
        <v>522</v>
      </c>
      <c r="E597" s="186" t="s">
        <v>906</v>
      </c>
      <c r="F597" s="186" t="s">
        <v>907</v>
      </c>
      <c r="G597" s="186" t="s">
        <v>1881</v>
      </c>
      <c r="H597" s="186" t="s">
        <v>1891</v>
      </c>
      <c r="I597" s="187" t="s">
        <v>1914</v>
      </c>
      <c r="J597" s="187" t="s">
        <v>1915</v>
      </c>
      <c r="K597" s="188">
        <v>1</v>
      </c>
      <c r="L597" s="188">
        <v>1</v>
      </c>
      <c r="M597" s="189" t="s">
        <v>1018</v>
      </c>
      <c r="N597" s="190">
        <v>535.04</v>
      </c>
      <c r="O597" s="190">
        <f t="shared" si="72"/>
        <v>583.19</v>
      </c>
      <c r="P597" s="191">
        <f t="shared" si="73"/>
        <v>535.04</v>
      </c>
      <c r="Q597" s="192">
        <f t="shared" si="74"/>
        <v>535.04</v>
      </c>
      <c r="R597" s="193"/>
      <c r="S597" s="194"/>
      <c r="T597" s="195">
        <f t="shared" si="75"/>
        <v>0</v>
      </c>
      <c r="U597" s="195">
        <f t="shared" si="76"/>
        <v>0</v>
      </c>
      <c r="V597" s="195">
        <f t="shared" si="77"/>
        <v>0</v>
      </c>
      <c r="W597" s="196">
        <f t="shared" si="78"/>
        <v>0</v>
      </c>
      <c r="X597" s="197">
        <f t="shared" si="79"/>
        <v>0</v>
      </c>
      <c r="AH597" s="219" t="s">
        <v>1894</v>
      </c>
    </row>
    <row r="598" ht="11.4" customHeight="1" spans="1:34">
      <c r="A598" s="184" t="s">
        <v>1879</v>
      </c>
      <c r="B598" s="184" t="s">
        <v>139</v>
      </c>
      <c r="C598" s="184" t="s">
        <v>1880</v>
      </c>
      <c r="D598" s="185" t="s">
        <v>522</v>
      </c>
      <c r="E598" s="186" t="s">
        <v>906</v>
      </c>
      <c r="F598" s="186" t="s">
        <v>907</v>
      </c>
      <c r="G598" s="186" t="s">
        <v>1881</v>
      </c>
      <c r="H598" s="186" t="s">
        <v>1891</v>
      </c>
      <c r="I598" s="187" t="s">
        <v>1916</v>
      </c>
      <c r="J598" s="187" t="s">
        <v>1917</v>
      </c>
      <c r="K598" s="188">
        <v>3</v>
      </c>
      <c r="L598" s="188">
        <v>3</v>
      </c>
      <c r="M598" s="189" t="s">
        <v>1018</v>
      </c>
      <c r="N598" s="190">
        <v>752.5</v>
      </c>
      <c r="O598" s="190">
        <f t="shared" si="72"/>
        <v>820.23</v>
      </c>
      <c r="P598" s="191">
        <f t="shared" si="73"/>
        <v>2257.5</v>
      </c>
      <c r="Q598" s="192">
        <f t="shared" si="74"/>
        <v>2257.5</v>
      </c>
      <c r="R598" s="193"/>
      <c r="S598" s="194"/>
      <c r="T598" s="195">
        <f t="shared" si="75"/>
        <v>0</v>
      </c>
      <c r="U598" s="195">
        <f t="shared" si="76"/>
        <v>0</v>
      </c>
      <c r="V598" s="195">
        <f t="shared" si="77"/>
        <v>0</v>
      </c>
      <c r="W598" s="196">
        <f t="shared" si="78"/>
        <v>0</v>
      </c>
      <c r="X598" s="197">
        <f t="shared" si="79"/>
        <v>0</v>
      </c>
      <c r="AH598" s="219" t="s">
        <v>1894</v>
      </c>
    </row>
    <row r="599" ht="11.4" customHeight="1" spans="1:34">
      <c r="A599" s="184" t="s">
        <v>1879</v>
      </c>
      <c r="B599" s="184" t="s">
        <v>139</v>
      </c>
      <c r="C599" s="184" t="s">
        <v>1880</v>
      </c>
      <c r="D599" s="185" t="s">
        <v>522</v>
      </c>
      <c r="E599" s="186" t="s">
        <v>906</v>
      </c>
      <c r="F599" s="186" t="s">
        <v>907</v>
      </c>
      <c r="G599" s="186" t="s">
        <v>1881</v>
      </c>
      <c r="H599" s="186" t="s">
        <v>1891</v>
      </c>
      <c r="I599" s="187" t="s">
        <v>1918</v>
      </c>
      <c r="J599" s="187" t="s">
        <v>1919</v>
      </c>
      <c r="K599" s="188">
        <v>1</v>
      </c>
      <c r="L599" s="188">
        <v>1</v>
      </c>
      <c r="M599" s="189" t="s">
        <v>1018</v>
      </c>
      <c r="N599" s="190">
        <v>2692.88</v>
      </c>
      <c r="O599" s="190">
        <f t="shared" si="72"/>
        <v>2935.24</v>
      </c>
      <c r="P599" s="191">
        <f t="shared" si="73"/>
        <v>2692.88</v>
      </c>
      <c r="Q599" s="192">
        <f t="shared" si="74"/>
        <v>2692.88</v>
      </c>
      <c r="R599" s="193"/>
      <c r="S599" s="194"/>
      <c r="T599" s="195">
        <f t="shared" si="75"/>
        <v>0</v>
      </c>
      <c r="U599" s="195">
        <f t="shared" si="76"/>
        <v>0</v>
      </c>
      <c r="V599" s="195">
        <f t="shared" si="77"/>
        <v>0</v>
      </c>
      <c r="W599" s="196">
        <f t="shared" si="78"/>
        <v>0</v>
      </c>
      <c r="X599" s="197">
        <f t="shared" si="79"/>
        <v>0</v>
      </c>
      <c r="AH599" s="219" t="s">
        <v>1894</v>
      </c>
    </row>
    <row r="600" ht="11.4" customHeight="1" spans="1:34">
      <c r="A600" s="184" t="s">
        <v>1879</v>
      </c>
      <c r="B600" s="184" t="s">
        <v>139</v>
      </c>
      <c r="C600" s="184" t="s">
        <v>1880</v>
      </c>
      <c r="D600" s="185" t="s">
        <v>522</v>
      </c>
      <c r="E600" s="186" t="s">
        <v>906</v>
      </c>
      <c r="F600" s="186" t="s">
        <v>907</v>
      </c>
      <c r="G600" s="186" t="s">
        <v>1881</v>
      </c>
      <c r="H600" s="186" t="s">
        <v>1891</v>
      </c>
      <c r="I600" s="187" t="s">
        <v>1920</v>
      </c>
      <c r="J600" s="187" t="s">
        <v>1921</v>
      </c>
      <c r="K600" s="188">
        <v>5</v>
      </c>
      <c r="L600" s="188">
        <v>5</v>
      </c>
      <c r="M600" s="189" t="s">
        <v>1018</v>
      </c>
      <c r="N600" s="190">
        <v>1626.1</v>
      </c>
      <c r="O600" s="190">
        <f t="shared" si="72"/>
        <v>1772.45</v>
      </c>
      <c r="P600" s="191">
        <f t="shared" si="73"/>
        <v>8130.5</v>
      </c>
      <c r="Q600" s="192">
        <f t="shared" si="74"/>
        <v>8130.5</v>
      </c>
      <c r="R600" s="193"/>
      <c r="S600" s="194"/>
      <c r="T600" s="195">
        <f t="shared" si="75"/>
        <v>0</v>
      </c>
      <c r="U600" s="195">
        <f t="shared" si="76"/>
        <v>0</v>
      </c>
      <c r="V600" s="195">
        <f t="shared" si="77"/>
        <v>0</v>
      </c>
      <c r="W600" s="196">
        <f t="shared" si="78"/>
        <v>0</v>
      </c>
      <c r="X600" s="197">
        <f t="shared" si="79"/>
        <v>0</v>
      </c>
      <c r="AH600" s="219" t="s">
        <v>1894</v>
      </c>
    </row>
    <row r="601" ht="11.4" customHeight="1" spans="1:34">
      <c r="A601" s="184" t="s">
        <v>1879</v>
      </c>
      <c r="B601" s="184" t="s">
        <v>139</v>
      </c>
      <c r="C601" s="184" t="s">
        <v>1880</v>
      </c>
      <c r="D601" s="185" t="s">
        <v>522</v>
      </c>
      <c r="E601" s="186" t="s">
        <v>906</v>
      </c>
      <c r="F601" s="186" t="s">
        <v>907</v>
      </c>
      <c r="G601" s="186" t="s">
        <v>1881</v>
      </c>
      <c r="H601" s="186" t="s">
        <v>1891</v>
      </c>
      <c r="I601" s="187" t="s">
        <v>1922</v>
      </c>
      <c r="J601" s="187" t="s">
        <v>1923</v>
      </c>
      <c r="K601" s="188">
        <v>2</v>
      </c>
      <c r="L601" s="188">
        <v>2</v>
      </c>
      <c r="M601" s="189" t="s">
        <v>1018</v>
      </c>
      <c r="N601" s="190">
        <v>1626.1</v>
      </c>
      <c r="O601" s="190">
        <f t="shared" si="72"/>
        <v>1772.45</v>
      </c>
      <c r="P601" s="191">
        <f t="shared" si="73"/>
        <v>3252.2</v>
      </c>
      <c r="Q601" s="192">
        <f t="shared" si="74"/>
        <v>3252.2</v>
      </c>
      <c r="R601" s="193"/>
      <c r="S601" s="194"/>
      <c r="T601" s="195">
        <f t="shared" si="75"/>
        <v>0</v>
      </c>
      <c r="U601" s="195">
        <f t="shared" si="76"/>
        <v>0</v>
      </c>
      <c r="V601" s="195">
        <f t="shared" si="77"/>
        <v>0</v>
      </c>
      <c r="W601" s="196">
        <f t="shared" si="78"/>
        <v>0</v>
      </c>
      <c r="X601" s="197">
        <f t="shared" si="79"/>
        <v>0</v>
      </c>
      <c r="AH601" s="219" t="s">
        <v>1894</v>
      </c>
    </row>
    <row r="602" ht="11.4" customHeight="1" spans="1:34">
      <c r="A602" s="184" t="s">
        <v>1879</v>
      </c>
      <c r="B602" s="184" t="s">
        <v>139</v>
      </c>
      <c r="C602" s="184" t="s">
        <v>1880</v>
      </c>
      <c r="D602" s="185" t="s">
        <v>522</v>
      </c>
      <c r="E602" s="186" t="s">
        <v>906</v>
      </c>
      <c r="F602" s="186" t="s">
        <v>907</v>
      </c>
      <c r="G602" s="186" t="s">
        <v>1881</v>
      </c>
      <c r="H602" s="186" t="s">
        <v>1891</v>
      </c>
      <c r="I602" s="187" t="s">
        <v>1924</v>
      </c>
      <c r="J602" s="187" t="s">
        <v>1925</v>
      </c>
      <c r="K602" s="188">
        <v>1</v>
      </c>
      <c r="L602" s="188">
        <v>1</v>
      </c>
      <c r="M602" s="189" t="s">
        <v>1018</v>
      </c>
      <c r="N602" s="190">
        <v>1632.71</v>
      </c>
      <c r="O602" s="190">
        <f t="shared" si="72"/>
        <v>1779.65</v>
      </c>
      <c r="P602" s="191">
        <f t="shared" si="73"/>
        <v>1632.71</v>
      </c>
      <c r="Q602" s="192">
        <f t="shared" si="74"/>
        <v>1632.71</v>
      </c>
      <c r="R602" s="193"/>
      <c r="S602" s="194"/>
      <c r="T602" s="195">
        <f t="shared" si="75"/>
        <v>0</v>
      </c>
      <c r="U602" s="195">
        <f t="shared" si="76"/>
        <v>0</v>
      </c>
      <c r="V602" s="195">
        <f t="shared" si="77"/>
        <v>0</v>
      </c>
      <c r="W602" s="196">
        <f t="shared" si="78"/>
        <v>0</v>
      </c>
      <c r="X602" s="197">
        <f t="shared" si="79"/>
        <v>0</v>
      </c>
      <c r="AH602" s="219" t="s">
        <v>1894</v>
      </c>
    </row>
    <row r="603" ht="11.4" customHeight="1" spans="1:34">
      <c r="A603" s="184" t="s">
        <v>1879</v>
      </c>
      <c r="B603" s="184" t="s">
        <v>139</v>
      </c>
      <c r="C603" s="184" t="s">
        <v>1880</v>
      </c>
      <c r="D603" s="185" t="s">
        <v>522</v>
      </c>
      <c r="E603" s="186" t="s">
        <v>906</v>
      </c>
      <c r="F603" s="186" t="s">
        <v>907</v>
      </c>
      <c r="G603" s="186" t="s">
        <v>1881</v>
      </c>
      <c r="H603" s="186" t="s">
        <v>1891</v>
      </c>
      <c r="I603" s="187" t="s">
        <v>1926</v>
      </c>
      <c r="J603" s="187" t="s">
        <v>1927</v>
      </c>
      <c r="K603" s="188">
        <v>1</v>
      </c>
      <c r="L603" s="188">
        <v>1</v>
      </c>
      <c r="M603" s="189" t="s">
        <v>1018</v>
      </c>
      <c r="N603" s="190">
        <v>2782.08</v>
      </c>
      <c r="O603" s="190">
        <f t="shared" si="72"/>
        <v>3032.47</v>
      </c>
      <c r="P603" s="191">
        <f t="shared" si="73"/>
        <v>2782.08</v>
      </c>
      <c r="Q603" s="192">
        <f t="shared" si="74"/>
        <v>2782.08</v>
      </c>
      <c r="R603" s="193"/>
      <c r="S603" s="194"/>
      <c r="T603" s="195">
        <f t="shared" si="75"/>
        <v>0</v>
      </c>
      <c r="U603" s="195">
        <f t="shared" si="76"/>
        <v>0</v>
      </c>
      <c r="V603" s="195">
        <f t="shared" si="77"/>
        <v>0</v>
      </c>
      <c r="W603" s="196">
        <f t="shared" si="78"/>
        <v>0</v>
      </c>
      <c r="X603" s="197">
        <f t="shared" si="79"/>
        <v>0</v>
      </c>
      <c r="AH603" s="219" t="s">
        <v>1894</v>
      </c>
    </row>
    <row r="604" ht="11.4" customHeight="1" spans="1:34">
      <c r="A604" s="184" t="s">
        <v>1879</v>
      </c>
      <c r="B604" s="184" t="s">
        <v>139</v>
      </c>
      <c r="C604" s="184" t="s">
        <v>1880</v>
      </c>
      <c r="D604" s="185" t="s">
        <v>522</v>
      </c>
      <c r="E604" s="186" t="s">
        <v>906</v>
      </c>
      <c r="F604" s="186" t="s">
        <v>907</v>
      </c>
      <c r="G604" s="186" t="s">
        <v>1881</v>
      </c>
      <c r="H604" s="186" t="s">
        <v>1891</v>
      </c>
      <c r="I604" s="187" t="s">
        <v>1928</v>
      </c>
      <c r="J604" s="187" t="s">
        <v>1929</v>
      </c>
      <c r="K604" s="188"/>
      <c r="L604" s="188"/>
      <c r="M604" s="189" t="s">
        <v>807</v>
      </c>
      <c r="N604" s="190">
        <v>34.6</v>
      </c>
      <c r="O604" s="190">
        <f t="shared" si="72"/>
        <v>37.71</v>
      </c>
      <c r="P604" s="191">
        <f t="shared" si="73"/>
        <v>0</v>
      </c>
      <c r="Q604" s="192">
        <f t="shared" si="74"/>
        <v>0</v>
      </c>
      <c r="R604" s="193"/>
      <c r="S604" s="194"/>
      <c r="T604" s="195">
        <f t="shared" si="75"/>
        <v>0</v>
      </c>
      <c r="U604" s="195">
        <f t="shared" si="76"/>
        <v>0</v>
      </c>
      <c r="V604" s="195">
        <f t="shared" si="77"/>
        <v>0</v>
      </c>
      <c r="W604" s="196" t="e">
        <f t="shared" si="78"/>
        <v>#DIV/0!</v>
      </c>
      <c r="X604" s="197" t="e">
        <f t="shared" si="79"/>
        <v>#DIV/0!</v>
      </c>
      <c r="AG604" s="109" t="s">
        <v>1011</v>
      </c>
    </row>
    <row r="605" ht="11.4" customHeight="1" spans="1:34">
      <c r="A605" s="184" t="s">
        <v>1879</v>
      </c>
      <c r="B605" s="184" t="s">
        <v>139</v>
      </c>
      <c r="C605" s="184" t="s">
        <v>1880</v>
      </c>
      <c r="D605" s="185" t="s">
        <v>522</v>
      </c>
      <c r="E605" s="186" t="s">
        <v>906</v>
      </c>
      <c r="F605" s="186" t="s">
        <v>907</v>
      </c>
      <c r="G605" s="186" t="s">
        <v>1881</v>
      </c>
      <c r="H605" s="186" t="s">
        <v>1891</v>
      </c>
      <c r="I605" s="187" t="s">
        <v>1930</v>
      </c>
      <c r="J605" s="187" t="s">
        <v>1931</v>
      </c>
      <c r="K605" s="188"/>
      <c r="L605" s="188"/>
      <c r="M605" s="189" t="s">
        <v>807</v>
      </c>
      <c r="N605" s="190">
        <v>34.6</v>
      </c>
      <c r="O605" s="190">
        <f t="shared" si="72"/>
        <v>37.71</v>
      </c>
      <c r="P605" s="191">
        <f t="shared" si="73"/>
        <v>0</v>
      </c>
      <c r="Q605" s="192">
        <f t="shared" si="74"/>
        <v>0</v>
      </c>
      <c r="R605" s="193"/>
      <c r="S605" s="194"/>
      <c r="T605" s="195">
        <f t="shared" si="75"/>
        <v>0</v>
      </c>
      <c r="U605" s="195">
        <f t="shared" si="76"/>
        <v>0</v>
      </c>
      <c r="V605" s="195">
        <f t="shared" si="77"/>
        <v>0</v>
      </c>
      <c r="W605" s="196" t="e">
        <f t="shared" si="78"/>
        <v>#DIV/0!</v>
      </c>
      <c r="X605" s="197" t="e">
        <f t="shared" si="79"/>
        <v>#DIV/0!</v>
      </c>
      <c r="AG605" s="219" t="s">
        <v>1932</v>
      </c>
    </row>
    <row r="606" ht="11.4" customHeight="1" spans="1:34">
      <c r="A606" s="184" t="s">
        <v>1879</v>
      </c>
      <c r="B606" s="184" t="s">
        <v>139</v>
      </c>
      <c r="C606" s="184" t="s">
        <v>1880</v>
      </c>
      <c r="D606" s="185" t="s">
        <v>522</v>
      </c>
      <c r="E606" s="186" t="s">
        <v>906</v>
      </c>
      <c r="F606" s="186" t="s">
        <v>907</v>
      </c>
      <c r="G606" s="186" t="s">
        <v>1881</v>
      </c>
      <c r="H606" s="186" t="s">
        <v>1891</v>
      </c>
      <c r="I606" s="187" t="s">
        <v>1933</v>
      </c>
      <c r="J606" s="187" t="s">
        <v>1934</v>
      </c>
      <c r="K606" s="188"/>
      <c r="L606" s="188"/>
      <c r="M606" s="189" t="s">
        <v>1018</v>
      </c>
      <c r="N606" s="190">
        <v>711.58</v>
      </c>
      <c r="O606" s="190">
        <f t="shared" si="72"/>
        <v>775.62</v>
      </c>
      <c r="P606" s="191">
        <f t="shared" si="73"/>
        <v>0</v>
      </c>
      <c r="Q606" s="192">
        <f t="shared" si="74"/>
        <v>0</v>
      </c>
      <c r="R606" s="193"/>
      <c r="S606" s="194"/>
      <c r="T606" s="195">
        <f t="shared" si="75"/>
        <v>0</v>
      </c>
      <c r="U606" s="195">
        <f t="shared" si="76"/>
        <v>0</v>
      </c>
      <c r="V606" s="195">
        <f t="shared" si="77"/>
        <v>0</v>
      </c>
      <c r="W606" s="196" t="e">
        <f t="shared" si="78"/>
        <v>#DIV/0!</v>
      </c>
      <c r="X606" s="197" t="e">
        <f t="shared" si="79"/>
        <v>#DIV/0!</v>
      </c>
      <c r="AH606" s="219" t="s">
        <v>1903</v>
      </c>
    </row>
    <row r="607" ht="11.4" customHeight="1" spans="1:34">
      <c r="A607" s="184" t="s">
        <v>1879</v>
      </c>
      <c r="B607" s="184" t="s">
        <v>139</v>
      </c>
      <c r="C607" s="184" t="s">
        <v>1880</v>
      </c>
      <c r="D607" s="185" t="s">
        <v>522</v>
      </c>
      <c r="E607" s="186" t="s">
        <v>906</v>
      </c>
      <c r="F607" s="186" t="s">
        <v>907</v>
      </c>
      <c r="G607" s="186" t="s">
        <v>1881</v>
      </c>
      <c r="H607" s="186" t="s">
        <v>1891</v>
      </c>
      <c r="I607" s="187" t="s">
        <v>1935</v>
      </c>
      <c r="J607" s="187" t="s">
        <v>1936</v>
      </c>
      <c r="K607" s="188">
        <v>1</v>
      </c>
      <c r="L607" s="188">
        <v>1</v>
      </c>
      <c r="M607" s="189" t="s">
        <v>1018</v>
      </c>
      <c r="N607" s="190">
        <v>560.34</v>
      </c>
      <c r="O607" s="190">
        <f t="shared" si="72"/>
        <v>610.77</v>
      </c>
      <c r="P607" s="191">
        <f t="shared" si="73"/>
        <v>560.34</v>
      </c>
      <c r="Q607" s="192">
        <f t="shared" si="74"/>
        <v>560.34</v>
      </c>
      <c r="R607" s="193"/>
      <c r="S607" s="194"/>
      <c r="T607" s="195">
        <f t="shared" si="75"/>
        <v>0</v>
      </c>
      <c r="U607" s="195">
        <f t="shared" si="76"/>
        <v>0</v>
      </c>
      <c r="V607" s="195">
        <f t="shared" si="77"/>
        <v>0</v>
      </c>
      <c r="W607" s="196">
        <f t="shared" si="78"/>
        <v>0</v>
      </c>
      <c r="X607" s="197">
        <f t="shared" si="79"/>
        <v>0</v>
      </c>
      <c r="AH607" s="219" t="s">
        <v>1894</v>
      </c>
    </row>
    <row r="608" ht="11.4" customHeight="1" spans="1:34">
      <c r="A608" s="184" t="s">
        <v>1879</v>
      </c>
      <c r="B608" s="184" t="s">
        <v>139</v>
      </c>
      <c r="C608" s="184" t="s">
        <v>1880</v>
      </c>
      <c r="D608" s="185" t="s">
        <v>522</v>
      </c>
      <c r="E608" s="186" t="s">
        <v>906</v>
      </c>
      <c r="F608" s="186" t="s">
        <v>907</v>
      </c>
      <c r="G608" s="186" t="s">
        <v>1881</v>
      </c>
      <c r="H608" s="186" t="s">
        <v>1891</v>
      </c>
      <c r="I608" s="187" t="s">
        <v>1937</v>
      </c>
      <c r="J608" s="187" t="s">
        <v>1938</v>
      </c>
      <c r="K608" s="188">
        <v>1</v>
      </c>
      <c r="L608" s="188">
        <v>1</v>
      </c>
      <c r="M608" s="189" t="s">
        <v>989</v>
      </c>
      <c r="N608" s="190">
        <v>1550.45</v>
      </c>
      <c r="O608" s="190">
        <f t="shared" si="72"/>
        <v>1689.99</v>
      </c>
      <c r="P608" s="191">
        <f t="shared" si="73"/>
        <v>1550.45</v>
      </c>
      <c r="Q608" s="192">
        <f t="shared" si="74"/>
        <v>1550.45</v>
      </c>
      <c r="R608" s="193"/>
      <c r="S608" s="194"/>
      <c r="T608" s="195">
        <f t="shared" si="75"/>
        <v>0</v>
      </c>
      <c r="U608" s="195">
        <f t="shared" si="76"/>
        <v>0</v>
      </c>
      <c r="V608" s="195">
        <f t="shared" si="77"/>
        <v>0</v>
      </c>
      <c r="W608" s="196">
        <f t="shared" si="78"/>
        <v>0</v>
      </c>
      <c r="X608" s="197">
        <f t="shared" si="79"/>
        <v>0</v>
      </c>
      <c r="AH608" s="219" t="s">
        <v>1939</v>
      </c>
    </row>
    <row r="609" ht="11.4" customHeight="1" spans="1:34">
      <c r="A609" s="184" t="s">
        <v>1879</v>
      </c>
      <c r="B609" s="184" t="s">
        <v>139</v>
      </c>
      <c r="C609" s="184" t="s">
        <v>1880</v>
      </c>
      <c r="D609" s="185" t="s">
        <v>522</v>
      </c>
      <c r="E609" s="186" t="s">
        <v>906</v>
      </c>
      <c r="F609" s="186" t="s">
        <v>907</v>
      </c>
      <c r="G609" s="186" t="s">
        <v>1881</v>
      </c>
      <c r="H609" s="186" t="s">
        <v>1891</v>
      </c>
      <c r="I609" s="187" t="s">
        <v>1940</v>
      </c>
      <c r="J609" s="187" t="s">
        <v>1941</v>
      </c>
      <c r="K609" s="188"/>
      <c r="L609" s="188"/>
      <c r="M609" s="189" t="s">
        <v>989</v>
      </c>
      <c r="N609" s="190">
        <v>1330.45</v>
      </c>
      <c r="O609" s="190">
        <f t="shared" si="72"/>
        <v>1450.19</v>
      </c>
      <c r="P609" s="191">
        <f t="shared" si="73"/>
        <v>0</v>
      </c>
      <c r="Q609" s="192">
        <f t="shared" si="74"/>
        <v>0</v>
      </c>
      <c r="R609" s="193"/>
      <c r="S609" s="194"/>
      <c r="T609" s="195">
        <f t="shared" si="75"/>
        <v>0</v>
      </c>
      <c r="U609" s="195">
        <f t="shared" si="76"/>
        <v>0</v>
      </c>
      <c r="V609" s="195">
        <f t="shared" si="77"/>
        <v>0</v>
      </c>
      <c r="W609" s="196" t="e">
        <f t="shared" si="78"/>
        <v>#DIV/0!</v>
      </c>
      <c r="X609" s="197" t="e">
        <f t="shared" si="79"/>
        <v>#DIV/0!</v>
      </c>
      <c r="AH609" s="219" t="s">
        <v>1939</v>
      </c>
    </row>
    <row r="610" ht="11.4" customHeight="1" spans="1:34">
      <c r="A610" s="184" t="s">
        <v>1879</v>
      </c>
      <c r="B610" s="184" t="s">
        <v>139</v>
      </c>
      <c r="C610" s="184" t="s">
        <v>1880</v>
      </c>
      <c r="D610" s="185" t="s">
        <v>522</v>
      </c>
      <c r="E610" s="186" t="s">
        <v>906</v>
      </c>
      <c r="F610" s="186" t="s">
        <v>907</v>
      </c>
      <c r="G610" s="186" t="s">
        <v>1881</v>
      </c>
      <c r="H610" s="186" t="s">
        <v>1891</v>
      </c>
      <c r="I610" s="187" t="s">
        <v>1942</v>
      </c>
      <c r="J610" s="187" t="s">
        <v>1943</v>
      </c>
      <c r="K610" s="188">
        <v>1</v>
      </c>
      <c r="L610" s="188">
        <v>1</v>
      </c>
      <c r="M610" s="189" t="s">
        <v>1778</v>
      </c>
      <c r="N610" s="190">
        <v>1736.1</v>
      </c>
      <c r="O610" s="190">
        <f t="shared" si="72"/>
        <v>1892.35</v>
      </c>
      <c r="P610" s="191">
        <f t="shared" si="73"/>
        <v>1736.1</v>
      </c>
      <c r="Q610" s="192">
        <f t="shared" si="74"/>
        <v>1736.1</v>
      </c>
      <c r="R610" s="193"/>
      <c r="S610" s="194"/>
      <c r="T610" s="195">
        <f t="shared" si="75"/>
        <v>0</v>
      </c>
      <c r="U610" s="195">
        <f t="shared" si="76"/>
        <v>0</v>
      </c>
      <c r="V610" s="195">
        <f t="shared" si="77"/>
        <v>0</v>
      </c>
      <c r="W610" s="196">
        <f t="shared" si="78"/>
        <v>0</v>
      </c>
      <c r="X610" s="197">
        <f t="shared" si="79"/>
        <v>0</v>
      </c>
      <c r="AH610" s="219" t="s">
        <v>1939</v>
      </c>
    </row>
    <row r="611" ht="11.4" customHeight="1" spans="1:34">
      <c r="A611" s="184" t="s">
        <v>1879</v>
      </c>
      <c r="B611" s="184" t="s">
        <v>139</v>
      </c>
      <c r="C611" s="184" t="s">
        <v>1880</v>
      </c>
      <c r="D611" s="185" t="s">
        <v>522</v>
      </c>
      <c r="E611" s="186" t="s">
        <v>906</v>
      </c>
      <c r="F611" s="186" t="s">
        <v>907</v>
      </c>
      <c r="G611" s="186" t="s">
        <v>1881</v>
      </c>
      <c r="H611" s="186" t="s">
        <v>1944</v>
      </c>
      <c r="I611" s="187" t="s">
        <v>1945</v>
      </c>
      <c r="J611" s="187" t="s">
        <v>1946</v>
      </c>
      <c r="K611" s="188">
        <v>1</v>
      </c>
      <c r="L611" s="188">
        <v>1</v>
      </c>
      <c r="M611" s="189" t="s">
        <v>793</v>
      </c>
      <c r="N611" s="190">
        <v>836.31</v>
      </c>
      <c r="O611" s="190">
        <f t="shared" si="72"/>
        <v>911.58</v>
      </c>
      <c r="P611" s="191">
        <f t="shared" si="73"/>
        <v>836.31</v>
      </c>
      <c r="Q611" s="192">
        <f t="shared" si="74"/>
        <v>836.31</v>
      </c>
      <c r="R611" s="193"/>
      <c r="S611" s="194"/>
      <c r="T611" s="195">
        <f t="shared" si="75"/>
        <v>0</v>
      </c>
      <c r="U611" s="195">
        <f t="shared" si="76"/>
        <v>0</v>
      </c>
      <c r="V611" s="195">
        <f t="shared" si="77"/>
        <v>0</v>
      </c>
      <c r="W611" s="196">
        <f t="shared" si="78"/>
        <v>0</v>
      </c>
      <c r="X611" s="197">
        <f t="shared" si="79"/>
        <v>0</v>
      </c>
      <c r="AH611" s="109" t="s">
        <v>1947</v>
      </c>
    </row>
    <row r="612" ht="11.4" customHeight="1" spans="1:34">
      <c r="A612" s="184" t="s">
        <v>1879</v>
      </c>
      <c r="B612" s="184" t="s">
        <v>139</v>
      </c>
      <c r="C612" s="184" t="s">
        <v>1880</v>
      </c>
      <c r="D612" s="185" t="s">
        <v>522</v>
      </c>
      <c r="E612" s="186" t="s">
        <v>906</v>
      </c>
      <c r="F612" s="186" t="s">
        <v>907</v>
      </c>
      <c r="G612" s="186" t="s">
        <v>1881</v>
      </c>
      <c r="H612" s="186" t="s">
        <v>1944</v>
      </c>
      <c r="I612" s="187" t="s">
        <v>1948</v>
      </c>
      <c r="J612" s="187" t="s">
        <v>1949</v>
      </c>
      <c r="K612" s="188">
        <v>1</v>
      </c>
      <c r="L612" s="188">
        <v>1</v>
      </c>
      <c r="M612" s="189" t="s">
        <v>793</v>
      </c>
      <c r="N612" s="190">
        <v>3391.6</v>
      </c>
      <c r="O612" s="190">
        <f t="shared" si="72"/>
        <v>3696.84</v>
      </c>
      <c r="P612" s="191">
        <f t="shared" si="73"/>
        <v>3391.6</v>
      </c>
      <c r="Q612" s="192">
        <f t="shared" si="74"/>
        <v>3391.6</v>
      </c>
      <c r="R612" s="193"/>
      <c r="S612" s="194"/>
      <c r="T612" s="195">
        <f t="shared" si="75"/>
        <v>0</v>
      </c>
      <c r="U612" s="195">
        <f t="shared" si="76"/>
        <v>0</v>
      </c>
      <c r="V612" s="195">
        <f t="shared" si="77"/>
        <v>0</v>
      </c>
      <c r="W612" s="196">
        <f t="shared" si="78"/>
        <v>0</v>
      </c>
      <c r="X612" s="197">
        <f t="shared" si="79"/>
        <v>0</v>
      </c>
      <c r="AH612" s="109" t="s">
        <v>1947</v>
      </c>
    </row>
    <row r="613" ht="11.4" customHeight="1" spans="1:34">
      <c r="A613" s="184" t="s">
        <v>1879</v>
      </c>
      <c r="B613" s="184" t="s">
        <v>139</v>
      </c>
      <c r="C613" s="184" t="s">
        <v>1880</v>
      </c>
      <c r="D613" s="185" t="s">
        <v>522</v>
      </c>
      <c r="E613" s="186" t="s">
        <v>906</v>
      </c>
      <c r="F613" s="186" t="s">
        <v>907</v>
      </c>
      <c r="G613" s="186" t="s">
        <v>1881</v>
      </c>
      <c r="H613" s="186" t="s">
        <v>1944</v>
      </c>
      <c r="I613" s="187" t="s">
        <v>1950</v>
      </c>
      <c r="J613" s="187" t="s">
        <v>1951</v>
      </c>
      <c r="K613" s="188">
        <v>1</v>
      </c>
      <c r="L613" s="188">
        <v>1</v>
      </c>
      <c r="M613" s="189" t="s">
        <v>793</v>
      </c>
      <c r="N613" s="190">
        <v>2028.7</v>
      </c>
      <c r="O613" s="190">
        <f t="shared" si="72"/>
        <v>2211.28</v>
      </c>
      <c r="P613" s="191">
        <f t="shared" si="73"/>
        <v>2028.7</v>
      </c>
      <c r="Q613" s="192">
        <f t="shared" si="74"/>
        <v>2028.7</v>
      </c>
      <c r="R613" s="193"/>
      <c r="S613" s="194"/>
      <c r="T613" s="195">
        <f t="shared" si="75"/>
        <v>0</v>
      </c>
      <c r="U613" s="195">
        <f t="shared" si="76"/>
        <v>0</v>
      </c>
      <c r="V613" s="195">
        <f t="shared" si="77"/>
        <v>0</v>
      </c>
      <c r="W613" s="196">
        <f t="shared" si="78"/>
        <v>0</v>
      </c>
      <c r="X613" s="197">
        <f t="shared" si="79"/>
        <v>0</v>
      </c>
      <c r="AH613" s="109" t="s">
        <v>1947</v>
      </c>
    </row>
    <row r="614" ht="11.4" customHeight="1" spans="1:34">
      <c r="A614" s="184" t="s">
        <v>1879</v>
      </c>
      <c r="B614" s="184" t="s">
        <v>139</v>
      </c>
      <c r="C614" s="184" t="s">
        <v>1880</v>
      </c>
      <c r="D614" s="185" t="s">
        <v>522</v>
      </c>
      <c r="E614" s="186" t="s">
        <v>906</v>
      </c>
      <c r="F614" s="186" t="s">
        <v>907</v>
      </c>
      <c r="G614" s="186" t="s">
        <v>1881</v>
      </c>
      <c r="H614" s="186" t="s">
        <v>1944</v>
      </c>
      <c r="I614" s="187" t="s">
        <v>1952</v>
      </c>
      <c r="J614" s="187" t="s">
        <v>1953</v>
      </c>
      <c r="K614" s="188">
        <v>1</v>
      </c>
      <c r="L614" s="188">
        <v>1</v>
      </c>
      <c r="M614" s="189" t="s">
        <v>793</v>
      </c>
      <c r="N614" s="190">
        <v>1781.2</v>
      </c>
      <c r="O614" s="190">
        <f t="shared" si="72"/>
        <v>1941.51</v>
      </c>
      <c r="P614" s="191">
        <f t="shared" si="73"/>
        <v>1781.2</v>
      </c>
      <c r="Q614" s="192">
        <f t="shared" si="74"/>
        <v>1781.2</v>
      </c>
      <c r="R614" s="193"/>
      <c r="S614" s="194"/>
      <c r="T614" s="195">
        <f t="shared" si="75"/>
        <v>0</v>
      </c>
      <c r="U614" s="195">
        <f t="shared" si="76"/>
        <v>0</v>
      </c>
      <c r="V614" s="195">
        <f t="shared" si="77"/>
        <v>0</v>
      </c>
      <c r="W614" s="196">
        <f t="shared" si="78"/>
        <v>0</v>
      </c>
      <c r="X614" s="197">
        <f t="shared" si="79"/>
        <v>0</v>
      </c>
      <c r="AH614" s="219" t="s">
        <v>1954</v>
      </c>
    </row>
    <row r="615" ht="11.4" customHeight="1" spans="1:34">
      <c r="A615" s="184" t="s">
        <v>1879</v>
      </c>
      <c r="B615" s="184" t="s">
        <v>139</v>
      </c>
      <c r="C615" s="184" t="s">
        <v>1880</v>
      </c>
      <c r="D615" s="185" t="s">
        <v>522</v>
      </c>
      <c r="E615" s="186" t="s">
        <v>906</v>
      </c>
      <c r="F615" s="186" t="s">
        <v>907</v>
      </c>
      <c r="G615" s="186" t="s">
        <v>1881</v>
      </c>
      <c r="H615" s="186" t="s">
        <v>1944</v>
      </c>
      <c r="I615" s="187" t="s">
        <v>1955</v>
      </c>
      <c r="J615" s="187" t="s">
        <v>1956</v>
      </c>
      <c r="K615" s="188"/>
      <c r="L615" s="188"/>
      <c r="M615" s="189" t="s">
        <v>793</v>
      </c>
      <c r="N615" s="190">
        <v>406.45</v>
      </c>
      <c r="O615" s="190">
        <f t="shared" si="72"/>
        <v>443.03</v>
      </c>
      <c r="P615" s="191">
        <f t="shared" si="73"/>
        <v>0</v>
      </c>
      <c r="Q615" s="192">
        <f t="shared" si="74"/>
        <v>0</v>
      </c>
      <c r="R615" s="193"/>
      <c r="S615" s="194"/>
      <c r="T615" s="195">
        <f t="shared" si="75"/>
        <v>0</v>
      </c>
      <c r="U615" s="195">
        <f t="shared" si="76"/>
        <v>0</v>
      </c>
      <c r="V615" s="195">
        <f t="shared" si="77"/>
        <v>0</v>
      </c>
      <c r="W615" s="196" t="e">
        <f t="shared" si="78"/>
        <v>#DIV/0!</v>
      </c>
      <c r="X615" s="197" t="e">
        <f t="shared" si="79"/>
        <v>#DIV/0!</v>
      </c>
      <c r="AH615" s="109" t="s">
        <v>1947</v>
      </c>
    </row>
    <row r="616" ht="11.4" customHeight="1" spans="1:34">
      <c r="A616" s="184" t="s">
        <v>1879</v>
      </c>
      <c r="B616" s="184" t="s">
        <v>139</v>
      </c>
      <c r="C616" s="184" t="s">
        <v>1880</v>
      </c>
      <c r="D616" s="185" t="s">
        <v>522</v>
      </c>
      <c r="E616" s="186" t="s">
        <v>906</v>
      </c>
      <c r="F616" s="186" t="s">
        <v>907</v>
      </c>
      <c r="G616" s="186" t="s">
        <v>1881</v>
      </c>
      <c r="H616" s="186" t="s">
        <v>1944</v>
      </c>
      <c r="I616" s="187" t="s">
        <v>1957</v>
      </c>
      <c r="J616" s="187" t="s">
        <v>1958</v>
      </c>
      <c r="K616" s="188">
        <v>1</v>
      </c>
      <c r="L616" s="188">
        <v>1</v>
      </c>
      <c r="M616" s="189" t="s">
        <v>793</v>
      </c>
      <c r="N616" s="190">
        <v>835.76</v>
      </c>
      <c r="O616" s="190">
        <f t="shared" si="72"/>
        <v>910.98</v>
      </c>
      <c r="P616" s="191">
        <f t="shared" si="73"/>
        <v>835.76</v>
      </c>
      <c r="Q616" s="192">
        <f t="shared" si="74"/>
        <v>835.76</v>
      </c>
      <c r="R616" s="193"/>
      <c r="S616" s="194"/>
      <c r="T616" s="195">
        <f t="shared" si="75"/>
        <v>0</v>
      </c>
      <c r="U616" s="195">
        <f t="shared" si="76"/>
        <v>0</v>
      </c>
      <c r="V616" s="195">
        <f t="shared" si="77"/>
        <v>0</v>
      </c>
      <c r="W616" s="196">
        <f t="shared" si="78"/>
        <v>0</v>
      </c>
      <c r="X616" s="197">
        <f t="shared" si="79"/>
        <v>0</v>
      </c>
      <c r="AH616" s="109" t="s">
        <v>1947</v>
      </c>
    </row>
    <row r="617" ht="11.4" customHeight="1" spans="1:34">
      <c r="A617" s="184" t="s">
        <v>1879</v>
      </c>
      <c r="B617" s="184" t="s">
        <v>139</v>
      </c>
      <c r="C617" s="184" t="s">
        <v>1880</v>
      </c>
      <c r="D617" s="185" t="s">
        <v>522</v>
      </c>
      <c r="E617" s="186" t="s">
        <v>906</v>
      </c>
      <c r="F617" s="186" t="s">
        <v>907</v>
      </c>
      <c r="G617" s="186" t="s">
        <v>1881</v>
      </c>
      <c r="H617" s="186" t="s">
        <v>1944</v>
      </c>
      <c r="I617" s="187" t="s">
        <v>1959</v>
      </c>
      <c r="J617" s="187" t="s">
        <v>1960</v>
      </c>
      <c r="K617" s="188">
        <v>1</v>
      </c>
      <c r="L617" s="188">
        <v>1</v>
      </c>
      <c r="M617" s="189" t="s">
        <v>793</v>
      </c>
      <c r="N617" s="190">
        <v>846.76</v>
      </c>
      <c r="O617" s="190">
        <f t="shared" si="72"/>
        <v>922.97</v>
      </c>
      <c r="P617" s="191">
        <f t="shared" si="73"/>
        <v>846.76</v>
      </c>
      <c r="Q617" s="192">
        <f t="shared" si="74"/>
        <v>846.76</v>
      </c>
      <c r="R617" s="193"/>
      <c r="S617" s="194"/>
      <c r="T617" s="195">
        <f t="shared" si="75"/>
        <v>0</v>
      </c>
      <c r="U617" s="195">
        <f t="shared" si="76"/>
        <v>0</v>
      </c>
      <c r="V617" s="195">
        <f t="shared" si="77"/>
        <v>0</v>
      </c>
      <c r="W617" s="196">
        <f t="shared" si="78"/>
        <v>0</v>
      </c>
      <c r="X617" s="197">
        <f t="shared" si="79"/>
        <v>0</v>
      </c>
      <c r="AH617" s="219" t="s">
        <v>1954</v>
      </c>
    </row>
    <row r="618" ht="11.4" customHeight="1" spans="1:34">
      <c r="A618" s="184" t="s">
        <v>1879</v>
      </c>
      <c r="B618" s="184" t="s">
        <v>139</v>
      </c>
      <c r="C618" s="184" t="s">
        <v>1880</v>
      </c>
      <c r="D618" s="185" t="s">
        <v>522</v>
      </c>
      <c r="E618" s="186" t="s">
        <v>906</v>
      </c>
      <c r="F618" s="186" t="s">
        <v>907</v>
      </c>
      <c r="G618" s="186" t="s">
        <v>1881</v>
      </c>
      <c r="H618" s="186" t="s">
        <v>1944</v>
      </c>
      <c r="I618" s="187" t="s">
        <v>1961</v>
      </c>
      <c r="J618" s="187" t="s">
        <v>1962</v>
      </c>
      <c r="K618" s="188"/>
      <c r="L618" s="188"/>
      <c r="M618" s="189" t="s">
        <v>793</v>
      </c>
      <c r="N618" s="190">
        <v>836.31</v>
      </c>
      <c r="O618" s="190">
        <f t="shared" si="72"/>
        <v>911.58</v>
      </c>
      <c r="P618" s="191">
        <f t="shared" si="73"/>
        <v>0</v>
      </c>
      <c r="Q618" s="192">
        <f t="shared" si="74"/>
        <v>0</v>
      </c>
      <c r="R618" s="193"/>
      <c r="S618" s="194"/>
      <c r="T618" s="195">
        <f t="shared" si="75"/>
        <v>0</v>
      </c>
      <c r="U618" s="195">
        <f t="shared" si="76"/>
        <v>0</v>
      </c>
      <c r="V618" s="195">
        <f t="shared" si="77"/>
        <v>0</v>
      </c>
      <c r="W618" s="196" t="e">
        <f t="shared" si="78"/>
        <v>#DIV/0!</v>
      </c>
      <c r="X618" s="197" t="e">
        <f t="shared" si="79"/>
        <v>#DIV/0!</v>
      </c>
      <c r="AH618" s="219" t="s">
        <v>1947</v>
      </c>
    </row>
    <row r="619" ht="11.4" customHeight="1" spans="1:34">
      <c r="A619" s="184" t="s">
        <v>1879</v>
      </c>
      <c r="B619" s="184" t="s">
        <v>139</v>
      </c>
      <c r="C619" s="184" t="s">
        <v>1880</v>
      </c>
      <c r="D619" s="185" t="s">
        <v>522</v>
      </c>
      <c r="E619" s="186" t="s">
        <v>906</v>
      </c>
      <c r="F619" s="186" t="s">
        <v>907</v>
      </c>
      <c r="G619" s="186" t="s">
        <v>1881</v>
      </c>
      <c r="H619" s="186" t="s">
        <v>1963</v>
      </c>
      <c r="I619" s="187" t="s">
        <v>1964</v>
      </c>
      <c r="J619" s="187" t="s">
        <v>1965</v>
      </c>
      <c r="K619" s="188">
        <v>5</v>
      </c>
      <c r="L619" s="188">
        <v>5</v>
      </c>
      <c r="M619" s="189" t="s">
        <v>1778</v>
      </c>
      <c r="N619" s="190">
        <v>500.38</v>
      </c>
      <c r="O619" s="190">
        <f t="shared" si="72"/>
        <v>545.41</v>
      </c>
      <c r="P619" s="191">
        <f t="shared" si="73"/>
        <v>2501.9</v>
      </c>
      <c r="Q619" s="192">
        <f t="shared" si="74"/>
        <v>2501.9</v>
      </c>
      <c r="R619" s="193"/>
      <c r="S619" s="194"/>
      <c r="T619" s="195">
        <f t="shared" si="75"/>
        <v>0</v>
      </c>
      <c r="U619" s="195">
        <f t="shared" si="76"/>
        <v>0</v>
      </c>
      <c r="V619" s="195">
        <f t="shared" si="77"/>
        <v>0</v>
      </c>
      <c r="W619" s="196">
        <f t="shared" si="78"/>
        <v>0</v>
      </c>
      <c r="X619" s="197">
        <f t="shared" si="79"/>
        <v>0</v>
      </c>
      <c r="AH619" s="109" t="s">
        <v>1947</v>
      </c>
    </row>
    <row r="620" ht="11.4" customHeight="1" spans="1:34">
      <c r="A620" s="184" t="s">
        <v>1879</v>
      </c>
      <c r="B620" s="184" t="s">
        <v>139</v>
      </c>
      <c r="C620" s="184" t="s">
        <v>1880</v>
      </c>
      <c r="D620" s="185" t="s">
        <v>522</v>
      </c>
      <c r="E620" s="186" t="s">
        <v>906</v>
      </c>
      <c r="F620" s="186" t="s">
        <v>907</v>
      </c>
      <c r="G620" s="186" t="s">
        <v>1881</v>
      </c>
      <c r="H620" s="186" t="s">
        <v>1963</v>
      </c>
      <c r="I620" s="187" t="s">
        <v>1966</v>
      </c>
      <c r="J620" s="187" t="s">
        <v>1967</v>
      </c>
      <c r="K620" s="188"/>
      <c r="L620" s="188"/>
      <c r="M620" s="189" t="s">
        <v>1018</v>
      </c>
      <c r="N620" s="190">
        <v>63.27</v>
      </c>
      <c r="O620" s="190">
        <f t="shared" si="72"/>
        <v>68.96</v>
      </c>
      <c r="P620" s="191">
        <f t="shared" si="73"/>
        <v>0</v>
      </c>
      <c r="Q620" s="192">
        <f t="shared" si="74"/>
        <v>0</v>
      </c>
      <c r="R620" s="193"/>
      <c r="S620" s="194"/>
      <c r="T620" s="195">
        <f t="shared" si="75"/>
        <v>0</v>
      </c>
      <c r="U620" s="195">
        <f t="shared" si="76"/>
        <v>0</v>
      </c>
      <c r="V620" s="195">
        <f t="shared" si="77"/>
        <v>0</v>
      </c>
      <c r="W620" s="196" t="e">
        <f t="shared" si="78"/>
        <v>#DIV/0!</v>
      </c>
      <c r="X620" s="197" t="e">
        <f t="shared" si="79"/>
        <v>#DIV/0!</v>
      </c>
      <c r="AG620" s="219" t="s">
        <v>990</v>
      </c>
    </row>
    <row r="621" ht="11.4" customHeight="1" spans="1:34">
      <c r="A621" s="184" t="s">
        <v>1879</v>
      </c>
      <c r="B621" s="184" t="s">
        <v>139</v>
      </c>
      <c r="C621" s="184" t="s">
        <v>1880</v>
      </c>
      <c r="D621" s="185" t="s">
        <v>522</v>
      </c>
      <c r="E621" s="186" t="s">
        <v>906</v>
      </c>
      <c r="F621" s="186" t="s">
        <v>907</v>
      </c>
      <c r="G621" s="186" t="s">
        <v>1881</v>
      </c>
      <c r="H621" s="186" t="s">
        <v>1963</v>
      </c>
      <c r="I621" s="187" t="s">
        <v>1968</v>
      </c>
      <c r="J621" s="187" t="s">
        <v>1969</v>
      </c>
      <c r="K621" s="188"/>
      <c r="L621" s="188"/>
      <c r="M621" s="189" t="s">
        <v>807</v>
      </c>
      <c r="N621" s="190">
        <v>38.86</v>
      </c>
      <c r="O621" s="190">
        <f t="shared" si="72"/>
        <v>42.36</v>
      </c>
      <c r="P621" s="191">
        <f t="shared" si="73"/>
        <v>0</v>
      </c>
      <c r="Q621" s="192">
        <f t="shared" si="74"/>
        <v>0</v>
      </c>
      <c r="R621" s="193"/>
      <c r="S621" s="194"/>
      <c r="T621" s="195">
        <f t="shared" si="75"/>
        <v>0</v>
      </c>
      <c r="U621" s="195">
        <f t="shared" si="76"/>
        <v>0</v>
      </c>
      <c r="V621" s="195">
        <f t="shared" si="77"/>
        <v>0</v>
      </c>
      <c r="W621" s="196" t="e">
        <f t="shared" si="78"/>
        <v>#DIV/0!</v>
      </c>
      <c r="X621" s="197" t="e">
        <f t="shared" si="79"/>
        <v>#DIV/0!</v>
      </c>
      <c r="AG621" s="219" t="s">
        <v>1970</v>
      </c>
    </row>
    <row r="622" ht="11.4" customHeight="1" spans="1:34">
      <c r="A622" s="184" t="s">
        <v>1879</v>
      </c>
      <c r="B622" s="184" t="s">
        <v>139</v>
      </c>
      <c r="C622" s="184" t="s">
        <v>1880</v>
      </c>
      <c r="D622" s="185" t="s">
        <v>522</v>
      </c>
      <c r="E622" s="186" t="s">
        <v>906</v>
      </c>
      <c r="F622" s="186" t="s">
        <v>907</v>
      </c>
      <c r="G622" s="186" t="s">
        <v>1881</v>
      </c>
      <c r="H622" s="186" t="s">
        <v>1971</v>
      </c>
      <c r="I622" s="187" t="s">
        <v>1972</v>
      </c>
      <c r="J622" s="187" t="s">
        <v>1973</v>
      </c>
      <c r="K622" s="188">
        <v>5</v>
      </c>
      <c r="L622" s="188">
        <v>5</v>
      </c>
      <c r="M622" s="189" t="s">
        <v>1778</v>
      </c>
      <c r="N622" s="190">
        <v>500.38</v>
      </c>
      <c r="O622" s="190">
        <f t="shared" si="72"/>
        <v>545.41</v>
      </c>
      <c r="P622" s="191">
        <f t="shared" si="73"/>
        <v>2501.9</v>
      </c>
      <c r="Q622" s="192">
        <f t="shared" si="74"/>
        <v>2501.9</v>
      </c>
      <c r="R622" s="193"/>
      <c r="S622" s="194"/>
      <c r="T622" s="195">
        <f t="shared" si="75"/>
        <v>0</v>
      </c>
      <c r="U622" s="195">
        <f t="shared" si="76"/>
        <v>0</v>
      </c>
      <c r="V622" s="195">
        <f t="shared" si="77"/>
        <v>0</v>
      </c>
      <c r="W622" s="196">
        <f t="shared" si="78"/>
        <v>0</v>
      </c>
      <c r="X622" s="197">
        <f t="shared" si="79"/>
        <v>0</v>
      </c>
      <c r="AH622" s="109" t="s">
        <v>1947</v>
      </c>
    </row>
    <row r="623" ht="11.4" customHeight="1" spans="1:34">
      <c r="A623" s="184" t="s">
        <v>1879</v>
      </c>
      <c r="B623" s="184" t="s">
        <v>139</v>
      </c>
      <c r="C623" s="184" t="s">
        <v>1880</v>
      </c>
      <c r="D623" s="185" t="s">
        <v>522</v>
      </c>
      <c r="E623" s="186" t="s">
        <v>906</v>
      </c>
      <c r="F623" s="186" t="s">
        <v>907</v>
      </c>
      <c r="G623" s="186" t="s">
        <v>1881</v>
      </c>
      <c r="H623" s="186" t="s">
        <v>1974</v>
      </c>
      <c r="I623" s="187" t="s">
        <v>1975</v>
      </c>
      <c r="J623" s="187" t="s">
        <v>1976</v>
      </c>
      <c r="K623" s="188">
        <v>6</v>
      </c>
      <c r="L623" s="188">
        <v>6</v>
      </c>
      <c r="M623" s="189" t="s">
        <v>1018</v>
      </c>
      <c r="N623" s="190">
        <v>136.25</v>
      </c>
      <c r="O623" s="190">
        <f t="shared" si="72"/>
        <v>148.51</v>
      </c>
      <c r="P623" s="191">
        <f t="shared" si="73"/>
        <v>817.5</v>
      </c>
      <c r="Q623" s="192">
        <f t="shared" si="74"/>
        <v>817.5</v>
      </c>
      <c r="R623" s="193"/>
      <c r="S623" s="194"/>
      <c r="T623" s="195">
        <f t="shared" si="75"/>
        <v>0</v>
      </c>
      <c r="U623" s="195">
        <f t="shared" si="76"/>
        <v>0</v>
      </c>
      <c r="V623" s="195">
        <f t="shared" si="77"/>
        <v>0</v>
      </c>
      <c r="W623" s="196">
        <f t="shared" si="78"/>
        <v>0</v>
      </c>
      <c r="X623" s="197">
        <f t="shared" si="79"/>
        <v>0</v>
      </c>
      <c r="AG623" s="219" t="s">
        <v>990</v>
      </c>
    </row>
    <row r="624" ht="11.4" customHeight="1" spans="1:34">
      <c r="A624" s="184" t="s">
        <v>1879</v>
      </c>
      <c r="B624" s="184" t="s">
        <v>139</v>
      </c>
      <c r="C624" s="184" t="s">
        <v>1880</v>
      </c>
      <c r="D624" s="185" t="s">
        <v>522</v>
      </c>
      <c r="E624" s="186" t="s">
        <v>906</v>
      </c>
      <c r="F624" s="186" t="s">
        <v>907</v>
      </c>
      <c r="G624" s="186" t="s">
        <v>1881</v>
      </c>
      <c r="H624" s="186" t="s">
        <v>1974</v>
      </c>
      <c r="I624" s="187" t="s">
        <v>1977</v>
      </c>
      <c r="J624" s="187" t="s">
        <v>1978</v>
      </c>
      <c r="K624" s="221">
        <v>22</v>
      </c>
      <c r="L624" s="188">
        <v>23</v>
      </c>
      <c r="M624" s="189" t="s">
        <v>1018</v>
      </c>
      <c r="N624" s="190">
        <v>136.25</v>
      </c>
      <c r="O624" s="190">
        <f t="shared" si="72"/>
        <v>148.51</v>
      </c>
      <c r="P624" s="191">
        <f t="shared" si="73"/>
        <v>2997.5</v>
      </c>
      <c r="Q624" s="192">
        <f t="shared" si="74"/>
        <v>3133.75</v>
      </c>
      <c r="R624" s="193"/>
      <c r="S624" s="194"/>
      <c r="T624" s="195">
        <f t="shared" si="75"/>
        <v>-1</v>
      </c>
      <c r="U624" s="195">
        <f t="shared" si="76"/>
        <v>-136.25</v>
      </c>
      <c r="V624" s="195">
        <f t="shared" si="77"/>
        <v>136.25</v>
      </c>
      <c r="W624" s="196">
        <f t="shared" si="78"/>
        <v>-0.0434782608695652</v>
      </c>
      <c r="X624" s="197">
        <f t="shared" si="79"/>
        <v>0.0434782608695652</v>
      </c>
      <c r="AG624" s="219" t="s">
        <v>1721</v>
      </c>
    </row>
    <row r="625" ht="11.4" customHeight="1" spans="1:34">
      <c r="A625" s="184" t="s">
        <v>1879</v>
      </c>
      <c r="B625" s="184" t="s">
        <v>139</v>
      </c>
      <c r="C625" s="184" t="s">
        <v>1880</v>
      </c>
      <c r="D625" s="185" t="s">
        <v>522</v>
      </c>
      <c r="E625" s="186" t="s">
        <v>906</v>
      </c>
      <c r="F625" s="186" t="s">
        <v>907</v>
      </c>
      <c r="G625" s="186" t="s">
        <v>1881</v>
      </c>
      <c r="H625" s="186" t="s">
        <v>1963</v>
      </c>
      <c r="I625" s="187" t="s">
        <v>1979</v>
      </c>
      <c r="J625" s="187" t="s">
        <v>1978</v>
      </c>
      <c r="K625" s="188">
        <v>90</v>
      </c>
      <c r="L625" s="188">
        <v>89</v>
      </c>
      <c r="M625" s="189" t="s">
        <v>1018</v>
      </c>
      <c r="N625" s="190">
        <v>136.25</v>
      </c>
      <c r="O625" s="190">
        <f t="shared" si="72"/>
        <v>148.51</v>
      </c>
      <c r="P625" s="191">
        <f t="shared" si="73"/>
        <v>12262.5</v>
      </c>
      <c r="Q625" s="192">
        <f t="shared" si="74"/>
        <v>12126.25</v>
      </c>
      <c r="R625" s="193"/>
      <c r="S625" s="194"/>
      <c r="T625" s="195">
        <f t="shared" si="75"/>
        <v>1</v>
      </c>
      <c r="U625" s="195">
        <f t="shared" si="76"/>
        <v>136.25</v>
      </c>
      <c r="V625" s="195">
        <f t="shared" si="77"/>
        <v>136.25</v>
      </c>
      <c r="W625" s="196">
        <f t="shared" si="78"/>
        <v>0.0112359550561798</v>
      </c>
      <c r="X625" s="197">
        <f t="shared" si="79"/>
        <v>0.0112359550561798</v>
      </c>
      <c r="AG625" s="219" t="s">
        <v>1721</v>
      </c>
    </row>
    <row r="626" ht="11.4" customHeight="1" spans="1:34">
      <c r="A626" s="184" t="s">
        <v>1879</v>
      </c>
      <c r="B626" s="184" t="s">
        <v>139</v>
      </c>
      <c r="C626" s="184" t="s">
        <v>1880</v>
      </c>
      <c r="D626" s="185" t="s">
        <v>522</v>
      </c>
      <c r="E626" s="186" t="s">
        <v>906</v>
      </c>
      <c r="F626" s="186" t="s">
        <v>907</v>
      </c>
      <c r="G626" s="186" t="s">
        <v>1881</v>
      </c>
      <c r="H626" s="186" t="s">
        <v>1980</v>
      </c>
      <c r="I626" s="187" t="s">
        <v>1981</v>
      </c>
      <c r="J626" s="187" t="s">
        <v>1982</v>
      </c>
      <c r="K626" s="188"/>
      <c r="L626" s="188"/>
      <c r="M626" s="189" t="s">
        <v>807</v>
      </c>
      <c r="N626" s="190">
        <v>69.84</v>
      </c>
      <c r="O626" s="190">
        <f t="shared" si="72"/>
        <v>76.13</v>
      </c>
      <c r="P626" s="191">
        <f t="shared" si="73"/>
        <v>0</v>
      </c>
      <c r="Q626" s="192">
        <f t="shared" si="74"/>
        <v>0</v>
      </c>
      <c r="R626" s="193"/>
      <c r="S626" s="194"/>
      <c r="T626" s="195">
        <f t="shared" si="75"/>
        <v>0</v>
      </c>
      <c r="U626" s="195">
        <f t="shared" si="76"/>
        <v>0</v>
      </c>
      <c r="V626" s="195">
        <f t="shared" si="77"/>
        <v>0</v>
      </c>
      <c r="W626" s="196" t="e">
        <f t="shared" si="78"/>
        <v>#DIV/0!</v>
      </c>
      <c r="X626" s="197" t="e">
        <f t="shared" si="79"/>
        <v>#DIV/0!</v>
      </c>
      <c r="AH626" s="219" t="s">
        <v>1983</v>
      </c>
    </row>
    <row r="627" ht="11.4" hidden="1" customHeight="1" spans="1:34">
      <c r="A627" s="184" t="s">
        <v>1879</v>
      </c>
      <c r="B627" s="184" t="s">
        <v>139</v>
      </c>
      <c r="C627" s="184" t="s">
        <v>1880</v>
      </c>
      <c r="D627" s="185" t="s">
        <v>522</v>
      </c>
      <c r="E627" s="186" t="s">
        <v>906</v>
      </c>
      <c r="F627" s="186" t="s">
        <v>907</v>
      </c>
      <c r="G627" s="186" t="s">
        <v>1881</v>
      </c>
      <c r="H627" s="186" t="s">
        <v>1980</v>
      </c>
      <c r="I627" s="187" t="s">
        <v>1984</v>
      </c>
      <c r="J627" s="202" t="s">
        <v>1985</v>
      </c>
      <c r="K627" s="203">
        <f t="shared" ref="K627:K632" si="80">L627</f>
        <v>23.72</v>
      </c>
      <c r="L627" s="188">
        <v>23.72</v>
      </c>
      <c r="M627" s="189" t="s">
        <v>807</v>
      </c>
      <c r="N627" s="190">
        <v>62.59</v>
      </c>
      <c r="O627" s="190">
        <f t="shared" si="72"/>
        <v>68.22</v>
      </c>
      <c r="P627" s="191">
        <f t="shared" si="73"/>
        <v>1484.63</v>
      </c>
      <c r="Q627" s="192">
        <f t="shared" si="74"/>
        <v>1484.63</v>
      </c>
      <c r="R627" s="193"/>
      <c r="S627" s="194"/>
      <c r="T627" s="195">
        <f t="shared" si="75"/>
        <v>0</v>
      </c>
      <c r="U627" s="195">
        <f t="shared" si="76"/>
        <v>0</v>
      </c>
      <c r="V627" s="195">
        <f t="shared" si="77"/>
        <v>0</v>
      </c>
      <c r="W627" s="196">
        <f t="shared" si="78"/>
        <v>0</v>
      </c>
      <c r="X627" s="197">
        <f t="shared" si="79"/>
        <v>0</v>
      </c>
      <c r="Y627" s="201" t="s">
        <v>1986</v>
      </c>
    </row>
    <row r="628" ht="11.4" hidden="1" customHeight="1" spans="1:34">
      <c r="A628" s="184" t="s">
        <v>1879</v>
      </c>
      <c r="B628" s="184" t="s">
        <v>139</v>
      </c>
      <c r="C628" s="184" t="s">
        <v>1880</v>
      </c>
      <c r="D628" s="185" t="s">
        <v>522</v>
      </c>
      <c r="E628" s="186" t="s">
        <v>906</v>
      </c>
      <c r="F628" s="186" t="s">
        <v>907</v>
      </c>
      <c r="G628" s="186" t="s">
        <v>1881</v>
      </c>
      <c r="H628" s="186" t="s">
        <v>1980</v>
      </c>
      <c r="I628" s="187" t="s">
        <v>1987</v>
      </c>
      <c r="J628" s="202" t="s">
        <v>1988</v>
      </c>
      <c r="K628" s="203">
        <f t="shared" si="80"/>
        <v>23.72</v>
      </c>
      <c r="L628" s="188">
        <v>23.72</v>
      </c>
      <c r="M628" s="189" t="s">
        <v>807</v>
      </c>
      <c r="N628" s="190">
        <v>52.61</v>
      </c>
      <c r="O628" s="190">
        <f t="shared" si="72"/>
        <v>57.34</v>
      </c>
      <c r="P628" s="191">
        <f t="shared" si="73"/>
        <v>1247.91</v>
      </c>
      <c r="Q628" s="192">
        <f t="shared" si="74"/>
        <v>1247.91</v>
      </c>
      <c r="R628" s="193"/>
      <c r="S628" s="194"/>
      <c r="T628" s="195">
        <f t="shared" si="75"/>
        <v>0</v>
      </c>
      <c r="U628" s="195">
        <f t="shared" si="76"/>
        <v>0</v>
      </c>
      <c r="V628" s="195">
        <f t="shared" si="77"/>
        <v>0</v>
      </c>
      <c r="W628" s="196">
        <f t="shared" si="78"/>
        <v>0</v>
      </c>
      <c r="X628" s="197">
        <f t="shared" si="79"/>
        <v>0</v>
      </c>
      <c r="Y628" s="201" t="s">
        <v>1986</v>
      </c>
    </row>
    <row r="629" ht="11.4" customHeight="1" spans="1:34">
      <c r="A629" s="184" t="s">
        <v>1879</v>
      </c>
      <c r="B629" s="184" t="s">
        <v>139</v>
      </c>
      <c r="C629" s="184" t="s">
        <v>1880</v>
      </c>
      <c r="D629" s="185" t="s">
        <v>522</v>
      </c>
      <c r="E629" s="186" t="s">
        <v>906</v>
      </c>
      <c r="F629" s="186" t="s">
        <v>907</v>
      </c>
      <c r="G629" s="186" t="s">
        <v>1881</v>
      </c>
      <c r="H629" s="186" t="s">
        <v>1980</v>
      </c>
      <c r="I629" s="187" t="s">
        <v>1989</v>
      </c>
      <c r="J629" s="187" t="s">
        <v>1990</v>
      </c>
      <c r="K629" s="188"/>
      <c r="L629" s="188"/>
      <c r="M629" s="189" t="s">
        <v>807</v>
      </c>
      <c r="N629" s="190">
        <v>33.42</v>
      </c>
      <c r="O629" s="190">
        <f t="shared" si="72"/>
        <v>36.43</v>
      </c>
      <c r="P629" s="191">
        <f t="shared" si="73"/>
        <v>0</v>
      </c>
      <c r="Q629" s="192">
        <f t="shared" si="74"/>
        <v>0</v>
      </c>
      <c r="R629" s="193"/>
      <c r="S629" s="194"/>
      <c r="T629" s="195">
        <f t="shared" si="75"/>
        <v>0</v>
      </c>
      <c r="U629" s="195">
        <f t="shared" si="76"/>
        <v>0</v>
      </c>
      <c r="V629" s="195">
        <f t="shared" si="77"/>
        <v>0</v>
      </c>
      <c r="W629" s="196" t="e">
        <f t="shared" si="78"/>
        <v>#DIV/0!</v>
      </c>
      <c r="X629" s="197" t="e">
        <f t="shared" si="79"/>
        <v>#DIV/0!</v>
      </c>
      <c r="AH629" s="219" t="s">
        <v>1983</v>
      </c>
    </row>
    <row r="630" ht="11.4" customHeight="1" spans="1:34">
      <c r="A630" s="184" t="s">
        <v>1879</v>
      </c>
      <c r="B630" s="184" t="s">
        <v>139</v>
      </c>
      <c r="C630" s="184" t="s">
        <v>1880</v>
      </c>
      <c r="D630" s="185" t="s">
        <v>522</v>
      </c>
      <c r="E630" s="186" t="s">
        <v>906</v>
      </c>
      <c r="F630" s="186" t="s">
        <v>907</v>
      </c>
      <c r="G630" s="186" t="s">
        <v>1881</v>
      </c>
      <c r="H630" s="186" t="s">
        <v>1980</v>
      </c>
      <c r="I630" s="187" t="s">
        <v>1991</v>
      </c>
      <c r="J630" s="187" t="s">
        <v>1992</v>
      </c>
      <c r="K630" s="188"/>
      <c r="L630" s="188"/>
      <c r="M630" s="189" t="s">
        <v>807</v>
      </c>
      <c r="N630" s="190">
        <v>54.17</v>
      </c>
      <c r="O630" s="190">
        <f t="shared" si="72"/>
        <v>59.05</v>
      </c>
      <c r="P630" s="191">
        <f t="shared" si="73"/>
        <v>0</v>
      </c>
      <c r="Q630" s="192">
        <f t="shared" si="74"/>
        <v>0</v>
      </c>
      <c r="R630" s="193"/>
      <c r="S630" s="194"/>
      <c r="T630" s="195">
        <f t="shared" si="75"/>
        <v>0</v>
      </c>
      <c r="U630" s="195">
        <f t="shared" si="76"/>
        <v>0</v>
      </c>
      <c r="V630" s="195">
        <f t="shared" si="77"/>
        <v>0</v>
      </c>
      <c r="W630" s="196" t="e">
        <f t="shared" si="78"/>
        <v>#DIV/0!</v>
      </c>
      <c r="X630" s="197" t="e">
        <f t="shared" si="79"/>
        <v>#DIV/0!</v>
      </c>
      <c r="AH630" s="219" t="s">
        <v>1983</v>
      </c>
    </row>
    <row r="631" ht="11.4" hidden="1" customHeight="1" spans="1:34">
      <c r="A631" s="184" t="s">
        <v>1879</v>
      </c>
      <c r="B631" s="184" t="s">
        <v>139</v>
      </c>
      <c r="C631" s="184" t="s">
        <v>1880</v>
      </c>
      <c r="D631" s="185" t="s">
        <v>522</v>
      </c>
      <c r="E631" s="186" t="s">
        <v>906</v>
      </c>
      <c r="F631" s="186" t="s">
        <v>907</v>
      </c>
      <c r="G631" s="186" t="s">
        <v>1881</v>
      </c>
      <c r="H631" s="186" t="s">
        <v>1980</v>
      </c>
      <c r="I631" s="187" t="s">
        <v>1993</v>
      </c>
      <c r="J631" s="202" t="s">
        <v>1994</v>
      </c>
      <c r="K631" s="203">
        <f t="shared" si="80"/>
        <v>23.59</v>
      </c>
      <c r="L631" s="188">
        <v>23.59</v>
      </c>
      <c r="M631" s="189" t="s">
        <v>807</v>
      </c>
      <c r="N631" s="190">
        <v>50.32</v>
      </c>
      <c r="O631" s="190">
        <f t="shared" si="72"/>
        <v>54.85</v>
      </c>
      <c r="P631" s="191">
        <f t="shared" si="73"/>
        <v>1187.05</v>
      </c>
      <c r="Q631" s="192">
        <f t="shared" si="74"/>
        <v>1187.05</v>
      </c>
      <c r="R631" s="193"/>
      <c r="S631" s="194"/>
      <c r="T631" s="195">
        <f t="shared" si="75"/>
        <v>0</v>
      </c>
      <c r="U631" s="195">
        <f t="shared" si="76"/>
        <v>0</v>
      </c>
      <c r="V631" s="195">
        <f t="shared" si="77"/>
        <v>0</v>
      </c>
      <c r="W631" s="196">
        <f t="shared" si="78"/>
        <v>0</v>
      </c>
      <c r="X631" s="197">
        <f t="shared" si="79"/>
        <v>0</v>
      </c>
      <c r="Y631" s="201" t="s">
        <v>1986</v>
      </c>
    </row>
    <row r="632" ht="11.4" hidden="1" customHeight="1" spans="1:34">
      <c r="A632" s="184" t="s">
        <v>1879</v>
      </c>
      <c r="B632" s="184" t="s">
        <v>139</v>
      </c>
      <c r="C632" s="184" t="s">
        <v>1880</v>
      </c>
      <c r="D632" s="185" t="s">
        <v>522</v>
      </c>
      <c r="E632" s="186" t="s">
        <v>906</v>
      </c>
      <c r="F632" s="186" t="s">
        <v>907</v>
      </c>
      <c r="G632" s="186" t="s">
        <v>1881</v>
      </c>
      <c r="H632" s="186" t="s">
        <v>1980</v>
      </c>
      <c r="I632" s="187" t="s">
        <v>1995</v>
      </c>
      <c r="J632" s="202" t="s">
        <v>1996</v>
      </c>
      <c r="K632" s="203">
        <f t="shared" si="80"/>
        <v>19.28</v>
      </c>
      <c r="L632" s="188">
        <v>19.28</v>
      </c>
      <c r="M632" s="189" t="s">
        <v>807</v>
      </c>
      <c r="N632" s="190">
        <v>32.72</v>
      </c>
      <c r="O632" s="190">
        <f t="shared" si="72"/>
        <v>35.66</v>
      </c>
      <c r="P632" s="191">
        <f t="shared" si="73"/>
        <v>630.84</v>
      </c>
      <c r="Q632" s="192">
        <f t="shared" si="74"/>
        <v>630.84</v>
      </c>
      <c r="R632" s="193"/>
      <c r="S632" s="194"/>
      <c r="T632" s="195">
        <f t="shared" si="75"/>
        <v>0</v>
      </c>
      <c r="U632" s="195">
        <f t="shared" si="76"/>
        <v>0</v>
      </c>
      <c r="V632" s="195">
        <f t="shared" si="77"/>
        <v>0</v>
      </c>
      <c r="W632" s="196">
        <f t="shared" si="78"/>
        <v>0</v>
      </c>
      <c r="X632" s="197">
        <f t="shared" si="79"/>
        <v>0</v>
      </c>
      <c r="Y632" s="201" t="s">
        <v>1986</v>
      </c>
    </row>
    <row r="633" ht="11.4" customHeight="1" spans="1:34">
      <c r="A633" s="184" t="s">
        <v>1879</v>
      </c>
      <c r="B633" s="184" t="s">
        <v>139</v>
      </c>
      <c r="C633" s="184" t="s">
        <v>1880</v>
      </c>
      <c r="D633" s="185" t="s">
        <v>522</v>
      </c>
      <c r="E633" s="186" t="s">
        <v>906</v>
      </c>
      <c r="F633" s="186" t="s">
        <v>907</v>
      </c>
      <c r="G633" s="186" t="s">
        <v>1881</v>
      </c>
      <c r="H633" s="186" t="s">
        <v>1980</v>
      </c>
      <c r="I633" s="187" t="s">
        <v>1997</v>
      </c>
      <c r="J633" s="187" t="s">
        <v>1998</v>
      </c>
      <c r="K633" s="188"/>
      <c r="L633" s="188"/>
      <c r="M633" s="189" t="s">
        <v>807</v>
      </c>
      <c r="N633" s="190">
        <v>58.29</v>
      </c>
      <c r="O633" s="190">
        <f t="shared" si="72"/>
        <v>63.54</v>
      </c>
      <c r="P633" s="191">
        <f t="shared" si="73"/>
        <v>0</v>
      </c>
      <c r="Q633" s="192">
        <f t="shared" si="74"/>
        <v>0</v>
      </c>
      <c r="R633" s="193"/>
      <c r="S633" s="194"/>
      <c r="T633" s="195">
        <f t="shared" si="75"/>
        <v>0</v>
      </c>
      <c r="U633" s="195">
        <f t="shared" si="76"/>
        <v>0</v>
      </c>
      <c r="V633" s="195">
        <f t="shared" si="77"/>
        <v>0</v>
      </c>
      <c r="W633" s="196" t="e">
        <f t="shared" si="78"/>
        <v>#DIV/0!</v>
      </c>
      <c r="X633" s="197" t="e">
        <f t="shared" si="79"/>
        <v>#DIV/0!</v>
      </c>
      <c r="AH633" s="219" t="s">
        <v>1983</v>
      </c>
    </row>
    <row r="634" ht="11.4" hidden="1" customHeight="1" spans="1:34">
      <c r="A634" s="184" t="s">
        <v>1879</v>
      </c>
      <c r="B634" s="184" t="s">
        <v>139</v>
      </c>
      <c r="C634" s="184" t="s">
        <v>1880</v>
      </c>
      <c r="D634" s="185" t="s">
        <v>522</v>
      </c>
      <c r="E634" s="186" t="s">
        <v>906</v>
      </c>
      <c r="F634" s="186" t="s">
        <v>907</v>
      </c>
      <c r="G634" s="186" t="s">
        <v>1881</v>
      </c>
      <c r="H634" s="186" t="s">
        <v>1980</v>
      </c>
      <c r="I634" s="187" t="s">
        <v>1999</v>
      </c>
      <c r="J634" s="202" t="s">
        <v>2000</v>
      </c>
      <c r="K634" s="203">
        <f t="shared" ref="K634:K637" si="81">L634</f>
        <v>17.83</v>
      </c>
      <c r="L634" s="188">
        <v>17.83</v>
      </c>
      <c r="M634" s="189" t="s">
        <v>807</v>
      </c>
      <c r="N634" s="190">
        <v>45.54</v>
      </c>
      <c r="O634" s="190">
        <f t="shared" si="72"/>
        <v>49.64</v>
      </c>
      <c r="P634" s="191">
        <f t="shared" si="73"/>
        <v>811.98</v>
      </c>
      <c r="Q634" s="192">
        <f t="shared" si="74"/>
        <v>811.98</v>
      </c>
      <c r="R634" s="193"/>
      <c r="S634" s="194"/>
      <c r="T634" s="195">
        <f t="shared" si="75"/>
        <v>0</v>
      </c>
      <c r="U634" s="195">
        <f t="shared" si="76"/>
        <v>0</v>
      </c>
      <c r="V634" s="195">
        <f t="shared" si="77"/>
        <v>0</v>
      </c>
      <c r="W634" s="196">
        <f t="shared" si="78"/>
        <v>0</v>
      </c>
      <c r="X634" s="197">
        <f t="shared" si="79"/>
        <v>0</v>
      </c>
      <c r="Y634" s="201" t="s">
        <v>1986</v>
      </c>
    </row>
    <row r="635" ht="11.4" hidden="1" customHeight="1" spans="1:34">
      <c r="A635" s="184" t="s">
        <v>1879</v>
      </c>
      <c r="B635" s="184" t="s">
        <v>139</v>
      </c>
      <c r="C635" s="184" t="s">
        <v>1880</v>
      </c>
      <c r="D635" s="185" t="s">
        <v>522</v>
      </c>
      <c r="E635" s="186" t="s">
        <v>906</v>
      </c>
      <c r="F635" s="186" t="s">
        <v>907</v>
      </c>
      <c r="G635" s="186" t="s">
        <v>1881</v>
      </c>
      <c r="H635" s="186" t="s">
        <v>1980</v>
      </c>
      <c r="I635" s="187" t="s">
        <v>2001</v>
      </c>
      <c r="J635" s="202" t="s">
        <v>2002</v>
      </c>
      <c r="K635" s="203">
        <f t="shared" si="81"/>
        <v>28.99</v>
      </c>
      <c r="L635" s="188">
        <v>28.99</v>
      </c>
      <c r="M635" s="189" t="s">
        <v>807</v>
      </c>
      <c r="N635" s="190">
        <v>40.18</v>
      </c>
      <c r="O635" s="190">
        <f t="shared" si="72"/>
        <v>43.8</v>
      </c>
      <c r="P635" s="191">
        <f t="shared" si="73"/>
        <v>1164.82</v>
      </c>
      <c r="Q635" s="192">
        <f t="shared" si="74"/>
        <v>1164.82</v>
      </c>
      <c r="R635" s="193"/>
      <c r="S635" s="194"/>
      <c r="T635" s="195">
        <f t="shared" si="75"/>
        <v>0</v>
      </c>
      <c r="U635" s="195">
        <f t="shared" si="76"/>
        <v>0</v>
      </c>
      <c r="V635" s="195">
        <f t="shared" si="77"/>
        <v>0</v>
      </c>
      <c r="W635" s="196">
        <f t="shared" si="78"/>
        <v>0</v>
      </c>
      <c r="X635" s="197">
        <f t="shared" si="79"/>
        <v>0</v>
      </c>
      <c r="Y635" s="201" t="s">
        <v>1986</v>
      </c>
    </row>
    <row r="636" ht="11.4" hidden="1" customHeight="1" spans="1:34">
      <c r="A636" s="184" t="s">
        <v>1879</v>
      </c>
      <c r="B636" s="184" t="s">
        <v>139</v>
      </c>
      <c r="C636" s="184" t="s">
        <v>1880</v>
      </c>
      <c r="D636" s="185" t="s">
        <v>522</v>
      </c>
      <c r="E636" s="186" t="s">
        <v>906</v>
      </c>
      <c r="F636" s="186" t="s">
        <v>907</v>
      </c>
      <c r="G636" s="186" t="s">
        <v>1881</v>
      </c>
      <c r="H636" s="186" t="s">
        <v>1980</v>
      </c>
      <c r="I636" s="187" t="s">
        <v>2003</v>
      </c>
      <c r="J636" s="202" t="s">
        <v>2004</v>
      </c>
      <c r="K636" s="203">
        <f t="shared" si="81"/>
        <v>19.3</v>
      </c>
      <c r="L636" s="188">
        <v>19.3</v>
      </c>
      <c r="M636" s="189" t="s">
        <v>807</v>
      </c>
      <c r="N636" s="190">
        <v>28.14</v>
      </c>
      <c r="O636" s="190">
        <f t="shared" si="72"/>
        <v>30.67</v>
      </c>
      <c r="P636" s="191">
        <f t="shared" si="73"/>
        <v>543.1</v>
      </c>
      <c r="Q636" s="192">
        <f t="shared" si="74"/>
        <v>543.1</v>
      </c>
      <c r="R636" s="193"/>
      <c r="S636" s="194"/>
      <c r="T636" s="195">
        <f t="shared" si="75"/>
        <v>0</v>
      </c>
      <c r="U636" s="195">
        <f t="shared" si="76"/>
        <v>0</v>
      </c>
      <c r="V636" s="195">
        <f t="shared" si="77"/>
        <v>0</v>
      </c>
      <c r="W636" s="196">
        <f t="shared" si="78"/>
        <v>0</v>
      </c>
      <c r="X636" s="197">
        <f t="shared" si="79"/>
        <v>0</v>
      </c>
      <c r="Y636" s="201" t="s">
        <v>1986</v>
      </c>
    </row>
    <row r="637" ht="11.4" hidden="1" customHeight="1" spans="1:34">
      <c r="A637" s="184" t="s">
        <v>1879</v>
      </c>
      <c r="B637" s="184" t="s">
        <v>139</v>
      </c>
      <c r="C637" s="184" t="s">
        <v>1880</v>
      </c>
      <c r="D637" s="185" t="s">
        <v>522</v>
      </c>
      <c r="E637" s="186" t="s">
        <v>906</v>
      </c>
      <c r="F637" s="186" t="s">
        <v>907</v>
      </c>
      <c r="G637" s="186" t="s">
        <v>1881</v>
      </c>
      <c r="H637" s="186" t="s">
        <v>1980</v>
      </c>
      <c r="I637" s="187" t="s">
        <v>2005</v>
      </c>
      <c r="J637" s="204" t="s">
        <v>2006</v>
      </c>
      <c r="K637" s="203">
        <f t="shared" si="81"/>
        <v>73.1</v>
      </c>
      <c r="L637" s="188">
        <v>73.1</v>
      </c>
      <c r="M637" s="189" t="s">
        <v>807</v>
      </c>
      <c r="N637" s="190">
        <v>28.15</v>
      </c>
      <c r="O637" s="190">
        <f t="shared" si="72"/>
        <v>30.68</v>
      </c>
      <c r="P637" s="191">
        <f t="shared" si="73"/>
        <v>2057.77</v>
      </c>
      <c r="Q637" s="192">
        <f t="shared" si="74"/>
        <v>2057.77</v>
      </c>
      <c r="R637" s="193"/>
      <c r="S637" s="194"/>
      <c r="T637" s="195">
        <f t="shared" si="75"/>
        <v>0</v>
      </c>
      <c r="U637" s="195">
        <f t="shared" si="76"/>
        <v>0</v>
      </c>
      <c r="V637" s="195">
        <f t="shared" si="77"/>
        <v>0</v>
      </c>
      <c r="W637" s="196">
        <f t="shared" si="78"/>
        <v>0</v>
      </c>
      <c r="X637" s="197">
        <f t="shared" si="79"/>
        <v>0</v>
      </c>
      <c r="Y637" s="201" t="s">
        <v>1986</v>
      </c>
    </row>
    <row r="638" ht="11.4" customHeight="1" spans="1:34">
      <c r="A638" s="184" t="s">
        <v>1879</v>
      </c>
      <c r="B638" s="184" t="s">
        <v>139</v>
      </c>
      <c r="C638" s="184" t="s">
        <v>1880</v>
      </c>
      <c r="D638" s="185" t="s">
        <v>522</v>
      </c>
      <c r="E638" s="186" t="s">
        <v>906</v>
      </c>
      <c r="F638" s="186" t="s">
        <v>907</v>
      </c>
      <c r="G638" s="186" t="s">
        <v>1881</v>
      </c>
      <c r="H638" s="186" t="s">
        <v>1980</v>
      </c>
      <c r="I638" s="187" t="s">
        <v>2007</v>
      </c>
      <c r="J638" s="187" t="s">
        <v>2008</v>
      </c>
      <c r="K638" s="188">
        <v>1</v>
      </c>
      <c r="L638" s="188">
        <v>1</v>
      </c>
      <c r="M638" s="189" t="s">
        <v>1018</v>
      </c>
      <c r="N638" s="190">
        <v>1059.51</v>
      </c>
      <c r="O638" s="190">
        <f t="shared" si="72"/>
        <v>1154.87</v>
      </c>
      <c r="P638" s="191">
        <f t="shared" si="73"/>
        <v>1059.51</v>
      </c>
      <c r="Q638" s="192">
        <f t="shared" si="74"/>
        <v>1059.51</v>
      </c>
      <c r="R638" s="193"/>
      <c r="S638" s="194"/>
      <c r="T638" s="195">
        <f t="shared" si="75"/>
        <v>0</v>
      </c>
      <c r="U638" s="195">
        <f t="shared" si="76"/>
        <v>0</v>
      </c>
      <c r="V638" s="195">
        <f t="shared" si="77"/>
        <v>0</v>
      </c>
      <c r="W638" s="196">
        <f t="shared" si="78"/>
        <v>0</v>
      </c>
      <c r="X638" s="197">
        <f t="shared" si="79"/>
        <v>0</v>
      </c>
      <c r="AG638" s="219" t="s">
        <v>990</v>
      </c>
    </row>
    <row r="639" ht="11.4" customHeight="1" spans="1:34">
      <c r="A639" s="184" t="s">
        <v>1879</v>
      </c>
      <c r="B639" s="184" t="s">
        <v>139</v>
      </c>
      <c r="C639" s="184" t="s">
        <v>1880</v>
      </c>
      <c r="D639" s="185" t="s">
        <v>522</v>
      </c>
      <c r="E639" s="186" t="s">
        <v>906</v>
      </c>
      <c r="F639" s="186" t="s">
        <v>907</v>
      </c>
      <c r="G639" s="186" t="s">
        <v>1881</v>
      </c>
      <c r="H639" s="186" t="s">
        <v>1980</v>
      </c>
      <c r="I639" s="187" t="s">
        <v>2009</v>
      </c>
      <c r="J639" s="187" t="s">
        <v>2010</v>
      </c>
      <c r="K639" s="188">
        <v>3</v>
      </c>
      <c r="L639" s="188">
        <v>3</v>
      </c>
      <c r="M639" s="189" t="s">
        <v>1018</v>
      </c>
      <c r="N639" s="190">
        <v>829.5</v>
      </c>
      <c r="O639" s="190">
        <f t="shared" si="72"/>
        <v>904.16</v>
      </c>
      <c r="P639" s="191">
        <f t="shared" si="73"/>
        <v>2488.5</v>
      </c>
      <c r="Q639" s="192">
        <f t="shared" si="74"/>
        <v>2488.5</v>
      </c>
      <c r="R639" s="193"/>
      <c r="S639" s="194"/>
      <c r="T639" s="195">
        <f t="shared" si="75"/>
        <v>0</v>
      </c>
      <c r="U639" s="195">
        <f t="shared" si="76"/>
        <v>0</v>
      </c>
      <c r="V639" s="195">
        <f t="shared" si="77"/>
        <v>0</v>
      </c>
      <c r="W639" s="196">
        <f t="shared" si="78"/>
        <v>0</v>
      </c>
      <c r="X639" s="197">
        <f t="shared" si="79"/>
        <v>0</v>
      </c>
      <c r="AG639" s="219" t="s">
        <v>990</v>
      </c>
    </row>
    <row r="640" ht="11.4" customHeight="1" spans="1:34">
      <c r="A640" s="184" t="s">
        <v>1879</v>
      </c>
      <c r="B640" s="184" t="s">
        <v>139</v>
      </c>
      <c r="C640" s="184" t="s">
        <v>1880</v>
      </c>
      <c r="D640" s="185" t="s">
        <v>522</v>
      </c>
      <c r="E640" s="186" t="s">
        <v>906</v>
      </c>
      <c r="F640" s="186" t="s">
        <v>907</v>
      </c>
      <c r="G640" s="186" t="s">
        <v>1881</v>
      </c>
      <c r="H640" s="186" t="s">
        <v>1980</v>
      </c>
      <c r="I640" s="187" t="s">
        <v>2011</v>
      </c>
      <c r="J640" s="187" t="s">
        <v>2012</v>
      </c>
      <c r="K640" s="188">
        <v>2</v>
      </c>
      <c r="L640" s="188">
        <v>2</v>
      </c>
      <c r="M640" s="189" t="s">
        <v>1018</v>
      </c>
      <c r="N640" s="190">
        <v>698.6</v>
      </c>
      <c r="O640" s="190">
        <f t="shared" si="72"/>
        <v>761.47</v>
      </c>
      <c r="P640" s="191">
        <f t="shared" si="73"/>
        <v>1397.2</v>
      </c>
      <c r="Q640" s="192">
        <f t="shared" si="74"/>
        <v>1397.2</v>
      </c>
      <c r="R640" s="193"/>
      <c r="S640" s="194"/>
      <c r="T640" s="195">
        <f t="shared" si="75"/>
        <v>0</v>
      </c>
      <c r="U640" s="195">
        <f t="shared" si="76"/>
        <v>0</v>
      </c>
      <c r="V640" s="195">
        <f t="shared" si="77"/>
        <v>0</v>
      </c>
      <c r="W640" s="196">
        <f t="shared" si="78"/>
        <v>0</v>
      </c>
      <c r="X640" s="197">
        <f t="shared" si="79"/>
        <v>0</v>
      </c>
      <c r="AG640" s="219" t="s">
        <v>990</v>
      </c>
    </row>
    <row r="641" ht="11.4" customHeight="1" spans="1:34">
      <c r="A641" s="184" t="s">
        <v>1879</v>
      </c>
      <c r="B641" s="184" t="s">
        <v>139</v>
      </c>
      <c r="C641" s="184" t="s">
        <v>1880</v>
      </c>
      <c r="D641" s="185" t="s">
        <v>522</v>
      </c>
      <c r="E641" s="186" t="s">
        <v>906</v>
      </c>
      <c r="F641" s="186" t="s">
        <v>907</v>
      </c>
      <c r="G641" s="186" t="s">
        <v>1881</v>
      </c>
      <c r="H641" s="186" t="s">
        <v>1980</v>
      </c>
      <c r="I641" s="187" t="s">
        <v>2013</v>
      </c>
      <c r="J641" s="187" t="s">
        <v>2014</v>
      </c>
      <c r="K641" s="188">
        <v>1</v>
      </c>
      <c r="L641" s="188">
        <v>1</v>
      </c>
      <c r="M641" s="189" t="s">
        <v>1018</v>
      </c>
      <c r="N641" s="190">
        <v>996.7</v>
      </c>
      <c r="O641" s="190">
        <f t="shared" si="72"/>
        <v>1086.4</v>
      </c>
      <c r="P641" s="191">
        <f t="shared" si="73"/>
        <v>996.7</v>
      </c>
      <c r="Q641" s="192">
        <f t="shared" si="74"/>
        <v>996.7</v>
      </c>
      <c r="R641" s="193"/>
      <c r="S641" s="194"/>
      <c r="T641" s="195">
        <f t="shared" si="75"/>
        <v>0</v>
      </c>
      <c r="U641" s="195">
        <f t="shared" si="76"/>
        <v>0</v>
      </c>
      <c r="V641" s="195">
        <f t="shared" si="77"/>
        <v>0</v>
      </c>
      <c r="W641" s="196">
        <f t="shared" si="78"/>
        <v>0</v>
      </c>
      <c r="X641" s="197">
        <f t="shared" si="79"/>
        <v>0</v>
      </c>
      <c r="AG641" s="219" t="s">
        <v>990</v>
      </c>
    </row>
    <row r="642" ht="11.4" customHeight="1" spans="1:34">
      <c r="A642" s="184" t="s">
        <v>1879</v>
      </c>
      <c r="B642" s="184" t="s">
        <v>139</v>
      </c>
      <c r="C642" s="184" t="s">
        <v>1880</v>
      </c>
      <c r="D642" s="185" t="s">
        <v>522</v>
      </c>
      <c r="E642" s="186" t="s">
        <v>906</v>
      </c>
      <c r="F642" s="186" t="s">
        <v>907</v>
      </c>
      <c r="G642" s="186" t="s">
        <v>1881</v>
      </c>
      <c r="H642" s="186" t="s">
        <v>1980</v>
      </c>
      <c r="I642" s="187" t="s">
        <v>2015</v>
      </c>
      <c r="J642" s="187" t="s">
        <v>2016</v>
      </c>
      <c r="K642" s="188">
        <v>2</v>
      </c>
      <c r="L642" s="188">
        <v>2</v>
      </c>
      <c r="M642" s="189" t="s">
        <v>1018</v>
      </c>
      <c r="N642" s="190">
        <v>563.75</v>
      </c>
      <c r="O642" s="190">
        <f t="shared" si="72"/>
        <v>614.49</v>
      </c>
      <c r="P642" s="191">
        <f t="shared" si="73"/>
        <v>1127.5</v>
      </c>
      <c r="Q642" s="192">
        <f t="shared" si="74"/>
        <v>1127.5</v>
      </c>
      <c r="R642" s="193"/>
      <c r="S642" s="194"/>
      <c r="T642" s="195">
        <f t="shared" si="75"/>
        <v>0</v>
      </c>
      <c r="U642" s="195">
        <f t="shared" si="76"/>
        <v>0</v>
      </c>
      <c r="V642" s="195">
        <f t="shared" si="77"/>
        <v>0</v>
      </c>
      <c r="W642" s="196">
        <f t="shared" si="78"/>
        <v>0</v>
      </c>
      <c r="X642" s="197">
        <f t="shared" si="79"/>
        <v>0</v>
      </c>
      <c r="AG642" s="219" t="s">
        <v>2017</v>
      </c>
    </row>
    <row r="643" ht="11.4" customHeight="1" spans="1:34">
      <c r="A643" s="184" t="s">
        <v>1879</v>
      </c>
      <c r="B643" s="184" t="s">
        <v>139</v>
      </c>
      <c r="C643" s="184" t="s">
        <v>1880</v>
      </c>
      <c r="D643" s="185" t="s">
        <v>522</v>
      </c>
      <c r="E643" s="186" t="s">
        <v>906</v>
      </c>
      <c r="F643" s="186" t="s">
        <v>907</v>
      </c>
      <c r="G643" s="186" t="s">
        <v>1881</v>
      </c>
      <c r="H643" s="186" t="s">
        <v>1980</v>
      </c>
      <c r="I643" s="187" t="s">
        <v>2018</v>
      </c>
      <c r="J643" s="187" t="s">
        <v>2019</v>
      </c>
      <c r="K643" s="188"/>
      <c r="L643" s="188"/>
      <c r="M643" s="189" t="s">
        <v>1018</v>
      </c>
      <c r="N643" s="190">
        <v>551.65</v>
      </c>
      <c r="O643" s="190">
        <f t="shared" si="72"/>
        <v>601.3</v>
      </c>
      <c r="P643" s="191">
        <f t="shared" si="73"/>
        <v>0</v>
      </c>
      <c r="Q643" s="192">
        <f t="shared" si="74"/>
        <v>0</v>
      </c>
      <c r="R643" s="193"/>
      <c r="S643" s="194"/>
      <c r="T643" s="195">
        <f t="shared" si="75"/>
        <v>0</v>
      </c>
      <c r="U643" s="195">
        <f t="shared" si="76"/>
        <v>0</v>
      </c>
      <c r="V643" s="195">
        <f t="shared" si="77"/>
        <v>0</v>
      </c>
      <c r="W643" s="196" t="e">
        <f t="shared" si="78"/>
        <v>#DIV/0!</v>
      </c>
      <c r="X643" s="197" t="e">
        <f t="shared" si="79"/>
        <v>#DIV/0!</v>
      </c>
      <c r="AG643" s="219" t="s">
        <v>990</v>
      </c>
    </row>
    <row r="644" ht="11.4" customHeight="1" spans="1:34">
      <c r="A644" s="184" t="s">
        <v>1879</v>
      </c>
      <c r="B644" s="184" t="s">
        <v>139</v>
      </c>
      <c r="C644" s="184" t="s">
        <v>1880</v>
      </c>
      <c r="D644" s="185" t="s">
        <v>522</v>
      </c>
      <c r="E644" s="186" t="s">
        <v>906</v>
      </c>
      <c r="F644" s="186" t="s">
        <v>907</v>
      </c>
      <c r="G644" s="186" t="s">
        <v>1881</v>
      </c>
      <c r="H644" s="186" t="s">
        <v>1980</v>
      </c>
      <c r="I644" s="187" t="s">
        <v>2020</v>
      </c>
      <c r="J644" s="187" t="s">
        <v>2021</v>
      </c>
      <c r="K644" s="188">
        <v>1</v>
      </c>
      <c r="L644" s="188">
        <v>1</v>
      </c>
      <c r="M644" s="189" t="s">
        <v>1018</v>
      </c>
      <c r="N644" s="190">
        <v>252.22</v>
      </c>
      <c r="O644" s="190">
        <f t="shared" si="72"/>
        <v>274.92</v>
      </c>
      <c r="P644" s="191">
        <f t="shared" si="73"/>
        <v>252.22</v>
      </c>
      <c r="Q644" s="192">
        <f t="shared" si="74"/>
        <v>252.22</v>
      </c>
      <c r="R644" s="193"/>
      <c r="S644" s="194"/>
      <c r="T644" s="195">
        <f t="shared" si="75"/>
        <v>0</v>
      </c>
      <c r="U644" s="195">
        <f t="shared" si="76"/>
        <v>0</v>
      </c>
      <c r="V644" s="195">
        <f t="shared" si="77"/>
        <v>0</v>
      </c>
      <c r="W644" s="196">
        <f t="shared" si="78"/>
        <v>0</v>
      </c>
      <c r="X644" s="197">
        <f t="shared" si="79"/>
        <v>0</v>
      </c>
      <c r="AG644" s="219" t="s">
        <v>990</v>
      </c>
    </row>
    <row r="645" ht="11.4" customHeight="1" spans="1:34">
      <c r="A645" s="184" t="s">
        <v>1879</v>
      </c>
      <c r="B645" s="184" t="s">
        <v>139</v>
      </c>
      <c r="C645" s="184" t="s">
        <v>1880</v>
      </c>
      <c r="D645" s="185" t="s">
        <v>522</v>
      </c>
      <c r="E645" s="186" t="s">
        <v>906</v>
      </c>
      <c r="F645" s="186" t="s">
        <v>907</v>
      </c>
      <c r="G645" s="186" t="s">
        <v>1881</v>
      </c>
      <c r="H645" s="186" t="s">
        <v>1980</v>
      </c>
      <c r="I645" s="187" t="s">
        <v>2022</v>
      </c>
      <c r="J645" s="187" t="s">
        <v>2023</v>
      </c>
      <c r="K645" s="188"/>
      <c r="L645" s="188"/>
      <c r="M645" s="189" t="s">
        <v>807</v>
      </c>
      <c r="N645" s="190">
        <v>51.8</v>
      </c>
      <c r="O645" s="190">
        <f t="shared" si="72"/>
        <v>56.46</v>
      </c>
      <c r="P645" s="191">
        <f t="shared" si="73"/>
        <v>0</v>
      </c>
      <c r="Q645" s="192">
        <f t="shared" si="74"/>
        <v>0</v>
      </c>
      <c r="R645" s="193"/>
      <c r="S645" s="194"/>
      <c r="T645" s="195">
        <f t="shared" si="75"/>
        <v>0</v>
      </c>
      <c r="U645" s="195">
        <f t="shared" si="76"/>
        <v>0</v>
      </c>
      <c r="V645" s="195">
        <f t="shared" si="77"/>
        <v>0</v>
      </c>
      <c r="W645" s="196" t="e">
        <f t="shared" si="78"/>
        <v>#DIV/0!</v>
      </c>
      <c r="X645" s="197" t="e">
        <f t="shared" si="79"/>
        <v>#DIV/0!</v>
      </c>
      <c r="AH645" s="219" t="s">
        <v>1983</v>
      </c>
    </row>
    <row r="646" ht="11.4" customHeight="1" spans="1:34">
      <c r="A646" s="184" t="s">
        <v>1879</v>
      </c>
      <c r="B646" s="184" t="s">
        <v>139</v>
      </c>
      <c r="C646" s="184" t="s">
        <v>1880</v>
      </c>
      <c r="D646" s="185" t="s">
        <v>522</v>
      </c>
      <c r="E646" s="186" t="s">
        <v>906</v>
      </c>
      <c r="F646" s="186" t="s">
        <v>907</v>
      </c>
      <c r="G646" s="186" t="s">
        <v>1881</v>
      </c>
      <c r="H646" s="186" t="s">
        <v>1980</v>
      </c>
      <c r="I646" s="187" t="s">
        <v>2024</v>
      </c>
      <c r="J646" s="187" t="s">
        <v>2025</v>
      </c>
      <c r="K646" s="188"/>
      <c r="L646" s="188"/>
      <c r="M646" s="189" t="s">
        <v>807</v>
      </c>
      <c r="N646" s="190">
        <v>73.06</v>
      </c>
      <c r="O646" s="190">
        <f t="shared" si="72"/>
        <v>79.64</v>
      </c>
      <c r="P646" s="191">
        <f t="shared" si="73"/>
        <v>0</v>
      </c>
      <c r="Q646" s="192">
        <f t="shared" si="74"/>
        <v>0</v>
      </c>
      <c r="R646" s="193"/>
      <c r="S646" s="194"/>
      <c r="T646" s="195">
        <f t="shared" si="75"/>
        <v>0</v>
      </c>
      <c r="U646" s="195">
        <f t="shared" si="76"/>
        <v>0</v>
      </c>
      <c r="V646" s="195">
        <f t="shared" si="77"/>
        <v>0</v>
      </c>
      <c r="W646" s="196" t="e">
        <f t="shared" si="78"/>
        <v>#DIV/0!</v>
      </c>
      <c r="X646" s="197" t="e">
        <f t="shared" si="79"/>
        <v>#DIV/0!</v>
      </c>
      <c r="AH646" s="219" t="s">
        <v>1983</v>
      </c>
    </row>
    <row r="647" ht="11.4" customHeight="1" spans="1:34">
      <c r="A647" s="184" t="s">
        <v>1879</v>
      </c>
      <c r="B647" s="184" t="s">
        <v>139</v>
      </c>
      <c r="C647" s="184" t="s">
        <v>1880</v>
      </c>
      <c r="D647" s="185" t="s">
        <v>522</v>
      </c>
      <c r="E647" s="186" t="s">
        <v>906</v>
      </c>
      <c r="F647" s="186" t="s">
        <v>907</v>
      </c>
      <c r="G647" s="186" t="s">
        <v>1881</v>
      </c>
      <c r="H647" s="186" t="s">
        <v>1980</v>
      </c>
      <c r="I647" s="187" t="s">
        <v>2026</v>
      </c>
      <c r="J647" s="187" t="s">
        <v>2027</v>
      </c>
      <c r="K647" s="188"/>
      <c r="L647" s="188"/>
      <c r="M647" s="189" t="s">
        <v>807</v>
      </c>
      <c r="N647" s="190">
        <v>55.68</v>
      </c>
      <c r="O647" s="190">
        <f t="shared" si="72"/>
        <v>60.69</v>
      </c>
      <c r="P647" s="191">
        <f t="shared" si="73"/>
        <v>0</v>
      </c>
      <c r="Q647" s="192">
        <f t="shared" si="74"/>
        <v>0</v>
      </c>
      <c r="R647" s="193"/>
      <c r="S647" s="194"/>
      <c r="T647" s="195">
        <f t="shared" si="75"/>
        <v>0</v>
      </c>
      <c r="U647" s="195">
        <f t="shared" si="76"/>
        <v>0</v>
      </c>
      <c r="V647" s="195">
        <f t="shared" si="77"/>
        <v>0</v>
      </c>
      <c r="W647" s="196" t="e">
        <f t="shared" si="78"/>
        <v>#DIV/0!</v>
      </c>
      <c r="X647" s="197" t="e">
        <f t="shared" si="79"/>
        <v>#DIV/0!</v>
      </c>
      <c r="AH647" s="219" t="s">
        <v>1983</v>
      </c>
    </row>
    <row r="648" ht="11.4" customHeight="1" spans="1:34">
      <c r="A648" s="184" t="s">
        <v>1879</v>
      </c>
      <c r="B648" s="184" t="s">
        <v>139</v>
      </c>
      <c r="C648" s="184" t="s">
        <v>1880</v>
      </c>
      <c r="D648" s="185" t="s">
        <v>522</v>
      </c>
      <c r="E648" s="186" t="s">
        <v>906</v>
      </c>
      <c r="F648" s="186" t="s">
        <v>907</v>
      </c>
      <c r="G648" s="186" t="s">
        <v>1881</v>
      </c>
      <c r="H648" s="186" t="s">
        <v>1980</v>
      </c>
      <c r="I648" s="187" t="s">
        <v>2028</v>
      </c>
      <c r="J648" s="187" t="s">
        <v>2029</v>
      </c>
      <c r="K648" s="188"/>
      <c r="L648" s="188"/>
      <c r="M648" s="189" t="s">
        <v>807</v>
      </c>
      <c r="N648" s="190">
        <v>37.65</v>
      </c>
      <c r="O648" s="190">
        <f t="shared" si="72"/>
        <v>41.04</v>
      </c>
      <c r="P648" s="191">
        <f t="shared" si="73"/>
        <v>0</v>
      </c>
      <c r="Q648" s="192">
        <f t="shared" si="74"/>
        <v>0</v>
      </c>
      <c r="R648" s="193"/>
      <c r="S648" s="194"/>
      <c r="T648" s="195">
        <f t="shared" si="75"/>
        <v>0</v>
      </c>
      <c r="U648" s="195">
        <f t="shared" si="76"/>
        <v>0</v>
      </c>
      <c r="V648" s="195">
        <f t="shared" si="77"/>
        <v>0</v>
      </c>
      <c r="W648" s="196" t="e">
        <f t="shared" si="78"/>
        <v>#DIV/0!</v>
      </c>
      <c r="X648" s="197" t="e">
        <f t="shared" si="79"/>
        <v>#DIV/0!</v>
      </c>
      <c r="AH648" s="219" t="s">
        <v>1983</v>
      </c>
    </row>
    <row r="649" ht="11.4" customHeight="1" spans="1:34">
      <c r="A649" s="184" t="s">
        <v>1879</v>
      </c>
      <c r="B649" s="184" t="s">
        <v>139</v>
      </c>
      <c r="C649" s="184" t="s">
        <v>1880</v>
      </c>
      <c r="D649" s="185" t="s">
        <v>522</v>
      </c>
      <c r="E649" s="186" t="s">
        <v>906</v>
      </c>
      <c r="F649" s="186" t="s">
        <v>907</v>
      </c>
      <c r="G649" s="186" t="s">
        <v>1881</v>
      </c>
      <c r="H649" s="186" t="s">
        <v>1980</v>
      </c>
      <c r="I649" s="187" t="s">
        <v>2030</v>
      </c>
      <c r="J649" s="187" t="s">
        <v>2031</v>
      </c>
      <c r="K649" s="188"/>
      <c r="L649" s="188"/>
      <c r="M649" s="189" t="s">
        <v>989</v>
      </c>
      <c r="N649" s="190">
        <v>842.05</v>
      </c>
      <c r="O649" s="190">
        <f t="shared" si="72"/>
        <v>917.83</v>
      </c>
      <c r="P649" s="191">
        <f t="shared" si="73"/>
        <v>0</v>
      </c>
      <c r="Q649" s="192">
        <f t="shared" si="74"/>
        <v>0</v>
      </c>
      <c r="R649" s="193"/>
      <c r="S649" s="194"/>
      <c r="T649" s="195">
        <f t="shared" si="75"/>
        <v>0</v>
      </c>
      <c r="U649" s="195">
        <f t="shared" si="76"/>
        <v>0</v>
      </c>
      <c r="V649" s="195">
        <f t="shared" si="77"/>
        <v>0</v>
      </c>
      <c r="W649" s="196" t="e">
        <f t="shared" si="78"/>
        <v>#DIV/0!</v>
      </c>
      <c r="X649" s="197" t="e">
        <f t="shared" si="79"/>
        <v>#DIV/0!</v>
      </c>
      <c r="AG649" s="219" t="s">
        <v>990</v>
      </c>
    </row>
    <row r="650" ht="11.4" customHeight="1" spans="1:34">
      <c r="A650" s="184" t="s">
        <v>1879</v>
      </c>
      <c r="B650" s="184" t="s">
        <v>139</v>
      </c>
      <c r="C650" s="184" t="s">
        <v>1880</v>
      </c>
      <c r="D650" s="185" t="s">
        <v>522</v>
      </c>
      <c r="E650" s="186" t="s">
        <v>906</v>
      </c>
      <c r="F650" s="186" t="s">
        <v>907</v>
      </c>
      <c r="G650" s="186" t="s">
        <v>1881</v>
      </c>
      <c r="H650" s="186" t="s">
        <v>2032</v>
      </c>
      <c r="I650" s="187" t="s">
        <v>2033</v>
      </c>
      <c r="J650" s="187" t="s">
        <v>2034</v>
      </c>
      <c r="K650" s="188">
        <v>2</v>
      </c>
      <c r="L650" s="188">
        <v>2</v>
      </c>
      <c r="M650" s="189" t="s">
        <v>1018</v>
      </c>
      <c r="N650" s="190">
        <v>505.45</v>
      </c>
      <c r="O650" s="190">
        <f t="shared" si="72"/>
        <v>550.94</v>
      </c>
      <c r="P650" s="191">
        <f t="shared" si="73"/>
        <v>1010.9</v>
      </c>
      <c r="Q650" s="192">
        <f t="shared" si="74"/>
        <v>1010.9</v>
      </c>
      <c r="R650" s="193"/>
      <c r="S650" s="194"/>
      <c r="T650" s="195">
        <f t="shared" si="75"/>
        <v>0</v>
      </c>
      <c r="U650" s="195">
        <f t="shared" si="76"/>
        <v>0</v>
      </c>
      <c r="V650" s="195">
        <f t="shared" si="77"/>
        <v>0</v>
      </c>
      <c r="W650" s="196">
        <f t="shared" si="78"/>
        <v>0</v>
      </c>
      <c r="X650" s="197">
        <f t="shared" si="79"/>
        <v>0</v>
      </c>
      <c r="AH650" s="109" t="s">
        <v>2035</v>
      </c>
    </row>
    <row r="651" ht="11.4" customHeight="1" spans="1:34">
      <c r="A651" s="184" t="s">
        <v>1879</v>
      </c>
      <c r="B651" s="184" t="s">
        <v>139</v>
      </c>
      <c r="C651" s="184" t="s">
        <v>1880</v>
      </c>
      <c r="D651" s="185" t="s">
        <v>522</v>
      </c>
      <c r="E651" s="186" t="s">
        <v>906</v>
      </c>
      <c r="F651" s="186" t="s">
        <v>907</v>
      </c>
      <c r="G651" s="186" t="s">
        <v>1881</v>
      </c>
      <c r="H651" s="186" t="s">
        <v>2032</v>
      </c>
      <c r="I651" s="187" t="s">
        <v>2036</v>
      </c>
      <c r="J651" s="187" t="s">
        <v>2037</v>
      </c>
      <c r="K651" s="188"/>
      <c r="L651" s="188"/>
      <c r="M651" s="189" t="s">
        <v>807</v>
      </c>
      <c r="N651" s="190">
        <v>34.75</v>
      </c>
      <c r="O651" s="190">
        <f t="shared" si="72"/>
        <v>37.88</v>
      </c>
      <c r="P651" s="191">
        <f t="shared" si="73"/>
        <v>0</v>
      </c>
      <c r="Q651" s="192">
        <f t="shared" si="74"/>
        <v>0</v>
      </c>
      <c r="R651" s="193"/>
      <c r="S651" s="194"/>
      <c r="T651" s="195">
        <f t="shared" si="75"/>
        <v>0</v>
      </c>
      <c r="U651" s="195">
        <f t="shared" si="76"/>
        <v>0</v>
      </c>
      <c r="V651" s="195">
        <f t="shared" si="77"/>
        <v>0</v>
      </c>
      <c r="W651" s="196" t="e">
        <f t="shared" si="78"/>
        <v>#DIV/0!</v>
      </c>
      <c r="X651" s="197" t="e">
        <f t="shared" si="79"/>
        <v>#DIV/0!</v>
      </c>
      <c r="AG651" s="109" t="s">
        <v>1011</v>
      </c>
    </row>
    <row r="652" ht="11.4" customHeight="1" spans="1:34">
      <c r="A652" s="184" t="s">
        <v>1879</v>
      </c>
      <c r="B652" s="184" t="s">
        <v>139</v>
      </c>
      <c r="C652" s="184" t="s">
        <v>1880</v>
      </c>
      <c r="D652" s="185" t="s">
        <v>522</v>
      </c>
      <c r="E652" s="186" t="s">
        <v>906</v>
      </c>
      <c r="F652" s="186" t="s">
        <v>907</v>
      </c>
      <c r="G652" s="186" t="s">
        <v>1881</v>
      </c>
      <c r="H652" s="186" t="s">
        <v>2032</v>
      </c>
      <c r="I652" s="187" t="s">
        <v>2038</v>
      </c>
      <c r="J652" s="187" t="s">
        <v>2039</v>
      </c>
      <c r="K652" s="188"/>
      <c r="L652" s="188"/>
      <c r="M652" s="189" t="s">
        <v>807</v>
      </c>
      <c r="N652" s="190">
        <v>34.75</v>
      </c>
      <c r="O652" s="190">
        <f t="shared" si="72"/>
        <v>37.88</v>
      </c>
      <c r="P652" s="191">
        <f t="shared" si="73"/>
        <v>0</v>
      </c>
      <c r="Q652" s="192">
        <f t="shared" si="74"/>
        <v>0</v>
      </c>
      <c r="R652" s="193"/>
      <c r="S652" s="194"/>
      <c r="T652" s="195">
        <f t="shared" si="75"/>
        <v>0</v>
      </c>
      <c r="U652" s="195">
        <f t="shared" si="76"/>
        <v>0</v>
      </c>
      <c r="V652" s="195">
        <f t="shared" si="77"/>
        <v>0</v>
      </c>
      <c r="W652" s="196" t="e">
        <f t="shared" si="78"/>
        <v>#DIV/0!</v>
      </c>
      <c r="X652" s="197" t="e">
        <f t="shared" si="79"/>
        <v>#DIV/0!</v>
      </c>
      <c r="AG652" s="109" t="s">
        <v>1011</v>
      </c>
    </row>
    <row r="653" ht="11.4" customHeight="1" spans="1:34">
      <c r="A653" s="184" t="s">
        <v>1879</v>
      </c>
      <c r="B653" s="184" t="s">
        <v>139</v>
      </c>
      <c r="C653" s="184" t="s">
        <v>1880</v>
      </c>
      <c r="D653" s="185" t="s">
        <v>522</v>
      </c>
      <c r="E653" s="186" t="s">
        <v>906</v>
      </c>
      <c r="F653" s="186" t="s">
        <v>907</v>
      </c>
      <c r="G653" s="186" t="s">
        <v>1881</v>
      </c>
      <c r="H653" s="186" t="s">
        <v>2032</v>
      </c>
      <c r="I653" s="187" t="s">
        <v>2040</v>
      </c>
      <c r="J653" s="187" t="s">
        <v>2041</v>
      </c>
      <c r="K653" s="188"/>
      <c r="L653" s="188"/>
      <c r="M653" s="189" t="s">
        <v>989</v>
      </c>
      <c r="N653" s="190">
        <v>762.65</v>
      </c>
      <c r="O653" s="190">
        <f t="shared" ref="O653:O716" si="82">ROUND(N653*(1+$F$10),2)</f>
        <v>831.29</v>
      </c>
      <c r="P653" s="191">
        <f t="shared" ref="P653:P716" si="83">ROUND(K653*N653,2)</f>
        <v>0</v>
      </c>
      <c r="Q653" s="192">
        <f t="shared" si="74"/>
        <v>0</v>
      </c>
      <c r="R653" s="193"/>
      <c r="S653" s="194"/>
      <c r="T653" s="195">
        <f t="shared" si="75"/>
        <v>0</v>
      </c>
      <c r="U653" s="195">
        <f t="shared" si="76"/>
        <v>0</v>
      </c>
      <c r="V653" s="195">
        <f t="shared" si="77"/>
        <v>0</v>
      </c>
      <c r="W653" s="196" t="e">
        <f t="shared" si="78"/>
        <v>#DIV/0!</v>
      </c>
      <c r="X653" s="197" t="e">
        <f t="shared" si="79"/>
        <v>#DIV/0!</v>
      </c>
      <c r="AG653" s="219" t="s">
        <v>990</v>
      </c>
    </row>
    <row r="654" ht="11.4" customHeight="1" spans="1:34">
      <c r="A654" s="184" t="s">
        <v>1879</v>
      </c>
      <c r="B654" s="184" t="s">
        <v>139</v>
      </c>
      <c r="C654" s="184" t="s">
        <v>1880</v>
      </c>
      <c r="D654" s="185" t="s">
        <v>522</v>
      </c>
      <c r="E654" s="186" t="s">
        <v>906</v>
      </c>
      <c r="F654" s="186" t="s">
        <v>907</v>
      </c>
      <c r="G654" s="186" t="s">
        <v>1881</v>
      </c>
      <c r="H654" s="186" t="s">
        <v>2032</v>
      </c>
      <c r="I654" s="187" t="s">
        <v>2042</v>
      </c>
      <c r="J654" s="187" t="s">
        <v>2043</v>
      </c>
      <c r="K654" s="188">
        <v>2</v>
      </c>
      <c r="L654" s="188">
        <v>2</v>
      </c>
      <c r="M654" s="189" t="s">
        <v>1018</v>
      </c>
      <c r="N654" s="190">
        <v>374.11</v>
      </c>
      <c r="O654" s="190">
        <f t="shared" si="82"/>
        <v>407.78</v>
      </c>
      <c r="P654" s="191">
        <f t="shared" si="83"/>
        <v>748.22</v>
      </c>
      <c r="Q654" s="192">
        <f t="shared" ref="Q654:Q717" si="84">ROUND(L654*N654,2)</f>
        <v>748.22</v>
      </c>
      <c r="R654" s="193"/>
      <c r="S654" s="194"/>
      <c r="T654" s="195">
        <f t="shared" ref="T654:T717" si="85">K654-L654</f>
        <v>0</v>
      </c>
      <c r="U654" s="195">
        <f t="shared" ref="U654:U717" si="86">P654-Q654</f>
        <v>0</v>
      </c>
      <c r="V654" s="195">
        <f t="shared" ref="V654:V717" si="87">ABS(U654)</f>
        <v>0</v>
      </c>
      <c r="W654" s="196">
        <f t="shared" ref="W654:W717" si="88">T654/L654</f>
        <v>0</v>
      </c>
      <c r="X654" s="197">
        <f t="shared" ref="X654:X717" si="89">ABS(W654)</f>
        <v>0</v>
      </c>
      <c r="AG654" s="219" t="s">
        <v>990</v>
      </c>
    </row>
    <row r="655" ht="11.4" customHeight="1" spans="1:34">
      <c r="A655" s="184" t="s">
        <v>1879</v>
      </c>
      <c r="B655" s="184" t="s">
        <v>139</v>
      </c>
      <c r="C655" s="184" t="s">
        <v>1880</v>
      </c>
      <c r="D655" s="185" t="s">
        <v>522</v>
      </c>
      <c r="E655" s="186" t="s">
        <v>906</v>
      </c>
      <c r="F655" s="186" t="s">
        <v>907</v>
      </c>
      <c r="G655" s="186" t="s">
        <v>1881</v>
      </c>
      <c r="H655" s="186" t="s">
        <v>2032</v>
      </c>
      <c r="I655" s="187" t="s">
        <v>2044</v>
      </c>
      <c r="J655" s="187" t="s">
        <v>2045</v>
      </c>
      <c r="K655" s="188"/>
      <c r="L655" s="188"/>
      <c r="M655" s="189" t="s">
        <v>807</v>
      </c>
      <c r="N655" s="190">
        <v>37.94</v>
      </c>
      <c r="O655" s="190">
        <f t="shared" si="82"/>
        <v>41.35</v>
      </c>
      <c r="P655" s="191">
        <f t="shared" si="83"/>
        <v>0</v>
      </c>
      <c r="Q655" s="192">
        <f t="shared" si="84"/>
        <v>0</v>
      </c>
      <c r="R655" s="193"/>
      <c r="S655" s="194"/>
      <c r="T655" s="195">
        <f t="shared" si="85"/>
        <v>0</v>
      </c>
      <c r="U655" s="195">
        <f t="shared" si="86"/>
        <v>0</v>
      </c>
      <c r="V655" s="195">
        <f t="shared" si="87"/>
        <v>0</v>
      </c>
      <c r="W655" s="196" t="e">
        <f t="shared" si="88"/>
        <v>#DIV/0!</v>
      </c>
      <c r="X655" s="197" t="e">
        <f t="shared" si="89"/>
        <v>#DIV/0!</v>
      </c>
      <c r="AG655" s="109" t="s">
        <v>1011</v>
      </c>
    </row>
    <row r="656" ht="11.4" customHeight="1" spans="1:34">
      <c r="A656" s="184" t="s">
        <v>1879</v>
      </c>
      <c r="B656" s="184" t="s">
        <v>139</v>
      </c>
      <c r="C656" s="184" t="s">
        <v>1880</v>
      </c>
      <c r="D656" s="185" t="s">
        <v>522</v>
      </c>
      <c r="E656" s="186" t="s">
        <v>906</v>
      </c>
      <c r="F656" s="186" t="s">
        <v>907</v>
      </c>
      <c r="G656" s="186" t="s">
        <v>1881</v>
      </c>
      <c r="H656" s="186" t="s">
        <v>2046</v>
      </c>
      <c r="I656" s="187" t="s">
        <v>2047</v>
      </c>
      <c r="J656" s="187" t="s">
        <v>2048</v>
      </c>
      <c r="K656" s="188"/>
      <c r="L656" s="188"/>
      <c r="M656" s="189" t="s">
        <v>1018</v>
      </c>
      <c r="N656" s="190">
        <v>563.75</v>
      </c>
      <c r="O656" s="190">
        <f t="shared" si="82"/>
        <v>614.49</v>
      </c>
      <c r="P656" s="191">
        <f t="shared" si="83"/>
        <v>0</v>
      </c>
      <c r="Q656" s="192">
        <f t="shared" si="84"/>
        <v>0</v>
      </c>
      <c r="R656" s="193"/>
      <c r="S656" s="194"/>
      <c r="T656" s="195">
        <f t="shared" si="85"/>
        <v>0</v>
      </c>
      <c r="U656" s="195">
        <f t="shared" si="86"/>
        <v>0</v>
      </c>
      <c r="V656" s="195">
        <f t="shared" si="87"/>
        <v>0</v>
      </c>
      <c r="W656" s="196" t="e">
        <f t="shared" si="88"/>
        <v>#DIV/0!</v>
      </c>
      <c r="X656" s="197" t="e">
        <f t="shared" si="89"/>
        <v>#DIV/0!</v>
      </c>
      <c r="AG656" s="219" t="s">
        <v>990</v>
      </c>
    </row>
    <row r="657" ht="11.4" customHeight="1" spans="1:34">
      <c r="A657" s="184" t="s">
        <v>1879</v>
      </c>
      <c r="B657" s="184" t="s">
        <v>139</v>
      </c>
      <c r="C657" s="184" t="s">
        <v>1880</v>
      </c>
      <c r="D657" s="185" t="s">
        <v>522</v>
      </c>
      <c r="E657" s="186" t="s">
        <v>906</v>
      </c>
      <c r="F657" s="186" t="s">
        <v>907</v>
      </c>
      <c r="G657" s="186" t="s">
        <v>1881</v>
      </c>
      <c r="H657" s="186" t="s">
        <v>2046</v>
      </c>
      <c r="I657" s="187" t="s">
        <v>2049</v>
      </c>
      <c r="J657" s="187" t="s">
        <v>2050</v>
      </c>
      <c r="K657" s="188"/>
      <c r="L657" s="188"/>
      <c r="M657" s="189" t="s">
        <v>1018</v>
      </c>
      <c r="N657" s="190">
        <v>468.33</v>
      </c>
      <c r="O657" s="190">
        <f t="shared" si="82"/>
        <v>510.48</v>
      </c>
      <c r="P657" s="191">
        <f t="shared" si="83"/>
        <v>0</v>
      </c>
      <c r="Q657" s="192">
        <f t="shared" si="84"/>
        <v>0</v>
      </c>
      <c r="R657" s="193"/>
      <c r="S657" s="194"/>
      <c r="T657" s="195">
        <f t="shared" si="85"/>
        <v>0</v>
      </c>
      <c r="U657" s="195">
        <f t="shared" si="86"/>
        <v>0</v>
      </c>
      <c r="V657" s="195">
        <f t="shared" si="87"/>
        <v>0</v>
      </c>
      <c r="W657" s="196" t="e">
        <f t="shared" si="88"/>
        <v>#DIV/0!</v>
      </c>
      <c r="X657" s="197" t="e">
        <f t="shared" si="89"/>
        <v>#DIV/0!</v>
      </c>
      <c r="AG657" s="219" t="s">
        <v>990</v>
      </c>
    </row>
    <row r="658" ht="11.4" customHeight="1" spans="1:34">
      <c r="A658" s="184" t="s">
        <v>1879</v>
      </c>
      <c r="B658" s="184" t="s">
        <v>139</v>
      </c>
      <c r="C658" s="184" t="s">
        <v>1880</v>
      </c>
      <c r="D658" s="185" t="s">
        <v>522</v>
      </c>
      <c r="E658" s="186" t="s">
        <v>906</v>
      </c>
      <c r="F658" s="186" t="s">
        <v>907</v>
      </c>
      <c r="G658" s="186" t="s">
        <v>1881</v>
      </c>
      <c r="H658" s="186" t="s">
        <v>2046</v>
      </c>
      <c r="I658" s="187" t="s">
        <v>2051</v>
      </c>
      <c r="J658" s="187" t="s">
        <v>2052</v>
      </c>
      <c r="K658" s="188">
        <v>1</v>
      </c>
      <c r="L658" s="188">
        <v>1</v>
      </c>
      <c r="M658" s="189" t="s">
        <v>1778</v>
      </c>
      <c r="N658" s="190">
        <v>748</v>
      </c>
      <c r="O658" s="190">
        <f t="shared" si="82"/>
        <v>815.32</v>
      </c>
      <c r="P658" s="191">
        <f t="shared" si="83"/>
        <v>748</v>
      </c>
      <c r="Q658" s="192">
        <f t="shared" si="84"/>
        <v>748</v>
      </c>
      <c r="R658" s="193"/>
      <c r="S658" s="194"/>
      <c r="T658" s="195">
        <f t="shared" si="85"/>
        <v>0</v>
      </c>
      <c r="U658" s="195">
        <f t="shared" si="86"/>
        <v>0</v>
      </c>
      <c r="V658" s="195">
        <f t="shared" si="87"/>
        <v>0</v>
      </c>
      <c r="W658" s="196">
        <f t="shared" si="88"/>
        <v>0</v>
      </c>
      <c r="X658" s="197">
        <f t="shared" si="89"/>
        <v>0</v>
      </c>
      <c r="AG658" s="219" t="s">
        <v>990</v>
      </c>
    </row>
    <row r="659" ht="11.4" customHeight="1" spans="1:34">
      <c r="A659" s="184" t="s">
        <v>1879</v>
      </c>
      <c r="B659" s="184" t="s">
        <v>139</v>
      </c>
      <c r="C659" s="184" t="s">
        <v>1880</v>
      </c>
      <c r="D659" s="185" t="s">
        <v>522</v>
      </c>
      <c r="E659" s="186" t="s">
        <v>906</v>
      </c>
      <c r="F659" s="186" t="s">
        <v>907</v>
      </c>
      <c r="G659" s="186" t="s">
        <v>1881</v>
      </c>
      <c r="H659" s="186" t="s">
        <v>2046</v>
      </c>
      <c r="I659" s="187" t="s">
        <v>2053</v>
      </c>
      <c r="J659" s="187" t="s">
        <v>2054</v>
      </c>
      <c r="K659" s="188"/>
      <c r="L659" s="188"/>
      <c r="M659" s="189" t="s">
        <v>793</v>
      </c>
      <c r="N659" s="190">
        <v>1950</v>
      </c>
      <c r="O659" s="190">
        <f t="shared" si="82"/>
        <v>2125.5</v>
      </c>
      <c r="P659" s="191">
        <f t="shared" si="83"/>
        <v>0</v>
      </c>
      <c r="Q659" s="192">
        <f t="shared" si="84"/>
        <v>0</v>
      </c>
      <c r="R659" s="193"/>
      <c r="S659" s="194"/>
      <c r="T659" s="195">
        <f t="shared" si="85"/>
        <v>0</v>
      </c>
      <c r="U659" s="195">
        <f t="shared" si="86"/>
        <v>0</v>
      </c>
      <c r="V659" s="195">
        <f t="shared" si="87"/>
        <v>0</v>
      </c>
      <c r="W659" s="196" t="e">
        <f t="shared" si="88"/>
        <v>#DIV/0!</v>
      </c>
      <c r="X659" s="197" t="e">
        <f t="shared" si="89"/>
        <v>#DIV/0!</v>
      </c>
      <c r="AG659" s="219"/>
      <c r="AH659" s="219" t="s">
        <v>1903</v>
      </c>
    </row>
    <row r="660" ht="11.4" customHeight="1" spans="1:34">
      <c r="A660" s="184" t="s">
        <v>1879</v>
      </c>
      <c r="B660" s="184" t="s">
        <v>139</v>
      </c>
      <c r="C660" s="184" t="s">
        <v>1880</v>
      </c>
      <c r="D660" s="185" t="s">
        <v>522</v>
      </c>
      <c r="E660" s="186" t="s">
        <v>906</v>
      </c>
      <c r="F660" s="186" t="s">
        <v>907</v>
      </c>
      <c r="G660" s="186" t="s">
        <v>1881</v>
      </c>
      <c r="H660" s="186" t="s">
        <v>2046</v>
      </c>
      <c r="I660" s="187" t="s">
        <v>2055</v>
      </c>
      <c r="J660" s="187" t="s">
        <v>2056</v>
      </c>
      <c r="K660" s="188">
        <v>1</v>
      </c>
      <c r="L660" s="188">
        <v>1</v>
      </c>
      <c r="M660" s="189" t="s">
        <v>989</v>
      </c>
      <c r="N660" s="190">
        <v>3005.9</v>
      </c>
      <c r="O660" s="190">
        <f t="shared" si="82"/>
        <v>3276.43</v>
      </c>
      <c r="P660" s="191">
        <f t="shared" si="83"/>
        <v>3005.9</v>
      </c>
      <c r="Q660" s="192">
        <f t="shared" si="84"/>
        <v>3005.9</v>
      </c>
      <c r="R660" s="193"/>
      <c r="S660" s="194"/>
      <c r="T660" s="195">
        <f t="shared" si="85"/>
        <v>0</v>
      </c>
      <c r="U660" s="195">
        <f t="shared" si="86"/>
        <v>0</v>
      </c>
      <c r="V660" s="195">
        <f t="shared" si="87"/>
        <v>0</v>
      </c>
      <c r="W660" s="196">
        <f t="shared" si="88"/>
        <v>0</v>
      </c>
      <c r="X660" s="197">
        <f t="shared" si="89"/>
        <v>0</v>
      </c>
      <c r="AH660" s="109" t="s">
        <v>1954</v>
      </c>
    </row>
    <row r="661" ht="11.4" customHeight="1" spans="1:34">
      <c r="A661" s="184" t="s">
        <v>1879</v>
      </c>
      <c r="B661" s="184" t="s">
        <v>139</v>
      </c>
      <c r="C661" s="184" t="s">
        <v>1880</v>
      </c>
      <c r="D661" s="185" t="s">
        <v>522</v>
      </c>
      <c r="E661" s="186" t="s">
        <v>906</v>
      </c>
      <c r="F661" s="186" t="s">
        <v>907</v>
      </c>
      <c r="G661" s="186" t="s">
        <v>1881</v>
      </c>
      <c r="H661" s="186" t="s">
        <v>2046</v>
      </c>
      <c r="I661" s="187" t="s">
        <v>2057</v>
      </c>
      <c r="J661" s="187" t="s">
        <v>2058</v>
      </c>
      <c r="K661" s="188"/>
      <c r="L661" s="188"/>
      <c r="M661" s="189" t="s">
        <v>989</v>
      </c>
      <c r="N661" s="190">
        <v>4713.1</v>
      </c>
      <c r="O661" s="190">
        <f t="shared" si="82"/>
        <v>5137.28</v>
      </c>
      <c r="P661" s="191">
        <f t="shared" si="83"/>
        <v>0</v>
      </c>
      <c r="Q661" s="192">
        <f t="shared" si="84"/>
        <v>0</v>
      </c>
      <c r="R661" s="193"/>
      <c r="S661" s="194"/>
      <c r="T661" s="195">
        <f t="shared" si="85"/>
        <v>0</v>
      </c>
      <c r="U661" s="195">
        <f t="shared" si="86"/>
        <v>0</v>
      </c>
      <c r="V661" s="195">
        <f t="shared" si="87"/>
        <v>0</v>
      </c>
      <c r="W661" s="196" t="e">
        <f t="shared" si="88"/>
        <v>#DIV/0!</v>
      </c>
      <c r="X661" s="197" t="e">
        <f t="shared" si="89"/>
        <v>#DIV/0!</v>
      </c>
      <c r="AH661" s="109" t="s">
        <v>1954</v>
      </c>
    </row>
    <row r="662" ht="11.4" customHeight="1" spans="1:34">
      <c r="A662" s="184" t="s">
        <v>1879</v>
      </c>
      <c r="B662" s="184" t="s">
        <v>139</v>
      </c>
      <c r="C662" s="184" t="s">
        <v>1880</v>
      </c>
      <c r="D662" s="185" t="s">
        <v>522</v>
      </c>
      <c r="E662" s="186" t="s">
        <v>906</v>
      </c>
      <c r="F662" s="186" t="s">
        <v>907</v>
      </c>
      <c r="G662" s="186" t="s">
        <v>1881</v>
      </c>
      <c r="H662" s="186" t="s">
        <v>2059</v>
      </c>
      <c r="I662" s="187" t="s">
        <v>2060</v>
      </c>
      <c r="J662" s="187" t="s">
        <v>2061</v>
      </c>
      <c r="K662" s="188">
        <v>4</v>
      </c>
      <c r="L662" s="188">
        <v>4</v>
      </c>
      <c r="M662" s="189" t="s">
        <v>1018</v>
      </c>
      <c r="N662" s="190">
        <v>269.86</v>
      </c>
      <c r="O662" s="190">
        <f t="shared" si="82"/>
        <v>294.15</v>
      </c>
      <c r="P662" s="191">
        <f t="shared" si="83"/>
        <v>1079.44</v>
      </c>
      <c r="Q662" s="192">
        <f t="shared" si="84"/>
        <v>1079.44</v>
      </c>
      <c r="R662" s="193"/>
      <c r="S662" s="194"/>
      <c r="T662" s="195">
        <f t="shared" si="85"/>
        <v>0</v>
      </c>
      <c r="U662" s="195">
        <f t="shared" si="86"/>
        <v>0</v>
      </c>
      <c r="V662" s="195">
        <f t="shared" si="87"/>
        <v>0</v>
      </c>
      <c r="W662" s="196">
        <f t="shared" si="88"/>
        <v>0</v>
      </c>
      <c r="X662" s="197">
        <f t="shared" si="89"/>
        <v>0</v>
      </c>
      <c r="AG662" s="219" t="s">
        <v>990</v>
      </c>
    </row>
    <row r="663" ht="11.4" customHeight="1" spans="1:34">
      <c r="A663" s="184" t="s">
        <v>1879</v>
      </c>
      <c r="B663" s="184" t="s">
        <v>139</v>
      </c>
      <c r="C663" s="184" t="s">
        <v>1880</v>
      </c>
      <c r="D663" s="185" t="s">
        <v>522</v>
      </c>
      <c r="E663" s="186" t="s">
        <v>906</v>
      </c>
      <c r="F663" s="186" t="s">
        <v>907</v>
      </c>
      <c r="G663" s="186" t="s">
        <v>1881</v>
      </c>
      <c r="H663" s="186" t="s">
        <v>2059</v>
      </c>
      <c r="I663" s="187" t="s">
        <v>2062</v>
      </c>
      <c r="J663" s="187" t="s">
        <v>2063</v>
      </c>
      <c r="K663" s="188"/>
      <c r="L663" s="188"/>
      <c r="M663" s="189" t="s">
        <v>1018</v>
      </c>
      <c r="N663" s="190">
        <v>236.86</v>
      </c>
      <c r="O663" s="190">
        <f t="shared" si="82"/>
        <v>258.18</v>
      </c>
      <c r="P663" s="191">
        <f t="shared" si="83"/>
        <v>0</v>
      </c>
      <c r="Q663" s="192">
        <f t="shared" si="84"/>
        <v>0</v>
      </c>
      <c r="R663" s="193"/>
      <c r="S663" s="194"/>
      <c r="T663" s="195">
        <f t="shared" si="85"/>
        <v>0</v>
      </c>
      <c r="U663" s="195">
        <f t="shared" si="86"/>
        <v>0</v>
      </c>
      <c r="V663" s="195">
        <f t="shared" si="87"/>
        <v>0</v>
      </c>
      <c r="W663" s="196" t="e">
        <f t="shared" si="88"/>
        <v>#DIV/0!</v>
      </c>
      <c r="X663" s="197" t="e">
        <f t="shared" si="89"/>
        <v>#DIV/0!</v>
      </c>
      <c r="AG663" s="219" t="s">
        <v>990</v>
      </c>
    </row>
    <row r="664" ht="11.4" customHeight="1" spans="1:34">
      <c r="A664" s="184" t="s">
        <v>1879</v>
      </c>
      <c r="B664" s="184" t="s">
        <v>139</v>
      </c>
      <c r="C664" s="184" t="s">
        <v>1880</v>
      </c>
      <c r="D664" s="185" t="s">
        <v>522</v>
      </c>
      <c r="E664" s="186" t="s">
        <v>906</v>
      </c>
      <c r="F664" s="186" t="s">
        <v>907</v>
      </c>
      <c r="G664" s="186" t="s">
        <v>1881</v>
      </c>
      <c r="H664" s="186" t="s">
        <v>2059</v>
      </c>
      <c r="I664" s="187" t="s">
        <v>2064</v>
      </c>
      <c r="J664" s="187" t="s">
        <v>2065</v>
      </c>
      <c r="K664" s="188"/>
      <c r="L664" s="188"/>
      <c r="M664" s="189" t="s">
        <v>1018</v>
      </c>
      <c r="N664" s="190">
        <v>256.66</v>
      </c>
      <c r="O664" s="190">
        <f t="shared" si="82"/>
        <v>279.76</v>
      </c>
      <c r="P664" s="191">
        <f t="shared" si="83"/>
        <v>0</v>
      </c>
      <c r="Q664" s="192">
        <f t="shared" si="84"/>
        <v>0</v>
      </c>
      <c r="R664" s="193"/>
      <c r="S664" s="194"/>
      <c r="T664" s="195">
        <f t="shared" si="85"/>
        <v>0</v>
      </c>
      <c r="U664" s="195">
        <f t="shared" si="86"/>
        <v>0</v>
      </c>
      <c r="V664" s="195">
        <f t="shared" si="87"/>
        <v>0</v>
      </c>
      <c r="W664" s="196" t="e">
        <f t="shared" si="88"/>
        <v>#DIV/0!</v>
      </c>
      <c r="X664" s="197" t="e">
        <f t="shared" si="89"/>
        <v>#DIV/0!</v>
      </c>
      <c r="AG664" s="219" t="s">
        <v>990</v>
      </c>
    </row>
    <row r="665" ht="11.4" customHeight="1" spans="1:34">
      <c r="A665" s="184" t="s">
        <v>1879</v>
      </c>
      <c r="B665" s="184" t="s">
        <v>139</v>
      </c>
      <c r="C665" s="184" t="s">
        <v>1880</v>
      </c>
      <c r="D665" s="185" t="s">
        <v>522</v>
      </c>
      <c r="E665" s="186" t="s">
        <v>906</v>
      </c>
      <c r="F665" s="186" t="s">
        <v>907</v>
      </c>
      <c r="G665" s="186" t="s">
        <v>1881</v>
      </c>
      <c r="H665" s="186" t="s">
        <v>2066</v>
      </c>
      <c r="I665" s="187" t="s">
        <v>2067</v>
      </c>
      <c r="J665" s="187" t="s">
        <v>2068</v>
      </c>
      <c r="K665" s="188">
        <v>15.73</v>
      </c>
      <c r="L665" s="188">
        <v>15.71</v>
      </c>
      <c r="M665" s="189" t="s">
        <v>807</v>
      </c>
      <c r="N665" s="190">
        <v>16.99</v>
      </c>
      <c r="O665" s="190">
        <f t="shared" si="82"/>
        <v>18.52</v>
      </c>
      <c r="P665" s="191">
        <f t="shared" si="83"/>
        <v>267.25</v>
      </c>
      <c r="Q665" s="192">
        <f t="shared" si="84"/>
        <v>266.91</v>
      </c>
      <c r="R665" s="193"/>
      <c r="S665" s="194"/>
      <c r="T665" s="195">
        <f t="shared" si="85"/>
        <v>0.0199999999999996</v>
      </c>
      <c r="U665" s="195">
        <f t="shared" si="86"/>
        <v>0.339999999999975</v>
      </c>
      <c r="V665" s="195">
        <f t="shared" si="87"/>
        <v>0.339999999999975</v>
      </c>
      <c r="W665" s="196">
        <f t="shared" si="88"/>
        <v>0.00127307447485675</v>
      </c>
      <c r="X665" s="197">
        <f t="shared" si="89"/>
        <v>0.00127307447485675</v>
      </c>
      <c r="AG665" s="109" t="s">
        <v>1011</v>
      </c>
    </row>
    <row r="666" ht="11.4" customHeight="1" spans="1:34">
      <c r="A666" s="184" t="s">
        <v>1879</v>
      </c>
      <c r="B666" s="184" t="s">
        <v>139</v>
      </c>
      <c r="C666" s="184" t="s">
        <v>1880</v>
      </c>
      <c r="D666" s="185" t="s">
        <v>522</v>
      </c>
      <c r="E666" s="186" t="s">
        <v>906</v>
      </c>
      <c r="F666" s="186" t="s">
        <v>907</v>
      </c>
      <c r="G666" s="186" t="s">
        <v>1881</v>
      </c>
      <c r="H666" s="186" t="s">
        <v>2046</v>
      </c>
      <c r="I666" s="187" t="s">
        <v>2069</v>
      </c>
      <c r="J666" s="187" t="s">
        <v>2070</v>
      </c>
      <c r="K666" s="221">
        <v>23.64</v>
      </c>
      <c r="L666" s="188">
        <v>24.77</v>
      </c>
      <c r="M666" s="189" t="s">
        <v>807</v>
      </c>
      <c r="N666" s="190">
        <v>12.5</v>
      </c>
      <c r="O666" s="190">
        <f t="shared" si="82"/>
        <v>13.63</v>
      </c>
      <c r="P666" s="191">
        <f t="shared" si="83"/>
        <v>295.5</v>
      </c>
      <c r="Q666" s="192">
        <f t="shared" si="84"/>
        <v>309.63</v>
      </c>
      <c r="R666" s="193"/>
      <c r="S666" s="194"/>
      <c r="T666" s="195">
        <f t="shared" si="85"/>
        <v>-1.13</v>
      </c>
      <c r="U666" s="195">
        <f t="shared" si="86"/>
        <v>-14.13</v>
      </c>
      <c r="V666" s="195">
        <f t="shared" si="87"/>
        <v>14.13</v>
      </c>
      <c r="W666" s="196">
        <f t="shared" si="88"/>
        <v>-0.0456197012515139</v>
      </c>
      <c r="X666" s="197">
        <f t="shared" si="89"/>
        <v>0.0456197012515139</v>
      </c>
      <c r="AG666" s="109" t="s">
        <v>1011</v>
      </c>
    </row>
    <row r="667" ht="11.4" customHeight="1" spans="1:34">
      <c r="A667" s="184" t="s">
        <v>1879</v>
      </c>
      <c r="B667" s="184" t="s">
        <v>139</v>
      </c>
      <c r="C667" s="184" t="s">
        <v>1880</v>
      </c>
      <c r="D667" s="185" t="s">
        <v>522</v>
      </c>
      <c r="E667" s="186" t="s">
        <v>906</v>
      </c>
      <c r="F667" s="186" t="s">
        <v>907</v>
      </c>
      <c r="G667" s="186" t="s">
        <v>1881</v>
      </c>
      <c r="H667" s="186" t="s">
        <v>2046</v>
      </c>
      <c r="I667" s="187" t="s">
        <v>2071</v>
      </c>
      <c r="J667" s="187" t="s">
        <v>2072</v>
      </c>
      <c r="K667" s="221">
        <v>17.11</v>
      </c>
      <c r="L667" s="188">
        <v>20.17</v>
      </c>
      <c r="M667" s="189" t="s">
        <v>807</v>
      </c>
      <c r="N667" s="190">
        <v>12</v>
      </c>
      <c r="O667" s="190">
        <f t="shared" si="82"/>
        <v>13.08</v>
      </c>
      <c r="P667" s="191">
        <f t="shared" si="83"/>
        <v>205.32</v>
      </c>
      <c r="Q667" s="192">
        <f t="shared" si="84"/>
        <v>242.04</v>
      </c>
      <c r="R667" s="193"/>
      <c r="S667" s="194"/>
      <c r="T667" s="195">
        <f t="shared" si="85"/>
        <v>-3.06</v>
      </c>
      <c r="U667" s="195">
        <f t="shared" si="86"/>
        <v>-36.72</v>
      </c>
      <c r="V667" s="195">
        <f t="shared" si="87"/>
        <v>36.72</v>
      </c>
      <c r="W667" s="196">
        <f t="shared" si="88"/>
        <v>-0.151710461080813</v>
      </c>
      <c r="X667" s="197">
        <f t="shared" si="89"/>
        <v>0.151710461080813</v>
      </c>
      <c r="AG667" s="109" t="s">
        <v>1011</v>
      </c>
    </row>
    <row r="668" ht="11.4" customHeight="1" spans="1:34">
      <c r="A668" s="184" t="s">
        <v>2073</v>
      </c>
      <c r="B668" s="184" t="s">
        <v>145</v>
      </c>
      <c r="C668" s="184" t="s">
        <v>2074</v>
      </c>
      <c r="D668" s="185" t="s">
        <v>522</v>
      </c>
      <c r="E668" s="186" t="s">
        <v>906</v>
      </c>
      <c r="F668" s="186" t="s">
        <v>907</v>
      </c>
      <c r="G668" s="186" t="s">
        <v>2075</v>
      </c>
      <c r="H668" s="186" t="s">
        <v>2076</v>
      </c>
      <c r="I668" s="187" t="s">
        <v>2077</v>
      </c>
      <c r="J668" s="187" t="s">
        <v>2078</v>
      </c>
      <c r="K668" s="188"/>
      <c r="L668" s="188"/>
      <c r="M668" s="189" t="s">
        <v>1018</v>
      </c>
      <c r="N668" s="190">
        <v>27.3</v>
      </c>
      <c r="O668" s="190">
        <f t="shared" si="82"/>
        <v>29.76</v>
      </c>
      <c r="P668" s="191">
        <f t="shared" si="83"/>
        <v>0</v>
      </c>
      <c r="Q668" s="192">
        <f t="shared" si="84"/>
        <v>0</v>
      </c>
      <c r="R668" s="193"/>
      <c r="S668" s="194"/>
      <c r="T668" s="195">
        <f t="shared" si="85"/>
        <v>0</v>
      </c>
      <c r="U668" s="195">
        <f t="shared" si="86"/>
        <v>0</v>
      </c>
      <c r="V668" s="195">
        <f t="shared" si="87"/>
        <v>0</v>
      </c>
      <c r="W668" s="196" t="e">
        <f t="shared" si="88"/>
        <v>#DIV/0!</v>
      </c>
      <c r="X668" s="197" t="e">
        <f t="shared" si="89"/>
        <v>#DIV/0!</v>
      </c>
      <c r="AG668" s="219" t="s">
        <v>990</v>
      </c>
    </row>
    <row r="669" ht="11.4" customHeight="1" spans="1:34">
      <c r="A669" s="184" t="s">
        <v>2073</v>
      </c>
      <c r="B669" s="184" t="s">
        <v>145</v>
      </c>
      <c r="C669" s="184" t="s">
        <v>2074</v>
      </c>
      <c r="D669" s="185" t="s">
        <v>522</v>
      </c>
      <c r="E669" s="186" t="s">
        <v>906</v>
      </c>
      <c r="F669" s="186" t="s">
        <v>907</v>
      </c>
      <c r="G669" s="186" t="s">
        <v>2075</v>
      </c>
      <c r="H669" s="186" t="s">
        <v>2076</v>
      </c>
      <c r="I669" s="187" t="s">
        <v>2079</v>
      </c>
      <c r="J669" s="187" t="s">
        <v>2080</v>
      </c>
      <c r="K669" s="188"/>
      <c r="L669" s="188"/>
      <c r="M669" s="189" t="s">
        <v>1018</v>
      </c>
      <c r="N669" s="190">
        <v>63</v>
      </c>
      <c r="O669" s="190">
        <f t="shared" si="82"/>
        <v>68.67</v>
      </c>
      <c r="P669" s="191">
        <f t="shared" si="83"/>
        <v>0</v>
      </c>
      <c r="Q669" s="192">
        <f t="shared" si="84"/>
        <v>0</v>
      </c>
      <c r="R669" s="193"/>
      <c r="S669" s="194"/>
      <c r="T669" s="195">
        <f t="shared" si="85"/>
        <v>0</v>
      </c>
      <c r="U669" s="195">
        <f t="shared" si="86"/>
        <v>0</v>
      </c>
      <c r="V669" s="195">
        <f t="shared" si="87"/>
        <v>0</v>
      </c>
      <c r="W669" s="196" t="e">
        <f t="shared" si="88"/>
        <v>#DIV/0!</v>
      </c>
      <c r="X669" s="197" t="e">
        <f t="shared" si="89"/>
        <v>#DIV/0!</v>
      </c>
      <c r="AG669" s="219" t="s">
        <v>990</v>
      </c>
    </row>
    <row r="670" ht="11.4" customHeight="1" spans="1:34">
      <c r="A670" s="184" t="s">
        <v>2073</v>
      </c>
      <c r="B670" s="184" t="s">
        <v>145</v>
      </c>
      <c r="C670" s="184" t="s">
        <v>2074</v>
      </c>
      <c r="D670" s="185" t="s">
        <v>522</v>
      </c>
      <c r="E670" s="186" t="s">
        <v>906</v>
      </c>
      <c r="F670" s="186" t="s">
        <v>907</v>
      </c>
      <c r="G670" s="186" t="s">
        <v>2075</v>
      </c>
      <c r="H670" s="186" t="s">
        <v>2076</v>
      </c>
      <c r="I670" s="187" t="s">
        <v>2081</v>
      </c>
      <c r="J670" s="187" t="s">
        <v>2082</v>
      </c>
      <c r="K670" s="188">
        <v>12</v>
      </c>
      <c r="L670" s="188">
        <v>12</v>
      </c>
      <c r="M670" s="189" t="s">
        <v>1018</v>
      </c>
      <c r="N670" s="190">
        <v>36.75</v>
      </c>
      <c r="O670" s="190">
        <f t="shared" si="82"/>
        <v>40.06</v>
      </c>
      <c r="P670" s="191">
        <f t="shared" si="83"/>
        <v>441</v>
      </c>
      <c r="Q670" s="192">
        <f t="shared" si="84"/>
        <v>441</v>
      </c>
      <c r="R670" s="193"/>
      <c r="S670" s="194"/>
      <c r="T670" s="195">
        <f t="shared" si="85"/>
        <v>0</v>
      </c>
      <c r="U670" s="195">
        <f t="shared" si="86"/>
        <v>0</v>
      </c>
      <c r="V670" s="195">
        <f t="shared" si="87"/>
        <v>0</v>
      </c>
      <c r="W670" s="196">
        <f t="shared" si="88"/>
        <v>0</v>
      </c>
      <c r="X670" s="197">
        <f t="shared" si="89"/>
        <v>0</v>
      </c>
      <c r="AG670" s="219" t="s">
        <v>990</v>
      </c>
    </row>
    <row r="671" ht="11.4" customHeight="1" spans="1:34">
      <c r="A671" s="184" t="s">
        <v>2073</v>
      </c>
      <c r="B671" s="184" t="s">
        <v>145</v>
      </c>
      <c r="C671" s="184" t="s">
        <v>2074</v>
      </c>
      <c r="D671" s="185" t="s">
        <v>522</v>
      </c>
      <c r="E671" s="186" t="s">
        <v>906</v>
      </c>
      <c r="F671" s="186" t="s">
        <v>907</v>
      </c>
      <c r="G671" s="186" t="s">
        <v>2075</v>
      </c>
      <c r="H671" s="186" t="s">
        <v>2076</v>
      </c>
      <c r="I671" s="187" t="s">
        <v>2083</v>
      </c>
      <c r="J671" s="187" t="s">
        <v>2084</v>
      </c>
      <c r="K671" s="188"/>
      <c r="L671" s="188"/>
      <c r="M671" s="189" t="s">
        <v>1018</v>
      </c>
      <c r="N671" s="190">
        <v>42</v>
      </c>
      <c r="O671" s="190">
        <f t="shared" si="82"/>
        <v>45.78</v>
      </c>
      <c r="P671" s="191">
        <f t="shared" si="83"/>
        <v>0</v>
      </c>
      <c r="Q671" s="192">
        <f t="shared" si="84"/>
        <v>0</v>
      </c>
      <c r="R671" s="193"/>
      <c r="S671" s="194"/>
      <c r="T671" s="195">
        <f t="shared" si="85"/>
        <v>0</v>
      </c>
      <c r="U671" s="195">
        <f t="shared" si="86"/>
        <v>0</v>
      </c>
      <c r="V671" s="195">
        <f t="shared" si="87"/>
        <v>0</v>
      </c>
      <c r="W671" s="196" t="e">
        <f t="shared" si="88"/>
        <v>#DIV/0!</v>
      </c>
      <c r="X671" s="197" t="e">
        <f t="shared" si="89"/>
        <v>#DIV/0!</v>
      </c>
      <c r="AG671" s="219" t="s">
        <v>990</v>
      </c>
    </row>
    <row r="672" ht="11.4" customHeight="1" spans="1:34">
      <c r="A672" s="184" t="s">
        <v>2073</v>
      </c>
      <c r="B672" s="184" t="s">
        <v>145</v>
      </c>
      <c r="C672" s="184" t="s">
        <v>2074</v>
      </c>
      <c r="D672" s="185" t="s">
        <v>522</v>
      </c>
      <c r="E672" s="186" t="s">
        <v>906</v>
      </c>
      <c r="F672" s="186" t="s">
        <v>907</v>
      </c>
      <c r="G672" s="186" t="s">
        <v>2075</v>
      </c>
      <c r="H672" s="186" t="s">
        <v>2076</v>
      </c>
      <c r="I672" s="187" t="s">
        <v>2085</v>
      </c>
      <c r="J672" s="187" t="s">
        <v>2086</v>
      </c>
      <c r="K672" s="221">
        <v>7</v>
      </c>
      <c r="L672" s="188">
        <v>6</v>
      </c>
      <c r="M672" s="189" t="s">
        <v>1018</v>
      </c>
      <c r="N672" s="190">
        <v>40.95</v>
      </c>
      <c r="O672" s="190">
        <f t="shared" si="82"/>
        <v>44.64</v>
      </c>
      <c r="P672" s="191">
        <f t="shared" si="83"/>
        <v>286.65</v>
      </c>
      <c r="Q672" s="192">
        <f t="shared" si="84"/>
        <v>245.7</v>
      </c>
      <c r="R672" s="193"/>
      <c r="S672" s="194"/>
      <c r="T672" s="195">
        <f t="shared" si="85"/>
        <v>1</v>
      </c>
      <c r="U672" s="195">
        <f t="shared" si="86"/>
        <v>40.95</v>
      </c>
      <c r="V672" s="195">
        <f t="shared" si="87"/>
        <v>40.95</v>
      </c>
      <c r="W672" s="196">
        <f t="shared" si="88"/>
        <v>0.166666666666667</v>
      </c>
      <c r="X672" s="197">
        <f t="shared" si="89"/>
        <v>0.166666666666667</v>
      </c>
      <c r="AG672" s="219" t="s">
        <v>990</v>
      </c>
    </row>
    <row r="673" ht="11.4" customHeight="1" spans="1:34">
      <c r="A673" s="184" t="s">
        <v>2073</v>
      </c>
      <c r="B673" s="184" t="s">
        <v>145</v>
      </c>
      <c r="C673" s="184" t="s">
        <v>2074</v>
      </c>
      <c r="D673" s="185" t="s">
        <v>522</v>
      </c>
      <c r="E673" s="186" t="s">
        <v>906</v>
      </c>
      <c r="F673" s="186" t="s">
        <v>907</v>
      </c>
      <c r="G673" s="186" t="s">
        <v>2075</v>
      </c>
      <c r="H673" s="186" t="s">
        <v>2076</v>
      </c>
      <c r="I673" s="187" t="s">
        <v>2087</v>
      </c>
      <c r="J673" s="187" t="s">
        <v>2088</v>
      </c>
      <c r="K673" s="188"/>
      <c r="L673" s="188"/>
      <c r="M673" s="189" t="s">
        <v>1018</v>
      </c>
      <c r="N673" s="190">
        <v>94.5</v>
      </c>
      <c r="O673" s="190">
        <f t="shared" si="82"/>
        <v>103.01</v>
      </c>
      <c r="P673" s="191">
        <f t="shared" si="83"/>
        <v>0</v>
      </c>
      <c r="Q673" s="192">
        <f t="shared" si="84"/>
        <v>0</v>
      </c>
      <c r="R673" s="193"/>
      <c r="S673" s="194"/>
      <c r="T673" s="195">
        <f t="shared" si="85"/>
        <v>0</v>
      </c>
      <c r="U673" s="195">
        <f t="shared" si="86"/>
        <v>0</v>
      </c>
      <c r="V673" s="195">
        <f t="shared" si="87"/>
        <v>0</v>
      </c>
      <c r="W673" s="196" t="e">
        <f t="shared" si="88"/>
        <v>#DIV/0!</v>
      </c>
      <c r="X673" s="197" t="e">
        <f t="shared" si="89"/>
        <v>#DIV/0!</v>
      </c>
      <c r="AG673" s="219" t="s">
        <v>990</v>
      </c>
    </row>
    <row r="674" ht="11.4" customHeight="1" spans="1:34">
      <c r="A674" s="184" t="s">
        <v>2073</v>
      </c>
      <c r="B674" s="184" t="s">
        <v>145</v>
      </c>
      <c r="C674" s="184" t="s">
        <v>2074</v>
      </c>
      <c r="D674" s="185" t="s">
        <v>522</v>
      </c>
      <c r="E674" s="186" t="s">
        <v>906</v>
      </c>
      <c r="F674" s="186" t="s">
        <v>907</v>
      </c>
      <c r="G674" s="186" t="s">
        <v>2075</v>
      </c>
      <c r="H674" s="186" t="s">
        <v>2076</v>
      </c>
      <c r="I674" s="187" t="s">
        <v>2089</v>
      </c>
      <c r="J674" s="187" t="s">
        <v>2090</v>
      </c>
      <c r="K674" s="188">
        <v>9</v>
      </c>
      <c r="L674" s="188">
        <v>9</v>
      </c>
      <c r="M674" s="189" t="s">
        <v>1018</v>
      </c>
      <c r="N674" s="190">
        <v>131.25</v>
      </c>
      <c r="O674" s="190">
        <f t="shared" si="82"/>
        <v>143.06</v>
      </c>
      <c r="P674" s="191">
        <f t="shared" si="83"/>
        <v>1181.25</v>
      </c>
      <c r="Q674" s="192">
        <f t="shared" si="84"/>
        <v>1181.25</v>
      </c>
      <c r="R674" s="193"/>
      <c r="S674" s="194"/>
      <c r="T674" s="195">
        <f t="shared" si="85"/>
        <v>0</v>
      </c>
      <c r="U674" s="195">
        <f t="shared" si="86"/>
        <v>0</v>
      </c>
      <c r="V674" s="195">
        <f t="shared" si="87"/>
        <v>0</v>
      </c>
      <c r="W674" s="196">
        <f t="shared" si="88"/>
        <v>0</v>
      </c>
      <c r="X674" s="197">
        <f t="shared" si="89"/>
        <v>0</v>
      </c>
      <c r="AG674" s="219" t="s">
        <v>990</v>
      </c>
    </row>
    <row r="675" ht="11.4" customHeight="1" spans="1:34">
      <c r="A675" s="184" t="s">
        <v>2073</v>
      </c>
      <c r="B675" s="184" t="s">
        <v>145</v>
      </c>
      <c r="C675" s="184" t="s">
        <v>2074</v>
      </c>
      <c r="D675" s="185" t="s">
        <v>522</v>
      </c>
      <c r="E675" s="186" t="s">
        <v>906</v>
      </c>
      <c r="F675" s="186" t="s">
        <v>907</v>
      </c>
      <c r="G675" s="186" t="s">
        <v>2075</v>
      </c>
      <c r="H675" s="186" t="s">
        <v>2076</v>
      </c>
      <c r="I675" s="187" t="s">
        <v>2091</v>
      </c>
      <c r="J675" s="187" t="s">
        <v>2092</v>
      </c>
      <c r="K675" s="188">
        <v>36</v>
      </c>
      <c r="L675" s="188">
        <v>36</v>
      </c>
      <c r="M675" s="189" t="s">
        <v>1018</v>
      </c>
      <c r="N675" s="190">
        <v>222.6</v>
      </c>
      <c r="O675" s="190">
        <f t="shared" si="82"/>
        <v>242.63</v>
      </c>
      <c r="P675" s="191">
        <f t="shared" si="83"/>
        <v>8013.6</v>
      </c>
      <c r="Q675" s="192">
        <f t="shared" si="84"/>
        <v>8013.6</v>
      </c>
      <c r="R675" s="193"/>
      <c r="S675" s="194"/>
      <c r="T675" s="195">
        <f t="shared" si="85"/>
        <v>0</v>
      </c>
      <c r="U675" s="195">
        <f t="shared" si="86"/>
        <v>0</v>
      </c>
      <c r="V675" s="195">
        <f t="shared" si="87"/>
        <v>0</v>
      </c>
      <c r="W675" s="196">
        <f t="shared" si="88"/>
        <v>0</v>
      </c>
      <c r="X675" s="197">
        <f t="shared" si="89"/>
        <v>0</v>
      </c>
      <c r="AG675" s="219" t="s">
        <v>990</v>
      </c>
    </row>
    <row r="676" ht="11.4" customHeight="1" spans="1:34">
      <c r="A676" s="184" t="s">
        <v>2073</v>
      </c>
      <c r="B676" s="184" t="s">
        <v>145</v>
      </c>
      <c r="C676" s="184" t="s">
        <v>2074</v>
      </c>
      <c r="D676" s="185" t="s">
        <v>522</v>
      </c>
      <c r="E676" s="186" t="s">
        <v>906</v>
      </c>
      <c r="F676" s="186" t="s">
        <v>907</v>
      </c>
      <c r="G676" s="186" t="s">
        <v>2075</v>
      </c>
      <c r="H676" s="186" t="s">
        <v>2076</v>
      </c>
      <c r="I676" s="187" t="s">
        <v>2093</v>
      </c>
      <c r="J676" s="187" t="s">
        <v>2094</v>
      </c>
      <c r="K676" s="188"/>
      <c r="L676" s="188"/>
      <c r="M676" s="189" t="s">
        <v>1018</v>
      </c>
      <c r="N676" s="190">
        <v>176.4</v>
      </c>
      <c r="O676" s="190">
        <f t="shared" si="82"/>
        <v>192.28</v>
      </c>
      <c r="P676" s="191">
        <f t="shared" si="83"/>
        <v>0</v>
      </c>
      <c r="Q676" s="192">
        <f t="shared" si="84"/>
        <v>0</v>
      </c>
      <c r="R676" s="193"/>
      <c r="S676" s="194"/>
      <c r="T676" s="195">
        <f t="shared" si="85"/>
        <v>0</v>
      </c>
      <c r="U676" s="195">
        <f t="shared" si="86"/>
        <v>0</v>
      </c>
      <c r="V676" s="195">
        <f t="shared" si="87"/>
        <v>0</v>
      </c>
      <c r="W676" s="196" t="e">
        <f t="shared" si="88"/>
        <v>#DIV/0!</v>
      </c>
      <c r="X676" s="197" t="e">
        <f t="shared" si="89"/>
        <v>#DIV/0!</v>
      </c>
      <c r="AG676" s="219" t="s">
        <v>990</v>
      </c>
    </row>
    <row r="677" ht="11.4" customHeight="1" spans="1:34">
      <c r="A677" s="184" t="s">
        <v>2073</v>
      </c>
      <c r="B677" s="184" t="s">
        <v>145</v>
      </c>
      <c r="C677" s="184" t="s">
        <v>2074</v>
      </c>
      <c r="D677" s="185" t="s">
        <v>522</v>
      </c>
      <c r="E677" s="186" t="s">
        <v>906</v>
      </c>
      <c r="F677" s="186" t="s">
        <v>907</v>
      </c>
      <c r="G677" s="186" t="s">
        <v>2075</v>
      </c>
      <c r="H677" s="186" t="s">
        <v>2076</v>
      </c>
      <c r="I677" s="187" t="s">
        <v>2095</v>
      </c>
      <c r="J677" s="187" t="s">
        <v>2096</v>
      </c>
      <c r="K677" s="188"/>
      <c r="L677" s="188"/>
      <c r="M677" s="189" t="s">
        <v>1018</v>
      </c>
      <c r="N677" s="190">
        <v>134.4</v>
      </c>
      <c r="O677" s="190">
        <f t="shared" si="82"/>
        <v>146.5</v>
      </c>
      <c r="P677" s="191">
        <f t="shared" si="83"/>
        <v>0</v>
      </c>
      <c r="Q677" s="192">
        <f t="shared" si="84"/>
        <v>0</v>
      </c>
      <c r="R677" s="193"/>
      <c r="S677" s="194"/>
      <c r="T677" s="195">
        <f t="shared" si="85"/>
        <v>0</v>
      </c>
      <c r="U677" s="195">
        <f t="shared" si="86"/>
        <v>0</v>
      </c>
      <c r="V677" s="195">
        <f t="shared" si="87"/>
        <v>0</v>
      </c>
      <c r="W677" s="196" t="e">
        <f t="shared" si="88"/>
        <v>#DIV/0!</v>
      </c>
      <c r="X677" s="197" t="e">
        <f t="shared" si="89"/>
        <v>#DIV/0!</v>
      </c>
      <c r="AG677" s="219" t="s">
        <v>990</v>
      </c>
    </row>
    <row r="678" ht="11.4" customHeight="1" spans="1:34">
      <c r="A678" s="184" t="s">
        <v>2073</v>
      </c>
      <c r="B678" s="184" t="s">
        <v>145</v>
      </c>
      <c r="C678" s="184" t="s">
        <v>2074</v>
      </c>
      <c r="D678" s="185" t="s">
        <v>522</v>
      </c>
      <c r="E678" s="186" t="s">
        <v>906</v>
      </c>
      <c r="F678" s="186" t="s">
        <v>907</v>
      </c>
      <c r="G678" s="186" t="s">
        <v>2075</v>
      </c>
      <c r="H678" s="186" t="s">
        <v>2076</v>
      </c>
      <c r="I678" s="187" t="s">
        <v>2097</v>
      </c>
      <c r="J678" s="187" t="s">
        <v>2098</v>
      </c>
      <c r="K678" s="188"/>
      <c r="L678" s="188"/>
      <c r="M678" s="189" t="s">
        <v>1018</v>
      </c>
      <c r="N678" s="190">
        <v>152.56</v>
      </c>
      <c r="O678" s="190">
        <f t="shared" si="82"/>
        <v>166.29</v>
      </c>
      <c r="P678" s="191">
        <f t="shared" si="83"/>
        <v>0</v>
      </c>
      <c r="Q678" s="192">
        <f t="shared" si="84"/>
        <v>0</v>
      </c>
      <c r="R678" s="193"/>
      <c r="S678" s="194"/>
      <c r="T678" s="195">
        <f t="shared" si="85"/>
        <v>0</v>
      </c>
      <c r="U678" s="195">
        <f t="shared" si="86"/>
        <v>0</v>
      </c>
      <c r="V678" s="195">
        <f t="shared" si="87"/>
        <v>0</v>
      </c>
      <c r="W678" s="196" t="e">
        <f t="shared" si="88"/>
        <v>#DIV/0!</v>
      </c>
      <c r="X678" s="197" t="e">
        <f t="shared" si="89"/>
        <v>#DIV/0!</v>
      </c>
      <c r="AG678" s="219" t="s">
        <v>990</v>
      </c>
    </row>
    <row r="679" ht="11.4" customHeight="1" spans="1:34">
      <c r="A679" s="184" t="s">
        <v>2073</v>
      </c>
      <c r="B679" s="184" t="s">
        <v>145</v>
      </c>
      <c r="C679" s="184" t="s">
        <v>2074</v>
      </c>
      <c r="D679" s="185" t="s">
        <v>522</v>
      </c>
      <c r="E679" s="186" t="s">
        <v>906</v>
      </c>
      <c r="F679" s="186" t="s">
        <v>907</v>
      </c>
      <c r="G679" s="186" t="s">
        <v>2075</v>
      </c>
      <c r="H679" s="186" t="s">
        <v>2076</v>
      </c>
      <c r="I679" s="187" t="s">
        <v>2099</v>
      </c>
      <c r="J679" s="187" t="s">
        <v>2100</v>
      </c>
      <c r="K679" s="188">
        <v>19</v>
      </c>
      <c r="L679" s="188">
        <v>19</v>
      </c>
      <c r="M679" s="189" t="s">
        <v>1018</v>
      </c>
      <c r="N679" s="190">
        <v>222.6</v>
      </c>
      <c r="O679" s="190">
        <f t="shared" si="82"/>
        <v>242.63</v>
      </c>
      <c r="P679" s="191">
        <f t="shared" si="83"/>
        <v>4229.4</v>
      </c>
      <c r="Q679" s="192">
        <f t="shared" si="84"/>
        <v>4229.4</v>
      </c>
      <c r="R679" s="193"/>
      <c r="S679" s="194"/>
      <c r="T679" s="195">
        <f t="shared" si="85"/>
        <v>0</v>
      </c>
      <c r="U679" s="195">
        <f t="shared" si="86"/>
        <v>0</v>
      </c>
      <c r="V679" s="195">
        <f t="shared" si="87"/>
        <v>0</v>
      </c>
      <c r="W679" s="196">
        <f t="shared" si="88"/>
        <v>0</v>
      </c>
      <c r="X679" s="197">
        <f t="shared" si="89"/>
        <v>0</v>
      </c>
      <c r="AG679" s="219" t="s">
        <v>990</v>
      </c>
    </row>
    <row r="680" ht="11.4" customHeight="1" spans="1:34">
      <c r="A680" s="184" t="s">
        <v>2073</v>
      </c>
      <c r="B680" s="184" t="s">
        <v>145</v>
      </c>
      <c r="C680" s="184" t="s">
        <v>2074</v>
      </c>
      <c r="D680" s="185" t="s">
        <v>522</v>
      </c>
      <c r="E680" s="186" t="s">
        <v>906</v>
      </c>
      <c r="F680" s="186" t="s">
        <v>907</v>
      </c>
      <c r="G680" s="186" t="s">
        <v>2075</v>
      </c>
      <c r="H680" s="186" t="s">
        <v>2076</v>
      </c>
      <c r="I680" s="187" t="s">
        <v>2101</v>
      </c>
      <c r="J680" s="187" t="s">
        <v>2102</v>
      </c>
      <c r="K680" s="188">
        <v>3</v>
      </c>
      <c r="L680" s="188">
        <v>3</v>
      </c>
      <c r="M680" s="189" t="s">
        <v>1018</v>
      </c>
      <c r="N680" s="190">
        <v>86.1</v>
      </c>
      <c r="O680" s="190">
        <f t="shared" si="82"/>
        <v>93.85</v>
      </c>
      <c r="P680" s="191">
        <f t="shared" si="83"/>
        <v>258.3</v>
      </c>
      <c r="Q680" s="192">
        <f t="shared" si="84"/>
        <v>258.3</v>
      </c>
      <c r="R680" s="193"/>
      <c r="S680" s="194"/>
      <c r="T680" s="195">
        <f t="shared" si="85"/>
        <v>0</v>
      </c>
      <c r="U680" s="195">
        <f t="shared" si="86"/>
        <v>0</v>
      </c>
      <c r="V680" s="195">
        <f t="shared" si="87"/>
        <v>0</v>
      </c>
      <c r="W680" s="196">
        <f t="shared" si="88"/>
        <v>0</v>
      </c>
      <c r="X680" s="197">
        <f t="shared" si="89"/>
        <v>0</v>
      </c>
      <c r="AG680" s="219" t="s">
        <v>990</v>
      </c>
    </row>
    <row r="681" ht="11.4" customHeight="1" spans="1:34">
      <c r="A681" s="184" t="s">
        <v>2073</v>
      </c>
      <c r="B681" s="184" t="s">
        <v>145</v>
      </c>
      <c r="C681" s="184" t="s">
        <v>2074</v>
      </c>
      <c r="D681" s="185" t="s">
        <v>522</v>
      </c>
      <c r="E681" s="186" t="s">
        <v>906</v>
      </c>
      <c r="F681" s="186" t="s">
        <v>907</v>
      </c>
      <c r="G681" s="186" t="s">
        <v>2075</v>
      </c>
      <c r="H681" s="186" t="s">
        <v>2076</v>
      </c>
      <c r="I681" s="187" t="s">
        <v>2103</v>
      </c>
      <c r="J681" s="187" t="s">
        <v>2104</v>
      </c>
      <c r="K681" s="188"/>
      <c r="L681" s="188"/>
      <c r="M681" s="189" t="s">
        <v>1018</v>
      </c>
      <c r="N681" s="190">
        <v>261.15</v>
      </c>
      <c r="O681" s="190">
        <f t="shared" si="82"/>
        <v>284.65</v>
      </c>
      <c r="P681" s="191">
        <f t="shared" si="83"/>
        <v>0</v>
      </c>
      <c r="Q681" s="192">
        <f t="shared" si="84"/>
        <v>0</v>
      </c>
      <c r="R681" s="193"/>
      <c r="S681" s="194"/>
      <c r="T681" s="195">
        <f t="shared" si="85"/>
        <v>0</v>
      </c>
      <c r="U681" s="195">
        <f t="shared" si="86"/>
        <v>0</v>
      </c>
      <c r="V681" s="195">
        <f t="shared" si="87"/>
        <v>0</v>
      </c>
      <c r="W681" s="196" t="e">
        <f t="shared" si="88"/>
        <v>#DIV/0!</v>
      </c>
      <c r="X681" s="197" t="e">
        <f t="shared" si="89"/>
        <v>#DIV/0!</v>
      </c>
      <c r="AG681" s="219" t="s">
        <v>990</v>
      </c>
    </row>
    <row r="682" ht="11.4" customHeight="1" spans="1:34">
      <c r="A682" s="184" t="s">
        <v>2073</v>
      </c>
      <c r="B682" s="184" t="s">
        <v>145</v>
      </c>
      <c r="C682" s="184" t="s">
        <v>2074</v>
      </c>
      <c r="D682" s="185" t="s">
        <v>522</v>
      </c>
      <c r="E682" s="186" t="s">
        <v>906</v>
      </c>
      <c r="F682" s="186" t="s">
        <v>907</v>
      </c>
      <c r="G682" s="186" t="s">
        <v>2075</v>
      </c>
      <c r="H682" s="186" t="s">
        <v>2076</v>
      </c>
      <c r="I682" s="187" t="s">
        <v>2105</v>
      </c>
      <c r="J682" s="187" t="s">
        <v>2106</v>
      </c>
      <c r="K682" s="188"/>
      <c r="L682" s="188"/>
      <c r="M682" s="189" t="s">
        <v>1018</v>
      </c>
      <c r="N682" s="190">
        <v>420</v>
      </c>
      <c r="O682" s="190">
        <f t="shared" si="82"/>
        <v>457.8</v>
      </c>
      <c r="P682" s="191">
        <f t="shared" si="83"/>
        <v>0</v>
      </c>
      <c r="Q682" s="192">
        <f t="shared" si="84"/>
        <v>0</v>
      </c>
      <c r="R682" s="193"/>
      <c r="S682" s="194"/>
      <c r="T682" s="195">
        <f t="shared" si="85"/>
        <v>0</v>
      </c>
      <c r="U682" s="195">
        <f t="shared" si="86"/>
        <v>0</v>
      </c>
      <c r="V682" s="195">
        <f t="shared" si="87"/>
        <v>0</v>
      </c>
      <c r="W682" s="196" t="e">
        <f t="shared" si="88"/>
        <v>#DIV/0!</v>
      </c>
      <c r="X682" s="197" t="e">
        <f t="shared" si="89"/>
        <v>#DIV/0!</v>
      </c>
      <c r="AG682" s="219" t="s">
        <v>990</v>
      </c>
    </row>
    <row r="683" ht="11.4" customHeight="1" spans="1:34">
      <c r="A683" s="184" t="s">
        <v>2073</v>
      </c>
      <c r="B683" s="184" t="s">
        <v>145</v>
      </c>
      <c r="C683" s="184" t="s">
        <v>2074</v>
      </c>
      <c r="D683" s="185" t="s">
        <v>522</v>
      </c>
      <c r="E683" s="186" t="s">
        <v>906</v>
      </c>
      <c r="F683" s="186" t="s">
        <v>907</v>
      </c>
      <c r="G683" s="186" t="s">
        <v>2075</v>
      </c>
      <c r="H683" s="186" t="s">
        <v>2076</v>
      </c>
      <c r="I683" s="187" t="s">
        <v>2107</v>
      </c>
      <c r="J683" s="187" t="s">
        <v>2108</v>
      </c>
      <c r="K683" s="188"/>
      <c r="L683" s="188"/>
      <c r="M683" s="189" t="s">
        <v>1018</v>
      </c>
      <c r="N683" s="190">
        <v>222.6</v>
      </c>
      <c r="O683" s="190">
        <f t="shared" si="82"/>
        <v>242.63</v>
      </c>
      <c r="P683" s="191">
        <f t="shared" si="83"/>
        <v>0</v>
      </c>
      <c r="Q683" s="192">
        <f t="shared" si="84"/>
        <v>0</v>
      </c>
      <c r="R683" s="193"/>
      <c r="S683" s="194"/>
      <c r="T683" s="195">
        <f t="shared" si="85"/>
        <v>0</v>
      </c>
      <c r="U683" s="195">
        <f t="shared" si="86"/>
        <v>0</v>
      </c>
      <c r="V683" s="195">
        <f t="shared" si="87"/>
        <v>0</v>
      </c>
      <c r="W683" s="196" t="e">
        <f t="shared" si="88"/>
        <v>#DIV/0!</v>
      </c>
      <c r="X683" s="197" t="e">
        <f t="shared" si="89"/>
        <v>#DIV/0!</v>
      </c>
      <c r="AG683" s="219" t="s">
        <v>990</v>
      </c>
    </row>
    <row r="684" ht="11.4" customHeight="1" spans="1:34">
      <c r="A684" s="184" t="s">
        <v>2073</v>
      </c>
      <c r="B684" s="184" t="s">
        <v>145</v>
      </c>
      <c r="C684" s="184" t="s">
        <v>2074</v>
      </c>
      <c r="D684" s="185" t="s">
        <v>522</v>
      </c>
      <c r="E684" s="186" t="s">
        <v>906</v>
      </c>
      <c r="F684" s="186" t="s">
        <v>907</v>
      </c>
      <c r="G684" s="186" t="s">
        <v>2075</v>
      </c>
      <c r="H684" s="186" t="s">
        <v>2076</v>
      </c>
      <c r="I684" s="187" t="s">
        <v>2109</v>
      </c>
      <c r="J684" s="187" t="s">
        <v>2110</v>
      </c>
      <c r="K684" s="188"/>
      <c r="L684" s="188"/>
      <c r="M684" s="189" t="s">
        <v>1018</v>
      </c>
      <c r="N684" s="190">
        <v>173.25</v>
      </c>
      <c r="O684" s="190">
        <f t="shared" si="82"/>
        <v>188.84</v>
      </c>
      <c r="P684" s="191">
        <f t="shared" si="83"/>
        <v>0</v>
      </c>
      <c r="Q684" s="192">
        <f t="shared" si="84"/>
        <v>0</v>
      </c>
      <c r="R684" s="193"/>
      <c r="S684" s="194"/>
      <c r="T684" s="195">
        <f t="shared" si="85"/>
        <v>0</v>
      </c>
      <c r="U684" s="195">
        <f t="shared" si="86"/>
        <v>0</v>
      </c>
      <c r="V684" s="195">
        <f t="shared" si="87"/>
        <v>0</v>
      </c>
      <c r="W684" s="196" t="e">
        <f t="shared" si="88"/>
        <v>#DIV/0!</v>
      </c>
      <c r="X684" s="197" t="e">
        <f t="shared" si="89"/>
        <v>#DIV/0!</v>
      </c>
      <c r="AG684" s="219" t="s">
        <v>990</v>
      </c>
    </row>
    <row r="685" ht="11.4" customHeight="1" spans="1:34">
      <c r="A685" s="184" t="s">
        <v>2073</v>
      </c>
      <c r="B685" s="184" t="s">
        <v>145</v>
      </c>
      <c r="C685" s="184" t="s">
        <v>2074</v>
      </c>
      <c r="D685" s="185" t="s">
        <v>522</v>
      </c>
      <c r="E685" s="186" t="s">
        <v>906</v>
      </c>
      <c r="F685" s="186" t="s">
        <v>907</v>
      </c>
      <c r="G685" s="186" t="s">
        <v>2075</v>
      </c>
      <c r="H685" s="186" t="s">
        <v>2076</v>
      </c>
      <c r="I685" s="187" t="s">
        <v>2111</v>
      </c>
      <c r="J685" s="187" t="s">
        <v>2112</v>
      </c>
      <c r="K685" s="188"/>
      <c r="L685" s="188"/>
      <c r="M685" s="189" t="s">
        <v>1018</v>
      </c>
      <c r="N685" s="190">
        <v>134.4</v>
      </c>
      <c r="O685" s="190">
        <f t="shared" si="82"/>
        <v>146.5</v>
      </c>
      <c r="P685" s="191">
        <f t="shared" si="83"/>
        <v>0</v>
      </c>
      <c r="Q685" s="192">
        <f t="shared" si="84"/>
        <v>0</v>
      </c>
      <c r="R685" s="193"/>
      <c r="S685" s="194"/>
      <c r="T685" s="195">
        <f t="shared" si="85"/>
        <v>0</v>
      </c>
      <c r="U685" s="195">
        <f t="shared" si="86"/>
        <v>0</v>
      </c>
      <c r="V685" s="195">
        <f t="shared" si="87"/>
        <v>0</v>
      </c>
      <c r="W685" s="196" t="e">
        <f t="shared" si="88"/>
        <v>#DIV/0!</v>
      </c>
      <c r="X685" s="197" t="e">
        <f t="shared" si="89"/>
        <v>#DIV/0!</v>
      </c>
      <c r="AG685" s="219" t="s">
        <v>990</v>
      </c>
    </row>
    <row r="686" ht="11.4" customHeight="1" spans="1:34">
      <c r="A686" s="184" t="s">
        <v>2073</v>
      </c>
      <c r="B686" s="184" t="s">
        <v>145</v>
      </c>
      <c r="C686" s="184" t="s">
        <v>2074</v>
      </c>
      <c r="D686" s="185" t="s">
        <v>522</v>
      </c>
      <c r="E686" s="186" t="s">
        <v>906</v>
      </c>
      <c r="F686" s="186" t="s">
        <v>907</v>
      </c>
      <c r="G686" s="186" t="s">
        <v>2075</v>
      </c>
      <c r="H686" s="186" t="s">
        <v>2076</v>
      </c>
      <c r="I686" s="187" t="s">
        <v>2113</v>
      </c>
      <c r="J686" s="187" t="s">
        <v>2114</v>
      </c>
      <c r="K686" s="188"/>
      <c r="L686" s="188"/>
      <c r="M686" s="189" t="s">
        <v>1018</v>
      </c>
      <c r="N686" s="190">
        <v>498.75</v>
      </c>
      <c r="O686" s="190">
        <f t="shared" si="82"/>
        <v>543.64</v>
      </c>
      <c r="P686" s="191">
        <f t="shared" si="83"/>
        <v>0</v>
      </c>
      <c r="Q686" s="192">
        <f t="shared" si="84"/>
        <v>0</v>
      </c>
      <c r="R686" s="193"/>
      <c r="S686" s="194"/>
      <c r="T686" s="195">
        <f t="shared" si="85"/>
        <v>0</v>
      </c>
      <c r="U686" s="195">
        <f t="shared" si="86"/>
        <v>0</v>
      </c>
      <c r="V686" s="195">
        <f t="shared" si="87"/>
        <v>0</v>
      </c>
      <c r="W686" s="196" t="e">
        <f t="shared" si="88"/>
        <v>#DIV/0!</v>
      </c>
      <c r="X686" s="197" t="e">
        <f t="shared" si="89"/>
        <v>#DIV/0!</v>
      </c>
      <c r="AG686" s="219" t="s">
        <v>990</v>
      </c>
    </row>
    <row r="687" ht="11.4" customHeight="1" spans="1:34">
      <c r="A687" s="184" t="s">
        <v>2073</v>
      </c>
      <c r="B687" s="184" t="s">
        <v>145</v>
      </c>
      <c r="C687" s="184" t="s">
        <v>2074</v>
      </c>
      <c r="D687" s="185" t="s">
        <v>522</v>
      </c>
      <c r="E687" s="186" t="s">
        <v>906</v>
      </c>
      <c r="F687" s="186" t="s">
        <v>907</v>
      </c>
      <c r="G687" s="186" t="s">
        <v>2075</v>
      </c>
      <c r="H687" s="186" t="s">
        <v>2076</v>
      </c>
      <c r="I687" s="187" t="s">
        <v>2115</v>
      </c>
      <c r="J687" s="187" t="s">
        <v>2116</v>
      </c>
      <c r="K687" s="188"/>
      <c r="L687" s="188"/>
      <c r="M687" s="189" t="s">
        <v>1018</v>
      </c>
      <c r="N687" s="190">
        <v>346.5</v>
      </c>
      <c r="O687" s="190">
        <f t="shared" si="82"/>
        <v>377.69</v>
      </c>
      <c r="P687" s="191">
        <f t="shared" si="83"/>
        <v>0</v>
      </c>
      <c r="Q687" s="192">
        <f t="shared" si="84"/>
        <v>0</v>
      </c>
      <c r="R687" s="193"/>
      <c r="S687" s="194"/>
      <c r="T687" s="195">
        <f t="shared" si="85"/>
        <v>0</v>
      </c>
      <c r="U687" s="195">
        <f t="shared" si="86"/>
        <v>0</v>
      </c>
      <c r="V687" s="195">
        <f t="shared" si="87"/>
        <v>0</v>
      </c>
      <c r="W687" s="196" t="e">
        <f t="shared" si="88"/>
        <v>#DIV/0!</v>
      </c>
      <c r="X687" s="197" t="e">
        <f t="shared" si="89"/>
        <v>#DIV/0!</v>
      </c>
      <c r="AG687" s="219" t="s">
        <v>990</v>
      </c>
    </row>
    <row r="688" ht="11.4" customHeight="1" spans="1:34">
      <c r="A688" s="184" t="s">
        <v>2073</v>
      </c>
      <c r="B688" s="184" t="s">
        <v>145</v>
      </c>
      <c r="C688" s="184" t="s">
        <v>2074</v>
      </c>
      <c r="D688" s="185" t="s">
        <v>522</v>
      </c>
      <c r="E688" s="186" t="s">
        <v>906</v>
      </c>
      <c r="F688" s="186" t="s">
        <v>907</v>
      </c>
      <c r="G688" s="186" t="s">
        <v>2075</v>
      </c>
      <c r="H688" s="186" t="s">
        <v>2076</v>
      </c>
      <c r="I688" s="187" t="s">
        <v>2117</v>
      </c>
      <c r="J688" s="187" t="s">
        <v>2118</v>
      </c>
      <c r="K688" s="188"/>
      <c r="L688" s="188"/>
      <c r="M688" s="189" t="s">
        <v>807</v>
      </c>
      <c r="N688" s="190">
        <v>42</v>
      </c>
      <c r="O688" s="190">
        <f t="shared" si="82"/>
        <v>45.78</v>
      </c>
      <c r="P688" s="191">
        <f t="shared" si="83"/>
        <v>0</v>
      </c>
      <c r="Q688" s="192">
        <f t="shared" si="84"/>
        <v>0</v>
      </c>
      <c r="R688" s="193"/>
      <c r="S688" s="194"/>
      <c r="T688" s="195">
        <f t="shared" si="85"/>
        <v>0</v>
      </c>
      <c r="U688" s="195">
        <f t="shared" si="86"/>
        <v>0</v>
      </c>
      <c r="V688" s="195">
        <f t="shared" si="87"/>
        <v>0</v>
      </c>
      <c r="W688" s="196" t="e">
        <f t="shared" si="88"/>
        <v>#DIV/0!</v>
      </c>
      <c r="X688" s="197" t="e">
        <f t="shared" si="89"/>
        <v>#DIV/0!</v>
      </c>
      <c r="AH688" s="219" t="s">
        <v>1903</v>
      </c>
    </row>
    <row r="689" ht="11.4" customHeight="1" spans="1:34">
      <c r="A689" s="184" t="s">
        <v>2073</v>
      </c>
      <c r="B689" s="184" t="s">
        <v>145</v>
      </c>
      <c r="C689" s="184" t="s">
        <v>2074</v>
      </c>
      <c r="D689" s="185" t="s">
        <v>522</v>
      </c>
      <c r="E689" s="186" t="s">
        <v>906</v>
      </c>
      <c r="F689" s="186" t="s">
        <v>907</v>
      </c>
      <c r="G689" s="186" t="s">
        <v>2075</v>
      </c>
      <c r="H689" s="186" t="s">
        <v>2076</v>
      </c>
      <c r="I689" s="187" t="s">
        <v>2119</v>
      </c>
      <c r="J689" s="187" t="s">
        <v>2120</v>
      </c>
      <c r="K689" s="188"/>
      <c r="L689" s="188"/>
      <c r="M689" s="189" t="s">
        <v>1018</v>
      </c>
      <c r="N689" s="190">
        <v>75.6</v>
      </c>
      <c r="O689" s="190">
        <f t="shared" si="82"/>
        <v>82.4</v>
      </c>
      <c r="P689" s="191">
        <f t="shared" si="83"/>
        <v>0</v>
      </c>
      <c r="Q689" s="192">
        <f t="shared" si="84"/>
        <v>0</v>
      </c>
      <c r="R689" s="193"/>
      <c r="S689" s="194"/>
      <c r="T689" s="195">
        <f t="shared" si="85"/>
        <v>0</v>
      </c>
      <c r="U689" s="195">
        <f t="shared" si="86"/>
        <v>0</v>
      </c>
      <c r="V689" s="195">
        <f t="shared" si="87"/>
        <v>0</v>
      </c>
      <c r="W689" s="196" t="e">
        <f t="shared" si="88"/>
        <v>#DIV/0!</v>
      </c>
      <c r="X689" s="197" t="e">
        <f t="shared" si="89"/>
        <v>#DIV/0!</v>
      </c>
      <c r="AG689" s="219" t="s">
        <v>1721</v>
      </c>
    </row>
    <row r="690" ht="11.4" customHeight="1" spans="1:34">
      <c r="A690" s="184" t="s">
        <v>2073</v>
      </c>
      <c r="B690" s="184" t="s">
        <v>145</v>
      </c>
      <c r="C690" s="184" t="s">
        <v>2074</v>
      </c>
      <c r="D690" s="185" t="s">
        <v>522</v>
      </c>
      <c r="E690" s="186" t="s">
        <v>906</v>
      </c>
      <c r="F690" s="186" t="s">
        <v>907</v>
      </c>
      <c r="G690" s="186" t="s">
        <v>2075</v>
      </c>
      <c r="H690" s="186" t="s">
        <v>2076</v>
      </c>
      <c r="I690" s="187" t="s">
        <v>2121</v>
      </c>
      <c r="J690" s="187" t="s">
        <v>2122</v>
      </c>
      <c r="K690" s="188"/>
      <c r="L690" s="188"/>
      <c r="M690" s="189" t="s">
        <v>1018</v>
      </c>
      <c r="N690" s="190">
        <v>38.85</v>
      </c>
      <c r="O690" s="190">
        <f t="shared" si="82"/>
        <v>42.35</v>
      </c>
      <c r="P690" s="191">
        <f t="shared" si="83"/>
        <v>0</v>
      </c>
      <c r="Q690" s="192">
        <f t="shared" si="84"/>
        <v>0</v>
      </c>
      <c r="R690" s="193"/>
      <c r="S690" s="194"/>
      <c r="T690" s="195">
        <f t="shared" si="85"/>
        <v>0</v>
      </c>
      <c r="U690" s="195">
        <f t="shared" si="86"/>
        <v>0</v>
      </c>
      <c r="V690" s="195">
        <f t="shared" si="87"/>
        <v>0</v>
      </c>
      <c r="W690" s="196" t="e">
        <f t="shared" si="88"/>
        <v>#DIV/0!</v>
      </c>
      <c r="X690" s="197" t="e">
        <f t="shared" si="89"/>
        <v>#DIV/0!</v>
      </c>
      <c r="AG690" s="219" t="s">
        <v>1721</v>
      </c>
    </row>
    <row r="691" ht="11.4" customHeight="1" spans="1:34">
      <c r="A691" s="184" t="s">
        <v>2073</v>
      </c>
      <c r="B691" s="184" t="s">
        <v>145</v>
      </c>
      <c r="C691" s="184" t="s">
        <v>2074</v>
      </c>
      <c r="D691" s="185" t="s">
        <v>522</v>
      </c>
      <c r="E691" s="186" t="s">
        <v>906</v>
      </c>
      <c r="F691" s="186" t="s">
        <v>907</v>
      </c>
      <c r="G691" s="186" t="s">
        <v>2075</v>
      </c>
      <c r="H691" s="186" t="s">
        <v>2076</v>
      </c>
      <c r="I691" s="187" t="s">
        <v>2123</v>
      </c>
      <c r="J691" s="187" t="s">
        <v>2124</v>
      </c>
      <c r="K691" s="188"/>
      <c r="L691" s="188"/>
      <c r="M691" s="189" t="s">
        <v>1018</v>
      </c>
      <c r="N691" s="190">
        <v>8.4</v>
      </c>
      <c r="O691" s="190">
        <f t="shared" si="82"/>
        <v>9.16</v>
      </c>
      <c r="P691" s="191">
        <f t="shared" si="83"/>
        <v>0</v>
      </c>
      <c r="Q691" s="192">
        <f t="shared" si="84"/>
        <v>0</v>
      </c>
      <c r="R691" s="193"/>
      <c r="S691" s="194"/>
      <c r="T691" s="195">
        <f t="shared" si="85"/>
        <v>0</v>
      </c>
      <c r="U691" s="195">
        <f t="shared" si="86"/>
        <v>0</v>
      </c>
      <c r="V691" s="195">
        <f t="shared" si="87"/>
        <v>0</v>
      </c>
      <c r="W691" s="196" t="e">
        <f t="shared" si="88"/>
        <v>#DIV/0!</v>
      </c>
      <c r="X691" s="197" t="e">
        <f t="shared" si="89"/>
        <v>#DIV/0!</v>
      </c>
      <c r="AG691" s="219" t="s">
        <v>1721</v>
      </c>
    </row>
    <row r="692" ht="11.4" customHeight="1" spans="1:34">
      <c r="A692" s="184" t="s">
        <v>2073</v>
      </c>
      <c r="B692" s="184" t="s">
        <v>145</v>
      </c>
      <c r="C692" s="184" t="s">
        <v>2074</v>
      </c>
      <c r="D692" s="185" t="s">
        <v>522</v>
      </c>
      <c r="E692" s="186" t="s">
        <v>906</v>
      </c>
      <c r="F692" s="186" t="s">
        <v>907</v>
      </c>
      <c r="G692" s="186" t="s">
        <v>2075</v>
      </c>
      <c r="H692" s="186" t="s">
        <v>2076</v>
      </c>
      <c r="I692" s="187" t="s">
        <v>2125</v>
      </c>
      <c r="J692" s="187" t="s">
        <v>2126</v>
      </c>
      <c r="K692" s="188"/>
      <c r="L692" s="188"/>
      <c r="M692" s="189" t="s">
        <v>1018</v>
      </c>
      <c r="N692" s="190">
        <v>119.7</v>
      </c>
      <c r="O692" s="190">
        <f t="shared" si="82"/>
        <v>130.47</v>
      </c>
      <c r="P692" s="191">
        <f t="shared" si="83"/>
        <v>0</v>
      </c>
      <c r="Q692" s="192">
        <f t="shared" si="84"/>
        <v>0</v>
      </c>
      <c r="R692" s="193"/>
      <c r="S692" s="194"/>
      <c r="T692" s="195">
        <f t="shared" si="85"/>
        <v>0</v>
      </c>
      <c r="U692" s="195">
        <f t="shared" si="86"/>
        <v>0</v>
      </c>
      <c r="V692" s="195">
        <f t="shared" si="87"/>
        <v>0</v>
      </c>
      <c r="W692" s="196" t="e">
        <f t="shared" si="88"/>
        <v>#DIV/0!</v>
      </c>
      <c r="X692" s="197" t="e">
        <f t="shared" si="89"/>
        <v>#DIV/0!</v>
      </c>
      <c r="AH692" s="219" t="s">
        <v>1903</v>
      </c>
    </row>
    <row r="693" ht="11.4" customHeight="1" spans="1:34">
      <c r="A693" s="184" t="s">
        <v>2073</v>
      </c>
      <c r="B693" s="184" t="s">
        <v>145</v>
      </c>
      <c r="C693" s="184" t="s">
        <v>2074</v>
      </c>
      <c r="D693" s="185" t="s">
        <v>522</v>
      </c>
      <c r="E693" s="186" t="s">
        <v>906</v>
      </c>
      <c r="F693" s="186" t="s">
        <v>907</v>
      </c>
      <c r="G693" s="186" t="s">
        <v>2075</v>
      </c>
      <c r="H693" s="186" t="s">
        <v>2076</v>
      </c>
      <c r="I693" s="187" t="s">
        <v>2127</v>
      </c>
      <c r="J693" s="187" t="s">
        <v>2128</v>
      </c>
      <c r="K693" s="188"/>
      <c r="L693" s="188"/>
      <c r="M693" s="189" t="s">
        <v>1018</v>
      </c>
      <c r="N693" s="190">
        <v>28.35</v>
      </c>
      <c r="O693" s="190">
        <f t="shared" si="82"/>
        <v>30.9</v>
      </c>
      <c r="P693" s="191">
        <f t="shared" si="83"/>
        <v>0</v>
      </c>
      <c r="Q693" s="192">
        <f t="shared" si="84"/>
        <v>0</v>
      </c>
      <c r="R693" s="193"/>
      <c r="S693" s="194"/>
      <c r="T693" s="195">
        <f t="shared" si="85"/>
        <v>0</v>
      </c>
      <c r="U693" s="195">
        <f t="shared" si="86"/>
        <v>0</v>
      </c>
      <c r="V693" s="195">
        <f t="shared" si="87"/>
        <v>0</v>
      </c>
      <c r="W693" s="196" t="e">
        <f t="shared" si="88"/>
        <v>#DIV/0!</v>
      </c>
      <c r="X693" s="197" t="e">
        <f t="shared" si="89"/>
        <v>#DIV/0!</v>
      </c>
      <c r="AG693" s="219" t="s">
        <v>990</v>
      </c>
    </row>
    <row r="694" ht="11.4" customHeight="1" spans="1:34">
      <c r="A694" s="184" t="s">
        <v>2073</v>
      </c>
      <c r="B694" s="184" t="s">
        <v>145</v>
      </c>
      <c r="C694" s="184" t="s">
        <v>2074</v>
      </c>
      <c r="D694" s="185" t="s">
        <v>522</v>
      </c>
      <c r="E694" s="186" t="s">
        <v>906</v>
      </c>
      <c r="F694" s="186" t="s">
        <v>907</v>
      </c>
      <c r="G694" s="186" t="s">
        <v>2075</v>
      </c>
      <c r="H694" s="186" t="s">
        <v>2076</v>
      </c>
      <c r="I694" s="187" t="s">
        <v>2129</v>
      </c>
      <c r="J694" s="187" t="s">
        <v>2130</v>
      </c>
      <c r="K694" s="188"/>
      <c r="L694" s="188"/>
      <c r="M694" s="189" t="s">
        <v>1018</v>
      </c>
      <c r="N694" s="190">
        <v>102.9</v>
      </c>
      <c r="O694" s="190">
        <f t="shared" si="82"/>
        <v>112.16</v>
      </c>
      <c r="P694" s="191">
        <f t="shared" si="83"/>
        <v>0</v>
      </c>
      <c r="Q694" s="192">
        <f t="shared" si="84"/>
        <v>0</v>
      </c>
      <c r="R694" s="193"/>
      <c r="S694" s="194"/>
      <c r="T694" s="195">
        <f t="shared" si="85"/>
        <v>0</v>
      </c>
      <c r="U694" s="195">
        <f t="shared" si="86"/>
        <v>0</v>
      </c>
      <c r="V694" s="195">
        <f t="shared" si="87"/>
        <v>0</v>
      </c>
      <c r="W694" s="196" t="e">
        <f t="shared" si="88"/>
        <v>#DIV/0!</v>
      </c>
      <c r="X694" s="197" t="e">
        <f t="shared" si="89"/>
        <v>#DIV/0!</v>
      </c>
      <c r="AG694" s="219" t="s">
        <v>990</v>
      </c>
    </row>
    <row r="695" ht="11.4" customHeight="1" spans="1:34">
      <c r="A695" s="184" t="s">
        <v>2073</v>
      </c>
      <c r="B695" s="184" t="s">
        <v>145</v>
      </c>
      <c r="C695" s="184" t="s">
        <v>2074</v>
      </c>
      <c r="D695" s="185" t="s">
        <v>522</v>
      </c>
      <c r="E695" s="186" t="s">
        <v>906</v>
      </c>
      <c r="F695" s="186" t="s">
        <v>907</v>
      </c>
      <c r="G695" s="186" t="s">
        <v>2075</v>
      </c>
      <c r="H695" s="186" t="s">
        <v>2076</v>
      </c>
      <c r="I695" s="187" t="s">
        <v>2131</v>
      </c>
      <c r="J695" s="187" t="s">
        <v>2132</v>
      </c>
      <c r="K695" s="188"/>
      <c r="L695" s="188"/>
      <c r="M695" s="189" t="s">
        <v>1018</v>
      </c>
      <c r="N695" s="190">
        <v>176.4</v>
      </c>
      <c r="O695" s="190">
        <f t="shared" si="82"/>
        <v>192.28</v>
      </c>
      <c r="P695" s="191">
        <f t="shared" si="83"/>
        <v>0</v>
      </c>
      <c r="Q695" s="192">
        <f t="shared" si="84"/>
        <v>0</v>
      </c>
      <c r="R695" s="193"/>
      <c r="S695" s="194"/>
      <c r="T695" s="195">
        <f t="shared" si="85"/>
        <v>0</v>
      </c>
      <c r="U695" s="195">
        <f t="shared" si="86"/>
        <v>0</v>
      </c>
      <c r="V695" s="195">
        <f t="shared" si="87"/>
        <v>0</v>
      </c>
      <c r="W695" s="196" t="e">
        <f t="shared" si="88"/>
        <v>#DIV/0!</v>
      </c>
      <c r="X695" s="197" t="e">
        <f t="shared" si="89"/>
        <v>#DIV/0!</v>
      </c>
      <c r="AG695" s="219" t="s">
        <v>990</v>
      </c>
    </row>
    <row r="696" ht="11.4" customHeight="1" spans="1:34">
      <c r="A696" s="184" t="s">
        <v>2073</v>
      </c>
      <c r="B696" s="184" t="s">
        <v>145</v>
      </c>
      <c r="C696" s="184" t="s">
        <v>2074</v>
      </c>
      <c r="D696" s="185" t="s">
        <v>522</v>
      </c>
      <c r="E696" s="186" t="s">
        <v>906</v>
      </c>
      <c r="F696" s="186" t="s">
        <v>907</v>
      </c>
      <c r="G696" s="186" t="s">
        <v>2075</v>
      </c>
      <c r="H696" s="186" t="s">
        <v>2076</v>
      </c>
      <c r="I696" s="187" t="s">
        <v>2133</v>
      </c>
      <c r="J696" s="187" t="s">
        <v>2134</v>
      </c>
      <c r="K696" s="188"/>
      <c r="L696" s="188"/>
      <c r="M696" s="189" t="s">
        <v>1018</v>
      </c>
      <c r="N696" s="190">
        <v>176.4</v>
      </c>
      <c r="O696" s="190">
        <f t="shared" si="82"/>
        <v>192.28</v>
      </c>
      <c r="P696" s="191">
        <f t="shared" si="83"/>
        <v>0</v>
      </c>
      <c r="Q696" s="192">
        <f t="shared" si="84"/>
        <v>0</v>
      </c>
      <c r="R696" s="193"/>
      <c r="S696" s="194"/>
      <c r="T696" s="195">
        <f t="shared" si="85"/>
        <v>0</v>
      </c>
      <c r="U696" s="195">
        <f t="shared" si="86"/>
        <v>0</v>
      </c>
      <c r="V696" s="195">
        <f t="shared" si="87"/>
        <v>0</v>
      </c>
      <c r="W696" s="196" t="e">
        <f t="shared" si="88"/>
        <v>#DIV/0!</v>
      </c>
      <c r="X696" s="197" t="e">
        <f t="shared" si="89"/>
        <v>#DIV/0!</v>
      </c>
      <c r="AG696" s="219" t="s">
        <v>990</v>
      </c>
    </row>
    <row r="697" ht="11.4" customHeight="1" spans="1:34">
      <c r="A697" s="184" t="s">
        <v>2073</v>
      </c>
      <c r="B697" s="184" t="s">
        <v>145</v>
      </c>
      <c r="C697" s="184" t="s">
        <v>2074</v>
      </c>
      <c r="D697" s="185" t="s">
        <v>522</v>
      </c>
      <c r="E697" s="186" t="s">
        <v>906</v>
      </c>
      <c r="F697" s="186" t="s">
        <v>907</v>
      </c>
      <c r="G697" s="186" t="s">
        <v>2075</v>
      </c>
      <c r="H697" s="186" t="s">
        <v>2076</v>
      </c>
      <c r="I697" s="187" t="s">
        <v>2135</v>
      </c>
      <c r="J697" s="187" t="s">
        <v>2136</v>
      </c>
      <c r="K697" s="188"/>
      <c r="L697" s="188"/>
      <c r="M697" s="189" t="s">
        <v>1018</v>
      </c>
      <c r="N697" s="190">
        <v>97.65</v>
      </c>
      <c r="O697" s="190">
        <f t="shared" si="82"/>
        <v>106.44</v>
      </c>
      <c r="P697" s="191">
        <f t="shared" si="83"/>
        <v>0</v>
      </c>
      <c r="Q697" s="192">
        <f t="shared" si="84"/>
        <v>0</v>
      </c>
      <c r="R697" s="193"/>
      <c r="S697" s="194"/>
      <c r="T697" s="195">
        <f t="shared" si="85"/>
        <v>0</v>
      </c>
      <c r="U697" s="195">
        <f t="shared" si="86"/>
        <v>0</v>
      </c>
      <c r="V697" s="195">
        <f t="shared" si="87"/>
        <v>0</v>
      </c>
      <c r="W697" s="196" t="e">
        <f t="shared" si="88"/>
        <v>#DIV/0!</v>
      </c>
      <c r="X697" s="197" t="e">
        <f t="shared" si="89"/>
        <v>#DIV/0!</v>
      </c>
      <c r="AG697" s="219" t="s">
        <v>990</v>
      </c>
    </row>
    <row r="698" ht="11.4" customHeight="1" spans="1:34">
      <c r="A698" s="184" t="s">
        <v>2073</v>
      </c>
      <c r="B698" s="184" t="s">
        <v>145</v>
      </c>
      <c r="C698" s="184" t="s">
        <v>2074</v>
      </c>
      <c r="D698" s="185" t="s">
        <v>522</v>
      </c>
      <c r="E698" s="186" t="s">
        <v>906</v>
      </c>
      <c r="F698" s="186" t="s">
        <v>907</v>
      </c>
      <c r="G698" s="186" t="s">
        <v>2075</v>
      </c>
      <c r="H698" s="186" t="s">
        <v>2076</v>
      </c>
      <c r="I698" s="187" t="s">
        <v>2137</v>
      </c>
      <c r="J698" s="187" t="s">
        <v>2138</v>
      </c>
      <c r="K698" s="188"/>
      <c r="L698" s="188"/>
      <c r="M698" s="189" t="s">
        <v>807</v>
      </c>
      <c r="N698" s="190">
        <v>46.2</v>
      </c>
      <c r="O698" s="190">
        <f t="shared" si="82"/>
        <v>50.36</v>
      </c>
      <c r="P698" s="191">
        <f t="shared" si="83"/>
        <v>0</v>
      </c>
      <c r="Q698" s="192">
        <f t="shared" si="84"/>
        <v>0</v>
      </c>
      <c r="R698" s="193"/>
      <c r="S698" s="194"/>
      <c r="T698" s="195">
        <f t="shared" si="85"/>
        <v>0</v>
      </c>
      <c r="U698" s="195">
        <f t="shared" si="86"/>
        <v>0</v>
      </c>
      <c r="V698" s="195">
        <f t="shared" si="87"/>
        <v>0</v>
      </c>
      <c r="W698" s="196" t="e">
        <f t="shared" si="88"/>
        <v>#DIV/0!</v>
      </c>
      <c r="X698" s="197" t="e">
        <f t="shared" si="89"/>
        <v>#DIV/0!</v>
      </c>
      <c r="AH698" s="219" t="s">
        <v>1903</v>
      </c>
    </row>
    <row r="699" ht="11.4" customHeight="1" spans="1:34">
      <c r="A699" s="184" t="s">
        <v>2073</v>
      </c>
      <c r="B699" s="184" t="s">
        <v>145</v>
      </c>
      <c r="C699" s="184" t="s">
        <v>2074</v>
      </c>
      <c r="D699" s="185" t="s">
        <v>522</v>
      </c>
      <c r="E699" s="186" t="s">
        <v>906</v>
      </c>
      <c r="F699" s="186" t="s">
        <v>907</v>
      </c>
      <c r="G699" s="186" t="s">
        <v>2139</v>
      </c>
      <c r="H699" s="186" t="s">
        <v>2076</v>
      </c>
      <c r="I699" s="187" t="s">
        <v>2140</v>
      </c>
      <c r="J699" s="187" t="s">
        <v>2141</v>
      </c>
      <c r="K699" s="188"/>
      <c r="L699" s="188"/>
      <c r="M699" s="189" t="s">
        <v>1018</v>
      </c>
      <c r="N699" s="190">
        <v>36.75</v>
      </c>
      <c r="O699" s="190">
        <f t="shared" si="82"/>
        <v>40.06</v>
      </c>
      <c r="P699" s="191">
        <f t="shared" si="83"/>
        <v>0</v>
      </c>
      <c r="Q699" s="192">
        <f t="shared" si="84"/>
        <v>0</v>
      </c>
      <c r="R699" s="193"/>
      <c r="S699" s="194"/>
      <c r="T699" s="195">
        <f t="shared" si="85"/>
        <v>0</v>
      </c>
      <c r="U699" s="195">
        <f t="shared" si="86"/>
        <v>0</v>
      </c>
      <c r="V699" s="195">
        <f t="shared" si="87"/>
        <v>0</v>
      </c>
      <c r="W699" s="196" t="e">
        <f t="shared" si="88"/>
        <v>#DIV/0!</v>
      </c>
      <c r="X699" s="197" t="e">
        <f t="shared" si="89"/>
        <v>#DIV/0!</v>
      </c>
    </row>
    <row r="700" ht="11.4" customHeight="1" spans="1:34">
      <c r="A700" s="184" t="s">
        <v>2073</v>
      </c>
      <c r="B700" s="184" t="s">
        <v>145</v>
      </c>
      <c r="C700" s="184" t="s">
        <v>2074</v>
      </c>
      <c r="D700" s="185" t="s">
        <v>522</v>
      </c>
      <c r="E700" s="186" t="s">
        <v>906</v>
      </c>
      <c r="F700" s="186" t="s">
        <v>907</v>
      </c>
      <c r="G700" s="186" t="s">
        <v>2075</v>
      </c>
      <c r="H700" s="186" t="s">
        <v>2076</v>
      </c>
      <c r="I700" s="187" t="s">
        <v>2142</v>
      </c>
      <c r="J700" s="187" t="s">
        <v>2143</v>
      </c>
      <c r="K700" s="188"/>
      <c r="L700" s="188"/>
      <c r="M700" s="189" t="s">
        <v>1018</v>
      </c>
      <c r="N700" s="190">
        <v>92.4</v>
      </c>
      <c r="O700" s="190">
        <f t="shared" si="82"/>
        <v>100.72</v>
      </c>
      <c r="P700" s="191">
        <f t="shared" si="83"/>
        <v>0</v>
      </c>
      <c r="Q700" s="192">
        <f t="shared" si="84"/>
        <v>0</v>
      </c>
      <c r="R700" s="193"/>
      <c r="S700" s="194"/>
      <c r="T700" s="195">
        <f t="shared" si="85"/>
        <v>0</v>
      </c>
      <c r="U700" s="195">
        <f t="shared" si="86"/>
        <v>0</v>
      </c>
      <c r="V700" s="195">
        <f t="shared" si="87"/>
        <v>0</v>
      </c>
      <c r="W700" s="196" t="e">
        <f t="shared" si="88"/>
        <v>#DIV/0!</v>
      </c>
      <c r="X700" s="197" t="e">
        <f t="shared" si="89"/>
        <v>#DIV/0!</v>
      </c>
      <c r="AG700" s="219" t="s">
        <v>990</v>
      </c>
    </row>
    <row r="701" ht="11.4" customHeight="1" spans="1:34">
      <c r="A701" s="184" t="s">
        <v>2073</v>
      </c>
      <c r="B701" s="184" t="s">
        <v>145</v>
      </c>
      <c r="C701" s="184" t="s">
        <v>2074</v>
      </c>
      <c r="D701" s="185" t="s">
        <v>522</v>
      </c>
      <c r="E701" s="186" t="s">
        <v>906</v>
      </c>
      <c r="F701" s="186" t="s">
        <v>907</v>
      </c>
      <c r="G701" s="186" t="s">
        <v>2075</v>
      </c>
      <c r="H701" s="186" t="s">
        <v>2076</v>
      </c>
      <c r="I701" s="187" t="s">
        <v>2144</v>
      </c>
      <c r="J701" s="187" t="s">
        <v>2145</v>
      </c>
      <c r="K701" s="188"/>
      <c r="L701" s="188"/>
      <c r="M701" s="189" t="s">
        <v>1018</v>
      </c>
      <c r="N701" s="190">
        <v>111.3</v>
      </c>
      <c r="O701" s="190">
        <f t="shared" si="82"/>
        <v>121.32</v>
      </c>
      <c r="P701" s="191">
        <f t="shared" si="83"/>
        <v>0</v>
      </c>
      <c r="Q701" s="192">
        <f t="shared" si="84"/>
        <v>0</v>
      </c>
      <c r="R701" s="193"/>
      <c r="S701" s="194"/>
      <c r="T701" s="195">
        <f t="shared" si="85"/>
        <v>0</v>
      </c>
      <c r="U701" s="195">
        <f t="shared" si="86"/>
        <v>0</v>
      </c>
      <c r="V701" s="195">
        <f t="shared" si="87"/>
        <v>0</v>
      </c>
      <c r="W701" s="196" t="e">
        <f t="shared" si="88"/>
        <v>#DIV/0!</v>
      </c>
      <c r="X701" s="197" t="e">
        <f t="shared" si="89"/>
        <v>#DIV/0!</v>
      </c>
      <c r="AG701" s="219" t="s">
        <v>990</v>
      </c>
    </row>
    <row r="702" ht="11.4" customHeight="1" spans="1:34">
      <c r="A702" s="184" t="s">
        <v>2073</v>
      </c>
      <c r="B702" s="184" t="s">
        <v>145</v>
      </c>
      <c r="C702" s="184" t="s">
        <v>2074</v>
      </c>
      <c r="D702" s="185" t="s">
        <v>522</v>
      </c>
      <c r="E702" s="186" t="s">
        <v>906</v>
      </c>
      <c r="F702" s="186" t="s">
        <v>907</v>
      </c>
      <c r="G702" s="186" t="s">
        <v>2075</v>
      </c>
      <c r="H702" s="186" t="s">
        <v>2076</v>
      </c>
      <c r="I702" s="187" t="s">
        <v>2146</v>
      </c>
      <c r="J702" s="187" t="s">
        <v>2147</v>
      </c>
      <c r="K702" s="188"/>
      <c r="L702" s="188"/>
      <c r="M702" s="189" t="s">
        <v>1018</v>
      </c>
      <c r="N702" s="190">
        <v>181.65</v>
      </c>
      <c r="O702" s="190">
        <f t="shared" si="82"/>
        <v>198</v>
      </c>
      <c r="P702" s="191">
        <f t="shared" si="83"/>
        <v>0</v>
      </c>
      <c r="Q702" s="192">
        <f t="shared" si="84"/>
        <v>0</v>
      </c>
      <c r="R702" s="193"/>
      <c r="S702" s="194"/>
      <c r="T702" s="195">
        <f t="shared" si="85"/>
        <v>0</v>
      </c>
      <c r="U702" s="195">
        <f t="shared" si="86"/>
        <v>0</v>
      </c>
      <c r="V702" s="195">
        <f t="shared" si="87"/>
        <v>0</v>
      </c>
      <c r="W702" s="196" t="e">
        <f t="shared" si="88"/>
        <v>#DIV/0!</v>
      </c>
      <c r="X702" s="197" t="e">
        <f t="shared" si="89"/>
        <v>#DIV/0!</v>
      </c>
      <c r="AG702" s="219" t="s">
        <v>990</v>
      </c>
    </row>
    <row r="703" ht="11.4" customHeight="1" spans="1:34">
      <c r="A703" s="184" t="s">
        <v>2073</v>
      </c>
      <c r="B703" s="184" t="s">
        <v>145</v>
      </c>
      <c r="C703" s="184" t="s">
        <v>2074</v>
      </c>
      <c r="D703" s="185" t="s">
        <v>522</v>
      </c>
      <c r="E703" s="186" t="s">
        <v>906</v>
      </c>
      <c r="F703" s="186" t="s">
        <v>907</v>
      </c>
      <c r="G703" s="186" t="s">
        <v>2075</v>
      </c>
      <c r="H703" s="186" t="s">
        <v>2076</v>
      </c>
      <c r="I703" s="187" t="s">
        <v>2148</v>
      </c>
      <c r="J703" s="187" t="s">
        <v>2149</v>
      </c>
      <c r="K703" s="188"/>
      <c r="L703" s="188"/>
      <c r="M703" s="189" t="s">
        <v>1018</v>
      </c>
      <c r="N703" s="190">
        <v>198.45</v>
      </c>
      <c r="O703" s="190">
        <f t="shared" si="82"/>
        <v>216.31</v>
      </c>
      <c r="P703" s="191">
        <f t="shared" si="83"/>
        <v>0</v>
      </c>
      <c r="Q703" s="192">
        <f t="shared" si="84"/>
        <v>0</v>
      </c>
      <c r="R703" s="193"/>
      <c r="S703" s="194"/>
      <c r="T703" s="195">
        <f t="shared" si="85"/>
        <v>0</v>
      </c>
      <c r="U703" s="195">
        <f t="shared" si="86"/>
        <v>0</v>
      </c>
      <c r="V703" s="195">
        <f t="shared" si="87"/>
        <v>0</v>
      </c>
      <c r="W703" s="196" t="e">
        <f t="shared" si="88"/>
        <v>#DIV/0!</v>
      </c>
      <c r="X703" s="197" t="e">
        <f t="shared" si="89"/>
        <v>#DIV/0!</v>
      </c>
      <c r="AG703" s="219" t="s">
        <v>990</v>
      </c>
    </row>
    <row r="704" ht="11.4" customHeight="1" spans="1:34">
      <c r="A704" s="184" t="s">
        <v>2073</v>
      </c>
      <c r="B704" s="184" t="s">
        <v>145</v>
      </c>
      <c r="C704" s="184" t="s">
        <v>2074</v>
      </c>
      <c r="D704" s="185" t="s">
        <v>522</v>
      </c>
      <c r="E704" s="186" t="s">
        <v>906</v>
      </c>
      <c r="F704" s="186" t="s">
        <v>907</v>
      </c>
      <c r="G704" s="186" t="s">
        <v>2075</v>
      </c>
      <c r="H704" s="186" t="s">
        <v>2076</v>
      </c>
      <c r="I704" s="187" t="s">
        <v>2150</v>
      </c>
      <c r="J704" s="187" t="s">
        <v>2151</v>
      </c>
      <c r="K704" s="188"/>
      <c r="L704" s="188"/>
      <c r="M704" s="189" t="s">
        <v>1018</v>
      </c>
      <c r="N704" s="190">
        <v>113.4</v>
      </c>
      <c r="O704" s="190">
        <f t="shared" si="82"/>
        <v>123.61</v>
      </c>
      <c r="P704" s="191">
        <f t="shared" si="83"/>
        <v>0</v>
      </c>
      <c r="Q704" s="192">
        <f t="shared" si="84"/>
        <v>0</v>
      </c>
      <c r="R704" s="193"/>
      <c r="S704" s="194"/>
      <c r="T704" s="195">
        <f t="shared" si="85"/>
        <v>0</v>
      </c>
      <c r="U704" s="195">
        <f t="shared" si="86"/>
        <v>0</v>
      </c>
      <c r="V704" s="195">
        <f t="shared" si="87"/>
        <v>0</v>
      </c>
      <c r="W704" s="196" t="e">
        <f t="shared" si="88"/>
        <v>#DIV/0!</v>
      </c>
      <c r="X704" s="197" t="e">
        <f t="shared" si="89"/>
        <v>#DIV/0!</v>
      </c>
      <c r="AG704" s="219" t="s">
        <v>990</v>
      </c>
    </row>
    <row r="705" ht="11.4" customHeight="1" spans="1:34">
      <c r="A705" s="184" t="s">
        <v>2073</v>
      </c>
      <c r="B705" s="184" t="s">
        <v>145</v>
      </c>
      <c r="C705" s="184" t="s">
        <v>2074</v>
      </c>
      <c r="D705" s="185" t="s">
        <v>522</v>
      </c>
      <c r="E705" s="186" t="s">
        <v>906</v>
      </c>
      <c r="F705" s="186" t="s">
        <v>907</v>
      </c>
      <c r="G705" s="186" t="s">
        <v>2075</v>
      </c>
      <c r="H705" s="186" t="s">
        <v>2076</v>
      </c>
      <c r="I705" s="187" t="s">
        <v>2152</v>
      </c>
      <c r="J705" s="187" t="s">
        <v>2153</v>
      </c>
      <c r="K705" s="188"/>
      <c r="L705" s="188"/>
      <c r="M705" s="189" t="s">
        <v>1018</v>
      </c>
      <c r="N705" s="190">
        <v>152.56</v>
      </c>
      <c r="O705" s="190">
        <f t="shared" si="82"/>
        <v>166.29</v>
      </c>
      <c r="P705" s="191">
        <f t="shared" si="83"/>
        <v>0</v>
      </c>
      <c r="Q705" s="192">
        <f t="shared" si="84"/>
        <v>0</v>
      </c>
      <c r="R705" s="193"/>
      <c r="S705" s="194"/>
      <c r="T705" s="195">
        <f t="shared" si="85"/>
        <v>0</v>
      </c>
      <c r="U705" s="195">
        <f t="shared" si="86"/>
        <v>0</v>
      </c>
      <c r="V705" s="195">
        <f t="shared" si="87"/>
        <v>0</v>
      </c>
      <c r="W705" s="196" t="e">
        <f t="shared" si="88"/>
        <v>#DIV/0!</v>
      </c>
      <c r="X705" s="197" t="e">
        <f t="shared" si="89"/>
        <v>#DIV/0!</v>
      </c>
      <c r="AG705" s="219" t="s">
        <v>990</v>
      </c>
    </row>
    <row r="706" ht="11.4" customHeight="1" spans="1:34">
      <c r="A706" s="184" t="s">
        <v>2073</v>
      </c>
      <c r="B706" s="184" t="s">
        <v>145</v>
      </c>
      <c r="C706" s="184" t="s">
        <v>2074</v>
      </c>
      <c r="D706" s="185" t="s">
        <v>522</v>
      </c>
      <c r="E706" s="186" t="s">
        <v>906</v>
      </c>
      <c r="F706" s="186" t="s">
        <v>907</v>
      </c>
      <c r="G706" s="186" t="s">
        <v>2075</v>
      </c>
      <c r="H706" s="186" t="s">
        <v>2076</v>
      </c>
      <c r="I706" s="187" t="s">
        <v>2154</v>
      </c>
      <c r="J706" s="187" t="s">
        <v>2155</v>
      </c>
      <c r="K706" s="188"/>
      <c r="L706" s="188"/>
      <c r="M706" s="189" t="s">
        <v>1018</v>
      </c>
      <c r="N706" s="190">
        <v>184.8</v>
      </c>
      <c r="O706" s="190">
        <f t="shared" si="82"/>
        <v>201.43</v>
      </c>
      <c r="P706" s="191">
        <f t="shared" si="83"/>
        <v>0</v>
      </c>
      <c r="Q706" s="192">
        <f t="shared" si="84"/>
        <v>0</v>
      </c>
      <c r="R706" s="193"/>
      <c r="S706" s="194"/>
      <c r="T706" s="195">
        <f t="shared" si="85"/>
        <v>0</v>
      </c>
      <c r="U706" s="195">
        <f t="shared" si="86"/>
        <v>0</v>
      </c>
      <c r="V706" s="195">
        <f t="shared" si="87"/>
        <v>0</v>
      </c>
      <c r="W706" s="196" t="e">
        <f t="shared" si="88"/>
        <v>#DIV/0!</v>
      </c>
      <c r="X706" s="197" t="e">
        <f t="shared" si="89"/>
        <v>#DIV/0!</v>
      </c>
      <c r="AG706" s="219" t="s">
        <v>990</v>
      </c>
    </row>
    <row r="707" ht="11.4" customHeight="1" spans="1:34">
      <c r="A707" s="184" t="s">
        <v>2073</v>
      </c>
      <c r="B707" s="184" t="s">
        <v>145</v>
      </c>
      <c r="C707" s="184" t="s">
        <v>2074</v>
      </c>
      <c r="D707" s="185" t="s">
        <v>522</v>
      </c>
      <c r="E707" s="186" t="s">
        <v>906</v>
      </c>
      <c r="F707" s="186" t="s">
        <v>907</v>
      </c>
      <c r="G707" s="186" t="s">
        <v>2075</v>
      </c>
      <c r="H707" s="186" t="s">
        <v>2076</v>
      </c>
      <c r="I707" s="187" t="s">
        <v>2156</v>
      </c>
      <c r="J707" s="187" t="s">
        <v>2157</v>
      </c>
      <c r="K707" s="188"/>
      <c r="L707" s="188"/>
      <c r="M707" s="189" t="s">
        <v>1018</v>
      </c>
      <c r="N707" s="190">
        <v>89.25</v>
      </c>
      <c r="O707" s="190">
        <f t="shared" si="82"/>
        <v>97.28</v>
      </c>
      <c r="P707" s="191">
        <f t="shared" si="83"/>
        <v>0</v>
      </c>
      <c r="Q707" s="192">
        <f t="shared" si="84"/>
        <v>0</v>
      </c>
      <c r="R707" s="193"/>
      <c r="S707" s="194"/>
      <c r="T707" s="195">
        <f t="shared" si="85"/>
        <v>0</v>
      </c>
      <c r="U707" s="195">
        <f t="shared" si="86"/>
        <v>0</v>
      </c>
      <c r="V707" s="195">
        <f t="shared" si="87"/>
        <v>0</v>
      </c>
      <c r="W707" s="196" t="e">
        <f t="shared" si="88"/>
        <v>#DIV/0!</v>
      </c>
      <c r="X707" s="197" t="e">
        <f t="shared" si="89"/>
        <v>#DIV/0!</v>
      </c>
      <c r="AG707" s="219" t="s">
        <v>990</v>
      </c>
    </row>
    <row r="708" ht="11.4" customHeight="1" spans="1:34">
      <c r="A708" s="184" t="s">
        <v>2073</v>
      </c>
      <c r="B708" s="184" t="s">
        <v>145</v>
      </c>
      <c r="C708" s="184" t="s">
        <v>2074</v>
      </c>
      <c r="D708" s="185" t="s">
        <v>522</v>
      </c>
      <c r="E708" s="186" t="s">
        <v>906</v>
      </c>
      <c r="F708" s="186" t="s">
        <v>907</v>
      </c>
      <c r="G708" s="186" t="s">
        <v>2075</v>
      </c>
      <c r="H708" s="186" t="s">
        <v>2076</v>
      </c>
      <c r="I708" s="187" t="s">
        <v>2158</v>
      </c>
      <c r="J708" s="187" t="s">
        <v>2159</v>
      </c>
      <c r="K708" s="188"/>
      <c r="L708" s="188"/>
      <c r="M708" s="189" t="s">
        <v>1018</v>
      </c>
      <c r="N708" s="190">
        <v>159.74</v>
      </c>
      <c r="O708" s="190">
        <f t="shared" si="82"/>
        <v>174.12</v>
      </c>
      <c r="P708" s="191">
        <f t="shared" si="83"/>
        <v>0</v>
      </c>
      <c r="Q708" s="192">
        <f t="shared" si="84"/>
        <v>0</v>
      </c>
      <c r="R708" s="193"/>
      <c r="S708" s="194"/>
      <c r="T708" s="195">
        <f t="shared" si="85"/>
        <v>0</v>
      </c>
      <c r="U708" s="195">
        <f t="shared" si="86"/>
        <v>0</v>
      </c>
      <c r="V708" s="195">
        <f t="shared" si="87"/>
        <v>0</v>
      </c>
      <c r="W708" s="196" t="e">
        <f t="shared" si="88"/>
        <v>#DIV/0!</v>
      </c>
      <c r="X708" s="197" t="e">
        <f t="shared" si="89"/>
        <v>#DIV/0!</v>
      </c>
      <c r="AG708" s="219" t="s">
        <v>990</v>
      </c>
    </row>
    <row r="709" ht="11.4" customHeight="1" spans="1:34">
      <c r="A709" s="184" t="s">
        <v>2073</v>
      </c>
      <c r="B709" s="184" t="s">
        <v>145</v>
      </c>
      <c r="C709" s="184" t="s">
        <v>2074</v>
      </c>
      <c r="D709" s="185" t="s">
        <v>522</v>
      </c>
      <c r="E709" s="186" t="s">
        <v>906</v>
      </c>
      <c r="F709" s="186" t="s">
        <v>907</v>
      </c>
      <c r="G709" s="186" t="s">
        <v>2075</v>
      </c>
      <c r="H709" s="186" t="s">
        <v>2076</v>
      </c>
      <c r="I709" s="187" t="s">
        <v>2160</v>
      </c>
      <c r="J709" s="187" t="s">
        <v>2161</v>
      </c>
      <c r="K709" s="188"/>
      <c r="L709" s="188"/>
      <c r="M709" s="189" t="s">
        <v>1018</v>
      </c>
      <c r="N709" s="190">
        <v>346.5</v>
      </c>
      <c r="O709" s="190">
        <f t="shared" si="82"/>
        <v>377.69</v>
      </c>
      <c r="P709" s="191">
        <f t="shared" si="83"/>
        <v>0</v>
      </c>
      <c r="Q709" s="192">
        <f t="shared" si="84"/>
        <v>0</v>
      </c>
      <c r="R709" s="193"/>
      <c r="S709" s="194"/>
      <c r="T709" s="195">
        <f t="shared" si="85"/>
        <v>0</v>
      </c>
      <c r="U709" s="195">
        <f t="shared" si="86"/>
        <v>0</v>
      </c>
      <c r="V709" s="195">
        <f t="shared" si="87"/>
        <v>0</v>
      </c>
      <c r="W709" s="196" t="e">
        <f t="shared" si="88"/>
        <v>#DIV/0!</v>
      </c>
      <c r="X709" s="197" t="e">
        <f t="shared" si="89"/>
        <v>#DIV/0!</v>
      </c>
      <c r="AG709" s="219" t="s">
        <v>990</v>
      </c>
    </row>
    <row r="710" ht="11.4" customHeight="1" spans="1:34">
      <c r="A710" s="184" t="s">
        <v>2073</v>
      </c>
      <c r="B710" s="184" t="s">
        <v>145</v>
      </c>
      <c r="C710" s="184" t="s">
        <v>2074</v>
      </c>
      <c r="D710" s="185" t="s">
        <v>522</v>
      </c>
      <c r="E710" s="186" t="s">
        <v>906</v>
      </c>
      <c r="F710" s="186" t="s">
        <v>907</v>
      </c>
      <c r="G710" s="186" t="s">
        <v>2075</v>
      </c>
      <c r="H710" s="186" t="s">
        <v>2076</v>
      </c>
      <c r="I710" s="187" t="s">
        <v>2162</v>
      </c>
      <c r="J710" s="187" t="s">
        <v>2163</v>
      </c>
      <c r="K710" s="188"/>
      <c r="L710" s="188"/>
      <c r="M710" s="189" t="s">
        <v>1018</v>
      </c>
      <c r="N710" s="190">
        <v>181.65</v>
      </c>
      <c r="O710" s="190">
        <f t="shared" si="82"/>
        <v>198</v>
      </c>
      <c r="P710" s="191">
        <f t="shared" si="83"/>
        <v>0</v>
      </c>
      <c r="Q710" s="192">
        <f t="shared" si="84"/>
        <v>0</v>
      </c>
      <c r="R710" s="193"/>
      <c r="S710" s="194"/>
      <c r="T710" s="195">
        <f t="shared" si="85"/>
        <v>0</v>
      </c>
      <c r="U710" s="195">
        <f t="shared" si="86"/>
        <v>0</v>
      </c>
      <c r="V710" s="195">
        <f t="shared" si="87"/>
        <v>0</v>
      </c>
      <c r="W710" s="196" t="e">
        <f t="shared" si="88"/>
        <v>#DIV/0!</v>
      </c>
      <c r="X710" s="197" t="e">
        <f t="shared" si="89"/>
        <v>#DIV/0!</v>
      </c>
      <c r="AG710" s="219" t="s">
        <v>990</v>
      </c>
    </row>
    <row r="711" ht="11.4" customHeight="1" spans="1:34">
      <c r="A711" s="184" t="s">
        <v>2073</v>
      </c>
      <c r="B711" s="184" t="s">
        <v>145</v>
      </c>
      <c r="C711" s="184" t="s">
        <v>2074</v>
      </c>
      <c r="D711" s="185" t="s">
        <v>522</v>
      </c>
      <c r="E711" s="186" t="s">
        <v>906</v>
      </c>
      <c r="F711" s="186" t="s">
        <v>907</v>
      </c>
      <c r="G711" s="186" t="s">
        <v>2075</v>
      </c>
      <c r="H711" s="186" t="s">
        <v>2076</v>
      </c>
      <c r="I711" s="187" t="s">
        <v>2164</v>
      </c>
      <c r="J711" s="187" t="s">
        <v>2165</v>
      </c>
      <c r="K711" s="188"/>
      <c r="L711" s="188"/>
      <c r="M711" s="189" t="s">
        <v>1018</v>
      </c>
      <c r="N711" s="190">
        <v>149.1</v>
      </c>
      <c r="O711" s="190">
        <f t="shared" si="82"/>
        <v>162.52</v>
      </c>
      <c r="P711" s="191">
        <f t="shared" si="83"/>
        <v>0</v>
      </c>
      <c r="Q711" s="192">
        <f t="shared" si="84"/>
        <v>0</v>
      </c>
      <c r="R711" s="193"/>
      <c r="S711" s="194"/>
      <c r="T711" s="195">
        <f t="shared" si="85"/>
        <v>0</v>
      </c>
      <c r="U711" s="195">
        <f t="shared" si="86"/>
        <v>0</v>
      </c>
      <c r="V711" s="195">
        <f t="shared" si="87"/>
        <v>0</v>
      </c>
      <c r="W711" s="196" t="e">
        <f t="shared" si="88"/>
        <v>#DIV/0!</v>
      </c>
      <c r="X711" s="197" t="e">
        <f t="shared" si="89"/>
        <v>#DIV/0!</v>
      </c>
      <c r="AG711" s="219" t="s">
        <v>990</v>
      </c>
    </row>
    <row r="712" ht="11.4" customHeight="1" spans="1:34">
      <c r="A712" s="184" t="s">
        <v>2073</v>
      </c>
      <c r="B712" s="184" t="s">
        <v>145</v>
      </c>
      <c r="C712" s="184" t="s">
        <v>2074</v>
      </c>
      <c r="D712" s="185" t="s">
        <v>522</v>
      </c>
      <c r="E712" s="186" t="s">
        <v>906</v>
      </c>
      <c r="F712" s="186" t="s">
        <v>907</v>
      </c>
      <c r="G712" s="186" t="s">
        <v>2075</v>
      </c>
      <c r="H712" s="186" t="s">
        <v>2076</v>
      </c>
      <c r="I712" s="187" t="s">
        <v>2166</v>
      </c>
      <c r="J712" s="187" t="s">
        <v>2167</v>
      </c>
      <c r="K712" s="188"/>
      <c r="L712" s="188"/>
      <c r="M712" s="189" t="s">
        <v>1018</v>
      </c>
      <c r="N712" s="190">
        <v>113.4</v>
      </c>
      <c r="O712" s="190">
        <f t="shared" si="82"/>
        <v>123.61</v>
      </c>
      <c r="P712" s="191">
        <f t="shared" si="83"/>
        <v>0</v>
      </c>
      <c r="Q712" s="192">
        <f t="shared" si="84"/>
        <v>0</v>
      </c>
      <c r="R712" s="193"/>
      <c r="S712" s="194"/>
      <c r="T712" s="195">
        <f t="shared" si="85"/>
        <v>0</v>
      </c>
      <c r="U712" s="195">
        <f t="shared" si="86"/>
        <v>0</v>
      </c>
      <c r="V712" s="195">
        <f t="shared" si="87"/>
        <v>0</v>
      </c>
      <c r="W712" s="196" t="e">
        <f t="shared" si="88"/>
        <v>#DIV/0!</v>
      </c>
      <c r="X712" s="197" t="e">
        <f t="shared" si="89"/>
        <v>#DIV/0!</v>
      </c>
      <c r="AG712" s="219" t="s">
        <v>990</v>
      </c>
    </row>
    <row r="713" ht="11.4" customHeight="1" spans="1:34">
      <c r="A713" s="184" t="s">
        <v>2073</v>
      </c>
      <c r="B713" s="184" t="s">
        <v>145</v>
      </c>
      <c r="C713" s="184" t="s">
        <v>2074</v>
      </c>
      <c r="D713" s="185" t="s">
        <v>522</v>
      </c>
      <c r="E713" s="186" t="s">
        <v>906</v>
      </c>
      <c r="F713" s="186" t="s">
        <v>907</v>
      </c>
      <c r="G713" s="186" t="s">
        <v>2075</v>
      </c>
      <c r="H713" s="186" t="s">
        <v>2076</v>
      </c>
      <c r="I713" s="187" t="s">
        <v>2168</v>
      </c>
      <c r="J713" s="187" t="s">
        <v>2169</v>
      </c>
      <c r="K713" s="188"/>
      <c r="L713" s="188"/>
      <c r="M713" s="189" t="s">
        <v>1018</v>
      </c>
      <c r="N713" s="190">
        <v>483</v>
      </c>
      <c r="O713" s="190">
        <f t="shared" si="82"/>
        <v>526.47</v>
      </c>
      <c r="P713" s="191">
        <f t="shared" si="83"/>
        <v>0</v>
      </c>
      <c r="Q713" s="192">
        <f t="shared" si="84"/>
        <v>0</v>
      </c>
      <c r="R713" s="193"/>
      <c r="S713" s="194"/>
      <c r="T713" s="195">
        <f t="shared" si="85"/>
        <v>0</v>
      </c>
      <c r="U713" s="195">
        <f t="shared" si="86"/>
        <v>0</v>
      </c>
      <c r="V713" s="195">
        <f t="shared" si="87"/>
        <v>0</v>
      </c>
      <c r="W713" s="196" t="e">
        <f t="shared" si="88"/>
        <v>#DIV/0!</v>
      </c>
      <c r="X713" s="197" t="e">
        <f t="shared" si="89"/>
        <v>#DIV/0!</v>
      </c>
      <c r="AG713" s="219" t="s">
        <v>990</v>
      </c>
    </row>
    <row r="714" ht="11.4" customHeight="1" spans="1:34">
      <c r="A714" s="184" t="s">
        <v>2073</v>
      </c>
      <c r="B714" s="184" t="s">
        <v>145</v>
      </c>
      <c r="C714" s="184" t="s">
        <v>2074</v>
      </c>
      <c r="D714" s="185" t="s">
        <v>522</v>
      </c>
      <c r="E714" s="186" t="s">
        <v>906</v>
      </c>
      <c r="F714" s="186" t="s">
        <v>907</v>
      </c>
      <c r="G714" s="186" t="s">
        <v>2075</v>
      </c>
      <c r="H714" s="186" t="s">
        <v>2076</v>
      </c>
      <c r="I714" s="187" t="s">
        <v>2170</v>
      </c>
      <c r="J714" s="187" t="s">
        <v>2171</v>
      </c>
      <c r="K714" s="188"/>
      <c r="L714" s="188"/>
      <c r="M714" s="189" t="s">
        <v>1018</v>
      </c>
      <c r="N714" s="190">
        <v>367.5</v>
      </c>
      <c r="O714" s="190">
        <f t="shared" si="82"/>
        <v>400.58</v>
      </c>
      <c r="P714" s="191">
        <f t="shared" si="83"/>
        <v>0</v>
      </c>
      <c r="Q714" s="192">
        <f t="shared" si="84"/>
        <v>0</v>
      </c>
      <c r="R714" s="193"/>
      <c r="S714" s="194"/>
      <c r="T714" s="195">
        <f t="shared" si="85"/>
        <v>0</v>
      </c>
      <c r="U714" s="195">
        <f t="shared" si="86"/>
        <v>0</v>
      </c>
      <c r="V714" s="195">
        <f t="shared" si="87"/>
        <v>0</v>
      </c>
      <c r="W714" s="196" t="e">
        <f t="shared" si="88"/>
        <v>#DIV/0!</v>
      </c>
      <c r="X714" s="197" t="e">
        <f t="shared" si="89"/>
        <v>#DIV/0!</v>
      </c>
      <c r="AG714" s="219" t="s">
        <v>990</v>
      </c>
    </row>
    <row r="715" ht="11.4" customHeight="1" spans="1:34">
      <c r="A715" s="184" t="s">
        <v>2073</v>
      </c>
      <c r="B715" s="184" t="s">
        <v>145</v>
      </c>
      <c r="C715" s="184" t="s">
        <v>2074</v>
      </c>
      <c r="D715" s="185" t="s">
        <v>522</v>
      </c>
      <c r="E715" s="186" t="s">
        <v>906</v>
      </c>
      <c r="F715" s="186" t="s">
        <v>907</v>
      </c>
      <c r="G715" s="186" t="s">
        <v>2075</v>
      </c>
      <c r="H715" s="186" t="s">
        <v>2076</v>
      </c>
      <c r="I715" s="187" t="s">
        <v>2172</v>
      </c>
      <c r="J715" s="187" t="s">
        <v>2173</v>
      </c>
      <c r="K715" s="188"/>
      <c r="L715" s="188"/>
      <c r="M715" s="189" t="s">
        <v>807</v>
      </c>
      <c r="N715" s="190">
        <v>52.5</v>
      </c>
      <c r="O715" s="190">
        <f t="shared" si="82"/>
        <v>57.23</v>
      </c>
      <c r="P715" s="191">
        <f t="shared" si="83"/>
        <v>0</v>
      </c>
      <c r="Q715" s="192">
        <f t="shared" si="84"/>
        <v>0</v>
      </c>
      <c r="R715" s="193"/>
      <c r="S715" s="194"/>
      <c r="T715" s="195">
        <f t="shared" si="85"/>
        <v>0</v>
      </c>
      <c r="U715" s="195">
        <f t="shared" si="86"/>
        <v>0</v>
      </c>
      <c r="V715" s="195">
        <f t="shared" si="87"/>
        <v>0</v>
      </c>
      <c r="W715" s="196" t="e">
        <f t="shared" si="88"/>
        <v>#DIV/0!</v>
      </c>
      <c r="X715" s="197" t="e">
        <f t="shared" si="89"/>
        <v>#DIV/0!</v>
      </c>
      <c r="AH715" s="219" t="s">
        <v>1903</v>
      </c>
    </row>
    <row r="716" ht="11.4" customHeight="1" spans="1:34">
      <c r="A716" s="184" t="s">
        <v>2073</v>
      </c>
      <c r="B716" s="184" t="s">
        <v>145</v>
      </c>
      <c r="C716" s="184" t="s">
        <v>2074</v>
      </c>
      <c r="D716" s="185" t="s">
        <v>522</v>
      </c>
      <c r="E716" s="186" t="s">
        <v>906</v>
      </c>
      <c r="F716" s="186" t="s">
        <v>907</v>
      </c>
      <c r="G716" s="186" t="s">
        <v>2075</v>
      </c>
      <c r="H716" s="186" t="s">
        <v>2076</v>
      </c>
      <c r="I716" s="187" t="s">
        <v>2174</v>
      </c>
      <c r="J716" s="187" t="s">
        <v>2175</v>
      </c>
      <c r="K716" s="188"/>
      <c r="L716" s="188"/>
      <c r="M716" s="189" t="s">
        <v>1018</v>
      </c>
      <c r="N716" s="190">
        <v>116.55</v>
      </c>
      <c r="O716" s="190">
        <f t="shared" si="82"/>
        <v>127.04</v>
      </c>
      <c r="P716" s="191">
        <f t="shared" si="83"/>
        <v>0</v>
      </c>
      <c r="Q716" s="192">
        <f t="shared" si="84"/>
        <v>0</v>
      </c>
      <c r="R716" s="193"/>
      <c r="S716" s="194"/>
      <c r="T716" s="195">
        <f t="shared" si="85"/>
        <v>0</v>
      </c>
      <c r="U716" s="195">
        <f t="shared" si="86"/>
        <v>0</v>
      </c>
      <c r="V716" s="195">
        <f t="shared" si="87"/>
        <v>0</v>
      </c>
      <c r="W716" s="196" t="e">
        <f t="shared" si="88"/>
        <v>#DIV/0!</v>
      </c>
      <c r="X716" s="197" t="e">
        <f t="shared" si="89"/>
        <v>#DIV/0!</v>
      </c>
      <c r="AH716" s="219" t="s">
        <v>1903</v>
      </c>
    </row>
    <row r="717" ht="11.4" customHeight="1" spans="1:34">
      <c r="A717" s="184" t="s">
        <v>2073</v>
      </c>
      <c r="B717" s="184" t="s">
        <v>145</v>
      </c>
      <c r="C717" s="184" t="s">
        <v>2074</v>
      </c>
      <c r="D717" s="185" t="s">
        <v>522</v>
      </c>
      <c r="E717" s="186" t="s">
        <v>906</v>
      </c>
      <c r="F717" s="186" t="s">
        <v>907</v>
      </c>
      <c r="G717" s="186" t="s">
        <v>2075</v>
      </c>
      <c r="H717" s="186" t="s">
        <v>2076</v>
      </c>
      <c r="I717" s="187" t="s">
        <v>2176</v>
      </c>
      <c r="J717" s="187" t="s">
        <v>2177</v>
      </c>
      <c r="K717" s="188"/>
      <c r="L717" s="188"/>
      <c r="M717" s="189" t="s">
        <v>1018</v>
      </c>
      <c r="N717" s="190">
        <v>69.3</v>
      </c>
      <c r="O717" s="190">
        <f t="shared" ref="O717:O780" si="90">ROUND(N717*(1+$F$10),2)</f>
        <v>75.54</v>
      </c>
      <c r="P717" s="191">
        <f t="shared" ref="P717:P780" si="91">ROUND(K717*N717,2)</f>
        <v>0</v>
      </c>
      <c r="Q717" s="192">
        <f t="shared" si="84"/>
        <v>0</v>
      </c>
      <c r="R717" s="193"/>
      <c r="S717" s="194"/>
      <c r="T717" s="195">
        <f t="shared" si="85"/>
        <v>0</v>
      </c>
      <c r="U717" s="195">
        <f t="shared" si="86"/>
        <v>0</v>
      </c>
      <c r="V717" s="195">
        <f t="shared" si="87"/>
        <v>0</v>
      </c>
      <c r="W717" s="196" t="e">
        <f t="shared" si="88"/>
        <v>#DIV/0!</v>
      </c>
      <c r="X717" s="197" t="e">
        <f t="shared" si="89"/>
        <v>#DIV/0!</v>
      </c>
      <c r="AG717" s="219" t="s">
        <v>1721</v>
      </c>
    </row>
    <row r="718" ht="11.4" customHeight="1" spans="1:34">
      <c r="A718" s="184" t="s">
        <v>2073</v>
      </c>
      <c r="B718" s="184" t="s">
        <v>145</v>
      </c>
      <c r="C718" s="184" t="s">
        <v>2074</v>
      </c>
      <c r="D718" s="185" t="s">
        <v>522</v>
      </c>
      <c r="E718" s="186" t="s">
        <v>906</v>
      </c>
      <c r="F718" s="186" t="s">
        <v>907</v>
      </c>
      <c r="G718" s="186" t="s">
        <v>2075</v>
      </c>
      <c r="H718" s="186" t="s">
        <v>2076</v>
      </c>
      <c r="I718" s="187" t="s">
        <v>2178</v>
      </c>
      <c r="J718" s="187" t="s">
        <v>2179</v>
      </c>
      <c r="K718" s="188"/>
      <c r="L718" s="188"/>
      <c r="M718" s="189" t="s">
        <v>1018</v>
      </c>
      <c r="N718" s="190">
        <v>34.65</v>
      </c>
      <c r="O718" s="190">
        <f t="shared" si="90"/>
        <v>37.77</v>
      </c>
      <c r="P718" s="191">
        <f t="shared" si="91"/>
        <v>0</v>
      </c>
      <c r="Q718" s="192">
        <f t="shared" ref="Q718:Q781" si="92">ROUND(L718*N718,2)</f>
        <v>0</v>
      </c>
      <c r="R718" s="193"/>
      <c r="S718" s="194"/>
      <c r="T718" s="195">
        <f t="shared" ref="T718:T781" si="93">K718-L718</f>
        <v>0</v>
      </c>
      <c r="U718" s="195">
        <f t="shared" ref="U718:U781" si="94">P718-Q718</f>
        <v>0</v>
      </c>
      <c r="V718" s="195">
        <f t="shared" ref="V718:V781" si="95">ABS(U718)</f>
        <v>0</v>
      </c>
      <c r="W718" s="196" t="e">
        <f t="shared" ref="W718:W781" si="96">T718/L718</f>
        <v>#DIV/0!</v>
      </c>
      <c r="X718" s="197" t="e">
        <f t="shared" ref="X718:X781" si="97">ABS(W718)</f>
        <v>#DIV/0!</v>
      </c>
      <c r="AG718" s="219" t="s">
        <v>1721</v>
      </c>
    </row>
    <row r="719" ht="11.4" customHeight="1" spans="1:34">
      <c r="A719" s="184" t="s">
        <v>2073</v>
      </c>
      <c r="B719" s="184" t="s">
        <v>145</v>
      </c>
      <c r="C719" s="184" t="s">
        <v>2074</v>
      </c>
      <c r="D719" s="185" t="s">
        <v>522</v>
      </c>
      <c r="E719" s="186" t="s">
        <v>906</v>
      </c>
      <c r="F719" s="186" t="s">
        <v>907</v>
      </c>
      <c r="G719" s="186" t="s">
        <v>2075</v>
      </c>
      <c r="H719" s="186" t="s">
        <v>2076</v>
      </c>
      <c r="I719" s="187" t="s">
        <v>2180</v>
      </c>
      <c r="J719" s="187" t="s">
        <v>2181</v>
      </c>
      <c r="K719" s="188"/>
      <c r="L719" s="188"/>
      <c r="M719" s="189" t="s">
        <v>1018</v>
      </c>
      <c r="N719" s="190">
        <v>10.5</v>
      </c>
      <c r="O719" s="190">
        <f t="shared" si="90"/>
        <v>11.45</v>
      </c>
      <c r="P719" s="191">
        <f t="shared" si="91"/>
        <v>0</v>
      </c>
      <c r="Q719" s="192">
        <f t="shared" si="92"/>
        <v>0</v>
      </c>
      <c r="R719" s="193"/>
      <c r="S719" s="194"/>
      <c r="T719" s="195">
        <f t="shared" si="93"/>
        <v>0</v>
      </c>
      <c r="U719" s="195">
        <f t="shared" si="94"/>
        <v>0</v>
      </c>
      <c r="V719" s="195">
        <f t="shared" si="95"/>
        <v>0</v>
      </c>
      <c r="W719" s="196" t="e">
        <f t="shared" si="96"/>
        <v>#DIV/0!</v>
      </c>
      <c r="X719" s="197" t="e">
        <f t="shared" si="97"/>
        <v>#DIV/0!</v>
      </c>
      <c r="AG719" s="219" t="s">
        <v>1721</v>
      </c>
    </row>
    <row r="720" ht="11.4" customHeight="1" spans="1:34">
      <c r="A720" s="184" t="s">
        <v>2073</v>
      </c>
      <c r="B720" s="184" t="s">
        <v>145</v>
      </c>
      <c r="C720" s="184" t="s">
        <v>2074</v>
      </c>
      <c r="D720" s="185" t="s">
        <v>522</v>
      </c>
      <c r="E720" s="186" t="s">
        <v>906</v>
      </c>
      <c r="F720" s="186" t="s">
        <v>907</v>
      </c>
      <c r="G720" s="186" t="s">
        <v>2075</v>
      </c>
      <c r="H720" s="186" t="s">
        <v>2076</v>
      </c>
      <c r="I720" s="187" t="s">
        <v>2182</v>
      </c>
      <c r="J720" s="187" t="s">
        <v>2183</v>
      </c>
      <c r="K720" s="188"/>
      <c r="L720" s="188"/>
      <c r="M720" s="189" t="s">
        <v>1018</v>
      </c>
      <c r="N720" s="190">
        <v>54.6</v>
      </c>
      <c r="O720" s="190">
        <f t="shared" si="90"/>
        <v>59.51</v>
      </c>
      <c r="P720" s="191">
        <f t="shared" si="91"/>
        <v>0</v>
      </c>
      <c r="Q720" s="192">
        <f t="shared" si="92"/>
        <v>0</v>
      </c>
      <c r="R720" s="193"/>
      <c r="S720" s="194"/>
      <c r="T720" s="195">
        <f t="shared" si="93"/>
        <v>0</v>
      </c>
      <c r="U720" s="195">
        <f t="shared" si="94"/>
        <v>0</v>
      </c>
      <c r="V720" s="195">
        <f t="shared" si="95"/>
        <v>0</v>
      </c>
      <c r="W720" s="196" t="e">
        <f t="shared" si="96"/>
        <v>#DIV/0!</v>
      </c>
      <c r="X720" s="197" t="e">
        <f t="shared" si="97"/>
        <v>#DIV/0!</v>
      </c>
      <c r="AG720" s="219" t="s">
        <v>990</v>
      </c>
    </row>
    <row r="721" ht="11.4" customHeight="1" spans="1:34">
      <c r="A721" s="184" t="s">
        <v>2073</v>
      </c>
      <c r="B721" s="184" t="s">
        <v>145</v>
      </c>
      <c r="C721" s="184" t="s">
        <v>2074</v>
      </c>
      <c r="D721" s="185" t="s">
        <v>522</v>
      </c>
      <c r="E721" s="186" t="s">
        <v>906</v>
      </c>
      <c r="F721" s="186" t="s">
        <v>907</v>
      </c>
      <c r="G721" s="186" t="s">
        <v>2075</v>
      </c>
      <c r="H721" s="186" t="s">
        <v>2076</v>
      </c>
      <c r="I721" s="187" t="s">
        <v>2184</v>
      </c>
      <c r="J721" s="187" t="s">
        <v>2185</v>
      </c>
      <c r="K721" s="188"/>
      <c r="L721" s="188"/>
      <c r="M721" s="189" t="s">
        <v>1018</v>
      </c>
      <c r="N721" s="190">
        <v>105</v>
      </c>
      <c r="O721" s="190">
        <f t="shared" si="90"/>
        <v>114.45</v>
      </c>
      <c r="P721" s="191">
        <f t="shared" si="91"/>
        <v>0</v>
      </c>
      <c r="Q721" s="192">
        <f t="shared" si="92"/>
        <v>0</v>
      </c>
      <c r="R721" s="193"/>
      <c r="S721" s="194"/>
      <c r="T721" s="195">
        <f t="shared" si="93"/>
        <v>0</v>
      </c>
      <c r="U721" s="195">
        <f t="shared" si="94"/>
        <v>0</v>
      </c>
      <c r="V721" s="195">
        <f t="shared" si="95"/>
        <v>0</v>
      </c>
      <c r="W721" s="196" t="e">
        <f t="shared" si="96"/>
        <v>#DIV/0!</v>
      </c>
      <c r="X721" s="197" t="e">
        <f t="shared" si="97"/>
        <v>#DIV/0!</v>
      </c>
      <c r="AG721" s="219" t="s">
        <v>990</v>
      </c>
    </row>
    <row r="722" ht="11.4" customHeight="1" spans="1:34">
      <c r="A722" s="184" t="s">
        <v>2073</v>
      </c>
      <c r="B722" s="184" t="s">
        <v>145</v>
      </c>
      <c r="C722" s="184" t="s">
        <v>2074</v>
      </c>
      <c r="D722" s="185" t="s">
        <v>522</v>
      </c>
      <c r="E722" s="186" t="s">
        <v>906</v>
      </c>
      <c r="F722" s="186" t="s">
        <v>907</v>
      </c>
      <c r="G722" s="186" t="s">
        <v>2075</v>
      </c>
      <c r="H722" s="186" t="s">
        <v>2076</v>
      </c>
      <c r="I722" s="187" t="s">
        <v>2186</v>
      </c>
      <c r="J722" s="187" t="s">
        <v>2187</v>
      </c>
      <c r="K722" s="188"/>
      <c r="L722" s="188"/>
      <c r="M722" s="189" t="s">
        <v>1018</v>
      </c>
      <c r="N722" s="190">
        <v>141.75</v>
      </c>
      <c r="O722" s="190">
        <f t="shared" si="90"/>
        <v>154.51</v>
      </c>
      <c r="P722" s="191">
        <f t="shared" si="91"/>
        <v>0</v>
      </c>
      <c r="Q722" s="192">
        <f t="shared" si="92"/>
        <v>0</v>
      </c>
      <c r="R722" s="193"/>
      <c r="S722" s="194"/>
      <c r="T722" s="195">
        <f t="shared" si="93"/>
        <v>0</v>
      </c>
      <c r="U722" s="195">
        <f t="shared" si="94"/>
        <v>0</v>
      </c>
      <c r="V722" s="195">
        <f t="shared" si="95"/>
        <v>0</v>
      </c>
      <c r="W722" s="196" t="e">
        <f t="shared" si="96"/>
        <v>#DIV/0!</v>
      </c>
      <c r="X722" s="197" t="e">
        <f t="shared" si="97"/>
        <v>#DIV/0!</v>
      </c>
      <c r="AG722" s="219" t="s">
        <v>990</v>
      </c>
    </row>
    <row r="723" ht="11.4" customHeight="1" spans="1:34">
      <c r="A723" s="184" t="s">
        <v>2073</v>
      </c>
      <c r="B723" s="184" t="s">
        <v>145</v>
      </c>
      <c r="C723" s="184" t="s">
        <v>2074</v>
      </c>
      <c r="D723" s="185" t="s">
        <v>522</v>
      </c>
      <c r="E723" s="186" t="s">
        <v>906</v>
      </c>
      <c r="F723" s="186" t="s">
        <v>907</v>
      </c>
      <c r="G723" s="186" t="s">
        <v>2075</v>
      </c>
      <c r="H723" s="186" t="s">
        <v>2076</v>
      </c>
      <c r="I723" s="187" t="s">
        <v>2188</v>
      </c>
      <c r="J723" s="187" t="s">
        <v>2189</v>
      </c>
      <c r="K723" s="188"/>
      <c r="L723" s="188"/>
      <c r="M723" s="189" t="s">
        <v>1018</v>
      </c>
      <c r="N723" s="190">
        <v>141.75</v>
      </c>
      <c r="O723" s="190">
        <f t="shared" si="90"/>
        <v>154.51</v>
      </c>
      <c r="P723" s="191">
        <f t="shared" si="91"/>
        <v>0</v>
      </c>
      <c r="Q723" s="192">
        <f t="shared" si="92"/>
        <v>0</v>
      </c>
      <c r="R723" s="193"/>
      <c r="S723" s="194"/>
      <c r="T723" s="195">
        <f t="shared" si="93"/>
        <v>0</v>
      </c>
      <c r="U723" s="195">
        <f t="shared" si="94"/>
        <v>0</v>
      </c>
      <c r="V723" s="195">
        <f t="shared" si="95"/>
        <v>0</v>
      </c>
      <c r="W723" s="196" t="e">
        <f t="shared" si="96"/>
        <v>#DIV/0!</v>
      </c>
      <c r="X723" s="197" t="e">
        <f t="shared" si="97"/>
        <v>#DIV/0!</v>
      </c>
      <c r="AG723" s="219" t="s">
        <v>990</v>
      </c>
    </row>
    <row r="724" ht="11.4" customHeight="1" spans="1:34">
      <c r="A724" s="184" t="s">
        <v>2073</v>
      </c>
      <c r="B724" s="184" t="s">
        <v>145</v>
      </c>
      <c r="C724" s="184" t="s">
        <v>2074</v>
      </c>
      <c r="D724" s="185" t="s">
        <v>522</v>
      </c>
      <c r="E724" s="186" t="s">
        <v>906</v>
      </c>
      <c r="F724" s="186" t="s">
        <v>907</v>
      </c>
      <c r="G724" s="186" t="s">
        <v>2075</v>
      </c>
      <c r="H724" s="186" t="s">
        <v>2076</v>
      </c>
      <c r="I724" s="187" t="s">
        <v>2190</v>
      </c>
      <c r="J724" s="187" t="s">
        <v>2191</v>
      </c>
      <c r="K724" s="188"/>
      <c r="L724" s="188"/>
      <c r="M724" s="189" t="s">
        <v>1018</v>
      </c>
      <c r="N724" s="190">
        <v>97.65</v>
      </c>
      <c r="O724" s="190">
        <f t="shared" si="90"/>
        <v>106.44</v>
      </c>
      <c r="P724" s="191">
        <f t="shared" si="91"/>
        <v>0</v>
      </c>
      <c r="Q724" s="192">
        <f t="shared" si="92"/>
        <v>0</v>
      </c>
      <c r="R724" s="193"/>
      <c r="S724" s="194"/>
      <c r="T724" s="195">
        <f t="shared" si="93"/>
        <v>0</v>
      </c>
      <c r="U724" s="195">
        <f t="shared" si="94"/>
        <v>0</v>
      </c>
      <c r="V724" s="195">
        <f t="shared" si="95"/>
        <v>0</v>
      </c>
      <c r="W724" s="196" t="e">
        <f t="shared" si="96"/>
        <v>#DIV/0!</v>
      </c>
      <c r="X724" s="197" t="e">
        <f t="shared" si="97"/>
        <v>#DIV/0!</v>
      </c>
      <c r="AG724" s="219" t="s">
        <v>990</v>
      </c>
    </row>
    <row r="725" ht="11.4" customHeight="1" spans="1:34">
      <c r="A725" s="184" t="s">
        <v>2073</v>
      </c>
      <c r="B725" s="184" t="s">
        <v>145</v>
      </c>
      <c r="C725" s="184" t="s">
        <v>2074</v>
      </c>
      <c r="D725" s="185" t="s">
        <v>522</v>
      </c>
      <c r="E725" s="186" t="s">
        <v>906</v>
      </c>
      <c r="F725" s="186" t="s">
        <v>907</v>
      </c>
      <c r="G725" s="186" t="s">
        <v>2075</v>
      </c>
      <c r="H725" s="186" t="s">
        <v>2076</v>
      </c>
      <c r="I725" s="187" t="s">
        <v>2192</v>
      </c>
      <c r="J725" s="187" t="s">
        <v>2193</v>
      </c>
      <c r="K725" s="188"/>
      <c r="L725" s="188"/>
      <c r="M725" s="189" t="s">
        <v>807</v>
      </c>
      <c r="N725" s="190">
        <v>59.85</v>
      </c>
      <c r="O725" s="190">
        <f t="shared" si="90"/>
        <v>65.24</v>
      </c>
      <c r="P725" s="191">
        <f t="shared" si="91"/>
        <v>0</v>
      </c>
      <c r="Q725" s="192">
        <f t="shared" si="92"/>
        <v>0</v>
      </c>
      <c r="R725" s="193"/>
      <c r="S725" s="194"/>
      <c r="T725" s="195">
        <f t="shared" si="93"/>
        <v>0</v>
      </c>
      <c r="U725" s="195">
        <f t="shared" si="94"/>
        <v>0</v>
      </c>
      <c r="V725" s="195">
        <f t="shared" si="95"/>
        <v>0</v>
      </c>
      <c r="W725" s="196" t="e">
        <f t="shared" si="96"/>
        <v>#DIV/0!</v>
      </c>
      <c r="X725" s="197" t="e">
        <f t="shared" si="97"/>
        <v>#DIV/0!</v>
      </c>
      <c r="AH725" s="219" t="s">
        <v>1903</v>
      </c>
    </row>
    <row r="726" ht="11.4" customHeight="1" spans="1:34">
      <c r="A726" s="184" t="s">
        <v>2073</v>
      </c>
      <c r="B726" s="184" t="s">
        <v>145</v>
      </c>
      <c r="C726" s="184" t="s">
        <v>2074</v>
      </c>
      <c r="D726" s="185" t="s">
        <v>522</v>
      </c>
      <c r="E726" s="186" t="s">
        <v>906</v>
      </c>
      <c r="F726" s="186" t="s">
        <v>907</v>
      </c>
      <c r="G726" s="186" t="s">
        <v>2139</v>
      </c>
      <c r="H726" s="186" t="s">
        <v>2076</v>
      </c>
      <c r="I726" s="187" t="s">
        <v>2194</v>
      </c>
      <c r="J726" s="187" t="s">
        <v>2195</v>
      </c>
      <c r="K726" s="188"/>
      <c r="L726" s="188"/>
      <c r="M726" s="189" t="s">
        <v>1018</v>
      </c>
      <c r="N726" s="190">
        <v>52.5</v>
      </c>
      <c r="O726" s="190">
        <f t="shared" si="90"/>
        <v>57.23</v>
      </c>
      <c r="P726" s="191">
        <f t="shared" si="91"/>
        <v>0</v>
      </c>
      <c r="Q726" s="192">
        <f t="shared" si="92"/>
        <v>0</v>
      </c>
      <c r="R726" s="193"/>
      <c r="S726" s="194"/>
      <c r="T726" s="195">
        <f t="shared" si="93"/>
        <v>0</v>
      </c>
      <c r="U726" s="195">
        <f t="shared" si="94"/>
        <v>0</v>
      </c>
      <c r="V726" s="195">
        <f t="shared" si="95"/>
        <v>0</v>
      </c>
      <c r="W726" s="196" t="e">
        <f t="shared" si="96"/>
        <v>#DIV/0!</v>
      </c>
      <c r="X726" s="197" t="e">
        <f t="shared" si="97"/>
        <v>#DIV/0!</v>
      </c>
      <c r="AG726" s="219" t="s">
        <v>990</v>
      </c>
    </row>
    <row r="727" ht="11.4" customHeight="1" spans="1:34">
      <c r="A727" s="184" t="s">
        <v>2073</v>
      </c>
      <c r="B727" s="184" t="s">
        <v>145</v>
      </c>
      <c r="C727" s="184" t="s">
        <v>2074</v>
      </c>
      <c r="D727" s="185" t="s">
        <v>522</v>
      </c>
      <c r="E727" s="186" t="s">
        <v>906</v>
      </c>
      <c r="F727" s="186" t="s">
        <v>907</v>
      </c>
      <c r="G727" s="186" t="s">
        <v>2075</v>
      </c>
      <c r="H727" s="186" t="s">
        <v>2076</v>
      </c>
      <c r="I727" s="187" t="s">
        <v>2196</v>
      </c>
      <c r="J727" s="187" t="s">
        <v>2197</v>
      </c>
      <c r="K727" s="188"/>
      <c r="L727" s="188"/>
      <c r="M727" s="189" t="s">
        <v>1018</v>
      </c>
      <c r="N727" s="190">
        <v>68.25</v>
      </c>
      <c r="O727" s="190">
        <f t="shared" si="90"/>
        <v>74.39</v>
      </c>
      <c r="P727" s="191">
        <f t="shared" si="91"/>
        <v>0</v>
      </c>
      <c r="Q727" s="192">
        <f t="shared" si="92"/>
        <v>0</v>
      </c>
      <c r="R727" s="193"/>
      <c r="S727" s="194"/>
      <c r="T727" s="195">
        <f t="shared" si="93"/>
        <v>0</v>
      </c>
      <c r="U727" s="195">
        <f t="shared" si="94"/>
        <v>0</v>
      </c>
      <c r="V727" s="195">
        <f t="shared" si="95"/>
        <v>0</v>
      </c>
      <c r="W727" s="196" t="e">
        <f t="shared" si="96"/>
        <v>#DIV/0!</v>
      </c>
      <c r="X727" s="197" t="e">
        <f t="shared" si="97"/>
        <v>#DIV/0!</v>
      </c>
      <c r="AG727" s="219" t="s">
        <v>990</v>
      </c>
    </row>
    <row r="728" ht="11.4" customHeight="1" spans="1:34">
      <c r="A728" s="184" t="s">
        <v>2073</v>
      </c>
      <c r="B728" s="184" t="s">
        <v>145</v>
      </c>
      <c r="C728" s="184" t="s">
        <v>2074</v>
      </c>
      <c r="D728" s="185" t="s">
        <v>522</v>
      </c>
      <c r="E728" s="186" t="s">
        <v>906</v>
      </c>
      <c r="F728" s="186" t="s">
        <v>907</v>
      </c>
      <c r="G728" s="186" t="s">
        <v>2075</v>
      </c>
      <c r="H728" s="186" t="s">
        <v>2076</v>
      </c>
      <c r="I728" s="187" t="s">
        <v>2198</v>
      </c>
      <c r="J728" s="187" t="s">
        <v>2199</v>
      </c>
      <c r="K728" s="188"/>
      <c r="L728" s="188"/>
      <c r="M728" s="189" t="s">
        <v>1018</v>
      </c>
      <c r="N728" s="190">
        <v>110.25</v>
      </c>
      <c r="O728" s="190">
        <f t="shared" si="90"/>
        <v>120.17</v>
      </c>
      <c r="P728" s="191">
        <f t="shared" si="91"/>
        <v>0</v>
      </c>
      <c r="Q728" s="192">
        <f t="shared" si="92"/>
        <v>0</v>
      </c>
      <c r="R728" s="193"/>
      <c r="S728" s="194"/>
      <c r="T728" s="195">
        <f t="shared" si="93"/>
        <v>0</v>
      </c>
      <c r="U728" s="195">
        <f t="shared" si="94"/>
        <v>0</v>
      </c>
      <c r="V728" s="195">
        <f t="shared" si="95"/>
        <v>0</v>
      </c>
      <c r="W728" s="196" t="e">
        <f t="shared" si="96"/>
        <v>#DIV/0!</v>
      </c>
      <c r="X728" s="197" t="e">
        <f t="shared" si="97"/>
        <v>#DIV/0!</v>
      </c>
      <c r="AG728" s="219" t="s">
        <v>990</v>
      </c>
    </row>
    <row r="729" ht="11.4" customHeight="1" spans="1:34">
      <c r="A729" s="184" t="s">
        <v>2073</v>
      </c>
      <c r="B729" s="184" t="s">
        <v>145</v>
      </c>
      <c r="C729" s="184" t="s">
        <v>2074</v>
      </c>
      <c r="D729" s="185" t="s">
        <v>522</v>
      </c>
      <c r="E729" s="186" t="s">
        <v>906</v>
      </c>
      <c r="F729" s="186" t="s">
        <v>907</v>
      </c>
      <c r="G729" s="186" t="s">
        <v>2075</v>
      </c>
      <c r="H729" s="186" t="s">
        <v>2076</v>
      </c>
      <c r="I729" s="187" t="s">
        <v>2200</v>
      </c>
      <c r="J729" s="187" t="s">
        <v>2201</v>
      </c>
      <c r="K729" s="188"/>
      <c r="L729" s="188"/>
      <c r="M729" s="189" t="s">
        <v>1018</v>
      </c>
      <c r="N729" s="190">
        <v>178.5</v>
      </c>
      <c r="O729" s="190">
        <f t="shared" si="90"/>
        <v>194.57</v>
      </c>
      <c r="P729" s="191">
        <f t="shared" si="91"/>
        <v>0</v>
      </c>
      <c r="Q729" s="192">
        <f t="shared" si="92"/>
        <v>0</v>
      </c>
      <c r="R729" s="193"/>
      <c r="S729" s="194"/>
      <c r="T729" s="195">
        <f t="shared" si="93"/>
        <v>0</v>
      </c>
      <c r="U729" s="195">
        <f t="shared" si="94"/>
        <v>0</v>
      </c>
      <c r="V729" s="195">
        <f t="shared" si="95"/>
        <v>0</v>
      </c>
      <c r="W729" s="196" t="e">
        <f t="shared" si="96"/>
        <v>#DIV/0!</v>
      </c>
      <c r="X729" s="197" t="e">
        <f t="shared" si="97"/>
        <v>#DIV/0!</v>
      </c>
      <c r="AG729" s="219" t="s">
        <v>990</v>
      </c>
    </row>
    <row r="730" ht="11.4" customHeight="1" spans="1:34">
      <c r="A730" s="184" t="s">
        <v>2073</v>
      </c>
      <c r="B730" s="184" t="s">
        <v>145</v>
      </c>
      <c r="C730" s="184" t="s">
        <v>2074</v>
      </c>
      <c r="D730" s="185" t="s">
        <v>522</v>
      </c>
      <c r="E730" s="186" t="s">
        <v>906</v>
      </c>
      <c r="F730" s="186" t="s">
        <v>907</v>
      </c>
      <c r="G730" s="186" t="s">
        <v>2075</v>
      </c>
      <c r="H730" s="186" t="s">
        <v>2076</v>
      </c>
      <c r="I730" s="187" t="s">
        <v>2202</v>
      </c>
      <c r="J730" s="187" t="s">
        <v>2203</v>
      </c>
      <c r="K730" s="188"/>
      <c r="L730" s="188"/>
      <c r="M730" s="189" t="s">
        <v>1018</v>
      </c>
      <c r="N730" s="190">
        <v>147</v>
      </c>
      <c r="O730" s="190">
        <f t="shared" si="90"/>
        <v>160.23</v>
      </c>
      <c r="P730" s="191">
        <f t="shared" si="91"/>
        <v>0</v>
      </c>
      <c r="Q730" s="192">
        <f t="shared" si="92"/>
        <v>0</v>
      </c>
      <c r="R730" s="193"/>
      <c r="S730" s="194"/>
      <c r="T730" s="195">
        <f t="shared" si="93"/>
        <v>0</v>
      </c>
      <c r="U730" s="195">
        <f t="shared" si="94"/>
        <v>0</v>
      </c>
      <c r="V730" s="195">
        <f t="shared" si="95"/>
        <v>0</v>
      </c>
      <c r="W730" s="196" t="e">
        <f t="shared" si="96"/>
        <v>#DIV/0!</v>
      </c>
      <c r="X730" s="197" t="e">
        <f t="shared" si="97"/>
        <v>#DIV/0!</v>
      </c>
      <c r="AG730" s="219" t="s">
        <v>990</v>
      </c>
    </row>
    <row r="731" ht="11.4" customHeight="1" spans="1:34">
      <c r="A731" s="184" t="s">
        <v>2073</v>
      </c>
      <c r="B731" s="184" t="s">
        <v>145</v>
      </c>
      <c r="C731" s="184" t="s">
        <v>2074</v>
      </c>
      <c r="D731" s="185" t="s">
        <v>522</v>
      </c>
      <c r="E731" s="186" t="s">
        <v>906</v>
      </c>
      <c r="F731" s="186" t="s">
        <v>907</v>
      </c>
      <c r="G731" s="186" t="s">
        <v>2075</v>
      </c>
      <c r="H731" s="186" t="s">
        <v>2076</v>
      </c>
      <c r="I731" s="187" t="s">
        <v>2204</v>
      </c>
      <c r="J731" s="187" t="s">
        <v>2205</v>
      </c>
      <c r="K731" s="188"/>
      <c r="L731" s="188"/>
      <c r="M731" s="189" t="s">
        <v>1018</v>
      </c>
      <c r="N731" s="190">
        <v>105</v>
      </c>
      <c r="O731" s="190">
        <f t="shared" si="90"/>
        <v>114.45</v>
      </c>
      <c r="P731" s="191">
        <f t="shared" si="91"/>
        <v>0</v>
      </c>
      <c r="Q731" s="192">
        <f t="shared" si="92"/>
        <v>0</v>
      </c>
      <c r="R731" s="193"/>
      <c r="S731" s="194"/>
      <c r="T731" s="195">
        <f t="shared" si="93"/>
        <v>0</v>
      </c>
      <c r="U731" s="195">
        <f t="shared" si="94"/>
        <v>0</v>
      </c>
      <c r="V731" s="195">
        <f t="shared" si="95"/>
        <v>0</v>
      </c>
      <c r="W731" s="196" t="e">
        <f t="shared" si="96"/>
        <v>#DIV/0!</v>
      </c>
      <c r="X731" s="197" t="e">
        <f t="shared" si="97"/>
        <v>#DIV/0!</v>
      </c>
      <c r="AG731" s="219" t="s">
        <v>990</v>
      </c>
    </row>
    <row r="732" ht="11.4" customHeight="1" spans="1:34">
      <c r="A732" s="184" t="s">
        <v>2073</v>
      </c>
      <c r="B732" s="184" t="s">
        <v>145</v>
      </c>
      <c r="C732" s="184" t="s">
        <v>2074</v>
      </c>
      <c r="D732" s="185" t="s">
        <v>522</v>
      </c>
      <c r="E732" s="186" t="s">
        <v>906</v>
      </c>
      <c r="F732" s="186" t="s">
        <v>907</v>
      </c>
      <c r="G732" s="186" t="s">
        <v>2075</v>
      </c>
      <c r="H732" s="186" t="s">
        <v>2076</v>
      </c>
      <c r="I732" s="187" t="s">
        <v>2206</v>
      </c>
      <c r="J732" s="187" t="s">
        <v>2207</v>
      </c>
      <c r="K732" s="188"/>
      <c r="L732" s="188"/>
      <c r="M732" s="189" t="s">
        <v>1018</v>
      </c>
      <c r="N732" s="190">
        <v>126</v>
      </c>
      <c r="O732" s="190">
        <f t="shared" si="90"/>
        <v>137.34</v>
      </c>
      <c r="P732" s="191">
        <f t="shared" si="91"/>
        <v>0</v>
      </c>
      <c r="Q732" s="192">
        <f t="shared" si="92"/>
        <v>0</v>
      </c>
      <c r="R732" s="193"/>
      <c r="S732" s="194"/>
      <c r="T732" s="195">
        <f t="shared" si="93"/>
        <v>0</v>
      </c>
      <c r="U732" s="195">
        <f t="shared" si="94"/>
        <v>0</v>
      </c>
      <c r="V732" s="195">
        <f t="shared" si="95"/>
        <v>0</v>
      </c>
      <c r="W732" s="196" t="e">
        <f t="shared" si="96"/>
        <v>#DIV/0!</v>
      </c>
      <c r="X732" s="197" t="e">
        <f t="shared" si="97"/>
        <v>#DIV/0!</v>
      </c>
      <c r="AG732" s="219" t="s">
        <v>990</v>
      </c>
    </row>
    <row r="733" ht="11.4" customHeight="1" spans="1:34">
      <c r="A733" s="184" t="s">
        <v>2073</v>
      </c>
      <c r="B733" s="184" t="s">
        <v>145</v>
      </c>
      <c r="C733" s="184" t="s">
        <v>2074</v>
      </c>
      <c r="D733" s="185" t="s">
        <v>522</v>
      </c>
      <c r="E733" s="186" t="s">
        <v>906</v>
      </c>
      <c r="F733" s="186" t="s">
        <v>907</v>
      </c>
      <c r="G733" s="186" t="s">
        <v>2075</v>
      </c>
      <c r="H733" s="186" t="s">
        <v>2076</v>
      </c>
      <c r="I733" s="187" t="s">
        <v>2208</v>
      </c>
      <c r="J733" s="187" t="s">
        <v>2209</v>
      </c>
      <c r="K733" s="188"/>
      <c r="L733" s="188"/>
      <c r="M733" s="189" t="s">
        <v>1018</v>
      </c>
      <c r="N733" s="190">
        <v>204.75</v>
      </c>
      <c r="O733" s="190">
        <f t="shared" si="90"/>
        <v>223.18</v>
      </c>
      <c r="P733" s="191">
        <f t="shared" si="91"/>
        <v>0</v>
      </c>
      <c r="Q733" s="192">
        <f t="shared" si="92"/>
        <v>0</v>
      </c>
      <c r="R733" s="193"/>
      <c r="S733" s="194"/>
      <c r="T733" s="195">
        <f t="shared" si="93"/>
        <v>0</v>
      </c>
      <c r="U733" s="195">
        <f t="shared" si="94"/>
        <v>0</v>
      </c>
      <c r="V733" s="195">
        <f t="shared" si="95"/>
        <v>0</v>
      </c>
      <c r="W733" s="196" t="e">
        <f t="shared" si="96"/>
        <v>#DIV/0!</v>
      </c>
      <c r="X733" s="197" t="e">
        <f t="shared" si="97"/>
        <v>#DIV/0!</v>
      </c>
      <c r="AG733" s="219" t="s">
        <v>990</v>
      </c>
    </row>
    <row r="734" ht="11.4" customHeight="1" spans="1:34">
      <c r="A734" s="184" t="s">
        <v>2073</v>
      </c>
      <c r="B734" s="184" t="s">
        <v>145</v>
      </c>
      <c r="C734" s="184" t="s">
        <v>2074</v>
      </c>
      <c r="D734" s="185" t="s">
        <v>522</v>
      </c>
      <c r="E734" s="186" t="s">
        <v>906</v>
      </c>
      <c r="F734" s="186" t="s">
        <v>907</v>
      </c>
      <c r="G734" s="186" t="s">
        <v>2075</v>
      </c>
      <c r="H734" s="186" t="s">
        <v>2076</v>
      </c>
      <c r="I734" s="187" t="s">
        <v>2210</v>
      </c>
      <c r="J734" s="187" t="s">
        <v>2211</v>
      </c>
      <c r="K734" s="188"/>
      <c r="L734" s="188"/>
      <c r="M734" s="189" t="s">
        <v>1018</v>
      </c>
      <c r="N734" s="190">
        <v>420</v>
      </c>
      <c r="O734" s="190">
        <f t="shared" si="90"/>
        <v>457.8</v>
      </c>
      <c r="P734" s="191">
        <f t="shared" si="91"/>
        <v>0</v>
      </c>
      <c r="Q734" s="192">
        <f t="shared" si="92"/>
        <v>0</v>
      </c>
      <c r="R734" s="193"/>
      <c r="S734" s="194"/>
      <c r="T734" s="195">
        <f t="shared" si="93"/>
        <v>0</v>
      </c>
      <c r="U734" s="195">
        <f t="shared" si="94"/>
        <v>0</v>
      </c>
      <c r="V734" s="195">
        <f t="shared" si="95"/>
        <v>0</v>
      </c>
      <c r="W734" s="196" t="e">
        <f t="shared" si="96"/>
        <v>#DIV/0!</v>
      </c>
      <c r="X734" s="197" t="e">
        <f t="shared" si="97"/>
        <v>#DIV/0!</v>
      </c>
      <c r="AG734" s="219" t="s">
        <v>990</v>
      </c>
    </row>
    <row r="735" ht="11.4" customHeight="1" spans="1:34">
      <c r="A735" s="184" t="s">
        <v>2073</v>
      </c>
      <c r="B735" s="184" t="s">
        <v>145</v>
      </c>
      <c r="C735" s="184" t="s">
        <v>2074</v>
      </c>
      <c r="D735" s="185" t="s">
        <v>522</v>
      </c>
      <c r="E735" s="186" t="s">
        <v>906</v>
      </c>
      <c r="F735" s="186" t="s">
        <v>907</v>
      </c>
      <c r="G735" s="186" t="s">
        <v>2075</v>
      </c>
      <c r="H735" s="186" t="s">
        <v>2076</v>
      </c>
      <c r="I735" s="187" t="s">
        <v>2212</v>
      </c>
      <c r="J735" s="187" t="s">
        <v>2213</v>
      </c>
      <c r="K735" s="188"/>
      <c r="L735" s="188"/>
      <c r="M735" s="189" t="s">
        <v>1018</v>
      </c>
      <c r="N735" s="190">
        <v>178.5</v>
      </c>
      <c r="O735" s="190">
        <f t="shared" si="90"/>
        <v>194.57</v>
      </c>
      <c r="P735" s="191">
        <f t="shared" si="91"/>
        <v>0</v>
      </c>
      <c r="Q735" s="192">
        <f t="shared" si="92"/>
        <v>0</v>
      </c>
      <c r="R735" s="193"/>
      <c r="S735" s="194"/>
      <c r="T735" s="195">
        <f t="shared" si="93"/>
        <v>0</v>
      </c>
      <c r="U735" s="195">
        <f t="shared" si="94"/>
        <v>0</v>
      </c>
      <c r="V735" s="195">
        <f t="shared" si="95"/>
        <v>0</v>
      </c>
      <c r="W735" s="196" t="e">
        <f t="shared" si="96"/>
        <v>#DIV/0!</v>
      </c>
      <c r="X735" s="197" t="e">
        <f t="shared" si="97"/>
        <v>#DIV/0!</v>
      </c>
      <c r="AG735" s="219" t="s">
        <v>990</v>
      </c>
    </row>
    <row r="736" ht="11.4" customHeight="1" spans="1:34">
      <c r="A736" s="184" t="s">
        <v>2073</v>
      </c>
      <c r="B736" s="184" t="s">
        <v>145</v>
      </c>
      <c r="C736" s="184" t="s">
        <v>2074</v>
      </c>
      <c r="D736" s="185" t="s">
        <v>522</v>
      </c>
      <c r="E736" s="186" t="s">
        <v>906</v>
      </c>
      <c r="F736" s="186" t="s">
        <v>907</v>
      </c>
      <c r="G736" s="186" t="s">
        <v>2075</v>
      </c>
      <c r="H736" s="186" t="s">
        <v>2076</v>
      </c>
      <c r="I736" s="187" t="s">
        <v>2214</v>
      </c>
      <c r="J736" s="187" t="s">
        <v>2215</v>
      </c>
      <c r="K736" s="188"/>
      <c r="L736" s="188"/>
      <c r="M736" s="189" t="s">
        <v>1018</v>
      </c>
      <c r="N736" s="190">
        <v>126</v>
      </c>
      <c r="O736" s="190">
        <f t="shared" si="90"/>
        <v>137.34</v>
      </c>
      <c r="P736" s="191">
        <f t="shared" si="91"/>
        <v>0</v>
      </c>
      <c r="Q736" s="192">
        <f t="shared" si="92"/>
        <v>0</v>
      </c>
      <c r="R736" s="193"/>
      <c r="S736" s="194"/>
      <c r="T736" s="195">
        <f t="shared" si="93"/>
        <v>0</v>
      </c>
      <c r="U736" s="195">
        <f t="shared" si="94"/>
        <v>0</v>
      </c>
      <c r="V736" s="195">
        <f t="shared" si="95"/>
        <v>0</v>
      </c>
      <c r="W736" s="196" t="e">
        <f t="shared" si="96"/>
        <v>#DIV/0!</v>
      </c>
      <c r="X736" s="197" t="e">
        <f t="shared" si="97"/>
        <v>#DIV/0!</v>
      </c>
      <c r="AG736" s="219" t="s">
        <v>990</v>
      </c>
    </row>
    <row r="737" ht="11.4" customHeight="1" spans="1:34">
      <c r="A737" s="184" t="s">
        <v>2073</v>
      </c>
      <c r="B737" s="184" t="s">
        <v>145</v>
      </c>
      <c r="C737" s="184" t="s">
        <v>2074</v>
      </c>
      <c r="D737" s="185" t="s">
        <v>522</v>
      </c>
      <c r="E737" s="186" t="s">
        <v>906</v>
      </c>
      <c r="F737" s="186" t="s">
        <v>907</v>
      </c>
      <c r="G737" s="186" t="s">
        <v>2075</v>
      </c>
      <c r="H737" s="186" t="s">
        <v>2076</v>
      </c>
      <c r="I737" s="187" t="s">
        <v>2216</v>
      </c>
      <c r="J737" s="187" t="s">
        <v>2217</v>
      </c>
      <c r="K737" s="188"/>
      <c r="L737" s="188"/>
      <c r="M737" s="189" t="s">
        <v>1018</v>
      </c>
      <c r="N737" s="190">
        <v>105</v>
      </c>
      <c r="O737" s="190">
        <f t="shared" si="90"/>
        <v>114.45</v>
      </c>
      <c r="P737" s="191">
        <f t="shared" si="91"/>
        <v>0</v>
      </c>
      <c r="Q737" s="192">
        <f t="shared" si="92"/>
        <v>0</v>
      </c>
      <c r="R737" s="193"/>
      <c r="S737" s="194"/>
      <c r="T737" s="195">
        <f t="shared" si="93"/>
        <v>0</v>
      </c>
      <c r="U737" s="195">
        <f t="shared" si="94"/>
        <v>0</v>
      </c>
      <c r="V737" s="195">
        <f t="shared" si="95"/>
        <v>0</v>
      </c>
      <c r="W737" s="196" t="e">
        <f t="shared" si="96"/>
        <v>#DIV/0!</v>
      </c>
      <c r="X737" s="197" t="e">
        <f t="shared" si="97"/>
        <v>#DIV/0!</v>
      </c>
      <c r="AG737" s="219" t="s">
        <v>990</v>
      </c>
    </row>
    <row r="738" ht="11.4" customHeight="1" spans="1:34">
      <c r="A738" s="184" t="s">
        <v>2073</v>
      </c>
      <c r="B738" s="184" t="s">
        <v>145</v>
      </c>
      <c r="C738" s="184" t="s">
        <v>2074</v>
      </c>
      <c r="D738" s="185" t="s">
        <v>522</v>
      </c>
      <c r="E738" s="186" t="s">
        <v>906</v>
      </c>
      <c r="F738" s="186" t="s">
        <v>907</v>
      </c>
      <c r="G738" s="186" t="s">
        <v>2075</v>
      </c>
      <c r="H738" s="186" t="s">
        <v>2076</v>
      </c>
      <c r="I738" s="187" t="s">
        <v>2218</v>
      </c>
      <c r="J738" s="187" t="s">
        <v>2219</v>
      </c>
      <c r="K738" s="188"/>
      <c r="L738" s="188"/>
      <c r="M738" s="189" t="s">
        <v>1018</v>
      </c>
      <c r="N738" s="190">
        <v>661.5</v>
      </c>
      <c r="O738" s="190">
        <f t="shared" si="90"/>
        <v>721.04</v>
      </c>
      <c r="P738" s="191">
        <f t="shared" si="91"/>
        <v>0</v>
      </c>
      <c r="Q738" s="192">
        <f t="shared" si="92"/>
        <v>0</v>
      </c>
      <c r="R738" s="193"/>
      <c r="S738" s="194"/>
      <c r="T738" s="195">
        <f t="shared" si="93"/>
        <v>0</v>
      </c>
      <c r="U738" s="195">
        <f t="shared" si="94"/>
        <v>0</v>
      </c>
      <c r="V738" s="195">
        <f t="shared" si="95"/>
        <v>0</v>
      </c>
      <c r="W738" s="196" t="e">
        <f t="shared" si="96"/>
        <v>#DIV/0!</v>
      </c>
      <c r="X738" s="197" t="e">
        <f t="shared" si="97"/>
        <v>#DIV/0!</v>
      </c>
      <c r="AG738" s="219" t="s">
        <v>990</v>
      </c>
    </row>
    <row r="739" ht="11.4" customHeight="1" spans="1:34">
      <c r="A739" s="184" t="s">
        <v>2073</v>
      </c>
      <c r="B739" s="184" t="s">
        <v>145</v>
      </c>
      <c r="C739" s="184" t="s">
        <v>2074</v>
      </c>
      <c r="D739" s="185" t="s">
        <v>522</v>
      </c>
      <c r="E739" s="186" t="s">
        <v>906</v>
      </c>
      <c r="F739" s="186" t="s">
        <v>907</v>
      </c>
      <c r="G739" s="186" t="s">
        <v>2075</v>
      </c>
      <c r="H739" s="186" t="s">
        <v>2076</v>
      </c>
      <c r="I739" s="187" t="s">
        <v>2220</v>
      </c>
      <c r="J739" s="187" t="s">
        <v>2221</v>
      </c>
      <c r="K739" s="188"/>
      <c r="L739" s="188"/>
      <c r="M739" s="189" t="s">
        <v>1018</v>
      </c>
      <c r="N739" s="190">
        <v>488.25</v>
      </c>
      <c r="O739" s="190">
        <f t="shared" si="90"/>
        <v>532.19</v>
      </c>
      <c r="P739" s="191">
        <f t="shared" si="91"/>
        <v>0</v>
      </c>
      <c r="Q739" s="192">
        <f t="shared" si="92"/>
        <v>0</v>
      </c>
      <c r="R739" s="193"/>
      <c r="S739" s="194"/>
      <c r="T739" s="195">
        <f t="shared" si="93"/>
        <v>0</v>
      </c>
      <c r="U739" s="195">
        <f t="shared" si="94"/>
        <v>0</v>
      </c>
      <c r="V739" s="195">
        <f t="shared" si="95"/>
        <v>0</v>
      </c>
      <c r="W739" s="196" t="e">
        <f t="shared" si="96"/>
        <v>#DIV/0!</v>
      </c>
      <c r="X739" s="197" t="e">
        <f t="shared" si="97"/>
        <v>#DIV/0!</v>
      </c>
      <c r="AG739" s="219" t="s">
        <v>990</v>
      </c>
    </row>
    <row r="740" ht="11.4" customHeight="1" spans="1:34">
      <c r="A740" s="184" t="s">
        <v>2073</v>
      </c>
      <c r="B740" s="184" t="s">
        <v>145</v>
      </c>
      <c r="C740" s="184" t="s">
        <v>2074</v>
      </c>
      <c r="D740" s="185" t="s">
        <v>522</v>
      </c>
      <c r="E740" s="186" t="s">
        <v>906</v>
      </c>
      <c r="F740" s="186" t="s">
        <v>907</v>
      </c>
      <c r="G740" s="186" t="s">
        <v>2075</v>
      </c>
      <c r="H740" s="186" t="s">
        <v>2076</v>
      </c>
      <c r="I740" s="187" t="s">
        <v>2222</v>
      </c>
      <c r="J740" s="187" t="s">
        <v>2223</v>
      </c>
      <c r="K740" s="188"/>
      <c r="L740" s="188"/>
      <c r="M740" s="189" t="s">
        <v>807</v>
      </c>
      <c r="N740" s="190">
        <v>36.75</v>
      </c>
      <c r="O740" s="190">
        <f t="shared" si="90"/>
        <v>40.06</v>
      </c>
      <c r="P740" s="191">
        <f t="shared" si="91"/>
        <v>0</v>
      </c>
      <c r="Q740" s="192">
        <f t="shared" si="92"/>
        <v>0</v>
      </c>
      <c r="R740" s="193"/>
      <c r="S740" s="194"/>
      <c r="T740" s="195">
        <f t="shared" si="93"/>
        <v>0</v>
      </c>
      <c r="U740" s="195">
        <f t="shared" si="94"/>
        <v>0</v>
      </c>
      <c r="V740" s="195">
        <f t="shared" si="95"/>
        <v>0</v>
      </c>
      <c r="W740" s="196" t="e">
        <f t="shared" si="96"/>
        <v>#DIV/0!</v>
      </c>
      <c r="X740" s="197" t="e">
        <f t="shared" si="97"/>
        <v>#DIV/0!</v>
      </c>
      <c r="AH740" s="219" t="s">
        <v>1903</v>
      </c>
    </row>
    <row r="741" ht="11.4" customHeight="1" spans="1:34">
      <c r="A741" s="184" t="s">
        <v>2073</v>
      </c>
      <c r="B741" s="184" t="s">
        <v>145</v>
      </c>
      <c r="C741" s="184" t="s">
        <v>2074</v>
      </c>
      <c r="D741" s="185" t="s">
        <v>522</v>
      </c>
      <c r="E741" s="186" t="s">
        <v>906</v>
      </c>
      <c r="F741" s="186" t="s">
        <v>907</v>
      </c>
      <c r="G741" s="186" t="s">
        <v>2075</v>
      </c>
      <c r="H741" s="186" t="s">
        <v>2076</v>
      </c>
      <c r="I741" s="187" t="s">
        <v>2224</v>
      </c>
      <c r="J741" s="187" t="s">
        <v>2225</v>
      </c>
      <c r="K741" s="188"/>
      <c r="L741" s="188"/>
      <c r="M741" s="189" t="s">
        <v>1018</v>
      </c>
      <c r="N741" s="190">
        <v>105</v>
      </c>
      <c r="O741" s="190">
        <f t="shared" si="90"/>
        <v>114.45</v>
      </c>
      <c r="P741" s="191">
        <f t="shared" si="91"/>
        <v>0</v>
      </c>
      <c r="Q741" s="192">
        <f t="shared" si="92"/>
        <v>0</v>
      </c>
      <c r="R741" s="193"/>
      <c r="S741" s="194"/>
      <c r="T741" s="195">
        <f t="shared" si="93"/>
        <v>0</v>
      </c>
      <c r="U741" s="195">
        <f t="shared" si="94"/>
        <v>0</v>
      </c>
      <c r="V741" s="195">
        <f t="shared" si="95"/>
        <v>0</v>
      </c>
      <c r="W741" s="196" t="e">
        <f t="shared" si="96"/>
        <v>#DIV/0!</v>
      </c>
      <c r="X741" s="197" t="e">
        <f t="shared" si="97"/>
        <v>#DIV/0!</v>
      </c>
      <c r="AG741" s="219"/>
      <c r="AH741" s="219" t="s">
        <v>1903</v>
      </c>
    </row>
    <row r="742" ht="11.4" customHeight="1" spans="1:34">
      <c r="A742" s="184" t="s">
        <v>2073</v>
      </c>
      <c r="B742" s="184" t="s">
        <v>145</v>
      </c>
      <c r="C742" s="184" t="s">
        <v>2074</v>
      </c>
      <c r="D742" s="185" t="s">
        <v>522</v>
      </c>
      <c r="E742" s="186" t="s">
        <v>906</v>
      </c>
      <c r="F742" s="186" t="s">
        <v>907</v>
      </c>
      <c r="G742" s="186" t="s">
        <v>2075</v>
      </c>
      <c r="H742" s="186" t="s">
        <v>2076</v>
      </c>
      <c r="I742" s="187" t="s">
        <v>2226</v>
      </c>
      <c r="J742" s="187" t="s">
        <v>2227</v>
      </c>
      <c r="K742" s="188"/>
      <c r="L742" s="188"/>
      <c r="M742" s="189" t="s">
        <v>1018</v>
      </c>
      <c r="N742" s="190">
        <v>77.7</v>
      </c>
      <c r="O742" s="190">
        <f t="shared" si="90"/>
        <v>84.69</v>
      </c>
      <c r="P742" s="191">
        <f t="shared" si="91"/>
        <v>0</v>
      </c>
      <c r="Q742" s="192">
        <f t="shared" si="92"/>
        <v>0</v>
      </c>
      <c r="R742" s="193"/>
      <c r="S742" s="194"/>
      <c r="T742" s="195">
        <f t="shared" si="93"/>
        <v>0</v>
      </c>
      <c r="U742" s="195">
        <f t="shared" si="94"/>
        <v>0</v>
      </c>
      <c r="V742" s="195">
        <f t="shared" si="95"/>
        <v>0</v>
      </c>
      <c r="W742" s="196" t="e">
        <f t="shared" si="96"/>
        <v>#DIV/0!</v>
      </c>
      <c r="X742" s="197" t="e">
        <f t="shared" si="97"/>
        <v>#DIV/0!</v>
      </c>
      <c r="AG742" s="219" t="s">
        <v>1721</v>
      </c>
    </row>
    <row r="743" ht="11.4" customHeight="1" spans="1:34">
      <c r="A743" s="184" t="s">
        <v>2073</v>
      </c>
      <c r="B743" s="184" t="s">
        <v>145</v>
      </c>
      <c r="C743" s="184" t="s">
        <v>2074</v>
      </c>
      <c r="D743" s="185" t="s">
        <v>522</v>
      </c>
      <c r="E743" s="186" t="s">
        <v>906</v>
      </c>
      <c r="F743" s="186" t="s">
        <v>907</v>
      </c>
      <c r="G743" s="186" t="s">
        <v>2075</v>
      </c>
      <c r="H743" s="186" t="s">
        <v>2076</v>
      </c>
      <c r="I743" s="187" t="s">
        <v>2228</v>
      </c>
      <c r="J743" s="187" t="s">
        <v>2229</v>
      </c>
      <c r="K743" s="188"/>
      <c r="L743" s="188"/>
      <c r="M743" s="189" t="s">
        <v>1018</v>
      </c>
      <c r="N743" s="190">
        <v>38.85</v>
      </c>
      <c r="O743" s="190">
        <f t="shared" si="90"/>
        <v>42.35</v>
      </c>
      <c r="P743" s="191">
        <f t="shared" si="91"/>
        <v>0</v>
      </c>
      <c r="Q743" s="192">
        <f t="shared" si="92"/>
        <v>0</v>
      </c>
      <c r="R743" s="193"/>
      <c r="S743" s="194"/>
      <c r="T743" s="195">
        <f t="shared" si="93"/>
        <v>0</v>
      </c>
      <c r="U743" s="195">
        <f t="shared" si="94"/>
        <v>0</v>
      </c>
      <c r="V743" s="195">
        <f t="shared" si="95"/>
        <v>0</v>
      </c>
      <c r="W743" s="196" t="e">
        <f t="shared" si="96"/>
        <v>#DIV/0!</v>
      </c>
      <c r="X743" s="197" t="e">
        <f t="shared" si="97"/>
        <v>#DIV/0!</v>
      </c>
      <c r="AG743" s="109" t="s">
        <v>1721</v>
      </c>
    </row>
    <row r="744" ht="11.4" customHeight="1" spans="1:34">
      <c r="A744" s="184" t="s">
        <v>2073</v>
      </c>
      <c r="B744" s="184" t="s">
        <v>145</v>
      </c>
      <c r="C744" s="184" t="s">
        <v>2074</v>
      </c>
      <c r="D744" s="185" t="s">
        <v>522</v>
      </c>
      <c r="E744" s="186" t="s">
        <v>906</v>
      </c>
      <c r="F744" s="186" t="s">
        <v>907</v>
      </c>
      <c r="G744" s="186" t="s">
        <v>2075</v>
      </c>
      <c r="H744" s="186" t="s">
        <v>2076</v>
      </c>
      <c r="I744" s="187" t="s">
        <v>2230</v>
      </c>
      <c r="J744" s="187" t="s">
        <v>2231</v>
      </c>
      <c r="K744" s="188"/>
      <c r="L744" s="188"/>
      <c r="M744" s="189" t="s">
        <v>1018</v>
      </c>
      <c r="N744" s="190">
        <v>8.4</v>
      </c>
      <c r="O744" s="190">
        <f t="shared" si="90"/>
        <v>9.16</v>
      </c>
      <c r="P744" s="191">
        <f t="shared" si="91"/>
        <v>0</v>
      </c>
      <c r="Q744" s="192">
        <f t="shared" si="92"/>
        <v>0</v>
      </c>
      <c r="R744" s="193"/>
      <c r="S744" s="194"/>
      <c r="T744" s="195">
        <f t="shared" si="93"/>
        <v>0</v>
      </c>
      <c r="U744" s="195">
        <f t="shared" si="94"/>
        <v>0</v>
      </c>
      <c r="V744" s="195">
        <f t="shared" si="95"/>
        <v>0</v>
      </c>
      <c r="W744" s="196" t="e">
        <f t="shared" si="96"/>
        <v>#DIV/0!</v>
      </c>
      <c r="X744" s="197" t="e">
        <f t="shared" si="97"/>
        <v>#DIV/0!</v>
      </c>
      <c r="AG744" s="219" t="s">
        <v>1721</v>
      </c>
    </row>
    <row r="745" ht="11.4" customHeight="1" spans="1:34">
      <c r="A745" s="184" t="s">
        <v>2073</v>
      </c>
      <c r="B745" s="184" t="s">
        <v>145</v>
      </c>
      <c r="C745" s="184" t="s">
        <v>2074</v>
      </c>
      <c r="D745" s="185" t="s">
        <v>522</v>
      </c>
      <c r="E745" s="186" t="s">
        <v>906</v>
      </c>
      <c r="F745" s="186" t="s">
        <v>907</v>
      </c>
      <c r="G745" s="186" t="s">
        <v>2075</v>
      </c>
      <c r="H745" s="186" t="s">
        <v>2076</v>
      </c>
      <c r="I745" s="187" t="s">
        <v>2232</v>
      </c>
      <c r="J745" s="187" t="s">
        <v>2233</v>
      </c>
      <c r="K745" s="188"/>
      <c r="L745" s="188"/>
      <c r="M745" s="189" t="s">
        <v>1018</v>
      </c>
      <c r="N745" s="190">
        <v>57.75</v>
      </c>
      <c r="O745" s="190">
        <f t="shared" si="90"/>
        <v>62.95</v>
      </c>
      <c r="P745" s="191">
        <f t="shared" si="91"/>
        <v>0</v>
      </c>
      <c r="Q745" s="192">
        <f t="shared" si="92"/>
        <v>0</v>
      </c>
      <c r="R745" s="193"/>
      <c r="S745" s="194"/>
      <c r="T745" s="195">
        <f t="shared" si="93"/>
        <v>0</v>
      </c>
      <c r="U745" s="195">
        <f t="shared" si="94"/>
        <v>0</v>
      </c>
      <c r="V745" s="195">
        <f t="shared" si="95"/>
        <v>0</v>
      </c>
      <c r="W745" s="196" t="e">
        <f t="shared" si="96"/>
        <v>#DIV/0!</v>
      </c>
      <c r="X745" s="197" t="e">
        <f t="shared" si="97"/>
        <v>#DIV/0!</v>
      </c>
      <c r="AG745" s="219" t="s">
        <v>990</v>
      </c>
    </row>
    <row r="746" ht="11.4" customHeight="1" spans="1:34">
      <c r="A746" s="184" t="s">
        <v>2073</v>
      </c>
      <c r="B746" s="184" t="s">
        <v>145</v>
      </c>
      <c r="C746" s="184" t="s">
        <v>2074</v>
      </c>
      <c r="D746" s="185" t="s">
        <v>522</v>
      </c>
      <c r="E746" s="186" t="s">
        <v>906</v>
      </c>
      <c r="F746" s="186" t="s">
        <v>907</v>
      </c>
      <c r="G746" s="186" t="s">
        <v>2075</v>
      </c>
      <c r="H746" s="186" t="s">
        <v>2076</v>
      </c>
      <c r="I746" s="187" t="s">
        <v>2234</v>
      </c>
      <c r="J746" s="187" t="s">
        <v>2235</v>
      </c>
      <c r="K746" s="188"/>
      <c r="L746" s="188"/>
      <c r="M746" s="189" t="s">
        <v>1018</v>
      </c>
      <c r="N746" s="190">
        <v>131.25</v>
      </c>
      <c r="O746" s="190">
        <f t="shared" si="90"/>
        <v>143.06</v>
      </c>
      <c r="P746" s="191">
        <f t="shared" si="91"/>
        <v>0</v>
      </c>
      <c r="Q746" s="192">
        <f t="shared" si="92"/>
        <v>0</v>
      </c>
      <c r="R746" s="193"/>
      <c r="S746" s="194"/>
      <c r="T746" s="195">
        <f t="shared" si="93"/>
        <v>0</v>
      </c>
      <c r="U746" s="195">
        <f t="shared" si="94"/>
        <v>0</v>
      </c>
      <c r="V746" s="195">
        <f t="shared" si="95"/>
        <v>0</v>
      </c>
      <c r="W746" s="196" t="e">
        <f t="shared" si="96"/>
        <v>#DIV/0!</v>
      </c>
      <c r="X746" s="197" t="e">
        <f t="shared" si="97"/>
        <v>#DIV/0!</v>
      </c>
      <c r="AG746" s="219" t="s">
        <v>990</v>
      </c>
    </row>
    <row r="747" ht="11.4" customHeight="1" spans="1:34">
      <c r="A747" s="184" t="s">
        <v>2073</v>
      </c>
      <c r="B747" s="184" t="s">
        <v>145</v>
      </c>
      <c r="C747" s="184" t="s">
        <v>2074</v>
      </c>
      <c r="D747" s="185" t="s">
        <v>522</v>
      </c>
      <c r="E747" s="186" t="s">
        <v>906</v>
      </c>
      <c r="F747" s="186" t="s">
        <v>907</v>
      </c>
      <c r="G747" s="186" t="s">
        <v>2075</v>
      </c>
      <c r="H747" s="186" t="s">
        <v>2076</v>
      </c>
      <c r="I747" s="187" t="s">
        <v>2236</v>
      </c>
      <c r="J747" s="187" t="s">
        <v>2237</v>
      </c>
      <c r="K747" s="188"/>
      <c r="L747" s="188"/>
      <c r="M747" s="189" t="s">
        <v>1018</v>
      </c>
      <c r="N747" s="190">
        <v>120.75</v>
      </c>
      <c r="O747" s="190">
        <f t="shared" si="90"/>
        <v>131.62</v>
      </c>
      <c r="P747" s="191">
        <f t="shared" si="91"/>
        <v>0</v>
      </c>
      <c r="Q747" s="192">
        <f t="shared" si="92"/>
        <v>0</v>
      </c>
      <c r="R747" s="193"/>
      <c r="S747" s="194"/>
      <c r="T747" s="195">
        <f t="shared" si="93"/>
        <v>0</v>
      </c>
      <c r="U747" s="195">
        <f t="shared" si="94"/>
        <v>0</v>
      </c>
      <c r="V747" s="195">
        <f t="shared" si="95"/>
        <v>0</v>
      </c>
      <c r="W747" s="196" t="e">
        <f t="shared" si="96"/>
        <v>#DIV/0!</v>
      </c>
      <c r="X747" s="197" t="e">
        <f t="shared" si="97"/>
        <v>#DIV/0!</v>
      </c>
      <c r="AG747" s="219" t="s">
        <v>990</v>
      </c>
    </row>
    <row r="748" ht="11.4" customHeight="1" spans="1:34">
      <c r="A748" s="184" t="s">
        <v>2073</v>
      </c>
      <c r="B748" s="184" t="s">
        <v>145</v>
      </c>
      <c r="C748" s="184" t="s">
        <v>2074</v>
      </c>
      <c r="D748" s="185" t="s">
        <v>522</v>
      </c>
      <c r="E748" s="186" t="s">
        <v>906</v>
      </c>
      <c r="F748" s="186" t="s">
        <v>907</v>
      </c>
      <c r="G748" s="186" t="s">
        <v>2075</v>
      </c>
      <c r="H748" s="186" t="s">
        <v>2076</v>
      </c>
      <c r="I748" s="187" t="s">
        <v>2238</v>
      </c>
      <c r="J748" s="187" t="s">
        <v>2239</v>
      </c>
      <c r="K748" s="188"/>
      <c r="L748" s="188"/>
      <c r="M748" s="189" t="s">
        <v>1018</v>
      </c>
      <c r="N748" s="190">
        <v>120.75</v>
      </c>
      <c r="O748" s="190">
        <f t="shared" si="90"/>
        <v>131.62</v>
      </c>
      <c r="P748" s="191">
        <f t="shared" si="91"/>
        <v>0</v>
      </c>
      <c r="Q748" s="192">
        <f t="shared" si="92"/>
        <v>0</v>
      </c>
      <c r="R748" s="193"/>
      <c r="S748" s="194"/>
      <c r="T748" s="195">
        <f t="shared" si="93"/>
        <v>0</v>
      </c>
      <c r="U748" s="195">
        <f t="shared" si="94"/>
        <v>0</v>
      </c>
      <c r="V748" s="195">
        <f t="shared" si="95"/>
        <v>0</v>
      </c>
      <c r="W748" s="196" t="e">
        <f t="shared" si="96"/>
        <v>#DIV/0!</v>
      </c>
      <c r="X748" s="197" t="e">
        <f t="shared" si="97"/>
        <v>#DIV/0!</v>
      </c>
      <c r="AG748" s="219" t="s">
        <v>990</v>
      </c>
    </row>
    <row r="749" ht="11.4" customHeight="1" spans="1:34">
      <c r="A749" s="184" t="s">
        <v>2073</v>
      </c>
      <c r="B749" s="184" t="s">
        <v>145</v>
      </c>
      <c r="C749" s="184" t="s">
        <v>2074</v>
      </c>
      <c r="D749" s="185" t="s">
        <v>522</v>
      </c>
      <c r="E749" s="186" t="s">
        <v>906</v>
      </c>
      <c r="F749" s="186" t="s">
        <v>907</v>
      </c>
      <c r="G749" s="186" t="s">
        <v>2075</v>
      </c>
      <c r="H749" s="186" t="s">
        <v>2076</v>
      </c>
      <c r="I749" s="187" t="s">
        <v>2240</v>
      </c>
      <c r="J749" s="187" t="s">
        <v>2241</v>
      </c>
      <c r="K749" s="188"/>
      <c r="L749" s="188"/>
      <c r="M749" s="189" t="s">
        <v>1018</v>
      </c>
      <c r="N749" s="190">
        <v>131.25</v>
      </c>
      <c r="O749" s="190">
        <f t="shared" si="90"/>
        <v>143.06</v>
      </c>
      <c r="P749" s="191">
        <f t="shared" si="91"/>
        <v>0</v>
      </c>
      <c r="Q749" s="192">
        <f t="shared" si="92"/>
        <v>0</v>
      </c>
      <c r="R749" s="193"/>
      <c r="S749" s="194"/>
      <c r="T749" s="195">
        <f t="shared" si="93"/>
        <v>0</v>
      </c>
      <c r="U749" s="195">
        <f t="shared" si="94"/>
        <v>0</v>
      </c>
      <c r="V749" s="195">
        <f t="shared" si="95"/>
        <v>0</v>
      </c>
      <c r="W749" s="196" t="e">
        <f t="shared" si="96"/>
        <v>#DIV/0!</v>
      </c>
      <c r="X749" s="197" t="e">
        <f t="shared" si="97"/>
        <v>#DIV/0!</v>
      </c>
      <c r="AG749" s="219" t="s">
        <v>990</v>
      </c>
    </row>
    <row r="750" ht="11.4" customHeight="1" spans="1:34">
      <c r="A750" s="184" t="s">
        <v>2073</v>
      </c>
      <c r="B750" s="184" t="s">
        <v>145</v>
      </c>
      <c r="C750" s="184" t="s">
        <v>2074</v>
      </c>
      <c r="D750" s="185" t="s">
        <v>522</v>
      </c>
      <c r="E750" s="186" t="s">
        <v>906</v>
      </c>
      <c r="F750" s="186" t="s">
        <v>907</v>
      </c>
      <c r="G750" s="186" t="s">
        <v>2075</v>
      </c>
      <c r="H750" s="186" t="s">
        <v>2076</v>
      </c>
      <c r="I750" s="187" t="s">
        <v>2242</v>
      </c>
      <c r="J750" s="187" t="s">
        <v>2243</v>
      </c>
      <c r="K750" s="188"/>
      <c r="L750" s="188"/>
      <c r="M750" s="189" t="s">
        <v>807</v>
      </c>
      <c r="N750" s="190">
        <v>42</v>
      </c>
      <c r="O750" s="190">
        <f t="shared" si="90"/>
        <v>45.78</v>
      </c>
      <c r="P750" s="191">
        <f t="shared" si="91"/>
        <v>0</v>
      </c>
      <c r="Q750" s="192">
        <f t="shared" si="92"/>
        <v>0</v>
      </c>
      <c r="R750" s="193"/>
      <c r="S750" s="194"/>
      <c r="T750" s="195">
        <f t="shared" si="93"/>
        <v>0</v>
      </c>
      <c r="U750" s="195">
        <f t="shared" si="94"/>
        <v>0</v>
      </c>
      <c r="V750" s="195">
        <f t="shared" si="95"/>
        <v>0</v>
      </c>
      <c r="W750" s="196" t="e">
        <f t="shared" si="96"/>
        <v>#DIV/0!</v>
      </c>
      <c r="X750" s="197" t="e">
        <f t="shared" si="97"/>
        <v>#DIV/0!</v>
      </c>
      <c r="AH750" s="219" t="s">
        <v>1903</v>
      </c>
    </row>
    <row r="751" ht="11.4" customHeight="1" spans="1:34">
      <c r="A751" s="184" t="s">
        <v>2244</v>
      </c>
      <c r="B751" s="184" t="s">
        <v>147</v>
      </c>
      <c r="C751" s="184" t="s">
        <v>2074</v>
      </c>
      <c r="D751" s="185" t="s">
        <v>522</v>
      </c>
      <c r="E751" s="186" t="s">
        <v>906</v>
      </c>
      <c r="F751" s="186" t="s">
        <v>907</v>
      </c>
      <c r="G751" s="186" t="s">
        <v>2075</v>
      </c>
      <c r="H751" s="186" t="s">
        <v>2245</v>
      </c>
      <c r="I751" s="187" t="s">
        <v>2087</v>
      </c>
      <c r="J751" s="187" t="s">
        <v>2088</v>
      </c>
      <c r="K751" s="188"/>
      <c r="L751" s="188"/>
      <c r="M751" s="189" t="s">
        <v>1018</v>
      </c>
      <c r="N751" s="190">
        <v>94.5</v>
      </c>
      <c r="O751" s="190">
        <f t="shared" si="90"/>
        <v>103.01</v>
      </c>
      <c r="P751" s="191">
        <f t="shared" si="91"/>
        <v>0</v>
      </c>
      <c r="Q751" s="192">
        <f t="shared" si="92"/>
        <v>0</v>
      </c>
      <c r="R751" s="193"/>
      <c r="S751" s="194"/>
      <c r="T751" s="195">
        <f t="shared" si="93"/>
        <v>0</v>
      </c>
      <c r="U751" s="195">
        <f t="shared" si="94"/>
        <v>0</v>
      </c>
      <c r="V751" s="195">
        <f t="shared" si="95"/>
        <v>0</v>
      </c>
      <c r="W751" s="196" t="e">
        <f t="shared" si="96"/>
        <v>#DIV/0!</v>
      </c>
      <c r="X751" s="197" t="e">
        <f t="shared" si="97"/>
        <v>#DIV/0!</v>
      </c>
      <c r="AG751" s="219" t="s">
        <v>990</v>
      </c>
    </row>
    <row r="752" ht="11.4" customHeight="1" spans="1:34">
      <c r="A752" s="184" t="s">
        <v>2244</v>
      </c>
      <c r="B752" s="184" t="s">
        <v>147</v>
      </c>
      <c r="C752" s="184" t="s">
        <v>2074</v>
      </c>
      <c r="D752" s="185" t="s">
        <v>522</v>
      </c>
      <c r="E752" s="186" t="s">
        <v>906</v>
      </c>
      <c r="F752" s="186" t="s">
        <v>907</v>
      </c>
      <c r="G752" s="186" t="s">
        <v>2075</v>
      </c>
      <c r="H752" s="186" t="s">
        <v>2245</v>
      </c>
      <c r="I752" s="187" t="s">
        <v>2246</v>
      </c>
      <c r="J752" s="187" t="s">
        <v>2247</v>
      </c>
      <c r="K752" s="188">
        <v>3</v>
      </c>
      <c r="L752" s="188">
        <v>3</v>
      </c>
      <c r="M752" s="189" t="s">
        <v>1018</v>
      </c>
      <c r="N752" s="190">
        <v>107.69</v>
      </c>
      <c r="O752" s="190">
        <f t="shared" si="90"/>
        <v>117.38</v>
      </c>
      <c r="P752" s="191">
        <f t="shared" si="91"/>
        <v>323.07</v>
      </c>
      <c r="Q752" s="192">
        <f t="shared" si="92"/>
        <v>323.07</v>
      </c>
      <c r="R752" s="193"/>
      <c r="S752" s="194"/>
      <c r="T752" s="195">
        <f t="shared" si="93"/>
        <v>0</v>
      </c>
      <c r="U752" s="195">
        <f t="shared" si="94"/>
        <v>0</v>
      </c>
      <c r="V752" s="195">
        <f t="shared" si="95"/>
        <v>0</v>
      </c>
      <c r="W752" s="196">
        <f t="shared" si="96"/>
        <v>0</v>
      </c>
      <c r="X752" s="197">
        <f t="shared" si="97"/>
        <v>0</v>
      </c>
      <c r="AG752" s="219" t="s">
        <v>990</v>
      </c>
    </row>
    <row r="753" ht="11.4" customHeight="1" spans="1:33">
      <c r="A753" s="184" t="s">
        <v>2244</v>
      </c>
      <c r="B753" s="184" t="s">
        <v>147</v>
      </c>
      <c r="C753" s="184" t="s">
        <v>2074</v>
      </c>
      <c r="D753" s="185" t="s">
        <v>522</v>
      </c>
      <c r="E753" s="186" t="s">
        <v>906</v>
      </c>
      <c r="F753" s="186" t="s">
        <v>907</v>
      </c>
      <c r="G753" s="186" t="s">
        <v>2075</v>
      </c>
      <c r="H753" s="186" t="s">
        <v>2245</v>
      </c>
      <c r="I753" s="187" t="s">
        <v>2085</v>
      </c>
      <c r="J753" s="187" t="s">
        <v>2086</v>
      </c>
      <c r="K753" s="221">
        <v>9</v>
      </c>
      <c r="L753" s="188">
        <v>10</v>
      </c>
      <c r="M753" s="189" t="s">
        <v>1018</v>
      </c>
      <c r="N753" s="190">
        <v>40.95</v>
      </c>
      <c r="O753" s="190">
        <f t="shared" si="90"/>
        <v>44.64</v>
      </c>
      <c r="P753" s="191">
        <f t="shared" si="91"/>
        <v>368.55</v>
      </c>
      <c r="Q753" s="192">
        <f t="shared" si="92"/>
        <v>409.5</v>
      </c>
      <c r="R753" s="193"/>
      <c r="S753" s="194"/>
      <c r="T753" s="195">
        <f t="shared" si="93"/>
        <v>-1</v>
      </c>
      <c r="U753" s="195">
        <f t="shared" si="94"/>
        <v>-40.95</v>
      </c>
      <c r="V753" s="195">
        <f t="shared" si="95"/>
        <v>40.95</v>
      </c>
      <c r="W753" s="196">
        <f t="shared" si="96"/>
        <v>-0.1</v>
      </c>
      <c r="X753" s="197">
        <f t="shared" si="97"/>
        <v>0.1</v>
      </c>
      <c r="AG753" s="219" t="s">
        <v>990</v>
      </c>
    </row>
    <row r="754" ht="11.4" customHeight="1" spans="1:33">
      <c r="A754" s="184" t="s">
        <v>2244</v>
      </c>
      <c r="B754" s="184" t="s">
        <v>147</v>
      </c>
      <c r="C754" s="184" t="s">
        <v>2074</v>
      </c>
      <c r="D754" s="185" t="s">
        <v>522</v>
      </c>
      <c r="E754" s="186" t="s">
        <v>906</v>
      </c>
      <c r="F754" s="186" t="s">
        <v>907</v>
      </c>
      <c r="G754" s="186" t="s">
        <v>2075</v>
      </c>
      <c r="H754" s="186" t="s">
        <v>2245</v>
      </c>
      <c r="I754" s="187" t="s">
        <v>2089</v>
      </c>
      <c r="J754" s="187" t="s">
        <v>2090</v>
      </c>
      <c r="K754" s="188"/>
      <c r="L754" s="188"/>
      <c r="M754" s="189" t="s">
        <v>1018</v>
      </c>
      <c r="N754" s="190">
        <v>131.25</v>
      </c>
      <c r="O754" s="190">
        <f t="shared" si="90"/>
        <v>143.06</v>
      </c>
      <c r="P754" s="191">
        <f t="shared" si="91"/>
        <v>0</v>
      </c>
      <c r="Q754" s="192">
        <f t="shared" si="92"/>
        <v>0</v>
      </c>
      <c r="R754" s="193"/>
      <c r="S754" s="194"/>
      <c r="T754" s="195">
        <f t="shared" si="93"/>
        <v>0</v>
      </c>
      <c r="U754" s="195">
        <f t="shared" si="94"/>
        <v>0</v>
      </c>
      <c r="V754" s="195">
        <f t="shared" si="95"/>
        <v>0</v>
      </c>
      <c r="W754" s="196" t="e">
        <f t="shared" si="96"/>
        <v>#DIV/0!</v>
      </c>
      <c r="X754" s="197" t="e">
        <f t="shared" si="97"/>
        <v>#DIV/0!</v>
      </c>
      <c r="AG754" s="219" t="s">
        <v>990</v>
      </c>
    </row>
    <row r="755" ht="11.4" customHeight="1" spans="1:33">
      <c r="A755" s="184" t="s">
        <v>2244</v>
      </c>
      <c r="B755" s="184" t="s">
        <v>147</v>
      </c>
      <c r="C755" s="184" t="s">
        <v>2074</v>
      </c>
      <c r="D755" s="185" t="s">
        <v>522</v>
      </c>
      <c r="E755" s="186" t="s">
        <v>906</v>
      </c>
      <c r="F755" s="186" t="s">
        <v>907</v>
      </c>
      <c r="G755" s="186" t="s">
        <v>2075</v>
      </c>
      <c r="H755" s="186" t="s">
        <v>2245</v>
      </c>
      <c r="I755" s="187" t="s">
        <v>2091</v>
      </c>
      <c r="J755" s="187" t="s">
        <v>2092</v>
      </c>
      <c r="K755" s="188"/>
      <c r="L755" s="188"/>
      <c r="M755" s="189" t="s">
        <v>1018</v>
      </c>
      <c r="N755" s="190">
        <v>222.6</v>
      </c>
      <c r="O755" s="190">
        <f t="shared" si="90"/>
        <v>242.63</v>
      </c>
      <c r="P755" s="191">
        <f t="shared" si="91"/>
        <v>0</v>
      </c>
      <c r="Q755" s="192">
        <f t="shared" si="92"/>
        <v>0</v>
      </c>
      <c r="R755" s="193"/>
      <c r="S755" s="194"/>
      <c r="T755" s="195">
        <f t="shared" si="93"/>
        <v>0</v>
      </c>
      <c r="U755" s="195">
        <f t="shared" si="94"/>
        <v>0</v>
      </c>
      <c r="V755" s="195">
        <f t="shared" si="95"/>
        <v>0</v>
      </c>
      <c r="W755" s="196" t="e">
        <f t="shared" si="96"/>
        <v>#DIV/0!</v>
      </c>
      <c r="X755" s="197" t="e">
        <f t="shared" si="97"/>
        <v>#DIV/0!</v>
      </c>
      <c r="AG755" s="219" t="s">
        <v>990</v>
      </c>
    </row>
    <row r="756" ht="11.4" customHeight="1" spans="1:33">
      <c r="A756" s="184" t="s">
        <v>2244</v>
      </c>
      <c r="B756" s="184" t="s">
        <v>147</v>
      </c>
      <c r="C756" s="184" t="s">
        <v>2074</v>
      </c>
      <c r="D756" s="185" t="s">
        <v>522</v>
      </c>
      <c r="E756" s="186" t="s">
        <v>906</v>
      </c>
      <c r="F756" s="186" t="s">
        <v>907</v>
      </c>
      <c r="G756" s="186" t="s">
        <v>2075</v>
      </c>
      <c r="H756" s="186" t="s">
        <v>2245</v>
      </c>
      <c r="I756" s="187" t="s">
        <v>2093</v>
      </c>
      <c r="J756" s="187" t="s">
        <v>2094</v>
      </c>
      <c r="K756" s="188"/>
      <c r="L756" s="188"/>
      <c r="M756" s="189" t="s">
        <v>1018</v>
      </c>
      <c r="N756" s="190">
        <v>176.4</v>
      </c>
      <c r="O756" s="190">
        <f t="shared" si="90"/>
        <v>192.28</v>
      </c>
      <c r="P756" s="191">
        <f t="shared" si="91"/>
        <v>0</v>
      </c>
      <c r="Q756" s="192">
        <f t="shared" si="92"/>
        <v>0</v>
      </c>
      <c r="R756" s="193"/>
      <c r="S756" s="194"/>
      <c r="T756" s="195">
        <f t="shared" si="93"/>
        <v>0</v>
      </c>
      <c r="U756" s="195">
        <f t="shared" si="94"/>
        <v>0</v>
      </c>
      <c r="V756" s="195">
        <f t="shared" si="95"/>
        <v>0</v>
      </c>
      <c r="W756" s="196" t="e">
        <f t="shared" si="96"/>
        <v>#DIV/0!</v>
      </c>
      <c r="X756" s="197" t="e">
        <f t="shared" si="97"/>
        <v>#DIV/0!</v>
      </c>
      <c r="AG756" s="219" t="s">
        <v>990</v>
      </c>
    </row>
    <row r="757" ht="11.4" customHeight="1" spans="1:33">
      <c r="A757" s="184" t="s">
        <v>2244</v>
      </c>
      <c r="B757" s="184" t="s">
        <v>147</v>
      </c>
      <c r="C757" s="184" t="s">
        <v>2074</v>
      </c>
      <c r="D757" s="185" t="s">
        <v>522</v>
      </c>
      <c r="E757" s="186" t="s">
        <v>906</v>
      </c>
      <c r="F757" s="186" t="s">
        <v>907</v>
      </c>
      <c r="G757" s="186" t="s">
        <v>2075</v>
      </c>
      <c r="H757" s="186" t="s">
        <v>2245</v>
      </c>
      <c r="I757" s="187" t="s">
        <v>2095</v>
      </c>
      <c r="J757" s="187" t="s">
        <v>2096</v>
      </c>
      <c r="K757" s="188"/>
      <c r="L757" s="188"/>
      <c r="M757" s="189" t="s">
        <v>1018</v>
      </c>
      <c r="N757" s="190">
        <v>134.4</v>
      </c>
      <c r="O757" s="190">
        <f t="shared" si="90"/>
        <v>146.5</v>
      </c>
      <c r="P757" s="191">
        <f t="shared" si="91"/>
        <v>0</v>
      </c>
      <c r="Q757" s="192">
        <f t="shared" si="92"/>
        <v>0</v>
      </c>
      <c r="R757" s="193"/>
      <c r="S757" s="194"/>
      <c r="T757" s="195">
        <f t="shared" si="93"/>
        <v>0</v>
      </c>
      <c r="U757" s="195">
        <f t="shared" si="94"/>
        <v>0</v>
      </c>
      <c r="V757" s="195">
        <f t="shared" si="95"/>
        <v>0</v>
      </c>
      <c r="W757" s="196" t="e">
        <f t="shared" si="96"/>
        <v>#DIV/0!</v>
      </c>
      <c r="X757" s="197" t="e">
        <f t="shared" si="97"/>
        <v>#DIV/0!</v>
      </c>
      <c r="AG757" s="219" t="s">
        <v>990</v>
      </c>
    </row>
    <row r="758" ht="11.4" customHeight="1" spans="1:33">
      <c r="A758" s="184" t="s">
        <v>2244</v>
      </c>
      <c r="B758" s="184" t="s">
        <v>147</v>
      </c>
      <c r="C758" s="184" t="s">
        <v>2074</v>
      </c>
      <c r="D758" s="185" t="s">
        <v>522</v>
      </c>
      <c r="E758" s="186" t="s">
        <v>906</v>
      </c>
      <c r="F758" s="186" t="s">
        <v>907</v>
      </c>
      <c r="G758" s="186" t="s">
        <v>2075</v>
      </c>
      <c r="H758" s="186" t="s">
        <v>2245</v>
      </c>
      <c r="I758" s="187" t="s">
        <v>2097</v>
      </c>
      <c r="J758" s="187" t="s">
        <v>2098</v>
      </c>
      <c r="K758" s="188"/>
      <c r="L758" s="188"/>
      <c r="M758" s="189" t="s">
        <v>1018</v>
      </c>
      <c r="N758" s="190">
        <v>152.56</v>
      </c>
      <c r="O758" s="190">
        <f t="shared" si="90"/>
        <v>166.29</v>
      </c>
      <c r="P758" s="191">
        <f t="shared" si="91"/>
        <v>0</v>
      </c>
      <c r="Q758" s="192">
        <f t="shared" si="92"/>
        <v>0</v>
      </c>
      <c r="R758" s="193"/>
      <c r="S758" s="194"/>
      <c r="T758" s="195">
        <f t="shared" si="93"/>
        <v>0</v>
      </c>
      <c r="U758" s="195">
        <f t="shared" si="94"/>
        <v>0</v>
      </c>
      <c r="V758" s="195">
        <f t="shared" si="95"/>
        <v>0</v>
      </c>
      <c r="W758" s="196" t="e">
        <f t="shared" si="96"/>
        <v>#DIV/0!</v>
      </c>
      <c r="X758" s="197" t="e">
        <f t="shared" si="97"/>
        <v>#DIV/0!</v>
      </c>
      <c r="AG758" s="219" t="s">
        <v>990</v>
      </c>
    </row>
    <row r="759" ht="11.4" customHeight="1" spans="1:33">
      <c r="A759" s="184" t="s">
        <v>2244</v>
      </c>
      <c r="B759" s="184" t="s">
        <v>147</v>
      </c>
      <c r="C759" s="184" t="s">
        <v>2074</v>
      </c>
      <c r="D759" s="185" t="s">
        <v>522</v>
      </c>
      <c r="E759" s="186" t="s">
        <v>906</v>
      </c>
      <c r="F759" s="186" t="s">
        <v>907</v>
      </c>
      <c r="G759" s="186" t="s">
        <v>2075</v>
      </c>
      <c r="H759" s="186" t="s">
        <v>2245</v>
      </c>
      <c r="I759" s="187" t="s">
        <v>2099</v>
      </c>
      <c r="J759" s="187" t="s">
        <v>2100</v>
      </c>
      <c r="K759" s="188">
        <v>2</v>
      </c>
      <c r="L759" s="188">
        <v>2</v>
      </c>
      <c r="M759" s="189" t="s">
        <v>1018</v>
      </c>
      <c r="N759" s="190">
        <v>222.6</v>
      </c>
      <c r="O759" s="190">
        <f t="shared" si="90"/>
        <v>242.63</v>
      </c>
      <c r="P759" s="191">
        <f t="shared" si="91"/>
        <v>445.2</v>
      </c>
      <c r="Q759" s="192">
        <f t="shared" si="92"/>
        <v>445.2</v>
      </c>
      <c r="R759" s="193"/>
      <c r="S759" s="194"/>
      <c r="T759" s="195">
        <f t="shared" si="93"/>
        <v>0</v>
      </c>
      <c r="U759" s="195">
        <f t="shared" si="94"/>
        <v>0</v>
      </c>
      <c r="V759" s="195">
        <f t="shared" si="95"/>
        <v>0</v>
      </c>
      <c r="W759" s="196">
        <f t="shared" si="96"/>
        <v>0</v>
      </c>
      <c r="X759" s="197">
        <f t="shared" si="97"/>
        <v>0</v>
      </c>
      <c r="AG759" s="219" t="s">
        <v>990</v>
      </c>
    </row>
    <row r="760" ht="11.4" customHeight="1" spans="1:33">
      <c r="A760" s="184" t="s">
        <v>2244</v>
      </c>
      <c r="B760" s="184" t="s">
        <v>147</v>
      </c>
      <c r="C760" s="184" t="s">
        <v>2074</v>
      </c>
      <c r="D760" s="185" t="s">
        <v>522</v>
      </c>
      <c r="E760" s="186" t="s">
        <v>906</v>
      </c>
      <c r="F760" s="186" t="s">
        <v>907</v>
      </c>
      <c r="G760" s="186" t="s">
        <v>2075</v>
      </c>
      <c r="H760" s="186" t="s">
        <v>2245</v>
      </c>
      <c r="I760" s="187" t="s">
        <v>2101</v>
      </c>
      <c r="J760" s="187" t="s">
        <v>2102</v>
      </c>
      <c r="K760" s="188"/>
      <c r="L760" s="188"/>
      <c r="M760" s="189" t="s">
        <v>1018</v>
      </c>
      <c r="N760" s="190">
        <v>86.1</v>
      </c>
      <c r="O760" s="190">
        <f t="shared" si="90"/>
        <v>93.85</v>
      </c>
      <c r="P760" s="191">
        <f t="shared" si="91"/>
        <v>0</v>
      </c>
      <c r="Q760" s="192">
        <f t="shared" si="92"/>
        <v>0</v>
      </c>
      <c r="R760" s="193"/>
      <c r="S760" s="194"/>
      <c r="T760" s="195">
        <f t="shared" si="93"/>
        <v>0</v>
      </c>
      <c r="U760" s="195">
        <f t="shared" si="94"/>
        <v>0</v>
      </c>
      <c r="V760" s="195">
        <f t="shared" si="95"/>
        <v>0</v>
      </c>
      <c r="W760" s="196" t="e">
        <f t="shared" si="96"/>
        <v>#DIV/0!</v>
      </c>
      <c r="X760" s="197" t="e">
        <f t="shared" si="97"/>
        <v>#DIV/0!</v>
      </c>
      <c r="AG760" s="219" t="s">
        <v>990</v>
      </c>
    </row>
    <row r="761" ht="11.4" customHeight="1" spans="1:33">
      <c r="A761" s="184" t="s">
        <v>2244</v>
      </c>
      <c r="B761" s="184" t="s">
        <v>147</v>
      </c>
      <c r="C761" s="184" t="s">
        <v>2074</v>
      </c>
      <c r="D761" s="185" t="s">
        <v>522</v>
      </c>
      <c r="E761" s="186" t="s">
        <v>906</v>
      </c>
      <c r="F761" s="186" t="s">
        <v>907</v>
      </c>
      <c r="G761" s="186" t="s">
        <v>2075</v>
      </c>
      <c r="H761" s="186" t="s">
        <v>2245</v>
      </c>
      <c r="I761" s="187" t="s">
        <v>2248</v>
      </c>
      <c r="J761" s="187" t="s">
        <v>2249</v>
      </c>
      <c r="K761" s="188">
        <v>11</v>
      </c>
      <c r="L761" s="188">
        <v>11</v>
      </c>
      <c r="M761" s="189" t="s">
        <v>1018</v>
      </c>
      <c r="N761" s="190">
        <v>190.05</v>
      </c>
      <c r="O761" s="190">
        <f t="shared" si="90"/>
        <v>207.15</v>
      </c>
      <c r="P761" s="191">
        <f t="shared" si="91"/>
        <v>2090.55</v>
      </c>
      <c r="Q761" s="192">
        <f t="shared" si="92"/>
        <v>2090.55</v>
      </c>
      <c r="R761" s="193"/>
      <c r="S761" s="194"/>
      <c r="T761" s="195">
        <f t="shared" si="93"/>
        <v>0</v>
      </c>
      <c r="U761" s="195">
        <f t="shared" si="94"/>
        <v>0</v>
      </c>
      <c r="V761" s="195">
        <f t="shared" si="95"/>
        <v>0</v>
      </c>
      <c r="W761" s="196">
        <f t="shared" si="96"/>
        <v>0</v>
      </c>
      <c r="X761" s="197">
        <f t="shared" si="97"/>
        <v>0</v>
      </c>
      <c r="AG761" s="219" t="s">
        <v>990</v>
      </c>
    </row>
    <row r="762" ht="11.4" customHeight="1" spans="1:33">
      <c r="A762" s="184" t="s">
        <v>2244</v>
      </c>
      <c r="B762" s="184" t="s">
        <v>147</v>
      </c>
      <c r="C762" s="184" t="s">
        <v>2074</v>
      </c>
      <c r="D762" s="185" t="s">
        <v>522</v>
      </c>
      <c r="E762" s="186" t="s">
        <v>906</v>
      </c>
      <c r="F762" s="186" t="s">
        <v>907</v>
      </c>
      <c r="G762" s="186" t="s">
        <v>2075</v>
      </c>
      <c r="H762" s="186" t="s">
        <v>2245</v>
      </c>
      <c r="I762" s="187" t="s">
        <v>2250</v>
      </c>
      <c r="J762" s="187" t="s">
        <v>2251</v>
      </c>
      <c r="K762" s="188"/>
      <c r="L762" s="188"/>
      <c r="M762" s="189" t="s">
        <v>1018</v>
      </c>
      <c r="N762" s="190">
        <v>190.05</v>
      </c>
      <c r="O762" s="190">
        <f t="shared" si="90"/>
        <v>207.15</v>
      </c>
      <c r="P762" s="191">
        <f t="shared" si="91"/>
        <v>0</v>
      </c>
      <c r="Q762" s="192">
        <f t="shared" si="92"/>
        <v>0</v>
      </c>
      <c r="R762" s="193"/>
      <c r="S762" s="194"/>
      <c r="T762" s="195">
        <f t="shared" si="93"/>
        <v>0</v>
      </c>
      <c r="U762" s="195">
        <f t="shared" si="94"/>
        <v>0</v>
      </c>
      <c r="V762" s="195">
        <f t="shared" si="95"/>
        <v>0</v>
      </c>
      <c r="W762" s="196" t="e">
        <f t="shared" si="96"/>
        <v>#DIV/0!</v>
      </c>
      <c r="X762" s="197" t="e">
        <f t="shared" si="97"/>
        <v>#DIV/0!</v>
      </c>
      <c r="AG762" s="219" t="s">
        <v>990</v>
      </c>
    </row>
    <row r="763" ht="11.4" customHeight="1" spans="1:33">
      <c r="A763" s="184" t="s">
        <v>2244</v>
      </c>
      <c r="B763" s="184" t="s">
        <v>147</v>
      </c>
      <c r="C763" s="184" t="s">
        <v>2074</v>
      </c>
      <c r="D763" s="185" t="s">
        <v>522</v>
      </c>
      <c r="E763" s="186" t="s">
        <v>906</v>
      </c>
      <c r="F763" s="186" t="s">
        <v>907</v>
      </c>
      <c r="G763" s="186" t="s">
        <v>2075</v>
      </c>
      <c r="H763" s="186" t="s">
        <v>2245</v>
      </c>
      <c r="I763" s="187" t="s">
        <v>2252</v>
      </c>
      <c r="J763" s="187" t="s">
        <v>2253</v>
      </c>
      <c r="K763" s="188">
        <v>1</v>
      </c>
      <c r="L763" s="188">
        <v>1</v>
      </c>
      <c r="M763" s="189" t="s">
        <v>1018</v>
      </c>
      <c r="N763" s="190">
        <v>194.25</v>
      </c>
      <c r="O763" s="190">
        <f t="shared" si="90"/>
        <v>211.73</v>
      </c>
      <c r="P763" s="191">
        <f t="shared" si="91"/>
        <v>194.25</v>
      </c>
      <c r="Q763" s="192">
        <f t="shared" si="92"/>
        <v>194.25</v>
      </c>
      <c r="R763" s="193"/>
      <c r="S763" s="194"/>
      <c r="T763" s="195">
        <f t="shared" si="93"/>
        <v>0</v>
      </c>
      <c r="U763" s="195">
        <f t="shared" si="94"/>
        <v>0</v>
      </c>
      <c r="V763" s="195">
        <f t="shared" si="95"/>
        <v>0</v>
      </c>
      <c r="W763" s="196">
        <f t="shared" si="96"/>
        <v>0</v>
      </c>
      <c r="X763" s="197">
        <f t="shared" si="97"/>
        <v>0</v>
      </c>
      <c r="AG763" s="219" t="s">
        <v>990</v>
      </c>
    </row>
    <row r="764" ht="11.4" customHeight="1" spans="1:33">
      <c r="A764" s="184" t="s">
        <v>2244</v>
      </c>
      <c r="B764" s="184" t="s">
        <v>147</v>
      </c>
      <c r="C764" s="184" t="s">
        <v>2074</v>
      </c>
      <c r="D764" s="185" t="s">
        <v>522</v>
      </c>
      <c r="E764" s="186" t="s">
        <v>906</v>
      </c>
      <c r="F764" s="186" t="s">
        <v>907</v>
      </c>
      <c r="G764" s="186" t="s">
        <v>2075</v>
      </c>
      <c r="H764" s="186" t="s">
        <v>2245</v>
      </c>
      <c r="I764" s="187" t="s">
        <v>2131</v>
      </c>
      <c r="J764" s="187" t="s">
        <v>2132</v>
      </c>
      <c r="K764" s="188"/>
      <c r="L764" s="188"/>
      <c r="M764" s="189" t="s">
        <v>1018</v>
      </c>
      <c r="N764" s="190">
        <v>176.4</v>
      </c>
      <c r="O764" s="190">
        <f t="shared" si="90"/>
        <v>192.28</v>
      </c>
      <c r="P764" s="191">
        <f t="shared" si="91"/>
        <v>0</v>
      </c>
      <c r="Q764" s="192">
        <f t="shared" si="92"/>
        <v>0</v>
      </c>
      <c r="R764" s="193"/>
      <c r="S764" s="194"/>
      <c r="T764" s="195">
        <f t="shared" si="93"/>
        <v>0</v>
      </c>
      <c r="U764" s="195">
        <f t="shared" si="94"/>
        <v>0</v>
      </c>
      <c r="V764" s="195">
        <f t="shared" si="95"/>
        <v>0</v>
      </c>
      <c r="W764" s="196" t="e">
        <f t="shared" si="96"/>
        <v>#DIV/0!</v>
      </c>
      <c r="X764" s="197" t="e">
        <f t="shared" si="97"/>
        <v>#DIV/0!</v>
      </c>
      <c r="AG764" s="219" t="s">
        <v>990</v>
      </c>
    </row>
    <row r="765" ht="11.4" customHeight="1" spans="1:33">
      <c r="A765" s="184" t="s">
        <v>2244</v>
      </c>
      <c r="B765" s="184" t="s">
        <v>147</v>
      </c>
      <c r="C765" s="184" t="s">
        <v>2074</v>
      </c>
      <c r="D765" s="185" t="s">
        <v>522</v>
      </c>
      <c r="E765" s="186" t="s">
        <v>906</v>
      </c>
      <c r="F765" s="186" t="s">
        <v>907</v>
      </c>
      <c r="G765" s="186" t="s">
        <v>2075</v>
      </c>
      <c r="H765" s="186" t="s">
        <v>2245</v>
      </c>
      <c r="I765" s="187" t="s">
        <v>2142</v>
      </c>
      <c r="J765" s="187" t="s">
        <v>2143</v>
      </c>
      <c r="K765" s="188"/>
      <c r="L765" s="188"/>
      <c r="M765" s="189" t="s">
        <v>1018</v>
      </c>
      <c r="N765" s="190">
        <v>92.4</v>
      </c>
      <c r="O765" s="190">
        <f t="shared" si="90"/>
        <v>100.72</v>
      </c>
      <c r="P765" s="191">
        <f t="shared" si="91"/>
        <v>0</v>
      </c>
      <c r="Q765" s="192">
        <f t="shared" si="92"/>
        <v>0</v>
      </c>
      <c r="R765" s="193"/>
      <c r="S765" s="194"/>
      <c r="T765" s="195">
        <f t="shared" si="93"/>
        <v>0</v>
      </c>
      <c r="U765" s="195">
        <f t="shared" si="94"/>
        <v>0</v>
      </c>
      <c r="V765" s="195">
        <f t="shared" si="95"/>
        <v>0</v>
      </c>
      <c r="W765" s="196" t="e">
        <f t="shared" si="96"/>
        <v>#DIV/0!</v>
      </c>
      <c r="X765" s="197" t="e">
        <f t="shared" si="97"/>
        <v>#DIV/0!</v>
      </c>
      <c r="AG765" s="219" t="s">
        <v>990</v>
      </c>
    </row>
    <row r="766" ht="11.4" customHeight="1" spans="1:33">
      <c r="A766" s="184" t="s">
        <v>2244</v>
      </c>
      <c r="B766" s="184" t="s">
        <v>147</v>
      </c>
      <c r="C766" s="184" t="s">
        <v>2074</v>
      </c>
      <c r="D766" s="185" t="s">
        <v>522</v>
      </c>
      <c r="E766" s="186" t="s">
        <v>906</v>
      </c>
      <c r="F766" s="186" t="s">
        <v>907</v>
      </c>
      <c r="G766" s="186" t="s">
        <v>2075</v>
      </c>
      <c r="H766" s="186" t="s">
        <v>2245</v>
      </c>
      <c r="I766" s="187" t="s">
        <v>2144</v>
      </c>
      <c r="J766" s="187" t="s">
        <v>2145</v>
      </c>
      <c r="K766" s="188"/>
      <c r="L766" s="188"/>
      <c r="M766" s="189" t="s">
        <v>1018</v>
      </c>
      <c r="N766" s="190">
        <v>111.3</v>
      </c>
      <c r="O766" s="190">
        <f t="shared" si="90"/>
        <v>121.32</v>
      </c>
      <c r="P766" s="191">
        <f t="shared" si="91"/>
        <v>0</v>
      </c>
      <c r="Q766" s="192">
        <f t="shared" si="92"/>
        <v>0</v>
      </c>
      <c r="R766" s="193"/>
      <c r="S766" s="194"/>
      <c r="T766" s="195">
        <f t="shared" si="93"/>
        <v>0</v>
      </c>
      <c r="U766" s="195">
        <f t="shared" si="94"/>
        <v>0</v>
      </c>
      <c r="V766" s="195">
        <f t="shared" si="95"/>
        <v>0</v>
      </c>
      <c r="W766" s="196" t="e">
        <f t="shared" si="96"/>
        <v>#DIV/0!</v>
      </c>
      <c r="X766" s="197" t="e">
        <f t="shared" si="97"/>
        <v>#DIV/0!</v>
      </c>
      <c r="AG766" s="219" t="s">
        <v>990</v>
      </c>
    </row>
    <row r="767" ht="11.4" customHeight="1" spans="1:33">
      <c r="A767" s="184" t="s">
        <v>2244</v>
      </c>
      <c r="B767" s="184" t="s">
        <v>147</v>
      </c>
      <c r="C767" s="184" t="s">
        <v>2074</v>
      </c>
      <c r="D767" s="185" t="s">
        <v>522</v>
      </c>
      <c r="E767" s="186" t="s">
        <v>906</v>
      </c>
      <c r="F767" s="186" t="s">
        <v>907</v>
      </c>
      <c r="G767" s="186" t="s">
        <v>2075</v>
      </c>
      <c r="H767" s="186" t="s">
        <v>2245</v>
      </c>
      <c r="I767" s="187" t="s">
        <v>2146</v>
      </c>
      <c r="J767" s="187" t="s">
        <v>2147</v>
      </c>
      <c r="K767" s="188"/>
      <c r="L767" s="188"/>
      <c r="M767" s="189" t="s">
        <v>1018</v>
      </c>
      <c r="N767" s="190">
        <v>181.65</v>
      </c>
      <c r="O767" s="190">
        <f t="shared" si="90"/>
        <v>198</v>
      </c>
      <c r="P767" s="191">
        <f t="shared" si="91"/>
        <v>0</v>
      </c>
      <c r="Q767" s="192">
        <f t="shared" si="92"/>
        <v>0</v>
      </c>
      <c r="R767" s="193"/>
      <c r="S767" s="194"/>
      <c r="T767" s="195">
        <f t="shared" si="93"/>
        <v>0</v>
      </c>
      <c r="U767" s="195">
        <f t="shared" si="94"/>
        <v>0</v>
      </c>
      <c r="V767" s="195">
        <f t="shared" si="95"/>
        <v>0</v>
      </c>
      <c r="W767" s="196" t="e">
        <f t="shared" si="96"/>
        <v>#DIV/0!</v>
      </c>
      <c r="X767" s="197" t="e">
        <f t="shared" si="97"/>
        <v>#DIV/0!</v>
      </c>
      <c r="AG767" s="219" t="s">
        <v>990</v>
      </c>
    </row>
    <row r="768" ht="11.4" customHeight="1" spans="1:33">
      <c r="A768" s="184" t="s">
        <v>2244</v>
      </c>
      <c r="B768" s="184" t="s">
        <v>147</v>
      </c>
      <c r="C768" s="184" t="s">
        <v>2074</v>
      </c>
      <c r="D768" s="185" t="s">
        <v>522</v>
      </c>
      <c r="E768" s="186" t="s">
        <v>906</v>
      </c>
      <c r="F768" s="186" t="s">
        <v>907</v>
      </c>
      <c r="G768" s="186" t="s">
        <v>2075</v>
      </c>
      <c r="H768" s="186" t="s">
        <v>2245</v>
      </c>
      <c r="I768" s="187" t="s">
        <v>2148</v>
      </c>
      <c r="J768" s="187" t="s">
        <v>2149</v>
      </c>
      <c r="K768" s="188"/>
      <c r="L768" s="188"/>
      <c r="M768" s="189" t="s">
        <v>1018</v>
      </c>
      <c r="N768" s="190">
        <v>198.45</v>
      </c>
      <c r="O768" s="190">
        <f t="shared" si="90"/>
        <v>216.31</v>
      </c>
      <c r="P768" s="191">
        <f t="shared" si="91"/>
        <v>0</v>
      </c>
      <c r="Q768" s="192">
        <f t="shared" si="92"/>
        <v>0</v>
      </c>
      <c r="R768" s="193"/>
      <c r="S768" s="194"/>
      <c r="T768" s="195">
        <f t="shared" si="93"/>
        <v>0</v>
      </c>
      <c r="U768" s="195">
        <f t="shared" si="94"/>
        <v>0</v>
      </c>
      <c r="V768" s="195">
        <f t="shared" si="95"/>
        <v>0</v>
      </c>
      <c r="W768" s="196" t="e">
        <f t="shared" si="96"/>
        <v>#DIV/0!</v>
      </c>
      <c r="X768" s="197" t="e">
        <f t="shared" si="97"/>
        <v>#DIV/0!</v>
      </c>
      <c r="AG768" s="219" t="s">
        <v>990</v>
      </c>
    </row>
    <row r="769" ht="11.4" customHeight="1" spans="1:33">
      <c r="A769" s="184" t="s">
        <v>2244</v>
      </c>
      <c r="B769" s="184" t="s">
        <v>147</v>
      </c>
      <c r="C769" s="184" t="s">
        <v>2074</v>
      </c>
      <c r="D769" s="185" t="s">
        <v>522</v>
      </c>
      <c r="E769" s="186" t="s">
        <v>906</v>
      </c>
      <c r="F769" s="186" t="s">
        <v>907</v>
      </c>
      <c r="G769" s="186" t="s">
        <v>2075</v>
      </c>
      <c r="H769" s="186" t="s">
        <v>2245</v>
      </c>
      <c r="I769" s="187" t="s">
        <v>2150</v>
      </c>
      <c r="J769" s="187" t="s">
        <v>2151</v>
      </c>
      <c r="K769" s="188"/>
      <c r="L769" s="188"/>
      <c r="M769" s="189" t="s">
        <v>1018</v>
      </c>
      <c r="N769" s="190">
        <v>113.4</v>
      </c>
      <c r="O769" s="190">
        <f t="shared" si="90"/>
        <v>123.61</v>
      </c>
      <c r="P769" s="191">
        <f t="shared" si="91"/>
        <v>0</v>
      </c>
      <c r="Q769" s="192">
        <f t="shared" si="92"/>
        <v>0</v>
      </c>
      <c r="R769" s="193"/>
      <c r="S769" s="194"/>
      <c r="T769" s="195">
        <f t="shared" si="93"/>
        <v>0</v>
      </c>
      <c r="U769" s="195">
        <f t="shared" si="94"/>
        <v>0</v>
      </c>
      <c r="V769" s="195">
        <f t="shared" si="95"/>
        <v>0</v>
      </c>
      <c r="W769" s="196" t="e">
        <f t="shared" si="96"/>
        <v>#DIV/0!</v>
      </c>
      <c r="X769" s="197" t="e">
        <f t="shared" si="97"/>
        <v>#DIV/0!</v>
      </c>
      <c r="AG769" s="219" t="s">
        <v>990</v>
      </c>
    </row>
    <row r="770" ht="11.4" customHeight="1" spans="1:33">
      <c r="A770" s="184" t="s">
        <v>2244</v>
      </c>
      <c r="B770" s="184" t="s">
        <v>147</v>
      </c>
      <c r="C770" s="184" t="s">
        <v>2074</v>
      </c>
      <c r="D770" s="185" t="s">
        <v>522</v>
      </c>
      <c r="E770" s="186" t="s">
        <v>906</v>
      </c>
      <c r="F770" s="186" t="s">
        <v>907</v>
      </c>
      <c r="G770" s="186" t="s">
        <v>2075</v>
      </c>
      <c r="H770" s="186" t="s">
        <v>2245</v>
      </c>
      <c r="I770" s="187" t="s">
        <v>2152</v>
      </c>
      <c r="J770" s="187" t="s">
        <v>2153</v>
      </c>
      <c r="K770" s="188"/>
      <c r="L770" s="188"/>
      <c r="M770" s="189" t="s">
        <v>1018</v>
      </c>
      <c r="N770" s="190">
        <v>152.56</v>
      </c>
      <c r="O770" s="190">
        <f t="shared" si="90"/>
        <v>166.29</v>
      </c>
      <c r="P770" s="191">
        <f t="shared" si="91"/>
        <v>0</v>
      </c>
      <c r="Q770" s="192">
        <f t="shared" si="92"/>
        <v>0</v>
      </c>
      <c r="R770" s="193"/>
      <c r="S770" s="194"/>
      <c r="T770" s="195">
        <f t="shared" si="93"/>
        <v>0</v>
      </c>
      <c r="U770" s="195">
        <f t="shared" si="94"/>
        <v>0</v>
      </c>
      <c r="V770" s="195">
        <f t="shared" si="95"/>
        <v>0</v>
      </c>
      <c r="W770" s="196" t="e">
        <f t="shared" si="96"/>
        <v>#DIV/0!</v>
      </c>
      <c r="X770" s="197" t="e">
        <f t="shared" si="97"/>
        <v>#DIV/0!</v>
      </c>
      <c r="AG770" s="219" t="s">
        <v>990</v>
      </c>
    </row>
    <row r="771" ht="11.4" customHeight="1" spans="1:33">
      <c r="A771" s="184" t="s">
        <v>2244</v>
      </c>
      <c r="B771" s="184" t="s">
        <v>147</v>
      </c>
      <c r="C771" s="184" t="s">
        <v>2074</v>
      </c>
      <c r="D771" s="185" t="s">
        <v>522</v>
      </c>
      <c r="E771" s="186" t="s">
        <v>906</v>
      </c>
      <c r="F771" s="186" t="s">
        <v>907</v>
      </c>
      <c r="G771" s="186" t="s">
        <v>2075</v>
      </c>
      <c r="H771" s="186" t="s">
        <v>2245</v>
      </c>
      <c r="I771" s="187" t="s">
        <v>2154</v>
      </c>
      <c r="J771" s="187" t="s">
        <v>2155</v>
      </c>
      <c r="K771" s="188"/>
      <c r="L771" s="188"/>
      <c r="M771" s="189" t="s">
        <v>1018</v>
      </c>
      <c r="N771" s="190">
        <v>184.8</v>
      </c>
      <c r="O771" s="190">
        <f t="shared" si="90"/>
        <v>201.43</v>
      </c>
      <c r="P771" s="191">
        <f t="shared" si="91"/>
        <v>0</v>
      </c>
      <c r="Q771" s="192">
        <f t="shared" si="92"/>
        <v>0</v>
      </c>
      <c r="R771" s="193"/>
      <c r="S771" s="194"/>
      <c r="T771" s="195">
        <f t="shared" si="93"/>
        <v>0</v>
      </c>
      <c r="U771" s="195">
        <f t="shared" si="94"/>
        <v>0</v>
      </c>
      <c r="V771" s="195">
        <f t="shared" si="95"/>
        <v>0</v>
      </c>
      <c r="W771" s="196" t="e">
        <f t="shared" si="96"/>
        <v>#DIV/0!</v>
      </c>
      <c r="X771" s="197" t="e">
        <f t="shared" si="97"/>
        <v>#DIV/0!</v>
      </c>
      <c r="AG771" s="219" t="s">
        <v>990</v>
      </c>
    </row>
    <row r="772" ht="11.4" customHeight="1" spans="1:33">
      <c r="A772" s="184" t="s">
        <v>2244</v>
      </c>
      <c r="B772" s="184" t="s">
        <v>147</v>
      </c>
      <c r="C772" s="184" t="s">
        <v>2074</v>
      </c>
      <c r="D772" s="185" t="s">
        <v>522</v>
      </c>
      <c r="E772" s="186" t="s">
        <v>906</v>
      </c>
      <c r="F772" s="186" t="s">
        <v>907</v>
      </c>
      <c r="G772" s="186" t="s">
        <v>2075</v>
      </c>
      <c r="H772" s="186" t="s">
        <v>2245</v>
      </c>
      <c r="I772" s="187" t="s">
        <v>2156</v>
      </c>
      <c r="J772" s="187" t="s">
        <v>2157</v>
      </c>
      <c r="K772" s="188"/>
      <c r="L772" s="188"/>
      <c r="M772" s="189" t="s">
        <v>1018</v>
      </c>
      <c r="N772" s="190">
        <v>89.25</v>
      </c>
      <c r="O772" s="190">
        <f t="shared" si="90"/>
        <v>97.28</v>
      </c>
      <c r="P772" s="191">
        <f t="shared" si="91"/>
        <v>0</v>
      </c>
      <c r="Q772" s="192">
        <f t="shared" si="92"/>
        <v>0</v>
      </c>
      <c r="R772" s="193"/>
      <c r="S772" s="194"/>
      <c r="T772" s="195">
        <f t="shared" si="93"/>
        <v>0</v>
      </c>
      <c r="U772" s="195">
        <f t="shared" si="94"/>
        <v>0</v>
      </c>
      <c r="V772" s="195">
        <f t="shared" si="95"/>
        <v>0</v>
      </c>
      <c r="W772" s="196" t="e">
        <f t="shared" si="96"/>
        <v>#DIV/0!</v>
      </c>
      <c r="X772" s="197" t="e">
        <f t="shared" si="97"/>
        <v>#DIV/0!</v>
      </c>
      <c r="AG772" s="219" t="s">
        <v>990</v>
      </c>
    </row>
    <row r="773" ht="11.4" customHeight="1" spans="1:33">
      <c r="A773" s="184" t="s">
        <v>2244</v>
      </c>
      <c r="B773" s="184" t="s">
        <v>147</v>
      </c>
      <c r="C773" s="184" t="s">
        <v>2074</v>
      </c>
      <c r="D773" s="185" t="s">
        <v>522</v>
      </c>
      <c r="E773" s="186" t="s">
        <v>906</v>
      </c>
      <c r="F773" s="186" t="s">
        <v>907</v>
      </c>
      <c r="G773" s="186" t="s">
        <v>2075</v>
      </c>
      <c r="H773" s="186" t="s">
        <v>2245</v>
      </c>
      <c r="I773" s="187" t="s">
        <v>2254</v>
      </c>
      <c r="J773" s="187" t="s">
        <v>2255</v>
      </c>
      <c r="K773" s="188"/>
      <c r="L773" s="188"/>
      <c r="M773" s="189" t="s">
        <v>1018</v>
      </c>
      <c r="N773" s="190">
        <v>170.1</v>
      </c>
      <c r="O773" s="190">
        <f t="shared" si="90"/>
        <v>185.41</v>
      </c>
      <c r="P773" s="191">
        <f t="shared" si="91"/>
        <v>0</v>
      </c>
      <c r="Q773" s="192">
        <f t="shared" si="92"/>
        <v>0</v>
      </c>
      <c r="R773" s="193"/>
      <c r="S773" s="194"/>
      <c r="T773" s="195">
        <f t="shared" si="93"/>
        <v>0</v>
      </c>
      <c r="U773" s="195">
        <f t="shared" si="94"/>
        <v>0</v>
      </c>
      <c r="V773" s="195">
        <f t="shared" si="95"/>
        <v>0</v>
      </c>
      <c r="W773" s="196" t="e">
        <f t="shared" si="96"/>
        <v>#DIV/0!</v>
      </c>
      <c r="X773" s="197" t="e">
        <f t="shared" si="97"/>
        <v>#DIV/0!</v>
      </c>
      <c r="AG773" s="219" t="s">
        <v>990</v>
      </c>
    </row>
    <row r="774" ht="11.4" customHeight="1" spans="1:33">
      <c r="A774" s="184" t="s">
        <v>2244</v>
      </c>
      <c r="B774" s="184" t="s">
        <v>147</v>
      </c>
      <c r="C774" s="184" t="s">
        <v>2074</v>
      </c>
      <c r="D774" s="185" t="s">
        <v>522</v>
      </c>
      <c r="E774" s="186" t="s">
        <v>906</v>
      </c>
      <c r="F774" s="186" t="s">
        <v>907</v>
      </c>
      <c r="G774" s="186" t="s">
        <v>2075</v>
      </c>
      <c r="H774" s="186" t="s">
        <v>2245</v>
      </c>
      <c r="I774" s="187" t="s">
        <v>2256</v>
      </c>
      <c r="J774" s="187" t="s">
        <v>2257</v>
      </c>
      <c r="K774" s="188"/>
      <c r="L774" s="188"/>
      <c r="M774" s="189" t="s">
        <v>1018</v>
      </c>
      <c r="N774" s="190">
        <v>172.2</v>
      </c>
      <c r="O774" s="190">
        <f t="shared" si="90"/>
        <v>187.7</v>
      </c>
      <c r="P774" s="191">
        <f t="shared" si="91"/>
        <v>0</v>
      </c>
      <c r="Q774" s="192">
        <f t="shared" si="92"/>
        <v>0</v>
      </c>
      <c r="R774" s="193"/>
      <c r="S774" s="194"/>
      <c r="T774" s="195">
        <f t="shared" si="93"/>
        <v>0</v>
      </c>
      <c r="U774" s="195">
        <f t="shared" si="94"/>
        <v>0</v>
      </c>
      <c r="V774" s="195">
        <f t="shared" si="95"/>
        <v>0</v>
      </c>
      <c r="W774" s="196" t="e">
        <f t="shared" si="96"/>
        <v>#DIV/0!</v>
      </c>
      <c r="X774" s="197" t="e">
        <f t="shared" si="97"/>
        <v>#DIV/0!</v>
      </c>
      <c r="AG774" s="219" t="s">
        <v>990</v>
      </c>
    </row>
    <row r="775" ht="11.4" customHeight="1" spans="1:33">
      <c r="A775" s="184" t="s">
        <v>2244</v>
      </c>
      <c r="B775" s="184" t="s">
        <v>147</v>
      </c>
      <c r="C775" s="184" t="s">
        <v>2074</v>
      </c>
      <c r="D775" s="185" t="s">
        <v>522</v>
      </c>
      <c r="E775" s="186" t="s">
        <v>906</v>
      </c>
      <c r="F775" s="186" t="s">
        <v>907</v>
      </c>
      <c r="G775" s="186" t="s">
        <v>2075</v>
      </c>
      <c r="H775" s="186" t="s">
        <v>2245</v>
      </c>
      <c r="I775" s="187" t="s">
        <v>2186</v>
      </c>
      <c r="J775" s="187" t="s">
        <v>2187</v>
      </c>
      <c r="K775" s="188"/>
      <c r="L775" s="188"/>
      <c r="M775" s="189" t="s">
        <v>1018</v>
      </c>
      <c r="N775" s="190">
        <v>141.75</v>
      </c>
      <c r="O775" s="190">
        <f t="shared" si="90"/>
        <v>154.51</v>
      </c>
      <c r="P775" s="191">
        <f t="shared" si="91"/>
        <v>0</v>
      </c>
      <c r="Q775" s="192">
        <f t="shared" si="92"/>
        <v>0</v>
      </c>
      <c r="R775" s="193"/>
      <c r="S775" s="194"/>
      <c r="T775" s="195">
        <f t="shared" si="93"/>
        <v>0</v>
      </c>
      <c r="U775" s="195">
        <f t="shared" si="94"/>
        <v>0</v>
      </c>
      <c r="V775" s="195">
        <f t="shared" si="95"/>
        <v>0</v>
      </c>
      <c r="W775" s="196" t="e">
        <f t="shared" si="96"/>
        <v>#DIV/0!</v>
      </c>
      <c r="X775" s="197" t="e">
        <f t="shared" si="97"/>
        <v>#DIV/0!</v>
      </c>
      <c r="AG775" s="219" t="s">
        <v>990</v>
      </c>
    </row>
    <row r="776" ht="11.4" customHeight="1" spans="1:33">
      <c r="A776" s="184" t="s">
        <v>2244</v>
      </c>
      <c r="B776" s="184" t="s">
        <v>147</v>
      </c>
      <c r="C776" s="184" t="s">
        <v>2074</v>
      </c>
      <c r="D776" s="185" t="s">
        <v>522</v>
      </c>
      <c r="E776" s="186" t="s">
        <v>906</v>
      </c>
      <c r="F776" s="186" t="s">
        <v>907</v>
      </c>
      <c r="G776" s="186" t="s">
        <v>2075</v>
      </c>
      <c r="H776" s="186" t="s">
        <v>2245</v>
      </c>
      <c r="I776" s="187" t="s">
        <v>2196</v>
      </c>
      <c r="J776" s="187" t="s">
        <v>2197</v>
      </c>
      <c r="K776" s="188"/>
      <c r="L776" s="188"/>
      <c r="M776" s="189" t="s">
        <v>1018</v>
      </c>
      <c r="N776" s="190">
        <v>68.25</v>
      </c>
      <c r="O776" s="190">
        <f t="shared" si="90"/>
        <v>74.39</v>
      </c>
      <c r="P776" s="191">
        <f t="shared" si="91"/>
        <v>0</v>
      </c>
      <c r="Q776" s="192">
        <f t="shared" si="92"/>
        <v>0</v>
      </c>
      <c r="R776" s="193"/>
      <c r="S776" s="194"/>
      <c r="T776" s="195">
        <f t="shared" si="93"/>
        <v>0</v>
      </c>
      <c r="U776" s="195">
        <f t="shared" si="94"/>
        <v>0</v>
      </c>
      <c r="V776" s="195">
        <f t="shared" si="95"/>
        <v>0</v>
      </c>
      <c r="W776" s="196" t="e">
        <f t="shared" si="96"/>
        <v>#DIV/0!</v>
      </c>
      <c r="X776" s="197" t="e">
        <f t="shared" si="97"/>
        <v>#DIV/0!</v>
      </c>
      <c r="AG776" s="219" t="s">
        <v>990</v>
      </c>
    </row>
    <row r="777" ht="11.4" customHeight="1" spans="1:33">
      <c r="A777" s="184" t="s">
        <v>2244</v>
      </c>
      <c r="B777" s="184" t="s">
        <v>147</v>
      </c>
      <c r="C777" s="184" t="s">
        <v>2074</v>
      </c>
      <c r="D777" s="185" t="s">
        <v>522</v>
      </c>
      <c r="E777" s="186" t="s">
        <v>906</v>
      </c>
      <c r="F777" s="186" t="s">
        <v>907</v>
      </c>
      <c r="G777" s="186" t="s">
        <v>2075</v>
      </c>
      <c r="H777" s="186" t="s">
        <v>2245</v>
      </c>
      <c r="I777" s="187" t="s">
        <v>2198</v>
      </c>
      <c r="J777" s="187" t="s">
        <v>2199</v>
      </c>
      <c r="K777" s="188"/>
      <c r="L777" s="188"/>
      <c r="M777" s="189" t="s">
        <v>1018</v>
      </c>
      <c r="N777" s="190">
        <v>110.25</v>
      </c>
      <c r="O777" s="190">
        <f t="shared" si="90"/>
        <v>120.17</v>
      </c>
      <c r="P777" s="191">
        <f t="shared" si="91"/>
        <v>0</v>
      </c>
      <c r="Q777" s="192">
        <f t="shared" si="92"/>
        <v>0</v>
      </c>
      <c r="R777" s="193"/>
      <c r="S777" s="194"/>
      <c r="T777" s="195">
        <f t="shared" si="93"/>
        <v>0</v>
      </c>
      <c r="U777" s="195">
        <f t="shared" si="94"/>
        <v>0</v>
      </c>
      <c r="V777" s="195">
        <f t="shared" si="95"/>
        <v>0</v>
      </c>
      <c r="W777" s="196" t="e">
        <f t="shared" si="96"/>
        <v>#DIV/0!</v>
      </c>
      <c r="X777" s="197" t="e">
        <f t="shared" si="97"/>
        <v>#DIV/0!</v>
      </c>
      <c r="AG777" s="219" t="s">
        <v>990</v>
      </c>
    </row>
    <row r="778" ht="11.4" customHeight="1" spans="1:33">
      <c r="A778" s="184" t="s">
        <v>2244</v>
      </c>
      <c r="B778" s="184" t="s">
        <v>147</v>
      </c>
      <c r="C778" s="184" t="s">
        <v>2074</v>
      </c>
      <c r="D778" s="185" t="s">
        <v>522</v>
      </c>
      <c r="E778" s="186" t="s">
        <v>906</v>
      </c>
      <c r="F778" s="186" t="s">
        <v>907</v>
      </c>
      <c r="G778" s="186" t="s">
        <v>2075</v>
      </c>
      <c r="H778" s="186" t="s">
        <v>2245</v>
      </c>
      <c r="I778" s="187" t="s">
        <v>2200</v>
      </c>
      <c r="J778" s="187" t="s">
        <v>2201</v>
      </c>
      <c r="K778" s="188"/>
      <c r="L778" s="188"/>
      <c r="M778" s="189" t="s">
        <v>1018</v>
      </c>
      <c r="N778" s="190">
        <v>178.5</v>
      </c>
      <c r="O778" s="190">
        <f t="shared" si="90"/>
        <v>194.57</v>
      </c>
      <c r="P778" s="191">
        <f t="shared" si="91"/>
        <v>0</v>
      </c>
      <c r="Q778" s="192">
        <f t="shared" si="92"/>
        <v>0</v>
      </c>
      <c r="R778" s="193"/>
      <c r="S778" s="194"/>
      <c r="T778" s="195">
        <f t="shared" si="93"/>
        <v>0</v>
      </c>
      <c r="U778" s="195">
        <f t="shared" si="94"/>
        <v>0</v>
      </c>
      <c r="V778" s="195">
        <f t="shared" si="95"/>
        <v>0</v>
      </c>
      <c r="W778" s="196" t="e">
        <f t="shared" si="96"/>
        <v>#DIV/0!</v>
      </c>
      <c r="X778" s="197" t="e">
        <f t="shared" si="97"/>
        <v>#DIV/0!</v>
      </c>
      <c r="AG778" s="219" t="s">
        <v>990</v>
      </c>
    </row>
    <row r="779" ht="11.4" customHeight="1" spans="1:33">
      <c r="A779" s="184" t="s">
        <v>2244</v>
      </c>
      <c r="B779" s="184" t="s">
        <v>147</v>
      </c>
      <c r="C779" s="184" t="s">
        <v>2074</v>
      </c>
      <c r="D779" s="185" t="s">
        <v>522</v>
      </c>
      <c r="E779" s="186" t="s">
        <v>906</v>
      </c>
      <c r="F779" s="186" t="s">
        <v>907</v>
      </c>
      <c r="G779" s="186" t="s">
        <v>2075</v>
      </c>
      <c r="H779" s="186" t="s">
        <v>2245</v>
      </c>
      <c r="I779" s="187" t="s">
        <v>2202</v>
      </c>
      <c r="J779" s="187" t="s">
        <v>2203</v>
      </c>
      <c r="K779" s="188"/>
      <c r="L779" s="188"/>
      <c r="M779" s="189" t="s">
        <v>1018</v>
      </c>
      <c r="N779" s="190">
        <v>147</v>
      </c>
      <c r="O779" s="190">
        <f t="shared" si="90"/>
        <v>160.23</v>
      </c>
      <c r="P779" s="191">
        <f t="shared" si="91"/>
        <v>0</v>
      </c>
      <c r="Q779" s="192">
        <f t="shared" si="92"/>
        <v>0</v>
      </c>
      <c r="R779" s="193"/>
      <c r="S779" s="194"/>
      <c r="T779" s="195">
        <f t="shared" si="93"/>
        <v>0</v>
      </c>
      <c r="U779" s="195">
        <f t="shared" si="94"/>
        <v>0</v>
      </c>
      <c r="V779" s="195">
        <f t="shared" si="95"/>
        <v>0</v>
      </c>
      <c r="W779" s="196" t="e">
        <f t="shared" si="96"/>
        <v>#DIV/0!</v>
      </c>
      <c r="X779" s="197" t="e">
        <f t="shared" si="97"/>
        <v>#DIV/0!</v>
      </c>
      <c r="AG779" s="219" t="s">
        <v>990</v>
      </c>
    </row>
    <row r="780" ht="11.4" customHeight="1" spans="1:33">
      <c r="A780" s="184" t="s">
        <v>2244</v>
      </c>
      <c r="B780" s="184" t="s">
        <v>147</v>
      </c>
      <c r="C780" s="184" t="s">
        <v>2074</v>
      </c>
      <c r="D780" s="185" t="s">
        <v>522</v>
      </c>
      <c r="E780" s="186" t="s">
        <v>906</v>
      </c>
      <c r="F780" s="186" t="s">
        <v>907</v>
      </c>
      <c r="G780" s="186" t="s">
        <v>2075</v>
      </c>
      <c r="H780" s="186" t="s">
        <v>2245</v>
      </c>
      <c r="I780" s="187" t="s">
        <v>2204</v>
      </c>
      <c r="J780" s="187" t="s">
        <v>2205</v>
      </c>
      <c r="K780" s="188"/>
      <c r="L780" s="188"/>
      <c r="M780" s="189" t="s">
        <v>1018</v>
      </c>
      <c r="N780" s="190">
        <v>105</v>
      </c>
      <c r="O780" s="190">
        <f t="shared" si="90"/>
        <v>114.45</v>
      </c>
      <c r="P780" s="191">
        <f t="shared" si="91"/>
        <v>0</v>
      </c>
      <c r="Q780" s="192">
        <f t="shared" si="92"/>
        <v>0</v>
      </c>
      <c r="R780" s="193"/>
      <c r="S780" s="194"/>
      <c r="T780" s="195">
        <f t="shared" si="93"/>
        <v>0</v>
      </c>
      <c r="U780" s="195">
        <f t="shared" si="94"/>
        <v>0</v>
      </c>
      <c r="V780" s="195">
        <f t="shared" si="95"/>
        <v>0</v>
      </c>
      <c r="W780" s="196" t="e">
        <f t="shared" si="96"/>
        <v>#DIV/0!</v>
      </c>
      <c r="X780" s="197" t="e">
        <f t="shared" si="97"/>
        <v>#DIV/0!</v>
      </c>
      <c r="AG780" s="219" t="s">
        <v>990</v>
      </c>
    </row>
    <row r="781" ht="11.4" customHeight="1" spans="1:33">
      <c r="A781" s="184" t="s">
        <v>2244</v>
      </c>
      <c r="B781" s="184" t="s">
        <v>147</v>
      </c>
      <c r="C781" s="184" t="s">
        <v>2074</v>
      </c>
      <c r="D781" s="185" t="s">
        <v>522</v>
      </c>
      <c r="E781" s="186" t="s">
        <v>906</v>
      </c>
      <c r="F781" s="186" t="s">
        <v>907</v>
      </c>
      <c r="G781" s="186" t="s">
        <v>2075</v>
      </c>
      <c r="H781" s="186" t="s">
        <v>2245</v>
      </c>
      <c r="I781" s="187" t="s">
        <v>2206</v>
      </c>
      <c r="J781" s="187" t="s">
        <v>2207</v>
      </c>
      <c r="K781" s="188"/>
      <c r="L781" s="188"/>
      <c r="M781" s="189" t="s">
        <v>1018</v>
      </c>
      <c r="N781" s="190">
        <v>126</v>
      </c>
      <c r="O781" s="190">
        <f t="shared" ref="O781:O844" si="98">ROUND(N781*(1+$F$10),2)</f>
        <v>137.34</v>
      </c>
      <c r="P781" s="191">
        <f t="shared" ref="P781:P844" si="99">ROUND(K781*N781,2)</f>
        <v>0</v>
      </c>
      <c r="Q781" s="192">
        <f t="shared" si="92"/>
        <v>0</v>
      </c>
      <c r="R781" s="193"/>
      <c r="S781" s="194"/>
      <c r="T781" s="195">
        <f t="shared" si="93"/>
        <v>0</v>
      </c>
      <c r="U781" s="195">
        <f t="shared" si="94"/>
        <v>0</v>
      </c>
      <c r="V781" s="195">
        <f t="shared" si="95"/>
        <v>0</v>
      </c>
      <c r="W781" s="196" t="e">
        <f t="shared" si="96"/>
        <v>#DIV/0!</v>
      </c>
      <c r="X781" s="197" t="e">
        <f t="shared" si="97"/>
        <v>#DIV/0!</v>
      </c>
      <c r="AG781" s="219" t="s">
        <v>990</v>
      </c>
    </row>
    <row r="782" ht="11.4" customHeight="1" spans="1:33">
      <c r="A782" s="184" t="s">
        <v>2244</v>
      </c>
      <c r="B782" s="184" t="s">
        <v>147</v>
      </c>
      <c r="C782" s="184" t="s">
        <v>2074</v>
      </c>
      <c r="D782" s="185" t="s">
        <v>522</v>
      </c>
      <c r="E782" s="186" t="s">
        <v>906</v>
      </c>
      <c r="F782" s="186" t="s">
        <v>907</v>
      </c>
      <c r="G782" s="186" t="s">
        <v>2075</v>
      </c>
      <c r="H782" s="186" t="s">
        <v>2245</v>
      </c>
      <c r="I782" s="187" t="s">
        <v>2208</v>
      </c>
      <c r="J782" s="187" t="s">
        <v>2209</v>
      </c>
      <c r="K782" s="188"/>
      <c r="L782" s="188"/>
      <c r="M782" s="189" t="s">
        <v>1018</v>
      </c>
      <c r="N782" s="190">
        <v>204.75</v>
      </c>
      <c r="O782" s="190">
        <f t="shared" si="98"/>
        <v>223.18</v>
      </c>
      <c r="P782" s="191">
        <f t="shared" si="99"/>
        <v>0</v>
      </c>
      <c r="Q782" s="192">
        <f t="shared" ref="Q782:Q845" si="100">ROUND(L782*N782,2)</f>
        <v>0</v>
      </c>
      <c r="R782" s="193"/>
      <c r="S782" s="194"/>
      <c r="T782" s="195">
        <f t="shared" ref="T782:T845" si="101">K782-L782</f>
        <v>0</v>
      </c>
      <c r="U782" s="195">
        <f t="shared" ref="U782:U845" si="102">P782-Q782</f>
        <v>0</v>
      </c>
      <c r="V782" s="195">
        <f t="shared" ref="V782:V845" si="103">ABS(U782)</f>
        <v>0</v>
      </c>
      <c r="W782" s="196" t="e">
        <f t="shared" ref="W782:W845" si="104">T782/L782</f>
        <v>#DIV/0!</v>
      </c>
      <c r="X782" s="197" t="e">
        <f t="shared" ref="X782:X845" si="105">ABS(W782)</f>
        <v>#DIV/0!</v>
      </c>
      <c r="AG782" s="219" t="s">
        <v>990</v>
      </c>
    </row>
    <row r="783" ht="11.4" customHeight="1" spans="1:33">
      <c r="A783" s="184" t="s">
        <v>2244</v>
      </c>
      <c r="B783" s="184" t="s">
        <v>147</v>
      </c>
      <c r="C783" s="184" t="s">
        <v>2074</v>
      </c>
      <c r="D783" s="185" t="s">
        <v>522</v>
      </c>
      <c r="E783" s="186" t="s">
        <v>906</v>
      </c>
      <c r="F783" s="186" t="s">
        <v>907</v>
      </c>
      <c r="G783" s="186" t="s">
        <v>2075</v>
      </c>
      <c r="H783" s="186" t="s">
        <v>2245</v>
      </c>
      <c r="I783" s="187" t="s">
        <v>2258</v>
      </c>
      <c r="J783" s="187" t="s">
        <v>2259</v>
      </c>
      <c r="K783" s="188"/>
      <c r="L783" s="188"/>
      <c r="M783" s="189" t="s">
        <v>1018</v>
      </c>
      <c r="N783" s="190">
        <v>252</v>
      </c>
      <c r="O783" s="190">
        <f t="shared" si="98"/>
        <v>274.68</v>
      </c>
      <c r="P783" s="191">
        <f t="shared" si="99"/>
        <v>0</v>
      </c>
      <c r="Q783" s="192">
        <f t="shared" si="100"/>
        <v>0</v>
      </c>
      <c r="R783" s="193"/>
      <c r="S783" s="194"/>
      <c r="T783" s="195">
        <f t="shared" si="101"/>
        <v>0</v>
      </c>
      <c r="U783" s="195">
        <f t="shared" si="102"/>
        <v>0</v>
      </c>
      <c r="V783" s="195">
        <f t="shared" si="103"/>
        <v>0</v>
      </c>
      <c r="W783" s="196" t="e">
        <f t="shared" si="104"/>
        <v>#DIV/0!</v>
      </c>
      <c r="X783" s="197" t="e">
        <f t="shared" si="105"/>
        <v>#DIV/0!</v>
      </c>
      <c r="AG783" s="219" t="s">
        <v>990</v>
      </c>
    </row>
    <row r="784" ht="11.4" customHeight="1" spans="1:33">
      <c r="A784" s="184" t="s">
        <v>2244</v>
      </c>
      <c r="B784" s="184" t="s">
        <v>147</v>
      </c>
      <c r="C784" s="184" t="s">
        <v>2074</v>
      </c>
      <c r="D784" s="185" t="s">
        <v>522</v>
      </c>
      <c r="E784" s="186" t="s">
        <v>906</v>
      </c>
      <c r="F784" s="186" t="s">
        <v>907</v>
      </c>
      <c r="G784" s="186" t="s">
        <v>2075</v>
      </c>
      <c r="H784" s="186" t="s">
        <v>2245</v>
      </c>
      <c r="I784" s="187" t="s">
        <v>2260</v>
      </c>
      <c r="J784" s="187" t="s">
        <v>2261</v>
      </c>
      <c r="K784" s="188"/>
      <c r="L784" s="188"/>
      <c r="M784" s="189" t="s">
        <v>1018</v>
      </c>
      <c r="N784" s="190">
        <v>136.5</v>
      </c>
      <c r="O784" s="190">
        <f t="shared" si="98"/>
        <v>148.79</v>
      </c>
      <c r="P784" s="191">
        <f t="shared" si="99"/>
        <v>0</v>
      </c>
      <c r="Q784" s="192">
        <f t="shared" si="100"/>
        <v>0</v>
      </c>
      <c r="R784" s="193"/>
      <c r="S784" s="194"/>
      <c r="T784" s="195">
        <f t="shared" si="101"/>
        <v>0</v>
      </c>
      <c r="U784" s="195">
        <f t="shared" si="102"/>
        <v>0</v>
      </c>
      <c r="V784" s="195">
        <f t="shared" si="103"/>
        <v>0</v>
      </c>
      <c r="W784" s="196" t="e">
        <f t="shared" si="104"/>
        <v>#DIV/0!</v>
      </c>
      <c r="X784" s="197" t="e">
        <f t="shared" si="105"/>
        <v>#DIV/0!</v>
      </c>
      <c r="AG784" s="219" t="s">
        <v>990</v>
      </c>
    </row>
    <row r="785" ht="11.4" customHeight="1" spans="1:34">
      <c r="A785" s="184" t="s">
        <v>2244</v>
      </c>
      <c r="B785" s="184" t="s">
        <v>147</v>
      </c>
      <c r="C785" s="184" t="s">
        <v>2074</v>
      </c>
      <c r="D785" s="185" t="s">
        <v>522</v>
      </c>
      <c r="E785" s="186" t="s">
        <v>906</v>
      </c>
      <c r="F785" s="186" t="s">
        <v>907</v>
      </c>
      <c r="G785" s="186" t="s">
        <v>2075</v>
      </c>
      <c r="H785" s="186" t="s">
        <v>2245</v>
      </c>
      <c r="I785" s="187" t="s">
        <v>2236</v>
      </c>
      <c r="J785" s="187" t="s">
        <v>2237</v>
      </c>
      <c r="K785" s="188"/>
      <c r="L785" s="188"/>
      <c r="M785" s="189" t="s">
        <v>1018</v>
      </c>
      <c r="N785" s="190">
        <v>120.75</v>
      </c>
      <c r="O785" s="190">
        <f t="shared" si="98"/>
        <v>131.62</v>
      </c>
      <c r="P785" s="191">
        <f t="shared" si="99"/>
        <v>0</v>
      </c>
      <c r="Q785" s="192">
        <f t="shared" si="100"/>
        <v>0</v>
      </c>
      <c r="R785" s="193"/>
      <c r="S785" s="194"/>
      <c r="T785" s="195">
        <f t="shared" si="101"/>
        <v>0</v>
      </c>
      <c r="U785" s="195">
        <f t="shared" si="102"/>
        <v>0</v>
      </c>
      <c r="V785" s="195">
        <f t="shared" si="103"/>
        <v>0</v>
      </c>
      <c r="W785" s="196" t="e">
        <f t="shared" si="104"/>
        <v>#DIV/0!</v>
      </c>
      <c r="X785" s="197" t="e">
        <f t="shared" si="105"/>
        <v>#DIV/0!</v>
      </c>
      <c r="AG785" s="219" t="s">
        <v>990</v>
      </c>
    </row>
    <row r="786" ht="11.4" customHeight="1" spans="1:34">
      <c r="A786" s="184" t="s">
        <v>2262</v>
      </c>
      <c r="B786" s="184" t="s">
        <v>149</v>
      </c>
      <c r="C786" s="184" t="s">
        <v>2263</v>
      </c>
      <c r="D786" s="185" t="s">
        <v>522</v>
      </c>
      <c r="E786" s="186" t="s">
        <v>906</v>
      </c>
      <c r="F786" s="186" t="s">
        <v>907</v>
      </c>
      <c r="G786" s="186" t="s">
        <v>2264</v>
      </c>
      <c r="H786" s="186" t="s">
        <v>2265</v>
      </c>
      <c r="I786" s="187" t="s">
        <v>2266</v>
      </c>
      <c r="J786" s="187" t="s">
        <v>2267</v>
      </c>
      <c r="K786" s="188"/>
      <c r="L786" s="188"/>
      <c r="M786" s="189" t="s">
        <v>807</v>
      </c>
      <c r="N786" s="190">
        <v>89.61</v>
      </c>
      <c r="O786" s="190">
        <f t="shared" si="98"/>
        <v>97.67</v>
      </c>
      <c r="P786" s="191">
        <f t="shared" si="99"/>
        <v>0</v>
      </c>
      <c r="Q786" s="192">
        <f t="shared" si="100"/>
        <v>0</v>
      </c>
      <c r="R786" s="193"/>
      <c r="S786" s="194"/>
      <c r="T786" s="195">
        <f t="shared" si="101"/>
        <v>0</v>
      </c>
      <c r="U786" s="195">
        <f t="shared" si="102"/>
        <v>0</v>
      </c>
      <c r="V786" s="195">
        <f t="shared" si="103"/>
        <v>0</v>
      </c>
      <c r="W786" s="196" t="e">
        <f t="shared" si="104"/>
        <v>#DIV/0!</v>
      </c>
      <c r="X786" s="197" t="e">
        <f t="shared" si="105"/>
        <v>#DIV/0!</v>
      </c>
      <c r="AG786" s="109" t="s">
        <v>1056</v>
      </c>
    </row>
    <row r="787" ht="11.4" customHeight="1" spans="1:34">
      <c r="A787" s="184" t="s">
        <v>2262</v>
      </c>
      <c r="B787" s="184" t="s">
        <v>149</v>
      </c>
      <c r="C787" s="184" t="s">
        <v>2263</v>
      </c>
      <c r="D787" s="185" t="s">
        <v>522</v>
      </c>
      <c r="E787" s="186" t="s">
        <v>906</v>
      </c>
      <c r="F787" s="186" t="s">
        <v>907</v>
      </c>
      <c r="G787" s="186" t="s">
        <v>2264</v>
      </c>
      <c r="H787" s="186" t="s">
        <v>2265</v>
      </c>
      <c r="I787" s="187" t="s">
        <v>2268</v>
      </c>
      <c r="J787" s="187" t="s">
        <v>2269</v>
      </c>
      <c r="K787" s="188">
        <v>5.76</v>
      </c>
      <c r="L787" s="188">
        <v>5.76</v>
      </c>
      <c r="M787" s="189" t="s">
        <v>807</v>
      </c>
      <c r="N787" s="190">
        <v>96.69</v>
      </c>
      <c r="O787" s="190">
        <f t="shared" si="98"/>
        <v>105.39</v>
      </c>
      <c r="P787" s="191">
        <f t="shared" si="99"/>
        <v>556.93</v>
      </c>
      <c r="Q787" s="192">
        <f t="shared" si="100"/>
        <v>556.93</v>
      </c>
      <c r="R787" s="193"/>
      <c r="S787" s="194"/>
      <c r="T787" s="195">
        <f t="shared" si="101"/>
        <v>0</v>
      </c>
      <c r="U787" s="195">
        <f t="shared" si="102"/>
        <v>0</v>
      </c>
      <c r="V787" s="195">
        <f t="shared" si="103"/>
        <v>0</v>
      </c>
      <c r="W787" s="196">
        <f t="shared" si="104"/>
        <v>0</v>
      </c>
      <c r="X787" s="197">
        <f t="shared" si="105"/>
        <v>0</v>
      </c>
      <c r="AG787" s="109" t="s">
        <v>1056</v>
      </c>
    </row>
    <row r="788" ht="11.4" customHeight="1" spans="1:34">
      <c r="A788" s="184" t="s">
        <v>2262</v>
      </c>
      <c r="B788" s="184" t="s">
        <v>149</v>
      </c>
      <c r="C788" s="184" t="s">
        <v>2263</v>
      </c>
      <c r="D788" s="185" t="s">
        <v>522</v>
      </c>
      <c r="E788" s="186" t="s">
        <v>906</v>
      </c>
      <c r="F788" s="186" t="s">
        <v>907</v>
      </c>
      <c r="G788" s="186" t="s">
        <v>2264</v>
      </c>
      <c r="H788" s="186" t="s">
        <v>2265</v>
      </c>
      <c r="I788" s="187" t="s">
        <v>2270</v>
      </c>
      <c r="J788" s="187" t="s">
        <v>2271</v>
      </c>
      <c r="K788" s="221">
        <v>11.47</v>
      </c>
      <c r="L788" s="188">
        <v>8.6</v>
      </c>
      <c r="M788" s="189" t="s">
        <v>807</v>
      </c>
      <c r="N788" s="190">
        <v>74.14</v>
      </c>
      <c r="O788" s="190">
        <f t="shared" si="98"/>
        <v>80.81</v>
      </c>
      <c r="P788" s="191">
        <f t="shared" si="99"/>
        <v>850.39</v>
      </c>
      <c r="Q788" s="192">
        <f t="shared" si="100"/>
        <v>637.6</v>
      </c>
      <c r="R788" s="193"/>
      <c r="S788" s="194"/>
      <c r="T788" s="195">
        <f t="shared" si="101"/>
        <v>2.87</v>
      </c>
      <c r="U788" s="195">
        <f t="shared" si="102"/>
        <v>212.79</v>
      </c>
      <c r="V788" s="195">
        <f t="shared" si="103"/>
        <v>212.79</v>
      </c>
      <c r="W788" s="196">
        <f t="shared" si="104"/>
        <v>0.333720930232558</v>
      </c>
      <c r="X788" s="197">
        <f t="shared" si="105"/>
        <v>0.333720930232558</v>
      </c>
      <c r="AG788" s="109" t="s">
        <v>1056</v>
      </c>
    </row>
    <row r="789" ht="11.4" customHeight="1" spans="1:34">
      <c r="A789" s="184" t="s">
        <v>2262</v>
      </c>
      <c r="B789" s="184" t="s">
        <v>149</v>
      </c>
      <c r="C789" s="184" t="s">
        <v>2263</v>
      </c>
      <c r="D789" s="185" t="s">
        <v>522</v>
      </c>
      <c r="E789" s="186" t="s">
        <v>906</v>
      </c>
      <c r="F789" s="186" t="s">
        <v>907</v>
      </c>
      <c r="G789" s="186" t="s">
        <v>2264</v>
      </c>
      <c r="H789" s="186" t="s">
        <v>2265</v>
      </c>
      <c r="I789" s="187" t="s">
        <v>2272</v>
      </c>
      <c r="J789" s="187" t="s">
        <v>2273</v>
      </c>
      <c r="K789" s="188"/>
      <c r="L789" s="188"/>
      <c r="M789" s="189" t="s">
        <v>807</v>
      </c>
      <c r="N789" s="190">
        <v>64.18</v>
      </c>
      <c r="O789" s="190">
        <f t="shared" si="98"/>
        <v>69.96</v>
      </c>
      <c r="P789" s="191">
        <f t="shared" si="99"/>
        <v>0</v>
      </c>
      <c r="Q789" s="192">
        <f t="shared" si="100"/>
        <v>0</v>
      </c>
      <c r="R789" s="193"/>
      <c r="S789" s="194"/>
      <c r="T789" s="195">
        <f t="shared" si="101"/>
        <v>0</v>
      </c>
      <c r="U789" s="195">
        <f t="shared" si="102"/>
        <v>0</v>
      </c>
      <c r="V789" s="195">
        <f t="shared" si="103"/>
        <v>0</v>
      </c>
      <c r="W789" s="196" t="e">
        <f t="shared" si="104"/>
        <v>#DIV/0!</v>
      </c>
      <c r="X789" s="197" t="e">
        <f t="shared" si="105"/>
        <v>#DIV/0!</v>
      </c>
      <c r="AG789" s="109" t="s">
        <v>1056</v>
      </c>
    </row>
    <row r="790" ht="11.4" customHeight="1" spans="1:34">
      <c r="A790" s="184" t="s">
        <v>2262</v>
      </c>
      <c r="B790" s="184" t="s">
        <v>149</v>
      </c>
      <c r="C790" s="184" t="s">
        <v>2263</v>
      </c>
      <c r="D790" s="185" t="s">
        <v>522</v>
      </c>
      <c r="E790" s="186" t="s">
        <v>906</v>
      </c>
      <c r="F790" s="186" t="s">
        <v>907</v>
      </c>
      <c r="G790" s="186" t="s">
        <v>2264</v>
      </c>
      <c r="H790" s="186" t="s">
        <v>2265</v>
      </c>
      <c r="I790" s="187" t="s">
        <v>2274</v>
      </c>
      <c r="J790" s="187" t="s">
        <v>2275</v>
      </c>
      <c r="K790" s="188">
        <v>180.83</v>
      </c>
      <c r="L790" s="188">
        <v>176.38</v>
      </c>
      <c r="M790" s="189" t="s">
        <v>807</v>
      </c>
      <c r="N790" s="190">
        <v>52.58</v>
      </c>
      <c r="O790" s="190">
        <f t="shared" si="98"/>
        <v>57.31</v>
      </c>
      <c r="P790" s="191">
        <f t="shared" si="99"/>
        <v>9508.04</v>
      </c>
      <c r="Q790" s="192">
        <f t="shared" si="100"/>
        <v>9274.06</v>
      </c>
      <c r="R790" s="193"/>
      <c r="S790" s="194"/>
      <c r="T790" s="195">
        <f t="shared" si="101"/>
        <v>4.45000000000002</v>
      </c>
      <c r="U790" s="195">
        <f t="shared" si="102"/>
        <v>233.980000000001</v>
      </c>
      <c r="V790" s="195">
        <f t="shared" si="103"/>
        <v>233.980000000001</v>
      </c>
      <c r="W790" s="196">
        <f t="shared" si="104"/>
        <v>0.025229617870507</v>
      </c>
      <c r="X790" s="197">
        <f t="shared" si="105"/>
        <v>0.025229617870507</v>
      </c>
      <c r="AG790" s="109" t="s">
        <v>1056</v>
      </c>
    </row>
    <row r="791" ht="11.4" customHeight="1" spans="1:34">
      <c r="A791" s="184" t="s">
        <v>2262</v>
      </c>
      <c r="B791" s="184" t="s">
        <v>149</v>
      </c>
      <c r="C791" s="184" t="s">
        <v>2263</v>
      </c>
      <c r="D791" s="185" t="s">
        <v>522</v>
      </c>
      <c r="E791" s="186" t="s">
        <v>906</v>
      </c>
      <c r="F791" s="186" t="s">
        <v>907</v>
      </c>
      <c r="G791" s="186" t="s">
        <v>2264</v>
      </c>
      <c r="H791" s="186" t="s">
        <v>2265</v>
      </c>
      <c r="I791" s="187" t="s">
        <v>2276</v>
      </c>
      <c r="J791" s="187" t="s">
        <v>2277</v>
      </c>
      <c r="K791" s="188"/>
      <c r="L791" s="188"/>
      <c r="M791" s="189" t="s">
        <v>807</v>
      </c>
      <c r="N791" s="190">
        <v>43.34</v>
      </c>
      <c r="O791" s="190">
        <f t="shared" si="98"/>
        <v>47.24</v>
      </c>
      <c r="P791" s="191">
        <f t="shared" si="99"/>
        <v>0</v>
      </c>
      <c r="Q791" s="192">
        <f t="shared" si="100"/>
        <v>0</v>
      </c>
      <c r="R791" s="193"/>
      <c r="S791" s="194"/>
      <c r="T791" s="195">
        <f t="shared" si="101"/>
        <v>0</v>
      </c>
      <c r="U791" s="195">
        <f t="shared" si="102"/>
        <v>0</v>
      </c>
      <c r="V791" s="195">
        <f t="shared" si="103"/>
        <v>0</v>
      </c>
      <c r="W791" s="196" t="e">
        <f t="shared" si="104"/>
        <v>#DIV/0!</v>
      </c>
      <c r="X791" s="197" t="e">
        <f t="shared" si="105"/>
        <v>#DIV/0!</v>
      </c>
      <c r="AG791" s="109" t="s">
        <v>1056</v>
      </c>
    </row>
    <row r="792" ht="11.4" customHeight="1" spans="1:34">
      <c r="A792" s="184" t="s">
        <v>2262</v>
      </c>
      <c r="B792" s="184" t="s">
        <v>149</v>
      </c>
      <c r="C792" s="184" t="s">
        <v>2263</v>
      </c>
      <c r="D792" s="185" t="s">
        <v>522</v>
      </c>
      <c r="E792" s="186" t="s">
        <v>906</v>
      </c>
      <c r="F792" s="186" t="s">
        <v>907</v>
      </c>
      <c r="G792" s="186" t="s">
        <v>2264</v>
      </c>
      <c r="H792" s="186" t="s">
        <v>2265</v>
      </c>
      <c r="I792" s="187" t="s">
        <v>2278</v>
      </c>
      <c r="J792" s="187" t="s">
        <v>2279</v>
      </c>
      <c r="K792" s="188"/>
      <c r="L792" s="188"/>
      <c r="M792" s="189" t="s">
        <v>807</v>
      </c>
      <c r="N792" s="190">
        <v>39.71</v>
      </c>
      <c r="O792" s="190">
        <f t="shared" si="98"/>
        <v>43.28</v>
      </c>
      <c r="P792" s="191">
        <f t="shared" si="99"/>
        <v>0</v>
      </c>
      <c r="Q792" s="192">
        <f t="shared" si="100"/>
        <v>0</v>
      </c>
      <c r="R792" s="193"/>
      <c r="S792" s="194"/>
      <c r="T792" s="195">
        <f t="shared" si="101"/>
        <v>0</v>
      </c>
      <c r="U792" s="195">
        <f t="shared" si="102"/>
        <v>0</v>
      </c>
      <c r="V792" s="195">
        <f t="shared" si="103"/>
        <v>0</v>
      </c>
      <c r="W792" s="196" t="e">
        <f t="shared" si="104"/>
        <v>#DIV/0!</v>
      </c>
      <c r="X792" s="197" t="e">
        <f t="shared" si="105"/>
        <v>#DIV/0!</v>
      </c>
      <c r="AG792" s="109" t="s">
        <v>1056</v>
      </c>
    </row>
    <row r="793" ht="11.4" customHeight="1" spans="1:34">
      <c r="A793" s="184" t="s">
        <v>2262</v>
      </c>
      <c r="B793" s="184" t="s">
        <v>149</v>
      </c>
      <c r="C793" s="184" t="s">
        <v>2263</v>
      </c>
      <c r="D793" s="185" t="s">
        <v>522</v>
      </c>
      <c r="E793" s="186" t="s">
        <v>906</v>
      </c>
      <c r="F793" s="186" t="s">
        <v>907</v>
      </c>
      <c r="G793" s="186" t="s">
        <v>2264</v>
      </c>
      <c r="H793" s="186" t="s">
        <v>2265</v>
      </c>
      <c r="I793" s="187" t="s">
        <v>2280</v>
      </c>
      <c r="J793" s="187" t="s">
        <v>2281</v>
      </c>
      <c r="K793" s="188">
        <v>2</v>
      </c>
      <c r="L793" s="188">
        <v>2</v>
      </c>
      <c r="M793" s="189" t="s">
        <v>963</v>
      </c>
      <c r="N793" s="190">
        <v>237.04</v>
      </c>
      <c r="O793" s="190">
        <f t="shared" si="98"/>
        <v>258.37</v>
      </c>
      <c r="P793" s="191">
        <f t="shared" si="99"/>
        <v>474.08</v>
      </c>
      <c r="Q793" s="192">
        <f t="shared" si="100"/>
        <v>474.08</v>
      </c>
      <c r="R793" s="193"/>
      <c r="S793" s="194"/>
      <c r="T793" s="195">
        <f t="shared" si="101"/>
        <v>0</v>
      </c>
      <c r="U793" s="195">
        <f t="shared" si="102"/>
        <v>0</v>
      </c>
      <c r="V793" s="195">
        <f t="shared" si="103"/>
        <v>0</v>
      </c>
      <c r="W793" s="196">
        <f t="shared" si="104"/>
        <v>0</v>
      </c>
      <c r="X793" s="197">
        <f t="shared" si="105"/>
        <v>0</v>
      </c>
      <c r="AG793" s="219" t="s">
        <v>990</v>
      </c>
    </row>
    <row r="794" ht="11.4" customHeight="1" spans="1:34">
      <c r="A794" s="184" t="s">
        <v>2262</v>
      </c>
      <c r="B794" s="184" t="s">
        <v>149</v>
      </c>
      <c r="C794" s="184" t="s">
        <v>2263</v>
      </c>
      <c r="D794" s="185" t="s">
        <v>522</v>
      </c>
      <c r="E794" s="186" t="s">
        <v>906</v>
      </c>
      <c r="F794" s="186" t="s">
        <v>907</v>
      </c>
      <c r="G794" s="186" t="s">
        <v>2264</v>
      </c>
      <c r="H794" s="186" t="s">
        <v>2265</v>
      </c>
      <c r="I794" s="187" t="s">
        <v>2282</v>
      </c>
      <c r="J794" s="187" t="s">
        <v>2283</v>
      </c>
      <c r="K794" s="188"/>
      <c r="L794" s="188"/>
      <c r="M794" s="189" t="s">
        <v>963</v>
      </c>
      <c r="N794" s="190">
        <v>126.49</v>
      </c>
      <c r="O794" s="190">
        <f t="shared" si="98"/>
        <v>137.87</v>
      </c>
      <c r="P794" s="191">
        <f t="shared" si="99"/>
        <v>0</v>
      </c>
      <c r="Q794" s="192">
        <f t="shared" si="100"/>
        <v>0</v>
      </c>
      <c r="R794" s="193"/>
      <c r="S794" s="194"/>
      <c r="T794" s="195">
        <f t="shared" si="101"/>
        <v>0</v>
      </c>
      <c r="U794" s="195">
        <f t="shared" si="102"/>
        <v>0</v>
      </c>
      <c r="V794" s="195">
        <f t="shared" si="103"/>
        <v>0</v>
      </c>
      <c r="W794" s="196" t="e">
        <f t="shared" si="104"/>
        <v>#DIV/0!</v>
      </c>
      <c r="X794" s="197" t="e">
        <f t="shared" si="105"/>
        <v>#DIV/0!</v>
      </c>
      <c r="AG794" s="219" t="s">
        <v>990</v>
      </c>
    </row>
    <row r="795" ht="11.4" customHeight="1" spans="1:34">
      <c r="A795" s="184" t="s">
        <v>2262</v>
      </c>
      <c r="B795" s="184" t="s">
        <v>149</v>
      </c>
      <c r="C795" s="184" t="s">
        <v>2263</v>
      </c>
      <c r="D795" s="185" t="s">
        <v>522</v>
      </c>
      <c r="E795" s="186" t="s">
        <v>906</v>
      </c>
      <c r="F795" s="186" t="s">
        <v>907</v>
      </c>
      <c r="G795" s="186" t="s">
        <v>2264</v>
      </c>
      <c r="H795" s="186" t="s">
        <v>2265</v>
      </c>
      <c r="I795" s="187" t="s">
        <v>2284</v>
      </c>
      <c r="J795" s="187" t="s">
        <v>2285</v>
      </c>
      <c r="K795" s="221">
        <v>35</v>
      </c>
      <c r="L795" s="188">
        <v>31</v>
      </c>
      <c r="M795" s="189" t="s">
        <v>963</v>
      </c>
      <c r="N795" s="190">
        <v>103.5</v>
      </c>
      <c r="O795" s="190">
        <f t="shared" si="98"/>
        <v>112.82</v>
      </c>
      <c r="P795" s="191">
        <f t="shared" si="99"/>
        <v>3622.5</v>
      </c>
      <c r="Q795" s="192">
        <f t="shared" si="100"/>
        <v>3208.5</v>
      </c>
      <c r="R795" s="193"/>
      <c r="S795" s="194"/>
      <c r="T795" s="195">
        <f t="shared" si="101"/>
        <v>4</v>
      </c>
      <c r="U795" s="195">
        <f t="shared" si="102"/>
        <v>414</v>
      </c>
      <c r="V795" s="195">
        <f t="shared" si="103"/>
        <v>414</v>
      </c>
      <c r="W795" s="196">
        <f t="shared" si="104"/>
        <v>0.129032258064516</v>
      </c>
      <c r="X795" s="197">
        <f t="shared" si="105"/>
        <v>0.129032258064516</v>
      </c>
      <c r="AG795" s="219" t="s">
        <v>990</v>
      </c>
    </row>
    <row r="796" ht="11.4" customHeight="1" spans="1:34">
      <c r="A796" s="184" t="s">
        <v>2262</v>
      </c>
      <c r="B796" s="184" t="s">
        <v>149</v>
      </c>
      <c r="C796" s="184" t="s">
        <v>2263</v>
      </c>
      <c r="D796" s="185" t="s">
        <v>522</v>
      </c>
      <c r="E796" s="186" t="s">
        <v>906</v>
      </c>
      <c r="F796" s="186" t="s">
        <v>907</v>
      </c>
      <c r="G796" s="186" t="s">
        <v>2264</v>
      </c>
      <c r="H796" s="186" t="s">
        <v>2265</v>
      </c>
      <c r="I796" s="187" t="s">
        <v>2286</v>
      </c>
      <c r="J796" s="187" t="s">
        <v>2287</v>
      </c>
      <c r="K796" s="188"/>
      <c r="L796" s="188"/>
      <c r="M796" s="189" t="s">
        <v>963</v>
      </c>
      <c r="N796" s="190">
        <v>76.44</v>
      </c>
      <c r="O796" s="190">
        <f t="shared" si="98"/>
        <v>83.32</v>
      </c>
      <c r="P796" s="191">
        <f t="shared" si="99"/>
        <v>0</v>
      </c>
      <c r="Q796" s="192">
        <f t="shared" si="100"/>
        <v>0</v>
      </c>
      <c r="R796" s="193"/>
      <c r="S796" s="194"/>
      <c r="T796" s="195">
        <f t="shared" si="101"/>
        <v>0</v>
      </c>
      <c r="U796" s="195">
        <f t="shared" si="102"/>
        <v>0</v>
      </c>
      <c r="V796" s="195">
        <f t="shared" si="103"/>
        <v>0</v>
      </c>
      <c r="W796" s="196" t="e">
        <f t="shared" si="104"/>
        <v>#DIV/0!</v>
      </c>
      <c r="X796" s="197" t="e">
        <f t="shared" si="105"/>
        <v>#DIV/0!</v>
      </c>
      <c r="AG796" s="219" t="s">
        <v>990</v>
      </c>
    </row>
    <row r="797" ht="11.4" customHeight="1" spans="1:34">
      <c r="A797" s="184" t="s">
        <v>2262</v>
      </c>
      <c r="B797" s="184" t="s">
        <v>149</v>
      </c>
      <c r="C797" s="184" t="s">
        <v>2263</v>
      </c>
      <c r="D797" s="185" t="s">
        <v>522</v>
      </c>
      <c r="E797" s="186" t="s">
        <v>906</v>
      </c>
      <c r="F797" s="186" t="s">
        <v>907</v>
      </c>
      <c r="G797" s="186" t="s">
        <v>2264</v>
      </c>
      <c r="H797" s="186" t="s">
        <v>2265</v>
      </c>
      <c r="I797" s="187" t="s">
        <v>2288</v>
      </c>
      <c r="J797" s="187" t="s">
        <v>2289</v>
      </c>
      <c r="K797" s="188"/>
      <c r="L797" s="188"/>
      <c r="M797" s="189" t="s">
        <v>963</v>
      </c>
      <c r="N797" s="190">
        <v>73.14</v>
      </c>
      <c r="O797" s="190">
        <f t="shared" si="98"/>
        <v>79.72</v>
      </c>
      <c r="P797" s="191">
        <f t="shared" si="99"/>
        <v>0</v>
      </c>
      <c r="Q797" s="192">
        <f t="shared" si="100"/>
        <v>0</v>
      </c>
      <c r="R797" s="193"/>
      <c r="S797" s="194"/>
      <c r="T797" s="195">
        <f t="shared" si="101"/>
        <v>0</v>
      </c>
      <c r="U797" s="195">
        <f t="shared" si="102"/>
        <v>0</v>
      </c>
      <c r="V797" s="195">
        <f t="shared" si="103"/>
        <v>0</v>
      </c>
      <c r="W797" s="196" t="e">
        <f t="shared" si="104"/>
        <v>#DIV/0!</v>
      </c>
      <c r="X797" s="197" t="e">
        <f t="shared" si="105"/>
        <v>#DIV/0!</v>
      </c>
      <c r="AG797" s="219" t="s">
        <v>990</v>
      </c>
    </row>
    <row r="798" ht="11.4" customHeight="1" spans="1:34">
      <c r="A798" s="184" t="s">
        <v>2262</v>
      </c>
      <c r="B798" s="184" t="s">
        <v>149</v>
      </c>
      <c r="C798" s="184" t="s">
        <v>2263</v>
      </c>
      <c r="D798" s="185" t="s">
        <v>522</v>
      </c>
      <c r="E798" s="186" t="s">
        <v>906</v>
      </c>
      <c r="F798" s="186" t="s">
        <v>907</v>
      </c>
      <c r="G798" s="186" t="s">
        <v>2264</v>
      </c>
      <c r="H798" s="186" t="s">
        <v>2265</v>
      </c>
      <c r="I798" s="187" t="s">
        <v>2290</v>
      </c>
      <c r="J798" s="187" t="s">
        <v>2291</v>
      </c>
      <c r="K798" s="188">
        <v>0.3</v>
      </c>
      <c r="L798" s="188">
        <v>0.3</v>
      </c>
      <c r="M798" s="189" t="s">
        <v>935</v>
      </c>
      <c r="N798" s="190">
        <v>3308.85</v>
      </c>
      <c r="O798" s="190">
        <f t="shared" si="98"/>
        <v>3606.65</v>
      </c>
      <c r="P798" s="191">
        <f t="shared" si="99"/>
        <v>992.66</v>
      </c>
      <c r="Q798" s="192">
        <f t="shared" si="100"/>
        <v>992.66</v>
      </c>
      <c r="R798" s="193"/>
      <c r="S798" s="194"/>
      <c r="T798" s="195">
        <f t="shared" si="101"/>
        <v>0</v>
      </c>
      <c r="U798" s="195">
        <f t="shared" si="102"/>
        <v>0</v>
      </c>
      <c r="V798" s="195">
        <f t="shared" si="103"/>
        <v>0</v>
      </c>
      <c r="W798" s="196">
        <f t="shared" si="104"/>
        <v>0</v>
      </c>
      <c r="X798" s="197">
        <f t="shared" si="105"/>
        <v>0</v>
      </c>
      <c r="AH798" s="109" t="s">
        <v>1773</v>
      </c>
    </row>
    <row r="799" ht="11.4" customHeight="1" spans="1:34">
      <c r="A799" s="184" t="s">
        <v>2262</v>
      </c>
      <c r="B799" s="184" t="s">
        <v>149</v>
      </c>
      <c r="C799" s="184" t="s">
        <v>2263</v>
      </c>
      <c r="D799" s="185" t="s">
        <v>522</v>
      </c>
      <c r="E799" s="186" t="s">
        <v>906</v>
      </c>
      <c r="F799" s="186" t="s">
        <v>907</v>
      </c>
      <c r="G799" s="186" t="s">
        <v>2264</v>
      </c>
      <c r="H799" s="186" t="s">
        <v>2265</v>
      </c>
      <c r="I799" s="187" t="s">
        <v>2292</v>
      </c>
      <c r="J799" s="187" t="s">
        <v>2293</v>
      </c>
      <c r="K799" s="188">
        <v>6</v>
      </c>
      <c r="L799" s="188">
        <v>6</v>
      </c>
      <c r="M799" s="189" t="s">
        <v>963</v>
      </c>
      <c r="N799" s="190">
        <v>35.7</v>
      </c>
      <c r="O799" s="190">
        <f t="shared" si="98"/>
        <v>38.91</v>
      </c>
      <c r="P799" s="191">
        <f t="shared" si="99"/>
        <v>214.2</v>
      </c>
      <c r="Q799" s="192">
        <f t="shared" si="100"/>
        <v>214.2</v>
      </c>
      <c r="R799" s="193"/>
      <c r="S799" s="194"/>
      <c r="T799" s="195">
        <f t="shared" si="101"/>
        <v>0</v>
      </c>
      <c r="U799" s="195">
        <f t="shared" si="102"/>
        <v>0</v>
      </c>
      <c r="V799" s="195">
        <f t="shared" si="103"/>
        <v>0</v>
      </c>
      <c r="W799" s="196">
        <f t="shared" si="104"/>
        <v>0</v>
      </c>
      <c r="X799" s="197">
        <f t="shared" si="105"/>
        <v>0</v>
      </c>
      <c r="AG799" s="219" t="s">
        <v>990</v>
      </c>
    </row>
    <row r="800" ht="11.4" customHeight="1" spans="1:34">
      <c r="A800" s="184" t="s">
        <v>2262</v>
      </c>
      <c r="B800" s="184" t="s">
        <v>149</v>
      </c>
      <c r="C800" s="184" t="s">
        <v>2263</v>
      </c>
      <c r="D800" s="185" t="s">
        <v>522</v>
      </c>
      <c r="E800" s="186" t="s">
        <v>906</v>
      </c>
      <c r="F800" s="186" t="s">
        <v>907</v>
      </c>
      <c r="G800" s="186" t="s">
        <v>2264</v>
      </c>
      <c r="H800" s="186" t="s">
        <v>2265</v>
      </c>
      <c r="I800" s="187" t="s">
        <v>2294</v>
      </c>
      <c r="J800" s="187" t="s">
        <v>2295</v>
      </c>
      <c r="K800" s="188"/>
      <c r="L800" s="188"/>
      <c r="M800" s="189" t="s">
        <v>963</v>
      </c>
      <c r="N800" s="190">
        <v>748.98</v>
      </c>
      <c r="O800" s="190">
        <f t="shared" si="98"/>
        <v>816.39</v>
      </c>
      <c r="P800" s="191">
        <f t="shared" si="99"/>
        <v>0</v>
      </c>
      <c r="Q800" s="192">
        <f t="shared" si="100"/>
        <v>0</v>
      </c>
      <c r="R800" s="193"/>
      <c r="S800" s="194"/>
      <c r="T800" s="195">
        <f t="shared" si="101"/>
        <v>0</v>
      </c>
      <c r="U800" s="195">
        <f t="shared" si="102"/>
        <v>0</v>
      </c>
      <c r="V800" s="195">
        <f t="shared" si="103"/>
        <v>0</v>
      </c>
      <c r="W800" s="196" t="e">
        <f t="shared" si="104"/>
        <v>#DIV/0!</v>
      </c>
      <c r="X800" s="197" t="e">
        <f t="shared" si="105"/>
        <v>#DIV/0!</v>
      </c>
      <c r="AG800" s="219" t="s">
        <v>990</v>
      </c>
    </row>
    <row r="801" ht="11.4" customHeight="1" spans="1:33">
      <c r="A801" s="184" t="s">
        <v>2262</v>
      </c>
      <c r="B801" s="184" t="s">
        <v>149</v>
      </c>
      <c r="C801" s="184" t="s">
        <v>2263</v>
      </c>
      <c r="D801" s="185" t="s">
        <v>522</v>
      </c>
      <c r="E801" s="186" t="s">
        <v>906</v>
      </c>
      <c r="F801" s="186" t="s">
        <v>907</v>
      </c>
      <c r="G801" s="186" t="s">
        <v>2264</v>
      </c>
      <c r="H801" s="186" t="s">
        <v>2265</v>
      </c>
      <c r="I801" s="187" t="s">
        <v>2296</v>
      </c>
      <c r="J801" s="187" t="s">
        <v>2297</v>
      </c>
      <c r="K801" s="188">
        <v>2</v>
      </c>
      <c r="L801" s="188">
        <v>2</v>
      </c>
      <c r="M801" s="189" t="s">
        <v>963</v>
      </c>
      <c r="N801" s="190">
        <v>156.3</v>
      </c>
      <c r="O801" s="190">
        <f t="shared" si="98"/>
        <v>170.37</v>
      </c>
      <c r="P801" s="191">
        <f t="shared" si="99"/>
        <v>312.6</v>
      </c>
      <c r="Q801" s="192">
        <f t="shared" si="100"/>
        <v>312.6</v>
      </c>
      <c r="R801" s="193"/>
      <c r="S801" s="194"/>
      <c r="T801" s="195">
        <f t="shared" si="101"/>
        <v>0</v>
      </c>
      <c r="U801" s="195">
        <f t="shared" si="102"/>
        <v>0</v>
      </c>
      <c r="V801" s="195">
        <f t="shared" si="103"/>
        <v>0</v>
      </c>
      <c r="W801" s="196">
        <f t="shared" si="104"/>
        <v>0</v>
      </c>
      <c r="X801" s="197">
        <f t="shared" si="105"/>
        <v>0</v>
      </c>
      <c r="AG801" s="219" t="s">
        <v>990</v>
      </c>
    </row>
    <row r="802" ht="11.4" customHeight="1" spans="1:33">
      <c r="A802" s="184" t="s">
        <v>2262</v>
      </c>
      <c r="B802" s="184" t="s">
        <v>149</v>
      </c>
      <c r="C802" s="184" t="s">
        <v>2263</v>
      </c>
      <c r="D802" s="185" t="s">
        <v>522</v>
      </c>
      <c r="E802" s="186" t="s">
        <v>906</v>
      </c>
      <c r="F802" s="186" t="s">
        <v>907</v>
      </c>
      <c r="G802" s="186" t="s">
        <v>2264</v>
      </c>
      <c r="H802" s="186" t="s">
        <v>2265</v>
      </c>
      <c r="I802" s="187" t="s">
        <v>2298</v>
      </c>
      <c r="J802" s="187" t="s">
        <v>2299</v>
      </c>
      <c r="K802" s="188"/>
      <c r="L802" s="188"/>
      <c r="M802" s="189" t="s">
        <v>963</v>
      </c>
      <c r="N802" s="190">
        <v>661.31</v>
      </c>
      <c r="O802" s="190">
        <f t="shared" si="98"/>
        <v>720.83</v>
      </c>
      <c r="P802" s="191">
        <f t="shared" si="99"/>
        <v>0</v>
      </c>
      <c r="Q802" s="192">
        <f t="shared" si="100"/>
        <v>0</v>
      </c>
      <c r="R802" s="193"/>
      <c r="S802" s="194"/>
      <c r="T802" s="195">
        <f t="shared" si="101"/>
        <v>0</v>
      </c>
      <c r="U802" s="195">
        <f t="shared" si="102"/>
        <v>0</v>
      </c>
      <c r="V802" s="195">
        <f t="shared" si="103"/>
        <v>0</v>
      </c>
      <c r="W802" s="196" t="e">
        <f t="shared" si="104"/>
        <v>#DIV/0!</v>
      </c>
      <c r="X802" s="197" t="e">
        <f t="shared" si="105"/>
        <v>#DIV/0!</v>
      </c>
      <c r="AG802" s="219" t="s">
        <v>990</v>
      </c>
    </row>
    <row r="803" ht="11.4" customHeight="1" spans="1:33">
      <c r="A803" s="184" t="s">
        <v>2262</v>
      </c>
      <c r="B803" s="184" t="s">
        <v>149</v>
      </c>
      <c r="C803" s="184" t="s">
        <v>2263</v>
      </c>
      <c r="D803" s="185" t="s">
        <v>522</v>
      </c>
      <c r="E803" s="186" t="s">
        <v>906</v>
      </c>
      <c r="F803" s="186" t="s">
        <v>907</v>
      </c>
      <c r="G803" s="186" t="s">
        <v>2264</v>
      </c>
      <c r="H803" s="186" t="s">
        <v>2265</v>
      </c>
      <c r="I803" s="187" t="s">
        <v>2300</v>
      </c>
      <c r="J803" s="187" t="s">
        <v>2301</v>
      </c>
      <c r="K803" s="188">
        <v>2</v>
      </c>
      <c r="L803" s="188">
        <v>2</v>
      </c>
      <c r="M803" s="189" t="s">
        <v>963</v>
      </c>
      <c r="N803" s="190">
        <v>97.08</v>
      </c>
      <c r="O803" s="190">
        <f t="shared" si="98"/>
        <v>105.82</v>
      </c>
      <c r="P803" s="191">
        <f t="shared" si="99"/>
        <v>194.16</v>
      </c>
      <c r="Q803" s="192">
        <f t="shared" si="100"/>
        <v>194.16</v>
      </c>
      <c r="R803" s="193"/>
      <c r="S803" s="194"/>
      <c r="T803" s="195">
        <f t="shared" si="101"/>
        <v>0</v>
      </c>
      <c r="U803" s="195">
        <f t="shared" si="102"/>
        <v>0</v>
      </c>
      <c r="V803" s="195">
        <f t="shared" si="103"/>
        <v>0</v>
      </c>
      <c r="W803" s="196">
        <f t="shared" si="104"/>
        <v>0</v>
      </c>
      <c r="X803" s="197">
        <f t="shared" si="105"/>
        <v>0</v>
      </c>
      <c r="AG803" s="219" t="s">
        <v>990</v>
      </c>
    </row>
    <row r="804" ht="11.4" customHeight="1" spans="1:33">
      <c r="A804" s="184" t="s">
        <v>2262</v>
      </c>
      <c r="B804" s="184" t="s">
        <v>149</v>
      </c>
      <c r="C804" s="184" t="s">
        <v>2263</v>
      </c>
      <c r="D804" s="185" t="s">
        <v>522</v>
      </c>
      <c r="E804" s="186" t="s">
        <v>906</v>
      </c>
      <c r="F804" s="186" t="s">
        <v>907</v>
      </c>
      <c r="G804" s="186" t="s">
        <v>2264</v>
      </c>
      <c r="H804" s="186" t="s">
        <v>2265</v>
      </c>
      <c r="I804" s="187" t="s">
        <v>2302</v>
      </c>
      <c r="J804" s="187" t="s">
        <v>2303</v>
      </c>
      <c r="K804" s="188"/>
      <c r="L804" s="188"/>
      <c r="M804" s="189" t="s">
        <v>989</v>
      </c>
      <c r="N804" s="190">
        <v>2137.73</v>
      </c>
      <c r="O804" s="190">
        <f t="shared" si="98"/>
        <v>2330.13</v>
      </c>
      <c r="P804" s="191">
        <f t="shared" si="99"/>
        <v>0</v>
      </c>
      <c r="Q804" s="192">
        <f t="shared" si="100"/>
        <v>0</v>
      </c>
      <c r="R804" s="193"/>
      <c r="S804" s="194"/>
      <c r="T804" s="195">
        <f t="shared" si="101"/>
        <v>0</v>
      </c>
      <c r="U804" s="195">
        <f t="shared" si="102"/>
        <v>0</v>
      </c>
      <c r="V804" s="195">
        <f t="shared" si="103"/>
        <v>0</v>
      </c>
      <c r="W804" s="196" t="e">
        <f t="shared" si="104"/>
        <v>#DIV/0!</v>
      </c>
      <c r="X804" s="197" t="e">
        <f t="shared" si="105"/>
        <v>#DIV/0!</v>
      </c>
      <c r="AG804" s="219" t="s">
        <v>990</v>
      </c>
    </row>
    <row r="805" ht="11.4" customHeight="1" spans="1:33">
      <c r="A805" s="184" t="s">
        <v>2262</v>
      </c>
      <c r="B805" s="184" t="s">
        <v>149</v>
      </c>
      <c r="C805" s="184" t="s">
        <v>2263</v>
      </c>
      <c r="D805" s="185" t="s">
        <v>522</v>
      </c>
      <c r="E805" s="186" t="s">
        <v>906</v>
      </c>
      <c r="F805" s="186" t="s">
        <v>907</v>
      </c>
      <c r="G805" s="186" t="s">
        <v>2264</v>
      </c>
      <c r="H805" s="186" t="s">
        <v>2265</v>
      </c>
      <c r="I805" s="187" t="s">
        <v>2304</v>
      </c>
      <c r="J805" s="187" t="s">
        <v>2305</v>
      </c>
      <c r="K805" s="188">
        <v>1</v>
      </c>
      <c r="L805" s="188">
        <v>1</v>
      </c>
      <c r="M805" s="189" t="s">
        <v>989</v>
      </c>
      <c r="N805" s="190">
        <v>2295.03</v>
      </c>
      <c r="O805" s="190">
        <f t="shared" si="98"/>
        <v>2501.58</v>
      </c>
      <c r="P805" s="191">
        <f t="shared" si="99"/>
        <v>2295.03</v>
      </c>
      <c r="Q805" s="192">
        <f t="shared" si="100"/>
        <v>2295.03</v>
      </c>
      <c r="R805" s="193"/>
      <c r="S805" s="194"/>
      <c r="T805" s="195">
        <f t="shared" si="101"/>
        <v>0</v>
      </c>
      <c r="U805" s="195">
        <f t="shared" si="102"/>
        <v>0</v>
      </c>
      <c r="V805" s="195">
        <f t="shared" si="103"/>
        <v>0</v>
      </c>
      <c r="W805" s="196">
        <f t="shared" si="104"/>
        <v>0</v>
      </c>
      <c r="X805" s="197">
        <f t="shared" si="105"/>
        <v>0</v>
      </c>
      <c r="AG805" s="219" t="s">
        <v>990</v>
      </c>
    </row>
    <row r="806" ht="11.4" customHeight="1" spans="1:33">
      <c r="A806" s="184" t="s">
        <v>2262</v>
      </c>
      <c r="B806" s="184" t="s">
        <v>149</v>
      </c>
      <c r="C806" s="184" t="s">
        <v>2263</v>
      </c>
      <c r="D806" s="185" t="s">
        <v>522</v>
      </c>
      <c r="E806" s="186" t="s">
        <v>906</v>
      </c>
      <c r="F806" s="186" t="s">
        <v>907</v>
      </c>
      <c r="G806" s="186" t="s">
        <v>2264</v>
      </c>
      <c r="H806" s="186" t="s">
        <v>2265</v>
      </c>
      <c r="I806" s="187" t="s">
        <v>2306</v>
      </c>
      <c r="J806" s="187" t="s">
        <v>2307</v>
      </c>
      <c r="K806" s="188">
        <v>1</v>
      </c>
      <c r="L806" s="188">
        <v>1</v>
      </c>
      <c r="M806" s="189" t="s">
        <v>2308</v>
      </c>
      <c r="N806" s="190">
        <v>994.83</v>
      </c>
      <c r="O806" s="190">
        <f t="shared" si="98"/>
        <v>1084.36</v>
      </c>
      <c r="P806" s="191">
        <f t="shared" si="99"/>
        <v>994.83</v>
      </c>
      <c r="Q806" s="192">
        <f t="shared" si="100"/>
        <v>994.83</v>
      </c>
      <c r="R806" s="193"/>
      <c r="S806" s="194"/>
      <c r="T806" s="195">
        <f t="shared" si="101"/>
        <v>0</v>
      </c>
      <c r="U806" s="195">
        <f t="shared" si="102"/>
        <v>0</v>
      </c>
      <c r="V806" s="195">
        <f t="shared" si="103"/>
        <v>0</v>
      </c>
      <c r="W806" s="196">
        <f t="shared" si="104"/>
        <v>0</v>
      </c>
      <c r="X806" s="197">
        <f t="shared" si="105"/>
        <v>0</v>
      </c>
      <c r="AG806" s="219" t="s">
        <v>990</v>
      </c>
    </row>
    <row r="807" ht="11.4" customHeight="1" spans="1:33">
      <c r="A807" s="184" t="s">
        <v>2262</v>
      </c>
      <c r="B807" s="184" t="s">
        <v>149</v>
      </c>
      <c r="C807" s="184" t="s">
        <v>2263</v>
      </c>
      <c r="D807" s="185" t="s">
        <v>522</v>
      </c>
      <c r="E807" s="186" t="s">
        <v>906</v>
      </c>
      <c r="F807" s="186" t="s">
        <v>907</v>
      </c>
      <c r="G807" s="186" t="s">
        <v>2264</v>
      </c>
      <c r="H807" s="186" t="s">
        <v>2265</v>
      </c>
      <c r="I807" s="187" t="s">
        <v>2309</v>
      </c>
      <c r="J807" s="187" t="s">
        <v>2310</v>
      </c>
      <c r="K807" s="188">
        <v>1</v>
      </c>
      <c r="L807" s="188">
        <v>1</v>
      </c>
      <c r="M807" s="189" t="s">
        <v>2308</v>
      </c>
      <c r="N807" s="190">
        <v>1148.83</v>
      </c>
      <c r="O807" s="190">
        <f t="shared" si="98"/>
        <v>1252.22</v>
      </c>
      <c r="P807" s="191">
        <f t="shared" si="99"/>
        <v>1148.83</v>
      </c>
      <c r="Q807" s="192">
        <f t="shared" si="100"/>
        <v>1148.83</v>
      </c>
      <c r="R807" s="193"/>
      <c r="S807" s="194"/>
      <c r="T807" s="195">
        <f t="shared" si="101"/>
        <v>0</v>
      </c>
      <c r="U807" s="195">
        <f t="shared" si="102"/>
        <v>0</v>
      </c>
      <c r="V807" s="195">
        <f t="shared" si="103"/>
        <v>0</v>
      </c>
      <c r="W807" s="196">
        <f t="shared" si="104"/>
        <v>0</v>
      </c>
      <c r="X807" s="197">
        <f t="shared" si="105"/>
        <v>0</v>
      </c>
      <c r="AG807" s="219" t="s">
        <v>990</v>
      </c>
    </row>
    <row r="808" ht="11.4" customHeight="1" spans="1:33">
      <c r="A808" s="184" t="s">
        <v>2262</v>
      </c>
      <c r="B808" s="184" t="s">
        <v>149</v>
      </c>
      <c r="C808" s="184" t="s">
        <v>2263</v>
      </c>
      <c r="D808" s="185" t="s">
        <v>522</v>
      </c>
      <c r="E808" s="186" t="s">
        <v>906</v>
      </c>
      <c r="F808" s="186" t="s">
        <v>907</v>
      </c>
      <c r="G808" s="186" t="s">
        <v>2264</v>
      </c>
      <c r="H808" s="186" t="s">
        <v>2265</v>
      </c>
      <c r="I808" s="187" t="s">
        <v>2311</v>
      </c>
      <c r="J808" s="187" t="s">
        <v>2312</v>
      </c>
      <c r="K808" s="188"/>
      <c r="L808" s="188"/>
      <c r="M808" s="189" t="s">
        <v>963</v>
      </c>
      <c r="N808" s="190">
        <v>55.98</v>
      </c>
      <c r="O808" s="190">
        <f t="shared" si="98"/>
        <v>61.02</v>
      </c>
      <c r="P808" s="191">
        <f t="shared" si="99"/>
        <v>0</v>
      </c>
      <c r="Q808" s="192">
        <f t="shared" si="100"/>
        <v>0</v>
      </c>
      <c r="R808" s="193"/>
      <c r="S808" s="194"/>
      <c r="T808" s="195">
        <f t="shared" si="101"/>
        <v>0</v>
      </c>
      <c r="U808" s="195">
        <f t="shared" si="102"/>
        <v>0</v>
      </c>
      <c r="V808" s="195">
        <f t="shared" si="103"/>
        <v>0</v>
      </c>
      <c r="W808" s="196" t="e">
        <f t="shared" si="104"/>
        <v>#DIV/0!</v>
      </c>
      <c r="X808" s="197" t="e">
        <f t="shared" si="105"/>
        <v>#DIV/0!</v>
      </c>
      <c r="AG808" s="219" t="s">
        <v>990</v>
      </c>
    </row>
    <row r="809" ht="11.4" customHeight="1" spans="1:33">
      <c r="A809" s="184" t="s">
        <v>2262</v>
      </c>
      <c r="B809" s="184" t="s">
        <v>149</v>
      </c>
      <c r="C809" s="184" t="s">
        <v>2263</v>
      </c>
      <c r="D809" s="185" t="s">
        <v>522</v>
      </c>
      <c r="E809" s="186" t="s">
        <v>906</v>
      </c>
      <c r="F809" s="186" t="s">
        <v>907</v>
      </c>
      <c r="G809" s="186" t="s">
        <v>2264</v>
      </c>
      <c r="H809" s="186" t="s">
        <v>2265</v>
      </c>
      <c r="I809" s="187" t="s">
        <v>2313</v>
      </c>
      <c r="J809" s="187" t="s">
        <v>2314</v>
      </c>
      <c r="K809" s="188">
        <v>1</v>
      </c>
      <c r="L809" s="188">
        <v>1</v>
      </c>
      <c r="M809" s="189" t="s">
        <v>963</v>
      </c>
      <c r="N809" s="190">
        <v>80.18</v>
      </c>
      <c r="O809" s="190">
        <f t="shared" si="98"/>
        <v>87.4</v>
      </c>
      <c r="P809" s="191">
        <f t="shared" si="99"/>
        <v>80.18</v>
      </c>
      <c r="Q809" s="192">
        <f t="shared" si="100"/>
        <v>80.18</v>
      </c>
      <c r="R809" s="193"/>
      <c r="S809" s="194"/>
      <c r="T809" s="195">
        <f t="shared" si="101"/>
        <v>0</v>
      </c>
      <c r="U809" s="195">
        <f t="shared" si="102"/>
        <v>0</v>
      </c>
      <c r="V809" s="195">
        <f t="shared" si="103"/>
        <v>0</v>
      </c>
      <c r="W809" s="196">
        <f t="shared" si="104"/>
        <v>0</v>
      </c>
      <c r="X809" s="197">
        <f t="shared" si="105"/>
        <v>0</v>
      </c>
      <c r="AG809" s="219" t="s">
        <v>990</v>
      </c>
    </row>
    <row r="810" ht="11.4" customHeight="1" spans="1:33">
      <c r="A810" s="184" t="s">
        <v>2262</v>
      </c>
      <c r="B810" s="184" t="s">
        <v>149</v>
      </c>
      <c r="C810" s="184" t="s">
        <v>2263</v>
      </c>
      <c r="D810" s="185" t="s">
        <v>522</v>
      </c>
      <c r="E810" s="186" t="s">
        <v>906</v>
      </c>
      <c r="F810" s="186" t="s">
        <v>907</v>
      </c>
      <c r="G810" s="186" t="s">
        <v>2264</v>
      </c>
      <c r="H810" s="186" t="s">
        <v>2265</v>
      </c>
      <c r="I810" s="187" t="s">
        <v>2315</v>
      </c>
      <c r="J810" s="187" t="s">
        <v>2316</v>
      </c>
      <c r="K810" s="188">
        <v>1</v>
      </c>
      <c r="L810" s="188">
        <v>1</v>
      </c>
      <c r="M810" s="189" t="s">
        <v>963</v>
      </c>
      <c r="N810" s="190">
        <v>202.07</v>
      </c>
      <c r="O810" s="190">
        <f t="shared" si="98"/>
        <v>220.26</v>
      </c>
      <c r="P810" s="191">
        <f t="shared" si="99"/>
        <v>202.07</v>
      </c>
      <c r="Q810" s="192">
        <f t="shared" si="100"/>
        <v>202.07</v>
      </c>
      <c r="R810" s="193"/>
      <c r="S810" s="194"/>
      <c r="T810" s="195">
        <f t="shared" si="101"/>
        <v>0</v>
      </c>
      <c r="U810" s="195">
        <f t="shared" si="102"/>
        <v>0</v>
      </c>
      <c r="V810" s="195">
        <f t="shared" si="103"/>
        <v>0</v>
      </c>
      <c r="W810" s="196">
        <f t="shared" si="104"/>
        <v>0</v>
      </c>
      <c r="X810" s="197">
        <f t="shared" si="105"/>
        <v>0</v>
      </c>
      <c r="AG810" s="219" t="s">
        <v>990</v>
      </c>
    </row>
    <row r="811" ht="11.4" customHeight="1" spans="1:33">
      <c r="A811" s="184" t="s">
        <v>2262</v>
      </c>
      <c r="B811" s="184" t="s">
        <v>149</v>
      </c>
      <c r="C811" s="184" t="s">
        <v>2263</v>
      </c>
      <c r="D811" s="185" t="s">
        <v>522</v>
      </c>
      <c r="E811" s="186" t="s">
        <v>906</v>
      </c>
      <c r="F811" s="186" t="s">
        <v>907</v>
      </c>
      <c r="G811" s="186" t="s">
        <v>2264</v>
      </c>
      <c r="H811" s="186" t="s">
        <v>2317</v>
      </c>
      <c r="I811" s="187" t="s">
        <v>2318</v>
      </c>
      <c r="J811" s="187" t="s">
        <v>2319</v>
      </c>
      <c r="K811" s="188"/>
      <c r="L811" s="188"/>
      <c r="M811" s="189" t="s">
        <v>807</v>
      </c>
      <c r="N811" s="190">
        <v>24.81</v>
      </c>
      <c r="O811" s="190">
        <f t="shared" si="98"/>
        <v>27.04</v>
      </c>
      <c r="P811" s="191">
        <f t="shared" si="99"/>
        <v>0</v>
      </c>
      <c r="Q811" s="192">
        <f t="shared" si="100"/>
        <v>0</v>
      </c>
      <c r="R811" s="193"/>
      <c r="S811" s="194"/>
      <c r="T811" s="195">
        <f t="shared" si="101"/>
        <v>0</v>
      </c>
      <c r="U811" s="195">
        <f t="shared" si="102"/>
        <v>0</v>
      </c>
      <c r="V811" s="195">
        <f t="shared" si="103"/>
        <v>0</v>
      </c>
      <c r="W811" s="196" t="e">
        <f t="shared" si="104"/>
        <v>#DIV/0!</v>
      </c>
      <c r="X811" s="197" t="e">
        <f t="shared" si="105"/>
        <v>#DIV/0!</v>
      </c>
      <c r="AG811" s="109" t="s">
        <v>1056</v>
      </c>
    </row>
    <row r="812" ht="11.4" customHeight="1" spans="1:33">
      <c r="A812" s="184" t="s">
        <v>2262</v>
      </c>
      <c r="B812" s="184" t="s">
        <v>149</v>
      </c>
      <c r="C812" s="184" t="s">
        <v>2263</v>
      </c>
      <c r="D812" s="185" t="s">
        <v>522</v>
      </c>
      <c r="E812" s="186" t="s">
        <v>906</v>
      </c>
      <c r="F812" s="186" t="s">
        <v>907</v>
      </c>
      <c r="G812" s="186" t="s">
        <v>2264</v>
      </c>
      <c r="H812" s="186" t="s">
        <v>2320</v>
      </c>
      <c r="I812" s="187" t="s">
        <v>2321</v>
      </c>
      <c r="J812" s="187" t="s">
        <v>2322</v>
      </c>
      <c r="K812" s="188">
        <v>5.59</v>
      </c>
      <c r="L812" s="188">
        <v>5.54</v>
      </c>
      <c r="M812" s="189" t="s">
        <v>807</v>
      </c>
      <c r="N812" s="190">
        <v>97.45</v>
      </c>
      <c r="O812" s="190">
        <f t="shared" si="98"/>
        <v>106.22</v>
      </c>
      <c r="P812" s="191">
        <f t="shared" si="99"/>
        <v>544.75</v>
      </c>
      <c r="Q812" s="192">
        <f t="shared" si="100"/>
        <v>539.87</v>
      </c>
      <c r="R812" s="193"/>
      <c r="S812" s="194"/>
      <c r="T812" s="195">
        <f t="shared" si="101"/>
        <v>0.0499999999999998</v>
      </c>
      <c r="U812" s="195">
        <f t="shared" si="102"/>
        <v>4.88</v>
      </c>
      <c r="V812" s="195">
        <f t="shared" si="103"/>
        <v>4.88</v>
      </c>
      <c r="W812" s="196">
        <f t="shared" si="104"/>
        <v>0.00902527075812271</v>
      </c>
      <c r="X812" s="197">
        <f t="shared" si="105"/>
        <v>0.00902527075812271</v>
      </c>
      <c r="AG812" s="109" t="s">
        <v>1056</v>
      </c>
    </row>
    <row r="813" ht="11.4" customHeight="1" spans="1:33">
      <c r="A813" s="184" t="s">
        <v>2262</v>
      </c>
      <c r="B813" s="184" t="s">
        <v>149</v>
      </c>
      <c r="C813" s="184" t="s">
        <v>2263</v>
      </c>
      <c r="D813" s="185" t="s">
        <v>522</v>
      </c>
      <c r="E813" s="186" t="s">
        <v>906</v>
      </c>
      <c r="F813" s="186" t="s">
        <v>907</v>
      </c>
      <c r="G813" s="186" t="s">
        <v>2264</v>
      </c>
      <c r="H813" s="186" t="s">
        <v>2320</v>
      </c>
      <c r="I813" s="187" t="s">
        <v>2323</v>
      </c>
      <c r="J813" s="187" t="s">
        <v>2324</v>
      </c>
      <c r="K813" s="188"/>
      <c r="L813" s="188"/>
      <c r="M813" s="189" t="s">
        <v>807</v>
      </c>
      <c r="N813" s="190">
        <v>56.91</v>
      </c>
      <c r="O813" s="190">
        <f t="shared" si="98"/>
        <v>62.03</v>
      </c>
      <c r="P813" s="191">
        <f t="shared" si="99"/>
        <v>0</v>
      </c>
      <c r="Q813" s="192">
        <f t="shared" si="100"/>
        <v>0</v>
      </c>
      <c r="R813" s="193"/>
      <c r="S813" s="194"/>
      <c r="T813" s="195">
        <f t="shared" si="101"/>
        <v>0</v>
      </c>
      <c r="U813" s="195">
        <f t="shared" si="102"/>
        <v>0</v>
      </c>
      <c r="V813" s="195">
        <f t="shared" si="103"/>
        <v>0</v>
      </c>
      <c r="W813" s="196" t="e">
        <f t="shared" si="104"/>
        <v>#DIV/0!</v>
      </c>
      <c r="X813" s="197" t="e">
        <f t="shared" si="105"/>
        <v>#DIV/0!</v>
      </c>
      <c r="AG813" s="109" t="s">
        <v>1056</v>
      </c>
    </row>
    <row r="814" ht="11.4" customHeight="1" spans="1:33">
      <c r="A814" s="184" t="s">
        <v>2262</v>
      </c>
      <c r="B814" s="184" t="s">
        <v>149</v>
      </c>
      <c r="C814" s="184" t="s">
        <v>2263</v>
      </c>
      <c r="D814" s="185" t="s">
        <v>522</v>
      </c>
      <c r="E814" s="186" t="s">
        <v>906</v>
      </c>
      <c r="F814" s="186" t="s">
        <v>907</v>
      </c>
      <c r="G814" s="186" t="s">
        <v>2264</v>
      </c>
      <c r="H814" s="186" t="s">
        <v>2320</v>
      </c>
      <c r="I814" s="187" t="s">
        <v>2325</v>
      </c>
      <c r="J814" s="187" t="s">
        <v>2326</v>
      </c>
      <c r="K814" s="188">
        <v>26.49</v>
      </c>
      <c r="L814" s="188">
        <v>26.11</v>
      </c>
      <c r="M814" s="189" t="s">
        <v>807</v>
      </c>
      <c r="N814" s="190">
        <v>39.03</v>
      </c>
      <c r="O814" s="190">
        <f t="shared" si="98"/>
        <v>42.54</v>
      </c>
      <c r="P814" s="191">
        <f t="shared" si="99"/>
        <v>1033.9</v>
      </c>
      <c r="Q814" s="192">
        <f t="shared" si="100"/>
        <v>1019.07</v>
      </c>
      <c r="R814" s="193"/>
      <c r="S814" s="194"/>
      <c r="T814" s="195">
        <f t="shared" si="101"/>
        <v>0.379999999999999</v>
      </c>
      <c r="U814" s="195">
        <f t="shared" si="102"/>
        <v>14.83</v>
      </c>
      <c r="V814" s="195">
        <f t="shared" si="103"/>
        <v>14.83</v>
      </c>
      <c r="W814" s="196">
        <f t="shared" si="104"/>
        <v>0.0145538108004596</v>
      </c>
      <c r="X814" s="197">
        <f t="shared" si="105"/>
        <v>0.0145538108004596</v>
      </c>
      <c r="AG814" s="109" t="s">
        <v>1056</v>
      </c>
    </row>
    <row r="815" ht="11.4" customHeight="1" spans="1:33">
      <c r="A815" s="184" t="s">
        <v>2262</v>
      </c>
      <c r="B815" s="184" t="s">
        <v>149</v>
      </c>
      <c r="C815" s="184" t="s">
        <v>2263</v>
      </c>
      <c r="D815" s="185" t="s">
        <v>522</v>
      </c>
      <c r="E815" s="186" t="s">
        <v>906</v>
      </c>
      <c r="F815" s="186" t="s">
        <v>907</v>
      </c>
      <c r="G815" s="186" t="s">
        <v>2264</v>
      </c>
      <c r="H815" s="186" t="s">
        <v>2320</v>
      </c>
      <c r="I815" s="187" t="s">
        <v>2327</v>
      </c>
      <c r="J815" s="187" t="s">
        <v>2328</v>
      </c>
      <c r="K815" s="221">
        <v>40.77</v>
      </c>
      <c r="L815" s="188">
        <v>38.4</v>
      </c>
      <c r="M815" s="189" t="s">
        <v>807</v>
      </c>
      <c r="N815" s="190">
        <v>24.95</v>
      </c>
      <c r="O815" s="190">
        <f t="shared" si="98"/>
        <v>27.2</v>
      </c>
      <c r="P815" s="191">
        <f t="shared" si="99"/>
        <v>1017.21</v>
      </c>
      <c r="Q815" s="192">
        <f t="shared" si="100"/>
        <v>958.08</v>
      </c>
      <c r="R815" s="193"/>
      <c r="S815" s="194"/>
      <c r="T815" s="195">
        <f t="shared" si="101"/>
        <v>2.37</v>
      </c>
      <c r="U815" s="195">
        <f t="shared" si="102"/>
        <v>59.13</v>
      </c>
      <c r="V815" s="195">
        <f t="shared" si="103"/>
        <v>59.13</v>
      </c>
      <c r="W815" s="196">
        <f t="shared" si="104"/>
        <v>0.0617187500000001</v>
      </c>
      <c r="X815" s="197">
        <f t="shared" si="105"/>
        <v>0.0617187500000001</v>
      </c>
      <c r="AG815" s="109" t="s">
        <v>1056</v>
      </c>
    </row>
    <row r="816" ht="11.4" customHeight="1" spans="1:33">
      <c r="A816" s="184" t="s">
        <v>2262</v>
      </c>
      <c r="B816" s="184" t="s">
        <v>149</v>
      </c>
      <c r="C816" s="184" t="s">
        <v>2263</v>
      </c>
      <c r="D816" s="185" t="s">
        <v>522</v>
      </c>
      <c r="E816" s="186" t="s">
        <v>906</v>
      </c>
      <c r="F816" s="186" t="s">
        <v>907</v>
      </c>
      <c r="G816" s="186" t="s">
        <v>2264</v>
      </c>
      <c r="H816" s="186" t="s">
        <v>2320</v>
      </c>
      <c r="I816" s="187" t="s">
        <v>2329</v>
      </c>
      <c r="J816" s="187" t="s">
        <v>2330</v>
      </c>
      <c r="K816" s="188"/>
      <c r="L816" s="188"/>
      <c r="M816" s="189" t="s">
        <v>807</v>
      </c>
      <c r="N816" s="190">
        <v>24.95</v>
      </c>
      <c r="O816" s="190">
        <f t="shared" si="98"/>
        <v>27.2</v>
      </c>
      <c r="P816" s="191">
        <f t="shared" si="99"/>
        <v>0</v>
      </c>
      <c r="Q816" s="192">
        <f t="shared" si="100"/>
        <v>0</v>
      </c>
      <c r="R816" s="193"/>
      <c r="S816" s="194"/>
      <c r="T816" s="195">
        <f t="shared" si="101"/>
        <v>0</v>
      </c>
      <c r="U816" s="195">
        <f t="shared" si="102"/>
        <v>0</v>
      </c>
      <c r="V816" s="195">
        <f t="shared" si="103"/>
        <v>0</v>
      </c>
      <c r="W816" s="196" t="e">
        <f t="shared" si="104"/>
        <v>#DIV/0!</v>
      </c>
      <c r="X816" s="197" t="e">
        <f t="shared" si="105"/>
        <v>#DIV/0!</v>
      </c>
      <c r="AG816" s="109" t="s">
        <v>1056</v>
      </c>
    </row>
    <row r="817" ht="11.4" customHeight="1" spans="1:34">
      <c r="A817" s="184" t="s">
        <v>2262</v>
      </c>
      <c r="B817" s="184" t="s">
        <v>149</v>
      </c>
      <c r="C817" s="184" t="s">
        <v>2263</v>
      </c>
      <c r="D817" s="185" t="s">
        <v>522</v>
      </c>
      <c r="E817" s="186" t="s">
        <v>906</v>
      </c>
      <c r="F817" s="186" t="s">
        <v>907</v>
      </c>
      <c r="G817" s="186" t="s">
        <v>2264</v>
      </c>
      <c r="H817" s="186" t="s">
        <v>2320</v>
      </c>
      <c r="I817" s="187" t="s">
        <v>2331</v>
      </c>
      <c r="J817" s="187" t="s">
        <v>2332</v>
      </c>
      <c r="K817" s="188">
        <v>20</v>
      </c>
      <c r="L817" s="188">
        <v>20</v>
      </c>
      <c r="M817" s="189" t="s">
        <v>807</v>
      </c>
      <c r="N817" s="190">
        <v>34.08</v>
      </c>
      <c r="O817" s="190">
        <f t="shared" si="98"/>
        <v>37.15</v>
      </c>
      <c r="P817" s="191">
        <f t="shared" si="99"/>
        <v>681.6</v>
      </c>
      <c r="Q817" s="192">
        <f t="shared" si="100"/>
        <v>681.6</v>
      </c>
      <c r="R817" s="193"/>
      <c r="S817" s="194"/>
      <c r="T817" s="195">
        <f t="shared" si="101"/>
        <v>0</v>
      </c>
      <c r="U817" s="195">
        <f t="shared" si="102"/>
        <v>0</v>
      </c>
      <c r="V817" s="195">
        <f t="shared" si="103"/>
        <v>0</v>
      </c>
      <c r="W817" s="196">
        <f t="shared" si="104"/>
        <v>0</v>
      </c>
      <c r="X817" s="197">
        <f t="shared" si="105"/>
        <v>0</v>
      </c>
      <c r="AG817" s="109" t="s">
        <v>1056</v>
      </c>
    </row>
    <row r="818" ht="11.4" customHeight="1" spans="1:34">
      <c r="A818" s="184" t="s">
        <v>2262</v>
      </c>
      <c r="B818" s="184" t="s">
        <v>149</v>
      </c>
      <c r="C818" s="184" t="s">
        <v>2263</v>
      </c>
      <c r="D818" s="185" t="s">
        <v>522</v>
      </c>
      <c r="E818" s="186" t="s">
        <v>906</v>
      </c>
      <c r="F818" s="186" t="s">
        <v>907</v>
      </c>
      <c r="G818" s="186" t="s">
        <v>2264</v>
      </c>
      <c r="H818" s="186" t="s">
        <v>2320</v>
      </c>
      <c r="I818" s="187" t="s">
        <v>2333</v>
      </c>
      <c r="J818" s="187" t="s">
        <v>2334</v>
      </c>
      <c r="K818" s="221">
        <v>3</v>
      </c>
      <c r="L818" s="188">
        <v>1</v>
      </c>
      <c r="M818" s="189" t="s">
        <v>963</v>
      </c>
      <c r="N818" s="190">
        <v>196.45</v>
      </c>
      <c r="O818" s="190">
        <f t="shared" si="98"/>
        <v>214.13</v>
      </c>
      <c r="P818" s="191">
        <f t="shared" si="99"/>
        <v>589.35</v>
      </c>
      <c r="Q818" s="192">
        <f t="shared" si="100"/>
        <v>196.45</v>
      </c>
      <c r="R818" s="193"/>
      <c r="S818" s="194"/>
      <c r="T818" s="195">
        <f t="shared" si="101"/>
        <v>2</v>
      </c>
      <c r="U818" s="195">
        <f t="shared" si="102"/>
        <v>392.9</v>
      </c>
      <c r="V818" s="195">
        <f t="shared" si="103"/>
        <v>392.9</v>
      </c>
      <c r="W818" s="196">
        <f t="shared" si="104"/>
        <v>2</v>
      </c>
      <c r="X818" s="197">
        <f t="shared" si="105"/>
        <v>2</v>
      </c>
      <c r="AG818" s="219" t="s">
        <v>990</v>
      </c>
    </row>
    <row r="819" ht="11.4" customHeight="1" spans="1:34">
      <c r="A819" s="184" t="s">
        <v>2262</v>
      </c>
      <c r="B819" s="184" t="s">
        <v>149</v>
      </c>
      <c r="C819" s="184" t="s">
        <v>2263</v>
      </c>
      <c r="D819" s="185" t="s">
        <v>522</v>
      </c>
      <c r="E819" s="186" t="s">
        <v>906</v>
      </c>
      <c r="F819" s="186" t="s">
        <v>907</v>
      </c>
      <c r="G819" s="186" t="s">
        <v>2264</v>
      </c>
      <c r="H819" s="186" t="s">
        <v>2320</v>
      </c>
      <c r="I819" s="187" t="s">
        <v>2335</v>
      </c>
      <c r="J819" s="187" t="s">
        <v>2336</v>
      </c>
      <c r="K819" s="188">
        <v>4</v>
      </c>
      <c r="L819" s="188">
        <v>4</v>
      </c>
      <c r="M819" s="189" t="s">
        <v>963</v>
      </c>
      <c r="N819" s="190">
        <v>245.17</v>
      </c>
      <c r="O819" s="190">
        <f t="shared" si="98"/>
        <v>267.24</v>
      </c>
      <c r="P819" s="191">
        <f t="shared" si="99"/>
        <v>980.68</v>
      </c>
      <c r="Q819" s="192">
        <f t="shared" si="100"/>
        <v>980.68</v>
      </c>
      <c r="R819" s="193"/>
      <c r="S819" s="194"/>
      <c r="T819" s="195">
        <f t="shared" si="101"/>
        <v>0</v>
      </c>
      <c r="U819" s="195">
        <f t="shared" si="102"/>
        <v>0</v>
      </c>
      <c r="V819" s="195">
        <f t="shared" si="103"/>
        <v>0</v>
      </c>
      <c r="W819" s="196">
        <f t="shared" si="104"/>
        <v>0</v>
      </c>
      <c r="X819" s="197">
        <f t="shared" si="105"/>
        <v>0</v>
      </c>
      <c r="AG819" s="219" t="s">
        <v>990</v>
      </c>
    </row>
    <row r="820" ht="11.4" customHeight="1" spans="1:34">
      <c r="A820" s="184" t="s">
        <v>2262</v>
      </c>
      <c r="B820" s="184" t="s">
        <v>149</v>
      </c>
      <c r="C820" s="184" t="s">
        <v>2263</v>
      </c>
      <c r="D820" s="185" t="s">
        <v>522</v>
      </c>
      <c r="E820" s="186" t="s">
        <v>906</v>
      </c>
      <c r="F820" s="186" t="s">
        <v>907</v>
      </c>
      <c r="G820" s="186" t="s">
        <v>2264</v>
      </c>
      <c r="H820" s="186" t="s">
        <v>2320</v>
      </c>
      <c r="I820" s="187" t="s">
        <v>2337</v>
      </c>
      <c r="J820" s="187" t="s">
        <v>2338</v>
      </c>
      <c r="K820" s="188">
        <v>4</v>
      </c>
      <c r="L820" s="188">
        <v>4</v>
      </c>
      <c r="M820" s="189" t="s">
        <v>963</v>
      </c>
      <c r="N820" s="190">
        <v>29.9</v>
      </c>
      <c r="O820" s="190">
        <f t="shared" si="98"/>
        <v>32.59</v>
      </c>
      <c r="P820" s="191">
        <f t="shared" si="99"/>
        <v>119.6</v>
      </c>
      <c r="Q820" s="192">
        <f t="shared" si="100"/>
        <v>119.6</v>
      </c>
      <c r="R820" s="193"/>
      <c r="S820" s="194"/>
      <c r="T820" s="195">
        <f t="shared" si="101"/>
        <v>0</v>
      </c>
      <c r="U820" s="195">
        <f t="shared" si="102"/>
        <v>0</v>
      </c>
      <c r="V820" s="195">
        <f t="shared" si="103"/>
        <v>0</v>
      </c>
      <c r="W820" s="196">
        <f t="shared" si="104"/>
        <v>0</v>
      </c>
      <c r="X820" s="197">
        <f t="shared" si="105"/>
        <v>0</v>
      </c>
      <c r="AG820" s="219" t="s">
        <v>990</v>
      </c>
    </row>
    <row r="821" ht="11.4" customHeight="1" spans="1:34">
      <c r="A821" s="184" t="s">
        <v>2262</v>
      </c>
      <c r="B821" s="184" t="s">
        <v>149</v>
      </c>
      <c r="C821" s="184" t="s">
        <v>2263</v>
      </c>
      <c r="D821" s="185" t="s">
        <v>522</v>
      </c>
      <c r="E821" s="186" t="s">
        <v>906</v>
      </c>
      <c r="F821" s="186" t="s">
        <v>907</v>
      </c>
      <c r="G821" s="186" t="s">
        <v>2264</v>
      </c>
      <c r="H821" s="186" t="s">
        <v>2320</v>
      </c>
      <c r="I821" s="187" t="s">
        <v>2339</v>
      </c>
      <c r="J821" s="187" t="s">
        <v>2340</v>
      </c>
      <c r="K821" s="188"/>
      <c r="L821" s="188"/>
      <c r="M821" s="189" t="s">
        <v>793</v>
      </c>
      <c r="N821" s="190"/>
      <c r="O821" s="190">
        <f t="shared" si="98"/>
        <v>0</v>
      </c>
      <c r="P821" s="191">
        <f t="shared" si="99"/>
        <v>0</v>
      </c>
      <c r="Q821" s="192">
        <f t="shared" si="100"/>
        <v>0</v>
      </c>
      <c r="R821" s="193"/>
      <c r="S821" s="194"/>
      <c r="T821" s="195">
        <f t="shared" si="101"/>
        <v>0</v>
      </c>
      <c r="U821" s="195">
        <f t="shared" si="102"/>
        <v>0</v>
      </c>
      <c r="V821" s="195">
        <f t="shared" si="103"/>
        <v>0</v>
      </c>
      <c r="W821" s="196" t="e">
        <f t="shared" si="104"/>
        <v>#DIV/0!</v>
      </c>
      <c r="X821" s="197" t="e">
        <f t="shared" si="105"/>
        <v>#DIV/0!</v>
      </c>
      <c r="AG821" s="219"/>
      <c r="AH821" s="109" t="s">
        <v>794</v>
      </c>
    </row>
    <row r="822" ht="11.4" customHeight="1" spans="1:34">
      <c r="A822" s="184" t="s">
        <v>2262</v>
      </c>
      <c r="B822" s="184" t="s">
        <v>149</v>
      </c>
      <c r="C822" s="184" t="s">
        <v>2263</v>
      </c>
      <c r="D822" s="185" t="s">
        <v>522</v>
      </c>
      <c r="E822" s="186" t="s">
        <v>906</v>
      </c>
      <c r="F822" s="186" t="s">
        <v>907</v>
      </c>
      <c r="G822" s="186" t="s">
        <v>2264</v>
      </c>
      <c r="H822" s="186" t="s">
        <v>2265</v>
      </c>
      <c r="I822" s="187" t="s">
        <v>2341</v>
      </c>
      <c r="J822" s="187" t="s">
        <v>2342</v>
      </c>
      <c r="K822" s="188">
        <v>2</v>
      </c>
      <c r="L822" s="188">
        <v>2</v>
      </c>
      <c r="M822" s="189" t="s">
        <v>963</v>
      </c>
      <c r="N822" s="190">
        <v>134.85</v>
      </c>
      <c r="O822" s="190">
        <f t="shared" si="98"/>
        <v>146.99</v>
      </c>
      <c r="P822" s="191">
        <f t="shared" si="99"/>
        <v>269.7</v>
      </c>
      <c r="Q822" s="192">
        <f t="shared" si="100"/>
        <v>269.7</v>
      </c>
      <c r="R822" s="193"/>
      <c r="S822" s="194"/>
      <c r="T822" s="195">
        <f t="shared" si="101"/>
        <v>0</v>
      </c>
      <c r="U822" s="195">
        <f t="shared" si="102"/>
        <v>0</v>
      </c>
      <c r="V822" s="195">
        <f t="shared" si="103"/>
        <v>0</v>
      </c>
      <c r="W822" s="196">
        <f t="shared" si="104"/>
        <v>0</v>
      </c>
      <c r="X822" s="197">
        <f t="shared" si="105"/>
        <v>0</v>
      </c>
      <c r="AG822" s="219" t="s">
        <v>990</v>
      </c>
    </row>
    <row r="823" ht="11.4" customHeight="1" spans="1:34">
      <c r="A823" s="184" t="s">
        <v>2262</v>
      </c>
      <c r="B823" s="184" t="s">
        <v>149</v>
      </c>
      <c r="C823" s="184" t="s">
        <v>2263</v>
      </c>
      <c r="D823" s="185" t="s">
        <v>522</v>
      </c>
      <c r="E823" s="186" t="s">
        <v>906</v>
      </c>
      <c r="F823" s="186" t="s">
        <v>907</v>
      </c>
      <c r="G823" s="186" t="s">
        <v>2264</v>
      </c>
      <c r="H823" s="186" t="s">
        <v>2265</v>
      </c>
      <c r="I823" s="187" t="s">
        <v>2343</v>
      </c>
      <c r="J823" s="187" t="s">
        <v>2344</v>
      </c>
      <c r="K823" s="188">
        <v>1</v>
      </c>
      <c r="L823" s="188">
        <v>1</v>
      </c>
      <c r="M823" s="189" t="s">
        <v>963</v>
      </c>
      <c r="N823" s="190">
        <v>416.64</v>
      </c>
      <c r="O823" s="190">
        <f t="shared" si="98"/>
        <v>454.14</v>
      </c>
      <c r="P823" s="191">
        <f t="shared" si="99"/>
        <v>416.64</v>
      </c>
      <c r="Q823" s="192">
        <f t="shared" si="100"/>
        <v>416.64</v>
      </c>
      <c r="R823" s="193"/>
      <c r="S823" s="194"/>
      <c r="T823" s="195">
        <f t="shared" si="101"/>
        <v>0</v>
      </c>
      <c r="U823" s="195">
        <f t="shared" si="102"/>
        <v>0</v>
      </c>
      <c r="V823" s="195">
        <f t="shared" si="103"/>
        <v>0</v>
      </c>
      <c r="W823" s="196">
        <f t="shared" si="104"/>
        <v>0</v>
      </c>
      <c r="X823" s="197">
        <f t="shared" si="105"/>
        <v>0</v>
      </c>
      <c r="AG823" s="219" t="s">
        <v>990</v>
      </c>
    </row>
    <row r="824" ht="11.4" customHeight="1" spans="1:34">
      <c r="A824" s="184" t="s">
        <v>2262</v>
      </c>
      <c r="B824" s="184" t="s">
        <v>149</v>
      </c>
      <c r="C824" s="184" t="s">
        <v>2263</v>
      </c>
      <c r="D824" s="185" t="s">
        <v>522</v>
      </c>
      <c r="E824" s="186" t="s">
        <v>906</v>
      </c>
      <c r="F824" s="186" t="s">
        <v>907</v>
      </c>
      <c r="G824" s="186" t="s">
        <v>2264</v>
      </c>
      <c r="H824" s="186" t="s">
        <v>2265</v>
      </c>
      <c r="I824" s="187" t="s">
        <v>2345</v>
      </c>
      <c r="J824" s="187" t="s">
        <v>2346</v>
      </c>
      <c r="K824" s="188"/>
      <c r="L824" s="188"/>
      <c r="M824" s="189" t="s">
        <v>963</v>
      </c>
      <c r="N824" s="190">
        <v>454.51</v>
      </c>
      <c r="O824" s="190">
        <f t="shared" si="98"/>
        <v>495.42</v>
      </c>
      <c r="P824" s="191">
        <f t="shared" si="99"/>
        <v>0</v>
      </c>
      <c r="Q824" s="192">
        <f t="shared" si="100"/>
        <v>0</v>
      </c>
      <c r="R824" s="193"/>
      <c r="S824" s="194"/>
      <c r="T824" s="195">
        <f t="shared" si="101"/>
        <v>0</v>
      </c>
      <c r="U824" s="195">
        <f t="shared" si="102"/>
        <v>0</v>
      </c>
      <c r="V824" s="195">
        <f t="shared" si="103"/>
        <v>0</v>
      </c>
      <c r="W824" s="196" t="e">
        <f t="shared" si="104"/>
        <v>#DIV/0!</v>
      </c>
      <c r="X824" s="197" t="e">
        <f t="shared" si="105"/>
        <v>#DIV/0!</v>
      </c>
      <c r="AG824" s="219" t="s">
        <v>990</v>
      </c>
    </row>
    <row r="825" ht="11.4" customHeight="1" spans="1:34">
      <c r="A825" s="184" t="s">
        <v>2262</v>
      </c>
      <c r="B825" s="184" t="s">
        <v>149</v>
      </c>
      <c r="C825" s="184" t="s">
        <v>2263</v>
      </c>
      <c r="D825" s="185" t="s">
        <v>522</v>
      </c>
      <c r="E825" s="186" t="s">
        <v>906</v>
      </c>
      <c r="F825" s="186" t="s">
        <v>907</v>
      </c>
      <c r="G825" s="186" t="s">
        <v>2264</v>
      </c>
      <c r="H825" s="186" t="s">
        <v>2265</v>
      </c>
      <c r="I825" s="187" t="s">
        <v>2347</v>
      </c>
      <c r="J825" s="187" t="s">
        <v>2348</v>
      </c>
      <c r="K825" s="188">
        <v>1</v>
      </c>
      <c r="L825" s="188">
        <v>1</v>
      </c>
      <c r="M825" s="189" t="s">
        <v>963</v>
      </c>
      <c r="N825" s="190">
        <v>236.73</v>
      </c>
      <c r="O825" s="190">
        <f t="shared" si="98"/>
        <v>258.04</v>
      </c>
      <c r="P825" s="191">
        <f t="shared" si="99"/>
        <v>236.73</v>
      </c>
      <c r="Q825" s="192">
        <f t="shared" si="100"/>
        <v>236.73</v>
      </c>
      <c r="R825" s="193"/>
      <c r="S825" s="194"/>
      <c r="T825" s="195">
        <f t="shared" si="101"/>
        <v>0</v>
      </c>
      <c r="U825" s="195">
        <f t="shared" si="102"/>
        <v>0</v>
      </c>
      <c r="V825" s="195">
        <f t="shared" si="103"/>
        <v>0</v>
      </c>
      <c r="W825" s="196">
        <f t="shared" si="104"/>
        <v>0</v>
      </c>
      <c r="X825" s="197">
        <f t="shared" si="105"/>
        <v>0</v>
      </c>
      <c r="AG825" s="219" t="s">
        <v>990</v>
      </c>
    </row>
    <row r="826" ht="11.4" customHeight="1" spans="1:34">
      <c r="A826" s="184" t="s">
        <v>904</v>
      </c>
      <c r="B826" s="184" t="s">
        <v>153</v>
      </c>
      <c r="C826" s="184" t="s">
        <v>905</v>
      </c>
      <c r="D826" s="185" t="s">
        <v>522</v>
      </c>
      <c r="E826" s="186" t="s">
        <v>906</v>
      </c>
      <c r="F826" s="186" t="s">
        <v>907</v>
      </c>
      <c r="G826" s="186" t="s">
        <v>908</v>
      </c>
      <c r="H826" s="186" t="s">
        <v>909</v>
      </c>
      <c r="I826" s="187" t="s">
        <v>2349</v>
      </c>
      <c r="J826" s="187" t="s">
        <v>2350</v>
      </c>
      <c r="K826" s="188"/>
      <c r="L826" s="188"/>
      <c r="M826" s="189" t="s">
        <v>989</v>
      </c>
      <c r="N826" s="190">
        <v>5000.89</v>
      </c>
      <c r="O826" s="190">
        <f t="shared" si="98"/>
        <v>5450.97</v>
      </c>
      <c r="P826" s="191">
        <f t="shared" si="99"/>
        <v>0</v>
      </c>
      <c r="Q826" s="192">
        <f t="shared" si="100"/>
        <v>0</v>
      </c>
      <c r="R826" s="193"/>
      <c r="S826" s="194"/>
      <c r="T826" s="195">
        <f t="shared" si="101"/>
        <v>0</v>
      </c>
      <c r="U826" s="195">
        <f t="shared" si="102"/>
        <v>0</v>
      </c>
      <c r="V826" s="195">
        <f t="shared" si="103"/>
        <v>0</v>
      </c>
      <c r="W826" s="196" t="e">
        <f t="shared" si="104"/>
        <v>#DIV/0!</v>
      </c>
      <c r="X826" s="197" t="e">
        <f t="shared" si="105"/>
        <v>#DIV/0!</v>
      </c>
      <c r="AG826" s="219" t="s">
        <v>2351</v>
      </c>
    </row>
    <row r="827" ht="11.4" customHeight="1" spans="1:34">
      <c r="A827" s="184" t="s">
        <v>904</v>
      </c>
      <c r="B827" s="184" t="s">
        <v>153</v>
      </c>
      <c r="C827" s="184" t="s">
        <v>905</v>
      </c>
      <c r="D827" s="185" t="s">
        <v>522</v>
      </c>
      <c r="E827" s="186" t="s">
        <v>906</v>
      </c>
      <c r="F827" s="186" t="s">
        <v>907</v>
      </c>
      <c r="G827" s="186" t="s">
        <v>908</v>
      </c>
      <c r="H827" s="186" t="s">
        <v>909</v>
      </c>
      <c r="I827" s="187" t="s">
        <v>2352</v>
      </c>
      <c r="J827" s="187" t="s">
        <v>2353</v>
      </c>
      <c r="K827" s="188">
        <v>1</v>
      </c>
      <c r="L827" s="188">
        <v>1</v>
      </c>
      <c r="M827" s="189" t="s">
        <v>989</v>
      </c>
      <c r="N827" s="190">
        <v>4096.03</v>
      </c>
      <c r="O827" s="190">
        <f t="shared" si="98"/>
        <v>4464.67</v>
      </c>
      <c r="P827" s="191">
        <f t="shared" si="99"/>
        <v>4096.03</v>
      </c>
      <c r="Q827" s="192">
        <f t="shared" si="100"/>
        <v>4096.03</v>
      </c>
      <c r="R827" s="193"/>
      <c r="S827" s="194"/>
      <c r="T827" s="195">
        <f t="shared" si="101"/>
        <v>0</v>
      </c>
      <c r="U827" s="195">
        <f t="shared" si="102"/>
        <v>0</v>
      </c>
      <c r="V827" s="195">
        <f t="shared" si="103"/>
        <v>0</v>
      </c>
      <c r="W827" s="196">
        <f t="shared" si="104"/>
        <v>0</v>
      </c>
      <c r="X827" s="197">
        <f t="shared" si="105"/>
        <v>0</v>
      </c>
      <c r="AG827" s="219" t="s">
        <v>2351</v>
      </c>
    </row>
    <row r="828" ht="11.4" customHeight="1" spans="1:34">
      <c r="A828" s="184" t="s">
        <v>904</v>
      </c>
      <c r="B828" s="184" t="s">
        <v>153</v>
      </c>
      <c r="C828" s="184" t="s">
        <v>905</v>
      </c>
      <c r="D828" s="185" t="s">
        <v>522</v>
      </c>
      <c r="E828" s="186" t="s">
        <v>906</v>
      </c>
      <c r="F828" s="186" t="s">
        <v>907</v>
      </c>
      <c r="G828" s="186" t="s">
        <v>908</v>
      </c>
      <c r="H828" s="186" t="s">
        <v>909</v>
      </c>
      <c r="I828" s="187" t="s">
        <v>2354</v>
      </c>
      <c r="J828" s="187" t="s">
        <v>2355</v>
      </c>
      <c r="K828" s="188">
        <v>1</v>
      </c>
      <c r="L828" s="188">
        <v>1</v>
      </c>
      <c r="M828" s="189" t="s">
        <v>989</v>
      </c>
      <c r="N828" s="190">
        <v>1924.76</v>
      </c>
      <c r="O828" s="190">
        <f t="shared" si="98"/>
        <v>2097.99</v>
      </c>
      <c r="P828" s="191">
        <f t="shared" si="99"/>
        <v>1924.76</v>
      </c>
      <c r="Q828" s="192">
        <f t="shared" si="100"/>
        <v>1924.76</v>
      </c>
      <c r="R828" s="193"/>
      <c r="S828" s="194"/>
      <c r="T828" s="195">
        <f t="shared" si="101"/>
        <v>0</v>
      </c>
      <c r="U828" s="195">
        <f t="shared" si="102"/>
        <v>0</v>
      </c>
      <c r="V828" s="195">
        <f t="shared" si="103"/>
        <v>0</v>
      </c>
      <c r="W828" s="196">
        <f t="shared" si="104"/>
        <v>0</v>
      </c>
      <c r="X828" s="197">
        <f t="shared" si="105"/>
        <v>0</v>
      </c>
      <c r="AG828" s="219" t="s">
        <v>2351</v>
      </c>
    </row>
    <row r="829" ht="11.4" customHeight="1" spans="1:34">
      <c r="A829" s="184" t="s">
        <v>904</v>
      </c>
      <c r="B829" s="184" t="s">
        <v>153</v>
      </c>
      <c r="C829" s="184" t="s">
        <v>905</v>
      </c>
      <c r="D829" s="185" t="s">
        <v>522</v>
      </c>
      <c r="E829" s="186" t="s">
        <v>906</v>
      </c>
      <c r="F829" s="186" t="s">
        <v>907</v>
      </c>
      <c r="G829" s="186" t="s">
        <v>908</v>
      </c>
      <c r="H829" s="186" t="s">
        <v>909</v>
      </c>
      <c r="I829" s="187" t="s">
        <v>2356</v>
      </c>
      <c r="J829" s="187" t="s">
        <v>2357</v>
      </c>
      <c r="K829" s="188"/>
      <c r="L829" s="188"/>
      <c r="M829" s="189" t="s">
        <v>989</v>
      </c>
      <c r="N829" s="190">
        <v>1165.33</v>
      </c>
      <c r="O829" s="190">
        <f t="shared" si="98"/>
        <v>1270.21</v>
      </c>
      <c r="P829" s="191">
        <f t="shared" si="99"/>
        <v>0</v>
      </c>
      <c r="Q829" s="192">
        <f t="shared" si="100"/>
        <v>0</v>
      </c>
      <c r="R829" s="193"/>
      <c r="S829" s="194"/>
      <c r="T829" s="195">
        <f t="shared" si="101"/>
        <v>0</v>
      </c>
      <c r="U829" s="195">
        <f t="shared" si="102"/>
        <v>0</v>
      </c>
      <c r="V829" s="195">
        <f t="shared" si="103"/>
        <v>0</v>
      </c>
      <c r="W829" s="196" t="e">
        <f t="shared" si="104"/>
        <v>#DIV/0!</v>
      </c>
      <c r="X829" s="197" t="e">
        <f t="shared" si="105"/>
        <v>#DIV/0!</v>
      </c>
      <c r="AG829" s="219" t="s">
        <v>2351</v>
      </c>
    </row>
    <row r="830" ht="11.4" customHeight="1" spans="1:34">
      <c r="A830" s="184" t="s">
        <v>904</v>
      </c>
      <c r="B830" s="184" t="s">
        <v>153</v>
      </c>
      <c r="C830" s="184" t="s">
        <v>905</v>
      </c>
      <c r="D830" s="185" t="s">
        <v>522</v>
      </c>
      <c r="E830" s="186" t="s">
        <v>906</v>
      </c>
      <c r="F830" s="186" t="s">
        <v>907</v>
      </c>
      <c r="G830" s="186" t="s">
        <v>908</v>
      </c>
      <c r="H830" s="186" t="s">
        <v>909</v>
      </c>
      <c r="I830" s="187" t="s">
        <v>2358</v>
      </c>
      <c r="J830" s="187" t="s">
        <v>2359</v>
      </c>
      <c r="K830" s="188"/>
      <c r="L830" s="188"/>
      <c r="M830" s="189" t="s">
        <v>989</v>
      </c>
      <c r="N830" s="190">
        <v>918.38</v>
      </c>
      <c r="O830" s="190">
        <f t="shared" si="98"/>
        <v>1001.03</v>
      </c>
      <c r="P830" s="191">
        <f t="shared" si="99"/>
        <v>0</v>
      </c>
      <c r="Q830" s="192">
        <f t="shared" si="100"/>
        <v>0</v>
      </c>
      <c r="R830" s="193"/>
      <c r="S830" s="194"/>
      <c r="T830" s="195">
        <f t="shared" si="101"/>
        <v>0</v>
      </c>
      <c r="U830" s="195">
        <f t="shared" si="102"/>
        <v>0</v>
      </c>
      <c r="V830" s="195">
        <f t="shared" si="103"/>
        <v>0</v>
      </c>
      <c r="W830" s="196" t="e">
        <f t="shared" si="104"/>
        <v>#DIV/0!</v>
      </c>
      <c r="X830" s="197" t="e">
        <f t="shared" si="105"/>
        <v>#DIV/0!</v>
      </c>
      <c r="AG830" s="219" t="s">
        <v>2351</v>
      </c>
    </row>
    <row r="831" ht="11.4" customHeight="1" spans="1:34">
      <c r="A831" s="184" t="s">
        <v>904</v>
      </c>
      <c r="B831" s="184" t="s">
        <v>153</v>
      </c>
      <c r="C831" s="184" t="s">
        <v>905</v>
      </c>
      <c r="D831" s="185" t="s">
        <v>522</v>
      </c>
      <c r="E831" s="186" t="s">
        <v>906</v>
      </c>
      <c r="F831" s="186" t="s">
        <v>907</v>
      </c>
      <c r="G831" s="186" t="s">
        <v>908</v>
      </c>
      <c r="H831" s="186" t="s">
        <v>909</v>
      </c>
      <c r="I831" s="187" t="s">
        <v>2360</v>
      </c>
      <c r="J831" s="187" t="s">
        <v>2361</v>
      </c>
      <c r="K831" s="188">
        <v>2</v>
      </c>
      <c r="L831" s="188">
        <v>2</v>
      </c>
      <c r="M831" s="189" t="s">
        <v>989</v>
      </c>
      <c r="N831" s="190">
        <v>944.89</v>
      </c>
      <c r="O831" s="190">
        <f t="shared" si="98"/>
        <v>1029.93</v>
      </c>
      <c r="P831" s="191">
        <f t="shared" si="99"/>
        <v>1889.78</v>
      </c>
      <c r="Q831" s="192">
        <f t="shared" si="100"/>
        <v>1889.78</v>
      </c>
      <c r="R831" s="193"/>
      <c r="S831" s="194"/>
      <c r="T831" s="195">
        <f t="shared" si="101"/>
        <v>0</v>
      </c>
      <c r="U831" s="195">
        <f t="shared" si="102"/>
        <v>0</v>
      </c>
      <c r="V831" s="195">
        <f t="shared" si="103"/>
        <v>0</v>
      </c>
      <c r="W831" s="196">
        <f t="shared" si="104"/>
        <v>0</v>
      </c>
      <c r="X831" s="197">
        <f t="shared" si="105"/>
        <v>0</v>
      </c>
      <c r="AG831" s="219" t="s">
        <v>2351</v>
      </c>
    </row>
    <row r="832" ht="11.4" customHeight="1" spans="1:34">
      <c r="A832" s="184" t="s">
        <v>904</v>
      </c>
      <c r="B832" s="184" t="s">
        <v>153</v>
      </c>
      <c r="C832" s="184" t="s">
        <v>905</v>
      </c>
      <c r="D832" s="185" t="s">
        <v>522</v>
      </c>
      <c r="E832" s="186" t="s">
        <v>906</v>
      </c>
      <c r="F832" s="186" t="s">
        <v>907</v>
      </c>
      <c r="G832" s="186" t="s">
        <v>908</v>
      </c>
      <c r="H832" s="186" t="s">
        <v>909</v>
      </c>
      <c r="I832" s="187" t="s">
        <v>2362</v>
      </c>
      <c r="J832" s="187" t="s">
        <v>2363</v>
      </c>
      <c r="K832" s="188">
        <v>3</v>
      </c>
      <c r="L832" s="188">
        <v>3</v>
      </c>
      <c r="M832" s="189" t="s">
        <v>989</v>
      </c>
      <c r="N832" s="190">
        <v>621.38</v>
      </c>
      <c r="O832" s="190">
        <f t="shared" si="98"/>
        <v>677.3</v>
      </c>
      <c r="P832" s="191">
        <f t="shared" si="99"/>
        <v>1864.14</v>
      </c>
      <c r="Q832" s="192">
        <f t="shared" si="100"/>
        <v>1864.14</v>
      </c>
      <c r="R832" s="193"/>
      <c r="S832" s="194"/>
      <c r="T832" s="195">
        <f t="shared" si="101"/>
        <v>0</v>
      </c>
      <c r="U832" s="195">
        <f t="shared" si="102"/>
        <v>0</v>
      </c>
      <c r="V832" s="195">
        <f t="shared" si="103"/>
        <v>0</v>
      </c>
      <c r="W832" s="196">
        <f t="shared" si="104"/>
        <v>0</v>
      </c>
      <c r="X832" s="197">
        <f t="shared" si="105"/>
        <v>0</v>
      </c>
      <c r="AG832" s="219" t="s">
        <v>2351</v>
      </c>
    </row>
    <row r="833" ht="11.4" customHeight="1" spans="1:34">
      <c r="A833" s="184" t="s">
        <v>904</v>
      </c>
      <c r="B833" s="184" t="s">
        <v>153</v>
      </c>
      <c r="C833" s="184" t="s">
        <v>905</v>
      </c>
      <c r="D833" s="185" t="s">
        <v>522</v>
      </c>
      <c r="E833" s="186" t="s">
        <v>906</v>
      </c>
      <c r="F833" s="186" t="s">
        <v>907</v>
      </c>
      <c r="G833" s="186" t="s">
        <v>908</v>
      </c>
      <c r="H833" s="186" t="s">
        <v>909</v>
      </c>
      <c r="I833" s="187" t="s">
        <v>2364</v>
      </c>
      <c r="J833" s="187" t="s">
        <v>2365</v>
      </c>
      <c r="K833" s="188"/>
      <c r="L833" s="188"/>
      <c r="M833" s="189" t="s">
        <v>989</v>
      </c>
      <c r="N833" s="190">
        <v>242.43</v>
      </c>
      <c r="O833" s="190">
        <f t="shared" si="98"/>
        <v>264.25</v>
      </c>
      <c r="P833" s="191">
        <f t="shared" si="99"/>
        <v>0</v>
      </c>
      <c r="Q833" s="192">
        <f t="shared" si="100"/>
        <v>0</v>
      </c>
      <c r="R833" s="193"/>
      <c r="S833" s="194"/>
      <c r="T833" s="195">
        <f t="shared" si="101"/>
        <v>0</v>
      </c>
      <c r="U833" s="195">
        <f t="shared" si="102"/>
        <v>0</v>
      </c>
      <c r="V833" s="195">
        <f t="shared" si="103"/>
        <v>0</v>
      </c>
      <c r="W833" s="196" t="e">
        <f t="shared" si="104"/>
        <v>#DIV/0!</v>
      </c>
      <c r="X833" s="197" t="e">
        <f t="shared" si="105"/>
        <v>#DIV/0!</v>
      </c>
      <c r="AG833" s="219" t="s">
        <v>2351</v>
      </c>
    </row>
    <row r="834" ht="11.4" customHeight="1" spans="1:34">
      <c r="A834" s="184" t="s">
        <v>904</v>
      </c>
      <c r="B834" s="184" t="s">
        <v>153</v>
      </c>
      <c r="C834" s="184" t="s">
        <v>905</v>
      </c>
      <c r="D834" s="185" t="s">
        <v>522</v>
      </c>
      <c r="E834" s="186" t="s">
        <v>906</v>
      </c>
      <c r="F834" s="186" t="s">
        <v>907</v>
      </c>
      <c r="G834" s="186" t="s">
        <v>908</v>
      </c>
      <c r="H834" s="186" t="s">
        <v>909</v>
      </c>
      <c r="I834" s="187" t="s">
        <v>2366</v>
      </c>
      <c r="J834" s="187" t="s">
        <v>2367</v>
      </c>
      <c r="K834" s="188">
        <v>2</v>
      </c>
      <c r="L834" s="188">
        <v>2</v>
      </c>
      <c r="M834" s="189" t="s">
        <v>2308</v>
      </c>
      <c r="N834" s="190">
        <v>610</v>
      </c>
      <c r="O834" s="190">
        <f t="shared" si="98"/>
        <v>664.9</v>
      </c>
      <c r="P834" s="191">
        <f t="shared" si="99"/>
        <v>1220</v>
      </c>
      <c r="Q834" s="192">
        <f t="shared" si="100"/>
        <v>1220</v>
      </c>
      <c r="R834" s="193"/>
      <c r="S834" s="194"/>
      <c r="T834" s="195">
        <f t="shared" si="101"/>
        <v>0</v>
      </c>
      <c r="U834" s="195">
        <f t="shared" si="102"/>
        <v>0</v>
      </c>
      <c r="V834" s="195">
        <f t="shared" si="103"/>
        <v>0</v>
      </c>
      <c r="W834" s="196">
        <f t="shared" si="104"/>
        <v>0</v>
      </c>
      <c r="X834" s="197">
        <f t="shared" si="105"/>
        <v>0</v>
      </c>
      <c r="AG834" s="219" t="s">
        <v>2368</v>
      </c>
    </row>
    <row r="835" ht="11.4" customHeight="1" spans="1:34">
      <c r="A835" s="184" t="s">
        <v>904</v>
      </c>
      <c r="B835" s="184" t="s">
        <v>153</v>
      </c>
      <c r="C835" s="184" t="s">
        <v>905</v>
      </c>
      <c r="D835" s="185" t="s">
        <v>522</v>
      </c>
      <c r="E835" s="186" t="s">
        <v>906</v>
      </c>
      <c r="F835" s="186" t="s">
        <v>907</v>
      </c>
      <c r="G835" s="186" t="s">
        <v>908</v>
      </c>
      <c r="H835" s="186" t="s">
        <v>909</v>
      </c>
      <c r="I835" s="187" t="s">
        <v>2369</v>
      </c>
      <c r="J835" s="187" t="s">
        <v>2370</v>
      </c>
      <c r="K835" s="188"/>
      <c r="L835" s="188"/>
      <c r="M835" s="189" t="s">
        <v>2308</v>
      </c>
      <c r="N835" s="190">
        <v>610</v>
      </c>
      <c r="O835" s="190">
        <f t="shared" si="98"/>
        <v>664.9</v>
      </c>
      <c r="P835" s="191">
        <f t="shared" si="99"/>
        <v>0</v>
      </c>
      <c r="Q835" s="192">
        <f t="shared" si="100"/>
        <v>0</v>
      </c>
      <c r="R835" s="193"/>
      <c r="S835" s="194"/>
      <c r="T835" s="195">
        <f t="shared" si="101"/>
        <v>0</v>
      </c>
      <c r="U835" s="195">
        <f t="shared" si="102"/>
        <v>0</v>
      </c>
      <c r="V835" s="195">
        <f t="shared" si="103"/>
        <v>0</v>
      </c>
      <c r="W835" s="196" t="e">
        <f t="shared" si="104"/>
        <v>#DIV/0!</v>
      </c>
      <c r="X835" s="197" t="e">
        <f t="shared" si="105"/>
        <v>#DIV/0!</v>
      </c>
      <c r="AG835" s="219" t="s">
        <v>2368</v>
      </c>
    </row>
    <row r="836" ht="11.4" customHeight="1" spans="1:34">
      <c r="A836" s="184" t="s">
        <v>904</v>
      </c>
      <c r="B836" s="184" t="s">
        <v>153</v>
      </c>
      <c r="C836" s="184" t="s">
        <v>905</v>
      </c>
      <c r="D836" s="185" t="s">
        <v>522</v>
      </c>
      <c r="E836" s="186" t="s">
        <v>906</v>
      </c>
      <c r="F836" s="186" t="s">
        <v>907</v>
      </c>
      <c r="G836" s="186" t="s">
        <v>908</v>
      </c>
      <c r="H836" s="186" t="s">
        <v>909</v>
      </c>
      <c r="I836" s="187" t="s">
        <v>2371</v>
      </c>
      <c r="J836" s="187" t="s">
        <v>2372</v>
      </c>
      <c r="K836" s="188"/>
      <c r="L836" s="188"/>
      <c r="M836" s="189" t="s">
        <v>2308</v>
      </c>
      <c r="N836" s="190">
        <v>368</v>
      </c>
      <c r="O836" s="190">
        <f t="shared" si="98"/>
        <v>401.12</v>
      </c>
      <c r="P836" s="191">
        <f t="shared" si="99"/>
        <v>0</v>
      </c>
      <c r="Q836" s="192">
        <f t="shared" si="100"/>
        <v>0</v>
      </c>
      <c r="R836" s="193"/>
      <c r="S836" s="194"/>
      <c r="T836" s="195">
        <f t="shared" si="101"/>
        <v>0</v>
      </c>
      <c r="U836" s="195">
        <f t="shared" si="102"/>
        <v>0</v>
      </c>
      <c r="V836" s="195">
        <f t="shared" si="103"/>
        <v>0</v>
      </c>
      <c r="W836" s="196" t="e">
        <f t="shared" si="104"/>
        <v>#DIV/0!</v>
      </c>
      <c r="X836" s="197" t="e">
        <f t="shared" si="105"/>
        <v>#DIV/0!</v>
      </c>
      <c r="AG836" s="219" t="s">
        <v>2368</v>
      </c>
    </row>
    <row r="837" ht="11.4" customHeight="1" spans="1:34">
      <c r="A837" s="184" t="s">
        <v>904</v>
      </c>
      <c r="B837" s="184" t="s">
        <v>153</v>
      </c>
      <c r="C837" s="184" t="s">
        <v>905</v>
      </c>
      <c r="D837" s="185" t="s">
        <v>522</v>
      </c>
      <c r="E837" s="186" t="s">
        <v>906</v>
      </c>
      <c r="F837" s="186" t="s">
        <v>907</v>
      </c>
      <c r="G837" s="186" t="s">
        <v>908</v>
      </c>
      <c r="H837" s="186" t="s">
        <v>909</v>
      </c>
      <c r="I837" s="187" t="s">
        <v>2373</v>
      </c>
      <c r="J837" s="187" t="s">
        <v>2374</v>
      </c>
      <c r="K837" s="188"/>
      <c r="L837" s="188"/>
      <c r="M837" s="189" t="s">
        <v>2308</v>
      </c>
      <c r="N837" s="190">
        <v>368</v>
      </c>
      <c r="O837" s="190">
        <f t="shared" si="98"/>
        <v>401.12</v>
      </c>
      <c r="P837" s="191">
        <f t="shared" si="99"/>
        <v>0</v>
      </c>
      <c r="Q837" s="192">
        <f t="shared" si="100"/>
        <v>0</v>
      </c>
      <c r="R837" s="193"/>
      <c r="S837" s="194"/>
      <c r="T837" s="195">
        <f t="shared" si="101"/>
        <v>0</v>
      </c>
      <c r="U837" s="195">
        <f t="shared" si="102"/>
        <v>0</v>
      </c>
      <c r="V837" s="195">
        <f t="shared" si="103"/>
        <v>0</v>
      </c>
      <c r="W837" s="196" t="e">
        <f t="shared" si="104"/>
        <v>#DIV/0!</v>
      </c>
      <c r="X837" s="197" t="e">
        <f t="shared" si="105"/>
        <v>#DIV/0!</v>
      </c>
      <c r="AG837" s="219" t="s">
        <v>2368</v>
      </c>
    </row>
    <row r="838" ht="11.4" customHeight="1" spans="1:34">
      <c r="A838" s="184" t="s">
        <v>904</v>
      </c>
      <c r="B838" s="184" t="s">
        <v>153</v>
      </c>
      <c r="C838" s="184" t="s">
        <v>905</v>
      </c>
      <c r="D838" s="185" t="s">
        <v>522</v>
      </c>
      <c r="E838" s="186" t="s">
        <v>906</v>
      </c>
      <c r="F838" s="186" t="s">
        <v>907</v>
      </c>
      <c r="G838" s="186" t="s">
        <v>908</v>
      </c>
      <c r="H838" s="186" t="s">
        <v>909</v>
      </c>
      <c r="I838" s="187" t="s">
        <v>2375</v>
      </c>
      <c r="J838" s="187" t="s">
        <v>2376</v>
      </c>
      <c r="K838" s="188"/>
      <c r="L838" s="188"/>
      <c r="M838" s="189" t="s">
        <v>793</v>
      </c>
      <c r="N838" s="190"/>
      <c r="O838" s="190">
        <f t="shared" si="98"/>
        <v>0</v>
      </c>
      <c r="P838" s="191">
        <f t="shared" si="99"/>
        <v>0</v>
      </c>
      <c r="Q838" s="192">
        <f t="shared" si="100"/>
        <v>0</v>
      </c>
      <c r="R838" s="193"/>
      <c r="S838" s="194"/>
      <c r="T838" s="195">
        <f t="shared" si="101"/>
        <v>0</v>
      </c>
      <c r="U838" s="195">
        <f t="shared" si="102"/>
        <v>0</v>
      </c>
      <c r="V838" s="195">
        <f t="shared" si="103"/>
        <v>0</v>
      </c>
      <c r="W838" s="196" t="e">
        <f t="shared" si="104"/>
        <v>#DIV/0!</v>
      </c>
      <c r="X838" s="197" t="e">
        <f t="shared" si="105"/>
        <v>#DIV/0!</v>
      </c>
      <c r="AG838" s="219"/>
      <c r="AH838" s="219" t="s">
        <v>794</v>
      </c>
    </row>
    <row r="839" ht="11.4" customHeight="1" spans="1:34">
      <c r="A839" s="184" t="s">
        <v>904</v>
      </c>
      <c r="B839" s="184" t="s">
        <v>153</v>
      </c>
      <c r="C839" s="184" t="s">
        <v>905</v>
      </c>
      <c r="D839" s="185" t="s">
        <v>522</v>
      </c>
      <c r="E839" s="186" t="s">
        <v>906</v>
      </c>
      <c r="F839" s="186" t="s">
        <v>907</v>
      </c>
      <c r="G839" s="186" t="s">
        <v>908</v>
      </c>
      <c r="H839" s="186" t="s">
        <v>909</v>
      </c>
      <c r="I839" s="187" t="s">
        <v>2377</v>
      </c>
      <c r="J839" s="187" t="s">
        <v>2378</v>
      </c>
      <c r="K839" s="188">
        <v>1</v>
      </c>
      <c r="L839" s="188">
        <v>1</v>
      </c>
      <c r="M839" s="189" t="s">
        <v>2308</v>
      </c>
      <c r="N839" s="190">
        <v>1973.15</v>
      </c>
      <c r="O839" s="190">
        <f t="shared" si="98"/>
        <v>2150.73</v>
      </c>
      <c r="P839" s="191">
        <f t="shared" si="99"/>
        <v>1973.15</v>
      </c>
      <c r="Q839" s="192">
        <f t="shared" si="100"/>
        <v>1973.15</v>
      </c>
      <c r="R839" s="193"/>
      <c r="S839" s="194"/>
      <c r="T839" s="195">
        <f t="shared" si="101"/>
        <v>0</v>
      </c>
      <c r="U839" s="195">
        <f t="shared" si="102"/>
        <v>0</v>
      </c>
      <c r="V839" s="195">
        <f t="shared" si="103"/>
        <v>0</v>
      </c>
      <c r="W839" s="196">
        <f t="shared" si="104"/>
        <v>0</v>
      </c>
      <c r="X839" s="197">
        <f t="shared" si="105"/>
        <v>0</v>
      </c>
      <c r="AG839" s="219" t="s">
        <v>2379</v>
      </c>
    </row>
    <row r="840" ht="11.4" customHeight="1" spans="1:34">
      <c r="A840" s="184" t="s">
        <v>904</v>
      </c>
      <c r="B840" s="184" t="s">
        <v>153</v>
      </c>
      <c r="C840" s="184" t="s">
        <v>905</v>
      </c>
      <c r="D840" s="185" t="s">
        <v>522</v>
      </c>
      <c r="E840" s="186" t="s">
        <v>906</v>
      </c>
      <c r="F840" s="186" t="s">
        <v>907</v>
      </c>
      <c r="G840" s="186" t="s">
        <v>908</v>
      </c>
      <c r="H840" s="186" t="s">
        <v>909</v>
      </c>
      <c r="I840" s="187" t="s">
        <v>2380</v>
      </c>
      <c r="J840" s="187" t="s">
        <v>2381</v>
      </c>
      <c r="K840" s="188">
        <v>1</v>
      </c>
      <c r="L840" s="188">
        <v>1</v>
      </c>
      <c r="M840" s="189" t="s">
        <v>2308</v>
      </c>
      <c r="N840" s="190">
        <v>1264.76</v>
      </c>
      <c r="O840" s="190">
        <f t="shared" si="98"/>
        <v>1378.59</v>
      </c>
      <c r="P840" s="191">
        <f t="shared" si="99"/>
        <v>1264.76</v>
      </c>
      <c r="Q840" s="192">
        <f t="shared" si="100"/>
        <v>1264.76</v>
      </c>
      <c r="R840" s="193"/>
      <c r="S840" s="194"/>
      <c r="T840" s="195">
        <f t="shared" si="101"/>
        <v>0</v>
      </c>
      <c r="U840" s="195">
        <f t="shared" si="102"/>
        <v>0</v>
      </c>
      <c r="V840" s="195">
        <f t="shared" si="103"/>
        <v>0</v>
      </c>
      <c r="W840" s="196">
        <f t="shared" si="104"/>
        <v>0</v>
      </c>
      <c r="X840" s="197">
        <f t="shared" si="105"/>
        <v>0</v>
      </c>
      <c r="AG840" s="219" t="s">
        <v>2379</v>
      </c>
    </row>
    <row r="841" ht="11.4" customHeight="1" spans="1:34">
      <c r="A841" s="184" t="s">
        <v>904</v>
      </c>
      <c r="B841" s="184" t="s">
        <v>153</v>
      </c>
      <c r="C841" s="184" t="s">
        <v>905</v>
      </c>
      <c r="D841" s="185" t="s">
        <v>522</v>
      </c>
      <c r="E841" s="186" t="s">
        <v>906</v>
      </c>
      <c r="F841" s="186" t="s">
        <v>907</v>
      </c>
      <c r="G841" s="186" t="s">
        <v>908</v>
      </c>
      <c r="H841" s="186" t="s">
        <v>909</v>
      </c>
      <c r="I841" s="187" t="s">
        <v>2382</v>
      </c>
      <c r="J841" s="187" t="s">
        <v>2383</v>
      </c>
      <c r="K841" s="188">
        <v>1</v>
      </c>
      <c r="L841" s="188">
        <v>1</v>
      </c>
      <c r="M841" s="189" t="s">
        <v>2308</v>
      </c>
      <c r="N841" s="190">
        <v>641.29</v>
      </c>
      <c r="O841" s="190">
        <f t="shared" si="98"/>
        <v>699.01</v>
      </c>
      <c r="P841" s="191">
        <f t="shared" si="99"/>
        <v>641.29</v>
      </c>
      <c r="Q841" s="192">
        <f t="shared" si="100"/>
        <v>641.29</v>
      </c>
      <c r="R841" s="193"/>
      <c r="S841" s="194"/>
      <c r="T841" s="195">
        <f t="shared" si="101"/>
        <v>0</v>
      </c>
      <c r="U841" s="195">
        <f t="shared" si="102"/>
        <v>0</v>
      </c>
      <c r="V841" s="195">
        <f t="shared" si="103"/>
        <v>0</v>
      </c>
      <c r="W841" s="196">
        <f t="shared" si="104"/>
        <v>0</v>
      </c>
      <c r="X841" s="197">
        <f t="shared" si="105"/>
        <v>0</v>
      </c>
      <c r="AG841" s="219" t="s">
        <v>2379</v>
      </c>
    </row>
    <row r="842" ht="11.4" customHeight="1" spans="1:34">
      <c r="A842" s="184" t="s">
        <v>904</v>
      </c>
      <c r="B842" s="184" t="s">
        <v>153</v>
      </c>
      <c r="C842" s="184" t="s">
        <v>905</v>
      </c>
      <c r="D842" s="185" t="s">
        <v>522</v>
      </c>
      <c r="E842" s="186" t="s">
        <v>906</v>
      </c>
      <c r="F842" s="186" t="s">
        <v>907</v>
      </c>
      <c r="G842" s="186" t="s">
        <v>908</v>
      </c>
      <c r="H842" s="186" t="s">
        <v>909</v>
      </c>
      <c r="I842" s="187" t="s">
        <v>2384</v>
      </c>
      <c r="J842" s="187" t="s">
        <v>2385</v>
      </c>
      <c r="K842" s="188">
        <v>1</v>
      </c>
      <c r="L842" s="188">
        <v>1</v>
      </c>
      <c r="M842" s="189" t="s">
        <v>2308</v>
      </c>
      <c r="N842" s="190">
        <v>1813.65</v>
      </c>
      <c r="O842" s="190">
        <f t="shared" si="98"/>
        <v>1976.88</v>
      </c>
      <c r="P842" s="191">
        <f t="shared" si="99"/>
        <v>1813.65</v>
      </c>
      <c r="Q842" s="192">
        <f t="shared" si="100"/>
        <v>1813.65</v>
      </c>
      <c r="R842" s="193"/>
      <c r="S842" s="194"/>
      <c r="T842" s="195">
        <f t="shared" si="101"/>
        <v>0</v>
      </c>
      <c r="U842" s="195">
        <f t="shared" si="102"/>
        <v>0</v>
      </c>
      <c r="V842" s="195">
        <f t="shared" si="103"/>
        <v>0</v>
      </c>
      <c r="W842" s="196">
        <f t="shared" si="104"/>
        <v>0</v>
      </c>
      <c r="X842" s="197">
        <f t="shared" si="105"/>
        <v>0</v>
      </c>
      <c r="AG842" s="219" t="s">
        <v>990</v>
      </c>
    </row>
    <row r="843" ht="11.4" customHeight="1" spans="1:34">
      <c r="A843" s="184" t="s">
        <v>904</v>
      </c>
      <c r="B843" s="184" t="s">
        <v>153</v>
      </c>
      <c r="C843" s="184" t="s">
        <v>905</v>
      </c>
      <c r="D843" s="185" t="s">
        <v>522</v>
      </c>
      <c r="E843" s="186" t="s">
        <v>906</v>
      </c>
      <c r="F843" s="186" t="s">
        <v>907</v>
      </c>
      <c r="G843" s="186" t="s">
        <v>908</v>
      </c>
      <c r="H843" s="186" t="s">
        <v>909</v>
      </c>
      <c r="I843" s="187" t="s">
        <v>2386</v>
      </c>
      <c r="J843" s="187" t="s">
        <v>2387</v>
      </c>
      <c r="K843" s="188">
        <v>2</v>
      </c>
      <c r="L843" s="188">
        <v>2</v>
      </c>
      <c r="M843" s="189" t="s">
        <v>2308</v>
      </c>
      <c r="N843" s="190">
        <v>243.65</v>
      </c>
      <c r="O843" s="190">
        <f t="shared" si="98"/>
        <v>265.58</v>
      </c>
      <c r="P843" s="191">
        <f t="shared" si="99"/>
        <v>487.3</v>
      </c>
      <c r="Q843" s="192">
        <f t="shared" si="100"/>
        <v>487.3</v>
      </c>
      <c r="R843" s="193"/>
      <c r="S843" s="194"/>
      <c r="T843" s="195">
        <f t="shared" si="101"/>
        <v>0</v>
      </c>
      <c r="U843" s="195">
        <f t="shared" si="102"/>
        <v>0</v>
      </c>
      <c r="V843" s="195">
        <f t="shared" si="103"/>
        <v>0</v>
      </c>
      <c r="W843" s="196">
        <f t="shared" si="104"/>
        <v>0</v>
      </c>
      <c r="X843" s="197">
        <f t="shared" si="105"/>
        <v>0</v>
      </c>
      <c r="AG843" s="219" t="s">
        <v>990</v>
      </c>
    </row>
    <row r="844" ht="11.4" customHeight="1" spans="1:34">
      <c r="A844" s="184" t="s">
        <v>904</v>
      </c>
      <c r="B844" s="184" t="s">
        <v>153</v>
      </c>
      <c r="C844" s="184" t="s">
        <v>905</v>
      </c>
      <c r="D844" s="185" t="s">
        <v>522</v>
      </c>
      <c r="E844" s="186" t="s">
        <v>906</v>
      </c>
      <c r="F844" s="186" t="s">
        <v>907</v>
      </c>
      <c r="G844" s="186" t="s">
        <v>908</v>
      </c>
      <c r="H844" s="186" t="s">
        <v>909</v>
      </c>
      <c r="I844" s="187" t="s">
        <v>2388</v>
      </c>
      <c r="J844" s="187" t="s">
        <v>2389</v>
      </c>
      <c r="K844" s="188">
        <v>3</v>
      </c>
      <c r="L844" s="188">
        <v>3</v>
      </c>
      <c r="M844" s="189" t="s">
        <v>2308</v>
      </c>
      <c r="N844" s="190">
        <v>314.05</v>
      </c>
      <c r="O844" s="190">
        <f t="shared" si="98"/>
        <v>342.31</v>
      </c>
      <c r="P844" s="191">
        <f t="shared" si="99"/>
        <v>942.15</v>
      </c>
      <c r="Q844" s="192">
        <f t="shared" si="100"/>
        <v>942.15</v>
      </c>
      <c r="R844" s="193"/>
      <c r="S844" s="194"/>
      <c r="T844" s="195">
        <f t="shared" si="101"/>
        <v>0</v>
      </c>
      <c r="U844" s="195">
        <f t="shared" si="102"/>
        <v>0</v>
      </c>
      <c r="V844" s="195">
        <f t="shared" si="103"/>
        <v>0</v>
      </c>
      <c r="W844" s="196">
        <f t="shared" si="104"/>
        <v>0</v>
      </c>
      <c r="X844" s="197">
        <f t="shared" si="105"/>
        <v>0</v>
      </c>
      <c r="AG844" s="219" t="s">
        <v>990</v>
      </c>
    </row>
    <row r="845" ht="11.4" customHeight="1" spans="1:34">
      <c r="A845" s="184" t="s">
        <v>904</v>
      </c>
      <c r="B845" s="184" t="s">
        <v>153</v>
      </c>
      <c r="C845" s="184" t="s">
        <v>905</v>
      </c>
      <c r="D845" s="185" t="s">
        <v>522</v>
      </c>
      <c r="E845" s="186" t="s">
        <v>906</v>
      </c>
      <c r="F845" s="186" t="s">
        <v>907</v>
      </c>
      <c r="G845" s="186" t="s">
        <v>908</v>
      </c>
      <c r="H845" s="186" t="s">
        <v>909</v>
      </c>
      <c r="I845" s="187" t="s">
        <v>2390</v>
      </c>
      <c r="J845" s="187" t="s">
        <v>2391</v>
      </c>
      <c r="K845" s="188"/>
      <c r="L845" s="188"/>
      <c r="M845" s="189" t="s">
        <v>2308</v>
      </c>
      <c r="N845" s="190">
        <v>446.05</v>
      </c>
      <c r="O845" s="190">
        <f t="shared" ref="O845:O908" si="106">ROUND(N845*(1+$F$10),2)</f>
        <v>486.19</v>
      </c>
      <c r="P845" s="191">
        <f t="shared" ref="P845:P908" si="107">ROUND(K845*N845,2)</f>
        <v>0</v>
      </c>
      <c r="Q845" s="192">
        <f t="shared" si="100"/>
        <v>0</v>
      </c>
      <c r="R845" s="193"/>
      <c r="S845" s="194"/>
      <c r="T845" s="195">
        <f t="shared" si="101"/>
        <v>0</v>
      </c>
      <c r="U845" s="195">
        <f t="shared" si="102"/>
        <v>0</v>
      </c>
      <c r="V845" s="195">
        <f t="shared" si="103"/>
        <v>0</v>
      </c>
      <c r="W845" s="196" t="e">
        <f t="shared" si="104"/>
        <v>#DIV/0!</v>
      </c>
      <c r="X845" s="197" t="e">
        <f t="shared" si="105"/>
        <v>#DIV/0!</v>
      </c>
      <c r="AG845" s="219" t="s">
        <v>990</v>
      </c>
    </row>
    <row r="846" ht="11.4" customHeight="1" spans="1:34">
      <c r="A846" s="184" t="s">
        <v>904</v>
      </c>
      <c r="B846" s="184" t="s">
        <v>153</v>
      </c>
      <c r="C846" s="184" t="s">
        <v>905</v>
      </c>
      <c r="D846" s="185" t="s">
        <v>522</v>
      </c>
      <c r="E846" s="186" t="s">
        <v>906</v>
      </c>
      <c r="F846" s="186" t="s">
        <v>907</v>
      </c>
      <c r="G846" s="186" t="s">
        <v>908</v>
      </c>
      <c r="H846" s="186" t="s">
        <v>909</v>
      </c>
      <c r="I846" s="187" t="s">
        <v>2392</v>
      </c>
      <c r="J846" s="187" t="s">
        <v>2393</v>
      </c>
      <c r="K846" s="188"/>
      <c r="L846" s="188"/>
      <c r="M846" s="189" t="s">
        <v>2308</v>
      </c>
      <c r="N846" s="190">
        <v>567.05</v>
      </c>
      <c r="O846" s="190">
        <f t="shared" si="106"/>
        <v>618.08</v>
      </c>
      <c r="P846" s="191">
        <f t="shared" si="107"/>
        <v>0</v>
      </c>
      <c r="Q846" s="192">
        <f t="shared" ref="Q846:Q909" si="108">ROUND(L846*N846,2)</f>
        <v>0</v>
      </c>
      <c r="R846" s="193"/>
      <c r="S846" s="194"/>
      <c r="T846" s="195">
        <f t="shared" ref="T846:T909" si="109">K846-L846</f>
        <v>0</v>
      </c>
      <c r="U846" s="195">
        <f t="shared" ref="U846:U909" si="110">P846-Q846</f>
        <v>0</v>
      </c>
      <c r="V846" s="195">
        <f t="shared" ref="V846:V909" si="111">ABS(U846)</f>
        <v>0</v>
      </c>
      <c r="W846" s="196" t="e">
        <f t="shared" ref="W846:W909" si="112">T846/L846</f>
        <v>#DIV/0!</v>
      </c>
      <c r="X846" s="197" t="e">
        <f t="shared" ref="X846:X909" si="113">ABS(W846)</f>
        <v>#DIV/0!</v>
      </c>
      <c r="AG846" s="219" t="s">
        <v>990</v>
      </c>
    </row>
    <row r="847" ht="11.4" customHeight="1" spans="1:34">
      <c r="A847" s="184" t="s">
        <v>904</v>
      </c>
      <c r="B847" s="184" t="s">
        <v>153</v>
      </c>
      <c r="C847" s="184" t="s">
        <v>905</v>
      </c>
      <c r="D847" s="185" t="s">
        <v>522</v>
      </c>
      <c r="E847" s="186" t="s">
        <v>906</v>
      </c>
      <c r="F847" s="186" t="s">
        <v>907</v>
      </c>
      <c r="G847" s="186" t="s">
        <v>908</v>
      </c>
      <c r="H847" s="186" t="s">
        <v>909</v>
      </c>
      <c r="I847" s="187" t="s">
        <v>2394</v>
      </c>
      <c r="J847" s="187" t="s">
        <v>2395</v>
      </c>
      <c r="K847" s="188">
        <v>2</v>
      </c>
      <c r="L847" s="188">
        <v>2</v>
      </c>
      <c r="M847" s="189" t="s">
        <v>2308</v>
      </c>
      <c r="N847" s="190">
        <v>152.75</v>
      </c>
      <c r="O847" s="190">
        <f t="shared" si="106"/>
        <v>166.5</v>
      </c>
      <c r="P847" s="191">
        <f t="shared" si="107"/>
        <v>305.5</v>
      </c>
      <c r="Q847" s="192">
        <f t="shared" si="108"/>
        <v>305.5</v>
      </c>
      <c r="R847" s="193"/>
      <c r="S847" s="194"/>
      <c r="T847" s="195">
        <f t="shared" si="109"/>
        <v>0</v>
      </c>
      <c r="U847" s="195">
        <f t="shared" si="110"/>
        <v>0</v>
      </c>
      <c r="V847" s="195">
        <f t="shared" si="111"/>
        <v>0</v>
      </c>
      <c r="W847" s="196">
        <f t="shared" si="112"/>
        <v>0</v>
      </c>
      <c r="X847" s="197">
        <f t="shared" si="113"/>
        <v>0</v>
      </c>
      <c r="AG847" s="219" t="s">
        <v>990</v>
      </c>
    </row>
    <row r="848" ht="11.4" customHeight="1" spans="1:34">
      <c r="A848" s="184" t="s">
        <v>904</v>
      </c>
      <c r="B848" s="184" t="s">
        <v>153</v>
      </c>
      <c r="C848" s="184" t="s">
        <v>905</v>
      </c>
      <c r="D848" s="185" t="s">
        <v>522</v>
      </c>
      <c r="E848" s="186" t="s">
        <v>906</v>
      </c>
      <c r="F848" s="186" t="s">
        <v>907</v>
      </c>
      <c r="G848" s="186" t="s">
        <v>908</v>
      </c>
      <c r="H848" s="186" t="s">
        <v>909</v>
      </c>
      <c r="I848" s="187" t="s">
        <v>2396</v>
      </c>
      <c r="J848" s="187" t="s">
        <v>2397</v>
      </c>
      <c r="K848" s="188">
        <v>36.63</v>
      </c>
      <c r="L848" s="188">
        <v>36.62</v>
      </c>
      <c r="M848" s="189" t="s">
        <v>807</v>
      </c>
      <c r="N848" s="190">
        <v>27.67</v>
      </c>
      <c r="O848" s="190">
        <f t="shared" si="106"/>
        <v>30.16</v>
      </c>
      <c r="P848" s="191">
        <f t="shared" si="107"/>
        <v>1013.55</v>
      </c>
      <c r="Q848" s="192">
        <f t="shared" si="108"/>
        <v>1013.28</v>
      </c>
      <c r="R848" s="193"/>
      <c r="S848" s="194"/>
      <c r="T848" s="195">
        <f t="shared" si="109"/>
        <v>0.0100000000000051</v>
      </c>
      <c r="U848" s="195">
        <f t="shared" si="110"/>
        <v>0.269999999999982</v>
      </c>
      <c r="V848" s="195">
        <f t="shared" si="111"/>
        <v>0.269999999999982</v>
      </c>
      <c r="W848" s="196">
        <f t="shared" si="112"/>
        <v>0.000273074822501505</v>
      </c>
      <c r="X848" s="197">
        <f t="shared" si="113"/>
        <v>0.000273074822501505</v>
      </c>
      <c r="AG848" s="219" t="s">
        <v>1056</v>
      </c>
    </row>
    <row r="849" ht="11.4" customHeight="1" spans="1:34">
      <c r="A849" s="184" t="s">
        <v>904</v>
      </c>
      <c r="B849" s="184" t="s">
        <v>153</v>
      </c>
      <c r="C849" s="184" t="s">
        <v>905</v>
      </c>
      <c r="D849" s="185" t="s">
        <v>522</v>
      </c>
      <c r="E849" s="186" t="s">
        <v>906</v>
      </c>
      <c r="F849" s="186" t="s">
        <v>907</v>
      </c>
      <c r="G849" s="186" t="s">
        <v>908</v>
      </c>
      <c r="H849" s="186" t="s">
        <v>909</v>
      </c>
      <c r="I849" s="187" t="s">
        <v>2398</v>
      </c>
      <c r="J849" s="187" t="s">
        <v>2399</v>
      </c>
      <c r="K849" s="188"/>
      <c r="L849" s="188"/>
      <c r="M849" s="189" t="s">
        <v>989</v>
      </c>
      <c r="N849" s="190">
        <v>2968.65</v>
      </c>
      <c r="O849" s="190">
        <f t="shared" si="106"/>
        <v>3235.83</v>
      </c>
      <c r="P849" s="191">
        <f t="shared" si="107"/>
        <v>0</v>
      </c>
      <c r="Q849" s="192">
        <f t="shared" si="108"/>
        <v>0</v>
      </c>
      <c r="R849" s="193"/>
      <c r="S849" s="194"/>
      <c r="T849" s="195">
        <f t="shared" si="109"/>
        <v>0</v>
      </c>
      <c r="U849" s="195">
        <f t="shared" si="110"/>
        <v>0</v>
      </c>
      <c r="V849" s="195">
        <f t="shared" si="111"/>
        <v>0</v>
      </c>
      <c r="W849" s="196" t="e">
        <f t="shared" si="112"/>
        <v>#DIV/0!</v>
      </c>
      <c r="X849" s="197" t="e">
        <f t="shared" si="113"/>
        <v>#DIV/0!</v>
      </c>
      <c r="AH849" s="219" t="s">
        <v>1903</v>
      </c>
    </row>
    <row r="850" ht="11.4" customHeight="1" spans="1:34">
      <c r="A850" s="184" t="s">
        <v>904</v>
      </c>
      <c r="B850" s="184" t="s">
        <v>153</v>
      </c>
      <c r="C850" s="184" t="s">
        <v>905</v>
      </c>
      <c r="D850" s="185" t="s">
        <v>522</v>
      </c>
      <c r="E850" s="186" t="s">
        <v>906</v>
      </c>
      <c r="F850" s="186" t="s">
        <v>907</v>
      </c>
      <c r="G850" s="186" t="s">
        <v>908</v>
      </c>
      <c r="H850" s="186" t="s">
        <v>909</v>
      </c>
      <c r="I850" s="187" t="s">
        <v>2400</v>
      </c>
      <c r="J850" s="187" t="s">
        <v>2401</v>
      </c>
      <c r="K850" s="188"/>
      <c r="L850" s="188"/>
      <c r="M850" s="189" t="s">
        <v>989</v>
      </c>
      <c r="N850" s="190">
        <v>2941.15</v>
      </c>
      <c r="O850" s="190">
        <f t="shared" si="106"/>
        <v>3205.85</v>
      </c>
      <c r="P850" s="191">
        <f t="shared" si="107"/>
        <v>0</v>
      </c>
      <c r="Q850" s="192">
        <f t="shared" si="108"/>
        <v>0</v>
      </c>
      <c r="R850" s="193"/>
      <c r="S850" s="194"/>
      <c r="T850" s="195">
        <f t="shared" si="109"/>
        <v>0</v>
      </c>
      <c r="U850" s="195">
        <f t="shared" si="110"/>
        <v>0</v>
      </c>
      <c r="V850" s="195">
        <f t="shared" si="111"/>
        <v>0</v>
      </c>
      <c r="W850" s="196" t="e">
        <f t="shared" si="112"/>
        <v>#DIV/0!</v>
      </c>
      <c r="X850" s="197" t="e">
        <f t="shared" si="113"/>
        <v>#DIV/0!</v>
      </c>
      <c r="AH850" s="219" t="s">
        <v>1903</v>
      </c>
    </row>
    <row r="851" ht="11.4" customHeight="1" spans="1:34">
      <c r="A851" s="184" t="s">
        <v>904</v>
      </c>
      <c r="B851" s="184" t="s">
        <v>153</v>
      </c>
      <c r="C851" s="184" t="s">
        <v>905</v>
      </c>
      <c r="D851" s="185" t="s">
        <v>522</v>
      </c>
      <c r="E851" s="186" t="s">
        <v>906</v>
      </c>
      <c r="F851" s="186" t="s">
        <v>907</v>
      </c>
      <c r="G851" s="186" t="s">
        <v>908</v>
      </c>
      <c r="H851" s="186" t="s">
        <v>909</v>
      </c>
      <c r="I851" s="187" t="s">
        <v>2402</v>
      </c>
      <c r="J851" s="187" t="s">
        <v>2403</v>
      </c>
      <c r="K851" s="188"/>
      <c r="L851" s="188"/>
      <c r="M851" s="189" t="s">
        <v>989</v>
      </c>
      <c r="N851" s="190">
        <v>2836.65</v>
      </c>
      <c r="O851" s="190">
        <f t="shared" si="106"/>
        <v>3091.95</v>
      </c>
      <c r="P851" s="191">
        <f t="shared" si="107"/>
        <v>0</v>
      </c>
      <c r="Q851" s="192">
        <f t="shared" si="108"/>
        <v>0</v>
      </c>
      <c r="R851" s="193"/>
      <c r="S851" s="194"/>
      <c r="T851" s="195">
        <f t="shared" si="109"/>
        <v>0</v>
      </c>
      <c r="U851" s="195">
        <f t="shared" si="110"/>
        <v>0</v>
      </c>
      <c r="V851" s="195">
        <f t="shared" si="111"/>
        <v>0</v>
      </c>
      <c r="W851" s="196" t="e">
        <f t="shared" si="112"/>
        <v>#DIV/0!</v>
      </c>
      <c r="X851" s="197" t="e">
        <f t="shared" si="113"/>
        <v>#DIV/0!</v>
      </c>
      <c r="AH851" s="219" t="s">
        <v>1903</v>
      </c>
    </row>
    <row r="852" ht="11.4" customHeight="1" spans="1:34">
      <c r="A852" s="184" t="s">
        <v>904</v>
      </c>
      <c r="B852" s="184" t="s">
        <v>153</v>
      </c>
      <c r="C852" s="184" t="s">
        <v>905</v>
      </c>
      <c r="D852" s="185" t="s">
        <v>522</v>
      </c>
      <c r="E852" s="186" t="s">
        <v>906</v>
      </c>
      <c r="F852" s="186" t="s">
        <v>907</v>
      </c>
      <c r="G852" s="186" t="s">
        <v>908</v>
      </c>
      <c r="H852" s="186" t="s">
        <v>909</v>
      </c>
      <c r="I852" s="187" t="s">
        <v>2404</v>
      </c>
      <c r="J852" s="187" t="s">
        <v>2405</v>
      </c>
      <c r="K852" s="188"/>
      <c r="L852" s="188"/>
      <c r="M852" s="189" t="s">
        <v>989</v>
      </c>
      <c r="N852" s="190">
        <v>2358.7</v>
      </c>
      <c r="O852" s="190">
        <f t="shared" si="106"/>
        <v>2570.98</v>
      </c>
      <c r="P852" s="191">
        <f t="shared" si="107"/>
        <v>0</v>
      </c>
      <c r="Q852" s="192">
        <f t="shared" si="108"/>
        <v>0</v>
      </c>
      <c r="R852" s="193"/>
      <c r="S852" s="194"/>
      <c r="T852" s="195">
        <f t="shared" si="109"/>
        <v>0</v>
      </c>
      <c r="U852" s="195">
        <f t="shared" si="110"/>
        <v>0</v>
      </c>
      <c r="V852" s="195">
        <f t="shared" si="111"/>
        <v>0</v>
      </c>
      <c r="W852" s="196" t="e">
        <f t="shared" si="112"/>
        <v>#DIV/0!</v>
      </c>
      <c r="X852" s="197" t="e">
        <f t="shared" si="113"/>
        <v>#DIV/0!</v>
      </c>
      <c r="AH852" s="219" t="s">
        <v>1903</v>
      </c>
    </row>
    <row r="853" ht="11.4" customHeight="1" spans="1:34">
      <c r="A853" s="184" t="s">
        <v>904</v>
      </c>
      <c r="B853" s="184" t="s">
        <v>153</v>
      </c>
      <c r="C853" s="184" t="s">
        <v>905</v>
      </c>
      <c r="D853" s="185" t="s">
        <v>522</v>
      </c>
      <c r="E853" s="186" t="s">
        <v>906</v>
      </c>
      <c r="F853" s="186" t="s">
        <v>907</v>
      </c>
      <c r="G853" s="186" t="s">
        <v>908</v>
      </c>
      <c r="H853" s="186" t="s">
        <v>909</v>
      </c>
      <c r="I853" s="187" t="s">
        <v>2406</v>
      </c>
      <c r="J853" s="187" t="s">
        <v>2407</v>
      </c>
      <c r="K853" s="188"/>
      <c r="L853" s="188"/>
      <c r="M853" s="189" t="s">
        <v>989</v>
      </c>
      <c r="N853" s="190">
        <v>2336.7</v>
      </c>
      <c r="O853" s="190">
        <f t="shared" si="106"/>
        <v>2547</v>
      </c>
      <c r="P853" s="191">
        <f t="shared" si="107"/>
        <v>0</v>
      </c>
      <c r="Q853" s="192">
        <f t="shared" si="108"/>
        <v>0</v>
      </c>
      <c r="R853" s="193"/>
      <c r="S853" s="194"/>
      <c r="T853" s="195">
        <f t="shared" si="109"/>
        <v>0</v>
      </c>
      <c r="U853" s="195">
        <f t="shared" si="110"/>
        <v>0</v>
      </c>
      <c r="V853" s="195">
        <f t="shared" si="111"/>
        <v>0</v>
      </c>
      <c r="W853" s="196" t="e">
        <f t="shared" si="112"/>
        <v>#DIV/0!</v>
      </c>
      <c r="X853" s="197" t="e">
        <f t="shared" si="113"/>
        <v>#DIV/0!</v>
      </c>
      <c r="AH853" s="219" t="s">
        <v>1903</v>
      </c>
    </row>
    <row r="854" ht="11.4" customHeight="1" spans="1:34">
      <c r="A854" s="184" t="s">
        <v>904</v>
      </c>
      <c r="B854" s="184" t="s">
        <v>153</v>
      </c>
      <c r="C854" s="184" t="s">
        <v>905</v>
      </c>
      <c r="D854" s="185" t="s">
        <v>522</v>
      </c>
      <c r="E854" s="186" t="s">
        <v>906</v>
      </c>
      <c r="F854" s="186" t="s">
        <v>907</v>
      </c>
      <c r="G854" s="186" t="s">
        <v>908</v>
      </c>
      <c r="H854" s="186" t="s">
        <v>909</v>
      </c>
      <c r="I854" s="187" t="s">
        <v>2408</v>
      </c>
      <c r="J854" s="187" t="s">
        <v>2409</v>
      </c>
      <c r="K854" s="188"/>
      <c r="L854" s="188"/>
      <c r="M854" s="189" t="s">
        <v>989</v>
      </c>
      <c r="N854" s="190">
        <v>7092.3</v>
      </c>
      <c r="O854" s="190">
        <f t="shared" si="106"/>
        <v>7730.61</v>
      </c>
      <c r="P854" s="191">
        <f t="shared" si="107"/>
        <v>0</v>
      </c>
      <c r="Q854" s="192">
        <f t="shared" si="108"/>
        <v>0</v>
      </c>
      <c r="R854" s="193"/>
      <c r="S854" s="194"/>
      <c r="T854" s="195">
        <f t="shared" si="109"/>
        <v>0</v>
      </c>
      <c r="U854" s="195">
        <f t="shared" si="110"/>
        <v>0</v>
      </c>
      <c r="V854" s="195">
        <f t="shared" si="111"/>
        <v>0</v>
      </c>
      <c r="W854" s="196" t="e">
        <f t="shared" si="112"/>
        <v>#DIV/0!</v>
      </c>
      <c r="X854" s="197" t="e">
        <f t="shared" si="113"/>
        <v>#DIV/0!</v>
      </c>
      <c r="AH854" s="219" t="s">
        <v>1903</v>
      </c>
    </row>
    <row r="855" ht="11.4" customHeight="1" spans="1:34">
      <c r="A855" s="184" t="s">
        <v>904</v>
      </c>
      <c r="B855" s="184" t="s">
        <v>153</v>
      </c>
      <c r="C855" s="184" t="s">
        <v>905</v>
      </c>
      <c r="D855" s="185" t="s">
        <v>522</v>
      </c>
      <c r="E855" s="186" t="s">
        <v>906</v>
      </c>
      <c r="F855" s="186" t="s">
        <v>907</v>
      </c>
      <c r="G855" s="186" t="s">
        <v>908</v>
      </c>
      <c r="H855" s="186" t="s">
        <v>909</v>
      </c>
      <c r="I855" s="187" t="s">
        <v>2410</v>
      </c>
      <c r="J855" s="187" t="s">
        <v>2411</v>
      </c>
      <c r="K855" s="188"/>
      <c r="L855" s="188"/>
      <c r="M855" s="189" t="s">
        <v>989</v>
      </c>
      <c r="N855" s="190">
        <v>6328.35</v>
      </c>
      <c r="O855" s="190">
        <f t="shared" si="106"/>
        <v>6897.9</v>
      </c>
      <c r="P855" s="191">
        <f t="shared" si="107"/>
        <v>0</v>
      </c>
      <c r="Q855" s="192">
        <f t="shared" si="108"/>
        <v>0</v>
      </c>
      <c r="R855" s="193"/>
      <c r="S855" s="194"/>
      <c r="T855" s="195">
        <f t="shared" si="109"/>
        <v>0</v>
      </c>
      <c r="U855" s="195">
        <f t="shared" si="110"/>
        <v>0</v>
      </c>
      <c r="V855" s="195">
        <f t="shared" si="111"/>
        <v>0</v>
      </c>
      <c r="W855" s="196" t="e">
        <f t="shared" si="112"/>
        <v>#DIV/0!</v>
      </c>
      <c r="X855" s="197" t="e">
        <f t="shared" si="113"/>
        <v>#DIV/0!</v>
      </c>
      <c r="AH855" s="219" t="s">
        <v>1903</v>
      </c>
    </row>
    <row r="856" ht="11.4" customHeight="1" spans="1:34">
      <c r="A856" s="184" t="s">
        <v>904</v>
      </c>
      <c r="B856" s="184" t="s">
        <v>153</v>
      </c>
      <c r="C856" s="184" t="s">
        <v>905</v>
      </c>
      <c r="D856" s="185" t="s">
        <v>522</v>
      </c>
      <c r="E856" s="186" t="s">
        <v>906</v>
      </c>
      <c r="F856" s="186" t="s">
        <v>907</v>
      </c>
      <c r="G856" s="186" t="s">
        <v>908</v>
      </c>
      <c r="H856" s="186" t="s">
        <v>909</v>
      </c>
      <c r="I856" s="187" t="s">
        <v>2412</v>
      </c>
      <c r="J856" s="187" t="s">
        <v>2413</v>
      </c>
      <c r="K856" s="188"/>
      <c r="L856" s="188"/>
      <c r="M856" s="189" t="s">
        <v>989</v>
      </c>
      <c r="N856" s="190">
        <v>5249.49</v>
      </c>
      <c r="O856" s="190">
        <f t="shared" si="106"/>
        <v>5721.94</v>
      </c>
      <c r="P856" s="191">
        <f t="shared" si="107"/>
        <v>0</v>
      </c>
      <c r="Q856" s="192">
        <f t="shared" si="108"/>
        <v>0</v>
      </c>
      <c r="R856" s="193"/>
      <c r="S856" s="194"/>
      <c r="T856" s="195">
        <f t="shared" si="109"/>
        <v>0</v>
      </c>
      <c r="U856" s="195">
        <f t="shared" si="110"/>
        <v>0</v>
      </c>
      <c r="V856" s="195">
        <f t="shared" si="111"/>
        <v>0</v>
      </c>
      <c r="W856" s="196" t="e">
        <f t="shared" si="112"/>
        <v>#DIV/0!</v>
      </c>
      <c r="X856" s="197" t="e">
        <f t="shared" si="113"/>
        <v>#DIV/0!</v>
      </c>
      <c r="AH856" s="219" t="s">
        <v>1903</v>
      </c>
    </row>
    <row r="857" ht="11.4" customHeight="1" spans="1:34">
      <c r="A857" s="184" t="s">
        <v>904</v>
      </c>
      <c r="B857" s="184" t="s">
        <v>153</v>
      </c>
      <c r="C857" s="184" t="s">
        <v>905</v>
      </c>
      <c r="D857" s="185" t="s">
        <v>522</v>
      </c>
      <c r="E857" s="186" t="s">
        <v>906</v>
      </c>
      <c r="F857" s="186" t="s">
        <v>907</v>
      </c>
      <c r="G857" s="186" t="s">
        <v>908</v>
      </c>
      <c r="H857" s="186" t="s">
        <v>2414</v>
      </c>
      <c r="I857" s="187" t="s">
        <v>2415</v>
      </c>
      <c r="J857" s="187" t="s">
        <v>2416</v>
      </c>
      <c r="K857" s="188"/>
      <c r="L857" s="188"/>
      <c r="M857" s="189" t="s">
        <v>847</v>
      </c>
      <c r="N857" s="190">
        <v>179.04</v>
      </c>
      <c r="O857" s="190">
        <f t="shared" si="106"/>
        <v>195.15</v>
      </c>
      <c r="P857" s="191">
        <f t="shared" si="107"/>
        <v>0</v>
      </c>
      <c r="Q857" s="192">
        <f t="shared" si="108"/>
        <v>0</v>
      </c>
      <c r="R857" s="193"/>
      <c r="S857" s="194"/>
      <c r="T857" s="195">
        <f t="shared" si="109"/>
        <v>0</v>
      </c>
      <c r="U857" s="195">
        <f t="shared" si="110"/>
        <v>0</v>
      </c>
      <c r="V857" s="195">
        <f t="shared" si="111"/>
        <v>0</v>
      </c>
      <c r="W857" s="196" t="e">
        <f t="shared" si="112"/>
        <v>#DIV/0!</v>
      </c>
      <c r="X857" s="197" t="e">
        <f t="shared" si="113"/>
        <v>#DIV/0!</v>
      </c>
      <c r="AG857" s="219" t="s">
        <v>2417</v>
      </c>
    </row>
    <row r="858" ht="11.4" customHeight="1" spans="1:34">
      <c r="A858" s="184" t="s">
        <v>904</v>
      </c>
      <c r="B858" s="184" t="s">
        <v>153</v>
      </c>
      <c r="C858" s="184" t="s">
        <v>905</v>
      </c>
      <c r="D858" s="185" t="s">
        <v>522</v>
      </c>
      <c r="E858" s="186" t="s">
        <v>906</v>
      </c>
      <c r="F858" s="186" t="s">
        <v>907</v>
      </c>
      <c r="G858" s="186" t="s">
        <v>908</v>
      </c>
      <c r="H858" s="186" t="s">
        <v>2414</v>
      </c>
      <c r="I858" s="187" t="s">
        <v>2418</v>
      </c>
      <c r="J858" s="187" t="s">
        <v>2419</v>
      </c>
      <c r="K858" s="188">
        <v>81.37</v>
      </c>
      <c r="L858" s="188">
        <v>81.35</v>
      </c>
      <c r="M858" s="189" t="s">
        <v>847</v>
      </c>
      <c r="N858" s="190">
        <v>205.44</v>
      </c>
      <c r="O858" s="190">
        <f t="shared" si="106"/>
        <v>223.93</v>
      </c>
      <c r="P858" s="191">
        <f t="shared" si="107"/>
        <v>16716.65</v>
      </c>
      <c r="Q858" s="192">
        <f t="shared" si="108"/>
        <v>16712.54</v>
      </c>
      <c r="R858" s="193"/>
      <c r="S858" s="194"/>
      <c r="T858" s="195">
        <f t="shared" si="109"/>
        <v>0.0200000000000102</v>
      </c>
      <c r="U858" s="195">
        <f t="shared" si="110"/>
        <v>4.11000000000058</v>
      </c>
      <c r="V858" s="195">
        <f t="shared" si="111"/>
        <v>4.11000000000058</v>
      </c>
      <c r="W858" s="196">
        <f t="shared" si="112"/>
        <v>0.000245851259987833</v>
      </c>
      <c r="X858" s="197">
        <f t="shared" si="113"/>
        <v>0.000245851259987833</v>
      </c>
      <c r="AG858" s="219" t="s">
        <v>2417</v>
      </c>
    </row>
    <row r="859" ht="11.4" customHeight="1" spans="1:34">
      <c r="A859" s="184" t="s">
        <v>904</v>
      </c>
      <c r="B859" s="184" t="s">
        <v>153</v>
      </c>
      <c r="C859" s="184" t="s">
        <v>905</v>
      </c>
      <c r="D859" s="185" t="s">
        <v>522</v>
      </c>
      <c r="E859" s="186" t="s">
        <v>906</v>
      </c>
      <c r="F859" s="186" t="s">
        <v>907</v>
      </c>
      <c r="G859" s="186" t="s">
        <v>908</v>
      </c>
      <c r="H859" s="186" t="s">
        <v>2414</v>
      </c>
      <c r="I859" s="187" t="s">
        <v>2420</v>
      </c>
      <c r="J859" s="187" t="s">
        <v>2421</v>
      </c>
      <c r="K859" s="188"/>
      <c r="L859" s="188"/>
      <c r="M859" s="189" t="s">
        <v>807</v>
      </c>
      <c r="N859" s="190">
        <v>238.25</v>
      </c>
      <c r="O859" s="190">
        <f t="shared" si="106"/>
        <v>259.69</v>
      </c>
      <c r="P859" s="191">
        <f t="shared" si="107"/>
        <v>0</v>
      </c>
      <c r="Q859" s="192">
        <f t="shared" si="108"/>
        <v>0</v>
      </c>
      <c r="R859" s="193"/>
      <c r="S859" s="194"/>
      <c r="T859" s="195">
        <f t="shared" si="109"/>
        <v>0</v>
      </c>
      <c r="U859" s="195">
        <f t="shared" si="110"/>
        <v>0</v>
      </c>
      <c r="V859" s="195">
        <f t="shared" si="111"/>
        <v>0</v>
      </c>
      <c r="W859" s="196" t="e">
        <f t="shared" si="112"/>
        <v>#DIV/0!</v>
      </c>
      <c r="X859" s="197" t="e">
        <f t="shared" si="113"/>
        <v>#DIV/0!</v>
      </c>
      <c r="AH859" s="219" t="s">
        <v>892</v>
      </c>
    </row>
    <row r="860" ht="11.4" customHeight="1" spans="1:34">
      <c r="A860" s="184" t="s">
        <v>904</v>
      </c>
      <c r="B860" s="184" t="s">
        <v>153</v>
      </c>
      <c r="C860" s="184" t="s">
        <v>905</v>
      </c>
      <c r="D860" s="185" t="s">
        <v>522</v>
      </c>
      <c r="E860" s="186" t="s">
        <v>906</v>
      </c>
      <c r="F860" s="186" t="s">
        <v>907</v>
      </c>
      <c r="G860" s="186" t="s">
        <v>908</v>
      </c>
      <c r="H860" s="186" t="s">
        <v>2414</v>
      </c>
      <c r="I860" s="187" t="s">
        <v>2422</v>
      </c>
      <c r="J860" s="187" t="s">
        <v>2423</v>
      </c>
      <c r="K860" s="188"/>
      <c r="L860" s="188"/>
      <c r="M860" s="189" t="s">
        <v>847</v>
      </c>
      <c r="N860" s="190">
        <v>179.04</v>
      </c>
      <c r="O860" s="190">
        <f t="shared" si="106"/>
        <v>195.15</v>
      </c>
      <c r="P860" s="191">
        <f t="shared" si="107"/>
        <v>0</v>
      </c>
      <c r="Q860" s="192">
        <f t="shared" si="108"/>
        <v>0</v>
      </c>
      <c r="R860" s="193"/>
      <c r="S860" s="194"/>
      <c r="T860" s="195">
        <f t="shared" si="109"/>
        <v>0</v>
      </c>
      <c r="U860" s="195">
        <f t="shared" si="110"/>
        <v>0</v>
      </c>
      <c r="V860" s="195">
        <f t="shared" si="111"/>
        <v>0</v>
      </c>
      <c r="W860" s="196" t="e">
        <f t="shared" si="112"/>
        <v>#DIV/0!</v>
      </c>
      <c r="X860" s="197" t="e">
        <f t="shared" si="113"/>
        <v>#DIV/0!</v>
      </c>
      <c r="AG860" s="219" t="s">
        <v>2417</v>
      </c>
    </row>
    <row r="861" ht="11.4" customHeight="1" spans="1:34">
      <c r="A861" s="184" t="s">
        <v>904</v>
      </c>
      <c r="B861" s="184" t="s">
        <v>153</v>
      </c>
      <c r="C861" s="184" t="s">
        <v>905</v>
      </c>
      <c r="D861" s="185" t="s">
        <v>522</v>
      </c>
      <c r="E861" s="186" t="s">
        <v>906</v>
      </c>
      <c r="F861" s="186" t="s">
        <v>907</v>
      </c>
      <c r="G861" s="186" t="s">
        <v>908</v>
      </c>
      <c r="H861" s="186" t="s">
        <v>2414</v>
      </c>
      <c r="I861" s="187" t="s">
        <v>2424</v>
      </c>
      <c r="J861" s="187" t="s">
        <v>2425</v>
      </c>
      <c r="K861" s="188">
        <v>46.17</v>
      </c>
      <c r="L861" s="188">
        <v>45.45</v>
      </c>
      <c r="M861" s="189" t="s">
        <v>847</v>
      </c>
      <c r="N861" s="190">
        <v>205.44</v>
      </c>
      <c r="O861" s="190">
        <f t="shared" si="106"/>
        <v>223.93</v>
      </c>
      <c r="P861" s="191">
        <f t="shared" si="107"/>
        <v>9485.16</v>
      </c>
      <c r="Q861" s="192">
        <f t="shared" si="108"/>
        <v>9337.25</v>
      </c>
      <c r="R861" s="193"/>
      <c r="S861" s="194"/>
      <c r="T861" s="195">
        <f t="shared" si="109"/>
        <v>0.719999999999999</v>
      </c>
      <c r="U861" s="195">
        <f t="shared" si="110"/>
        <v>147.91</v>
      </c>
      <c r="V861" s="195">
        <f t="shared" si="111"/>
        <v>147.91</v>
      </c>
      <c r="W861" s="196">
        <f t="shared" si="112"/>
        <v>0.0158415841584158</v>
      </c>
      <c r="X861" s="197">
        <f t="shared" si="113"/>
        <v>0.0158415841584158</v>
      </c>
      <c r="AG861" s="219" t="s">
        <v>2417</v>
      </c>
    </row>
    <row r="862" ht="11.4" customHeight="1" spans="1:34">
      <c r="A862" s="184" t="s">
        <v>904</v>
      </c>
      <c r="B862" s="184" t="s">
        <v>153</v>
      </c>
      <c r="C862" s="184" t="s">
        <v>905</v>
      </c>
      <c r="D862" s="185" t="s">
        <v>522</v>
      </c>
      <c r="E862" s="186" t="s">
        <v>906</v>
      </c>
      <c r="F862" s="186" t="s">
        <v>907</v>
      </c>
      <c r="G862" s="186" t="s">
        <v>908</v>
      </c>
      <c r="H862" s="186" t="s">
        <v>2414</v>
      </c>
      <c r="I862" s="187" t="s">
        <v>2426</v>
      </c>
      <c r="J862" s="187" t="s">
        <v>2427</v>
      </c>
      <c r="K862" s="188">
        <v>22.38</v>
      </c>
      <c r="L862" s="188">
        <v>22.32</v>
      </c>
      <c r="M862" s="189" t="s">
        <v>847</v>
      </c>
      <c r="N862" s="190">
        <v>156.31</v>
      </c>
      <c r="O862" s="190">
        <f t="shared" si="106"/>
        <v>170.38</v>
      </c>
      <c r="P862" s="191">
        <f t="shared" si="107"/>
        <v>3498.22</v>
      </c>
      <c r="Q862" s="192">
        <f t="shared" si="108"/>
        <v>3488.84</v>
      </c>
      <c r="R862" s="193"/>
      <c r="S862" s="194"/>
      <c r="T862" s="195">
        <f t="shared" si="109"/>
        <v>0.0599999999999987</v>
      </c>
      <c r="U862" s="195">
        <f t="shared" si="110"/>
        <v>9.37999999999965</v>
      </c>
      <c r="V862" s="195">
        <f t="shared" si="111"/>
        <v>9.37999999999965</v>
      </c>
      <c r="W862" s="196">
        <f t="shared" si="112"/>
        <v>0.0026881720430107</v>
      </c>
      <c r="X862" s="197">
        <f t="shared" si="113"/>
        <v>0.0026881720430107</v>
      </c>
      <c r="AG862" s="219" t="s">
        <v>2417</v>
      </c>
    </row>
    <row r="863" ht="11.4" customHeight="1" spans="1:34">
      <c r="A863" s="184" t="s">
        <v>904</v>
      </c>
      <c r="B863" s="184" t="s">
        <v>153</v>
      </c>
      <c r="C863" s="184" t="s">
        <v>905</v>
      </c>
      <c r="D863" s="185" t="s">
        <v>522</v>
      </c>
      <c r="E863" s="186" t="s">
        <v>906</v>
      </c>
      <c r="F863" s="186" t="s">
        <v>907</v>
      </c>
      <c r="G863" s="186" t="s">
        <v>908</v>
      </c>
      <c r="H863" s="186" t="s">
        <v>2414</v>
      </c>
      <c r="I863" s="187" t="s">
        <v>2428</v>
      </c>
      <c r="J863" s="187" t="s">
        <v>2429</v>
      </c>
      <c r="K863" s="188"/>
      <c r="L863" s="188"/>
      <c r="M863" s="189" t="s">
        <v>807</v>
      </c>
      <c r="N863" s="190">
        <v>93.05</v>
      </c>
      <c r="O863" s="190">
        <f t="shared" si="106"/>
        <v>101.42</v>
      </c>
      <c r="P863" s="191">
        <f t="shared" si="107"/>
        <v>0</v>
      </c>
      <c r="Q863" s="192">
        <f t="shared" si="108"/>
        <v>0</v>
      </c>
      <c r="R863" s="193"/>
      <c r="S863" s="194"/>
      <c r="T863" s="195">
        <f t="shared" si="109"/>
        <v>0</v>
      </c>
      <c r="U863" s="195">
        <f t="shared" si="110"/>
        <v>0</v>
      </c>
      <c r="V863" s="195">
        <f t="shared" si="111"/>
        <v>0</v>
      </c>
      <c r="W863" s="196" t="e">
        <f t="shared" si="112"/>
        <v>#DIV/0!</v>
      </c>
      <c r="X863" s="197" t="e">
        <f t="shared" si="113"/>
        <v>#DIV/0!</v>
      </c>
      <c r="AH863" s="219" t="s">
        <v>892</v>
      </c>
    </row>
    <row r="864" ht="11.4" customHeight="1" spans="1:34">
      <c r="A864" s="184" t="s">
        <v>904</v>
      </c>
      <c r="B864" s="184" t="s">
        <v>153</v>
      </c>
      <c r="C864" s="184" t="s">
        <v>905</v>
      </c>
      <c r="D864" s="185" t="s">
        <v>522</v>
      </c>
      <c r="E864" s="186" t="s">
        <v>906</v>
      </c>
      <c r="F864" s="186" t="s">
        <v>907</v>
      </c>
      <c r="G864" s="186" t="s">
        <v>908</v>
      </c>
      <c r="H864" s="186" t="s">
        <v>2414</v>
      </c>
      <c r="I864" s="187" t="s">
        <v>2430</v>
      </c>
      <c r="J864" s="187" t="s">
        <v>2431</v>
      </c>
      <c r="K864" s="188"/>
      <c r="L864" s="188"/>
      <c r="M864" s="189" t="s">
        <v>807</v>
      </c>
      <c r="N864" s="190">
        <v>205.25</v>
      </c>
      <c r="O864" s="190">
        <f t="shared" si="106"/>
        <v>223.72</v>
      </c>
      <c r="P864" s="191">
        <f t="shared" si="107"/>
        <v>0</v>
      </c>
      <c r="Q864" s="192">
        <f t="shared" si="108"/>
        <v>0</v>
      </c>
      <c r="R864" s="193"/>
      <c r="S864" s="194"/>
      <c r="T864" s="195">
        <f t="shared" si="109"/>
        <v>0</v>
      </c>
      <c r="U864" s="195">
        <f t="shared" si="110"/>
        <v>0</v>
      </c>
      <c r="V864" s="195">
        <f t="shared" si="111"/>
        <v>0</v>
      </c>
      <c r="W864" s="196" t="e">
        <f t="shared" si="112"/>
        <v>#DIV/0!</v>
      </c>
      <c r="X864" s="197" t="e">
        <f t="shared" si="113"/>
        <v>#DIV/0!</v>
      </c>
      <c r="AH864" s="219" t="s">
        <v>892</v>
      </c>
    </row>
    <row r="865" ht="11.4" customHeight="1" spans="1:34">
      <c r="A865" s="184" t="s">
        <v>904</v>
      </c>
      <c r="B865" s="184" t="s">
        <v>153</v>
      </c>
      <c r="C865" s="184" t="s">
        <v>905</v>
      </c>
      <c r="D865" s="185" t="s">
        <v>522</v>
      </c>
      <c r="E865" s="186" t="s">
        <v>906</v>
      </c>
      <c r="F865" s="186" t="s">
        <v>907</v>
      </c>
      <c r="G865" s="186" t="s">
        <v>908</v>
      </c>
      <c r="H865" s="186" t="s">
        <v>2414</v>
      </c>
      <c r="I865" s="187" t="s">
        <v>2432</v>
      </c>
      <c r="J865" s="187" t="s">
        <v>2433</v>
      </c>
      <c r="K865" s="188">
        <v>21.45</v>
      </c>
      <c r="L865" s="188">
        <v>20.68</v>
      </c>
      <c r="M865" s="189" t="s">
        <v>847</v>
      </c>
      <c r="N865" s="190">
        <v>219.44</v>
      </c>
      <c r="O865" s="190">
        <f t="shared" si="106"/>
        <v>239.19</v>
      </c>
      <c r="P865" s="191">
        <f t="shared" si="107"/>
        <v>4706.99</v>
      </c>
      <c r="Q865" s="192">
        <f t="shared" si="108"/>
        <v>4538.02</v>
      </c>
      <c r="R865" s="193"/>
      <c r="S865" s="194"/>
      <c r="T865" s="195">
        <f t="shared" si="109"/>
        <v>0.77</v>
      </c>
      <c r="U865" s="195">
        <f t="shared" si="110"/>
        <v>168.969999999999</v>
      </c>
      <c r="V865" s="195">
        <f t="shared" si="111"/>
        <v>168.969999999999</v>
      </c>
      <c r="W865" s="196">
        <f t="shared" si="112"/>
        <v>0.0372340425531915</v>
      </c>
      <c r="X865" s="197">
        <f t="shared" si="113"/>
        <v>0.0372340425531915</v>
      </c>
      <c r="AG865" s="219" t="s">
        <v>2417</v>
      </c>
    </row>
    <row r="866" ht="11.4" customHeight="1" spans="1:34">
      <c r="A866" s="184" t="s">
        <v>904</v>
      </c>
      <c r="B866" s="184" t="s">
        <v>153</v>
      </c>
      <c r="C866" s="184" t="s">
        <v>905</v>
      </c>
      <c r="D866" s="185" t="s">
        <v>522</v>
      </c>
      <c r="E866" s="186" t="s">
        <v>906</v>
      </c>
      <c r="F866" s="186" t="s">
        <v>907</v>
      </c>
      <c r="G866" s="186" t="s">
        <v>908</v>
      </c>
      <c r="H866" s="186" t="s">
        <v>2414</v>
      </c>
      <c r="I866" s="187" t="s">
        <v>2434</v>
      </c>
      <c r="J866" s="187" t="s">
        <v>2435</v>
      </c>
      <c r="K866" s="188"/>
      <c r="L866" s="188"/>
      <c r="M866" s="189" t="s">
        <v>847</v>
      </c>
      <c r="N866" s="190">
        <v>365.36</v>
      </c>
      <c r="O866" s="190">
        <f t="shared" si="106"/>
        <v>398.24</v>
      </c>
      <c r="P866" s="191">
        <f t="shared" si="107"/>
        <v>0</v>
      </c>
      <c r="Q866" s="192">
        <f t="shared" si="108"/>
        <v>0</v>
      </c>
      <c r="R866" s="193"/>
      <c r="S866" s="194"/>
      <c r="T866" s="195">
        <f t="shared" si="109"/>
        <v>0</v>
      </c>
      <c r="U866" s="195">
        <f t="shared" si="110"/>
        <v>0</v>
      </c>
      <c r="V866" s="195">
        <f t="shared" si="111"/>
        <v>0</v>
      </c>
      <c r="W866" s="196" t="e">
        <f t="shared" si="112"/>
        <v>#DIV/0!</v>
      </c>
      <c r="X866" s="197" t="e">
        <f t="shared" si="113"/>
        <v>#DIV/0!</v>
      </c>
      <c r="AG866" s="219" t="s">
        <v>2417</v>
      </c>
    </row>
    <row r="867" ht="11.4" customHeight="1" spans="1:34">
      <c r="A867" s="184" t="s">
        <v>904</v>
      </c>
      <c r="B867" s="184" t="s">
        <v>153</v>
      </c>
      <c r="C867" s="184" t="s">
        <v>905</v>
      </c>
      <c r="D867" s="185" t="s">
        <v>522</v>
      </c>
      <c r="E867" s="186" t="s">
        <v>906</v>
      </c>
      <c r="F867" s="186" t="s">
        <v>907</v>
      </c>
      <c r="G867" s="186" t="s">
        <v>908</v>
      </c>
      <c r="H867" s="186" t="s">
        <v>2414</v>
      </c>
      <c r="I867" s="187" t="s">
        <v>2436</v>
      </c>
      <c r="J867" s="187" t="s">
        <v>2437</v>
      </c>
      <c r="K867" s="188"/>
      <c r="L867" s="188"/>
      <c r="M867" s="189" t="s">
        <v>963</v>
      </c>
      <c r="N867" s="190">
        <v>832.04</v>
      </c>
      <c r="O867" s="190">
        <f t="shared" si="106"/>
        <v>906.92</v>
      </c>
      <c r="P867" s="191">
        <f t="shared" si="107"/>
        <v>0</v>
      </c>
      <c r="Q867" s="192">
        <f t="shared" si="108"/>
        <v>0</v>
      </c>
      <c r="R867" s="193"/>
      <c r="S867" s="194"/>
      <c r="T867" s="195">
        <f t="shared" si="109"/>
        <v>0</v>
      </c>
      <c r="U867" s="195">
        <f t="shared" si="110"/>
        <v>0</v>
      </c>
      <c r="V867" s="195">
        <f t="shared" si="111"/>
        <v>0</v>
      </c>
      <c r="W867" s="196" t="e">
        <f t="shared" si="112"/>
        <v>#DIV/0!</v>
      </c>
      <c r="X867" s="197" t="e">
        <f t="shared" si="113"/>
        <v>#DIV/0!</v>
      </c>
      <c r="AH867" s="219" t="s">
        <v>1903</v>
      </c>
    </row>
    <row r="868" ht="11.4" customHeight="1" spans="1:34">
      <c r="A868" s="184" t="s">
        <v>904</v>
      </c>
      <c r="B868" s="184" t="s">
        <v>153</v>
      </c>
      <c r="C868" s="184" t="s">
        <v>905</v>
      </c>
      <c r="D868" s="185" t="s">
        <v>522</v>
      </c>
      <c r="E868" s="186" t="s">
        <v>906</v>
      </c>
      <c r="F868" s="186" t="s">
        <v>907</v>
      </c>
      <c r="G868" s="186" t="s">
        <v>908</v>
      </c>
      <c r="H868" s="186" t="s">
        <v>2414</v>
      </c>
      <c r="I868" s="187" t="s">
        <v>2438</v>
      </c>
      <c r="J868" s="187" t="s">
        <v>2439</v>
      </c>
      <c r="K868" s="188"/>
      <c r="L868" s="188"/>
      <c r="M868" s="189" t="s">
        <v>963</v>
      </c>
      <c r="N868" s="190">
        <v>1691.55</v>
      </c>
      <c r="O868" s="190">
        <f t="shared" si="106"/>
        <v>1843.79</v>
      </c>
      <c r="P868" s="191">
        <f t="shared" si="107"/>
        <v>0</v>
      </c>
      <c r="Q868" s="192">
        <f t="shared" si="108"/>
        <v>0</v>
      </c>
      <c r="R868" s="193"/>
      <c r="S868" s="194"/>
      <c r="T868" s="195">
        <f t="shared" si="109"/>
        <v>0</v>
      </c>
      <c r="U868" s="195">
        <f t="shared" si="110"/>
        <v>0</v>
      </c>
      <c r="V868" s="195">
        <f t="shared" si="111"/>
        <v>0</v>
      </c>
      <c r="W868" s="196" t="e">
        <f t="shared" si="112"/>
        <v>#DIV/0!</v>
      </c>
      <c r="X868" s="197" t="e">
        <f t="shared" si="113"/>
        <v>#DIV/0!</v>
      </c>
      <c r="AG868" s="219" t="s">
        <v>990</v>
      </c>
    </row>
    <row r="869" ht="11.4" customHeight="1" spans="1:34">
      <c r="A869" s="184" t="s">
        <v>904</v>
      </c>
      <c r="B869" s="184" t="s">
        <v>153</v>
      </c>
      <c r="C869" s="184" t="s">
        <v>905</v>
      </c>
      <c r="D869" s="185" t="s">
        <v>522</v>
      </c>
      <c r="E869" s="186" t="s">
        <v>906</v>
      </c>
      <c r="F869" s="186" t="s">
        <v>907</v>
      </c>
      <c r="G869" s="186" t="s">
        <v>908</v>
      </c>
      <c r="H869" s="186" t="s">
        <v>2414</v>
      </c>
      <c r="I869" s="187" t="s">
        <v>2440</v>
      </c>
      <c r="J869" s="187" t="s">
        <v>2441</v>
      </c>
      <c r="K869" s="188">
        <v>4</v>
      </c>
      <c r="L869" s="188">
        <v>4</v>
      </c>
      <c r="M869" s="189" t="s">
        <v>963</v>
      </c>
      <c r="N869" s="190">
        <v>1315.9</v>
      </c>
      <c r="O869" s="190">
        <f t="shared" si="106"/>
        <v>1434.33</v>
      </c>
      <c r="P869" s="191">
        <f t="shared" si="107"/>
        <v>5263.6</v>
      </c>
      <c r="Q869" s="192">
        <f t="shared" si="108"/>
        <v>5263.6</v>
      </c>
      <c r="R869" s="193"/>
      <c r="S869" s="194"/>
      <c r="T869" s="195">
        <f t="shared" si="109"/>
        <v>0</v>
      </c>
      <c r="U869" s="195">
        <f t="shared" si="110"/>
        <v>0</v>
      </c>
      <c r="V869" s="195">
        <f t="shared" si="111"/>
        <v>0</v>
      </c>
      <c r="W869" s="196">
        <f t="shared" si="112"/>
        <v>0</v>
      </c>
      <c r="X869" s="197">
        <f t="shared" si="113"/>
        <v>0</v>
      </c>
      <c r="AG869" s="219" t="s">
        <v>990</v>
      </c>
    </row>
    <row r="870" ht="11.4" customHeight="1" spans="1:34">
      <c r="A870" s="184" t="s">
        <v>904</v>
      </c>
      <c r="B870" s="184" t="s">
        <v>153</v>
      </c>
      <c r="C870" s="184" t="s">
        <v>905</v>
      </c>
      <c r="D870" s="185" t="s">
        <v>522</v>
      </c>
      <c r="E870" s="186" t="s">
        <v>906</v>
      </c>
      <c r="F870" s="186" t="s">
        <v>907</v>
      </c>
      <c r="G870" s="186" t="s">
        <v>908</v>
      </c>
      <c r="H870" s="186" t="s">
        <v>2414</v>
      </c>
      <c r="I870" s="187" t="s">
        <v>2442</v>
      </c>
      <c r="J870" s="187" t="s">
        <v>2443</v>
      </c>
      <c r="K870" s="188"/>
      <c r="L870" s="188"/>
      <c r="M870" s="189" t="s">
        <v>963</v>
      </c>
      <c r="N870" s="190">
        <v>969.96</v>
      </c>
      <c r="O870" s="190">
        <f t="shared" si="106"/>
        <v>1057.26</v>
      </c>
      <c r="P870" s="191">
        <f t="shared" si="107"/>
        <v>0</v>
      </c>
      <c r="Q870" s="192">
        <f t="shared" si="108"/>
        <v>0</v>
      </c>
      <c r="R870" s="193"/>
      <c r="S870" s="194"/>
      <c r="T870" s="195">
        <f t="shared" si="109"/>
        <v>0</v>
      </c>
      <c r="U870" s="195">
        <f t="shared" si="110"/>
        <v>0</v>
      </c>
      <c r="V870" s="195">
        <f t="shared" si="111"/>
        <v>0</v>
      </c>
      <c r="W870" s="196" t="e">
        <f t="shared" si="112"/>
        <v>#DIV/0!</v>
      </c>
      <c r="X870" s="197" t="e">
        <f t="shared" si="113"/>
        <v>#DIV/0!</v>
      </c>
      <c r="AG870" s="219" t="s">
        <v>990</v>
      </c>
    </row>
    <row r="871" ht="11.4" customHeight="1" spans="1:34">
      <c r="A871" s="184" t="s">
        <v>904</v>
      </c>
      <c r="B871" s="184" t="s">
        <v>153</v>
      </c>
      <c r="C871" s="184" t="s">
        <v>905</v>
      </c>
      <c r="D871" s="185" t="s">
        <v>522</v>
      </c>
      <c r="E871" s="186" t="s">
        <v>906</v>
      </c>
      <c r="F871" s="186" t="s">
        <v>907</v>
      </c>
      <c r="G871" s="186" t="s">
        <v>908</v>
      </c>
      <c r="H871" s="186" t="s">
        <v>2414</v>
      </c>
      <c r="I871" s="187" t="s">
        <v>2444</v>
      </c>
      <c r="J871" s="187" t="s">
        <v>2445</v>
      </c>
      <c r="K871" s="188"/>
      <c r="L871" s="188"/>
      <c r="M871" s="189" t="s">
        <v>963</v>
      </c>
      <c r="N871" s="190">
        <v>1692.65</v>
      </c>
      <c r="O871" s="190">
        <f t="shared" si="106"/>
        <v>1844.99</v>
      </c>
      <c r="P871" s="191">
        <f t="shared" si="107"/>
        <v>0</v>
      </c>
      <c r="Q871" s="192">
        <f t="shared" si="108"/>
        <v>0</v>
      </c>
      <c r="R871" s="193"/>
      <c r="S871" s="194"/>
      <c r="T871" s="195">
        <f t="shared" si="109"/>
        <v>0</v>
      </c>
      <c r="U871" s="195">
        <f t="shared" si="110"/>
        <v>0</v>
      </c>
      <c r="V871" s="195">
        <f t="shared" si="111"/>
        <v>0</v>
      </c>
      <c r="W871" s="196" t="e">
        <f t="shared" si="112"/>
        <v>#DIV/0!</v>
      </c>
      <c r="X871" s="197" t="e">
        <f t="shared" si="113"/>
        <v>#DIV/0!</v>
      </c>
      <c r="AH871" s="109" t="s">
        <v>892</v>
      </c>
    </row>
    <row r="872" ht="11.4" customHeight="1" spans="1:34">
      <c r="A872" s="184" t="s">
        <v>904</v>
      </c>
      <c r="B872" s="184" t="s">
        <v>153</v>
      </c>
      <c r="C872" s="184" t="s">
        <v>905</v>
      </c>
      <c r="D872" s="185" t="s">
        <v>522</v>
      </c>
      <c r="E872" s="186" t="s">
        <v>906</v>
      </c>
      <c r="F872" s="186" t="s">
        <v>907</v>
      </c>
      <c r="G872" s="186" t="s">
        <v>908</v>
      </c>
      <c r="H872" s="186" t="s">
        <v>2414</v>
      </c>
      <c r="I872" s="187" t="s">
        <v>2446</v>
      </c>
      <c r="J872" s="187" t="s">
        <v>2447</v>
      </c>
      <c r="K872" s="188"/>
      <c r="L872" s="188"/>
      <c r="M872" s="189" t="s">
        <v>1018</v>
      </c>
      <c r="N872" s="190">
        <v>350</v>
      </c>
      <c r="O872" s="190">
        <f t="shared" si="106"/>
        <v>381.5</v>
      </c>
      <c r="P872" s="191">
        <f t="shared" si="107"/>
        <v>0</v>
      </c>
      <c r="Q872" s="192">
        <f t="shared" si="108"/>
        <v>0</v>
      </c>
      <c r="R872" s="193"/>
      <c r="S872" s="194"/>
      <c r="T872" s="195">
        <f t="shared" si="109"/>
        <v>0</v>
      </c>
      <c r="U872" s="195">
        <f t="shared" si="110"/>
        <v>0</v>
      </c>
      <c r="V872" s="195">
        <f t="shared" si="111"/>
        <v>0</v>
      </c>
      <c r="W872" s="196" t="e">
        <f t="shared" si="112"/>
        <v>#DIV/0!</v>
      </c>
      <c r="X872" s="197" t="e">
        <f t="shared" si="113"/>
        <v>#DIV/0!</v>
      </c>
      <c r="AH872" s="219" t="s">
        <v>892</v>
      </c>
    </row>
    <row r="873" ht="11.4" customHeight="1" spans="1:34">
      <c r="A873" s="184" t="s">
        <v>904</v>
      </c>
      <c r="B873" s="184" t="s">
        <v>153</v>
      </c>
      <c r="C873" s="184" t="s">
        <v>905</v>
      </c>
      <c r="D873" s="185" t="s">
        <v>522</v>
      </c>
      <c r="E873" s="186" t="s">
        <v>906</v>
      </c>
      <c r="F873" s="186" t="s">
        <v>907</v>
      </c>
      <c r="G873" s="186" t="s">
        <v>908</v>
      </c>
      <c r="H873" s="186" t="s">
        <v>2448</v>
      </c>
      <c r="I873" s="187" t="s">
        <v>2449</v>
      </c>
      <c r="J873" s="187" t="s">
        <v>2450</v>
      </c>
      <c r="K873" s="188"/>
      <c r="L873" s="188"/>
      <c r="M873" s="189" t="s">
        <v>807</v>
      </c>
      <c r="N873" s="190">
        <v>230.44</v>
      </c>
      <c r="O873" s="190">
        <f t="shared" si="106"/>
        <v>251.18</v>
      </c>
      <c r="P873" s="191">
        <f t="shared" si="107"/>
        <v>0</v>
      </c>
      <c r="Q873" s="192">
        <f t="shared" si="108"/>
        <v>0</v>
      </c>
      <c r="R873" s="193"/>
      <c r="S873" s="194"/>
      <c r="T873" s="195">
        <f t="shared" si="109"/>
        <v>0</v>
      </c>
      <c r="U873" s="195">
        <f t="shared" si="110"/>
        <v>0</v>
      </c>
      <c r="V873" s="195">
        <f t="shared" si="111"/>
        <v>0</v>
      </c>
      <c r="W873" s="196" t="e">
        <f t="shared" si="112"/>
        <v>#DIV/0!</v>
      </c>
      <c r="X873" s="197" t="e">
        <f t="shared" si="113"/>
        <v>#DIV/0!</v>
      </c>
      <c r="AH873" s="109" t="s">
        <v>1983</v>
      </c>
    </row>
    <row r="874" ht="11.4" hidden="1" customHeight="1" spans="1:34">
      <c r="A874" s="184" t="s">
        <v>904</v>
      </c>
      <c r="B874" s="184" t="s">
        <v>153</v>
      </c>
      <c r="C874" s="184" t="s">
        <v>905</v>
      </c>
      <c r="D874" s="185" t="s">
        <v>522</v>
      </c>
      <c r="E874" s="186" t="s">
        <v>906</v>
      </c>
      <c r="F874" s="186" t="s">
        <v>907</v>
      </c>
      <c r="G874" s="186" t="s">
        <v>908</v>
      </c>
      <c r="H874" s="186" t="s">
        <v>2448</v>
      </c>
      <c r="I874" s="187" t="s">
        <v>2451</v>
      </c>
      <c r="J874" s="204" t="s">
        <v>2452</v>
      </c>
      <c r="K874" s="203">
        <f t="shared" ref="K874:K877" si="114">L874</f>
        <v>15.93</v>
      </c>
      <c r="L874" s="188">
        <v>15.93</v>
      </c>
      <c r="M874" s="189" t="s">
        <v>807</v>
      </c>
      <c r="N874" s="190">
        <v>199.42</v>
      </c>
      <c r="O874" s="190">
        <f t="shared" si="106"/>
        <v>217.37</v>
      </c>
      <c r="P874" s="191">
        <f t="shared" si="107"/>
        <v>3176.76</v>
      </c>
      <c r="Q874" s="192">
        <f t="shared" si="108"/>
        <v>3176.76</v>
      </c>
      <c r="R874" s="193"/>
      <c r="S874" s="194"/>
      <c r="T874" s="195">
        <f t="shared" si="109"/>
        <v>0</v>
      </c>
      <c r="U874" s="195">
        <f t="shared" si="110"/>
        <v>0</v>
      </c>
      <c r="V874" s="195">
        <f t="shared" si="111"/>
        <v>0</v>
      </c>
      <c r="W874" s="196">
        <f t="shared" si="112"/>
        <v>0</v>
      </c>
      <c r="X874" s="197">
        <f t="shared" si="113"/>
        <v>0</v>
      </c>
      <c r="Y874" s="201" t="s">
        <v>1986</v>
      </c>
    </row>
    <row r="875" ht="11.4" hidden="1" customHeight="1" spans="1:34">
      <c r="A875" s="184" t="s">
        <v>904</v>
      </c>
      <c r="B875" s="184" t="s">
        <v>153</v>
      </c>
      <c r="C875" s="184" t="s">
        <v>905</v>
      </c>
      <c r="D875" s="185" t="s">
        <v>522</v>
      </c>
      <c r="E875" s="186" t="s">
        <v>906</v>
      </c>
      <c r="F875" s="186" t="s">
        <v>907</v>
      </c>
      <c r="G875" s="186" t="s">
        <v>908</v>
      </c>
      <c r="H875" s="186" t="s">
        <v>2448</v>
      </c>
      <c r="I875" s="187" t="s">
        <v>2453</v>
      </c>
      <c r="J875" s="204" t="s">
        <v>2454</v>
      </c>
      <c r="K875" s="203">
        <f t="shared" si="114"/>
        <v>31</v>
      </c>
      <c r="L875" s="188">
        <v>31</v>
      </c>
      <c r="M875" s="189" t="s">
        <v>807</v>
      </c>
      <c r="N875" s="190">
        <v>187.87</v>
      </c>
      <c r="O875" s="190">
        <f t="shared" si="106"/>
        <v>204.78</v>
      </c>
      <c r="P875" s="191">
        <f t="shared" si="107"/>
        <v>5823.97</v>
      </c>
      <c r="Q875" s="192">
        <f t="shared" si="108"/>
        <v>5823.97</v>
      </c>
      <c r="R875" s="193"/>
      <c r="S875" s="194"/>
      <c r="T875" s="195">
        <f t="shared" si="109"/>
        <v>0</v>
      </c>
      <c r="U875" s="195">
        <f t="shared" si="110"/>
        <v>0</v>
      </c>
      <c r="V875" s="195">
        <f t="shared" si="111"/>
        <v>0</v>
      </c>
      <c r="W875" s="196">
        <f t="shared" si="112"/>
        <v>0</v>
      </c>
      <c r="X875" s="197">
        <f t="shared" si="113"/>
        <v>0</v>
      </c>
      <c r="Y875" s="201" t="s">
        <v>1986</v>
      </c>
    </row>
    <row r="876" ht="11.4" customHeight="1" spans="1:34">
      <c r="A876" s="184" t="s">
        <v>904</v>
      </c>
      <c r="B876" s="184" t="s">
        <v>153</v>
      </c>
      <c r="C876" s="184" t="s">
        <v>905</v>
      </c>
      <c r="D876" s="185" t="s">
        <v>522</v>
      </c>
      <c r="E876" s="186" t="s">
        <v>906</v>
      </c>
      <c r="F876" s="186" t="s">
        <v>907</v>
      </c>
      <c r="G876" s="186" t="s">
        <v>908</v>
      </c>
      <c r="H876" s="186" t="s">
        <v>2448</v>
      </c>
      <c r="I876" s="187" t="s">
        <v>2455</v>
      </c>
      <c r="J876" s="187" t="s">
        <v>2456</v>
      </c>
      <c r="K876" s="188"/>
      <c r="L876" s="188"/>
      <c r="M876" s="189" t="s">
        <v>807</v>
      </c>
      <c r="N876" s="190">
        <v>175.55</v>
      </c>
      <c r="O876" s="190">
        <f t="shared" si="106"/>
        <v>191.35</v>
      </c>
      <c r="P876" s="191">
        <f t="shared" si="107"/>
        <v>0</v>
      </c>
      <c r="Q876" s="192">
        <f t="shared" si="108"/>
        <v>0</v>
      </c>
      <c r="R876" s="193"/>
      <c r="S876" s="194"/>
      <c r="T876" s="195">
        <f t="shared" si="109"/>
        <v>0</v>
      </c>
      <c r="U876" s="195">
        <f t="shared" si="110"/>
        <v>0</v>
      </c>
      <c r="V876" s="195">
        <f t="shared" si="111"/>
        <v>0</v>
      </c>
      <c r="W876" s="196" t="e">
        <f t="shared" si="112"/>
        <v>#DIV/0!</v>
      </c>
      <c r="X876" s="197" t="e">
        <f t="shared" si="113"/>
        <v>#DIV/0!</v>
      </c>
      <c r="AH876" s="109" t="s">
        <v>1983</v>
      </c>
    </row>
    <row r="877" ht="11.4" hidden="1" customHeight="1" spans="1:34">
      <c r="A877" s="184" t="s">
        <v>904</v>
      </c>
      <c r="B877" s="184" t="s">
        <v>153</v>
      </c>
      <c r="C877" s="184" t="s">
        <v>905</v>
      </c>
      <c r="D877" s="185" t="s">
        <v>522</v>
      </c>
      <c r="E877" s="186" t="s">
        <v>906</v>
      </c>
      <c r="F877" s="186" t="s">
        <v>907</v>
      </c>
      <c r="G877" s="186" t="s">
        <v>908</v>
      </c>
      <c r="H877" s="186" t="s">
        <v>2448</v>
      </c>
      <c r="I877" s="187" t="s">
        <v>2457</v>
      </c>
      <c r="J877" s="204" t="s">
        <v>2458</v>
      </c>
      <c r="K877" s="203">
        <f t="shared" si="114"/>
        <v>16.25</v>
      </c>
      <c r="L877" s="188">
        <v>16.25</v>
      </c>
      <c r="M877" s="189" t="s">
        <v>807</v>
      </c>
      <c r="N877" s="190">
        <v>156.85</v>
      </c>
      <c r="O877" s="190">
        <f t="shared" si="106"/>
        <v>170.97</v>
      </c>
      <c r="P877" s="191">
        <f t="shared" si="107"/>
        <v>2548.81</v>
      </c>
      <c r="Q877" s="192">
        <f t="shared" si="108"/>
        <v>2548.81</v>
      </c>
      <c r="R877" s="193"/>
      <c r="S877" s="194"/>
      <c r="T877" s="195">
        <f t="shared" si="109"/>
        <v>0</v>
      </c>
      <c r="U877" s="195">
        <f t="shared" si="110"/>
        <v>0</v>
      </c>
      <c r="V877" s="195">
        <f t="shared" si="111"/>
        <v>0</v>
      </c>
      <c r="W877" s="196">
        <f t="shared" si="112"/>
        <v>0</v>
      </c>
      <c r="X877" s="197">
        <f t="shared" si="113"/>
        <v>0</v>
      </c>
      <c r="Y877" s="201" t="s">
        <v>1986</v>
      </c>
    </row>
    <row r="878" ht="11.4" customHeight="1" spans="1:34">
      <c r="A878" s="184" t="s">
        <v>904</v>
      </c>
      <c r="B878" s="184" t="s">
        <v>153</v>
      </c>
      <c r="C878" s="184" t="s">
        <v>905</v>
      </c>
      <c r="D878" s="185" t="s">
        <v>522</v>
      </c>
      <c r="E878" s="186" t="s">
        <v>906</v>
      </c>
      <c r="F878" s="186" t="s">
        <v>907</v>
      </c>
      <c r="G878" s="186" t="s">
        <v>908</v>
      </c>
      <c r="H878" s="186" t="s">
        <v>2448</v>
      </c>
      <c r="I878" s="187" t="s">
        <v>2459</v>
      </c>
      <c r="J878" s="187" t="s">
        <v>2460</v>
      </c>
      <c r="K878" s="188"/>
      <c r="L878" s="188"/>
      <c r="M878" s="189" t="s">
        <v>807</v>
      </c>
      <c r="N878" s="190">
        <v>122.2</v>
      </c>
      <c r="O878" s="190">
        <f t="shared" si="106"/>
        <v>133.2</v>
      </c>
      <c r="P878" s="191">
        <f t="shared" si="107"/>
        <v>0</v>
      </c>
      <c r="Q878" s="192">
        <f t="shared" si="108"/>
        <v>0</v>
      </c>
      <c r="R878" s="193"/>
      <c r="S878" s="194"/>
      <c r="T878" s="195">
        <f t="shared" si="109"/>
        <v>0</v>
      </c>
      <c r="U878" s="195">
        <f t="shared" si="110"/>
        <v>0</v>
      </c>
      <c r="V878" s="195">
        <f t="shared" si="111"/>
        <v>0</v>
      </c>
      <c r="W878" s="196" t="e">
        <f t="shared" si="112"/>
        <v>#DIV/0!</v>
      </c>
      <c r="X878" s="197" t="e">
        <f t="shared" si="113"/>
        <v>#DIV/0!</v>
      </c>
      <c r="AH878" s="109" t="s">
        <v>1983</v>
      </c>
    </row>
    <row r="879" ht="11.4" customHeight="1" spans="1:34">
      <c r="A879" s="184" t="s">
        <v>904</v>
      </c>
      <c r="B879" s="184" t="s">
        <v>153</v>
      </c>
      <c r="C879" s="184" t="s">
        <v>905</v>
      </c>
      <c r="D879" s="185" t="s">
        <v>522</v>
      </c>
      <c r="E879" s="186" t="s">
        <v>906</v>
      </c>
      <c r="F879" s="186" t="s">
        <v>907</v>
      </c>
      <c r="G879" s="186" t="s">
        <v>908</v>
      </c>
      <c r="H879" s="186" t="s">
        <v>2448</v>
      </c>
      <c r="I879" s="187" t="s">
        <v>2461</v>
      </c>
      <c r="J879" s="187" t="s">
        <v>2462</v>
      </c>
      <c r="K879" s="188">
        <v>1</v>
      </c>
      <c r="L879" s="188">
        <v>1</v>
      </c>
      <c r="M879" s="189" t="s">
        <v>793</v>
      </c>
      <c r="N879" s="190">
        <v>4616.45</v>
      </c>
      <c r="O879" s="190">
        <f t="shared" si="106"/>
        <v>5031.93</v>
      </c>
      <c r="P879" s="191">
        <f t="shared" si="107"/>
        <v>4616.45</v>
      </c>
      <c r="Q879" s="192">
        <f t="shared" si="108"/>
        <v>4616.45</v>
      </c>
      <c r="R879" s="193"/>
      <c r="S879" s="194"/>
      <c r="T879" s="195">
        <f t="shared" si="109"/>
        <v>0</v>
      </c>
      <c r="U879" s="195">
        <f t="shared" si="110"/>
        <v>0</v>
      </c>
      <c r="V879" s="195">
        <f t="shared" si="111"/>
        <v>0</v>
      </c>
      <c r="W879" s="196">
        <f t="shared" si="112"/>
        <v>0</v>
      </c>
      <c r="X879" s="197">
        <f t="shared" si="113"/>
        <v>0</v>
      </c>
      <c r="AH879" s="109" t="s">
        <v>1773</v>
      </c>
    </row>
    <row r="880" ht="11.4" customHeight="1" spans="1:34">
      <c r="A880" s="184" t="s">
        <v>904</v>
      </c>
      <c r="B880" s="184" t="s">
        <v>153</v>
      </c>
      <c r="C880" s="184" t="s">
        <v>905</v>
      </c>
      <c r="D880" s="185" t="s">
        <v>522</v>
      </c>
      <c r="E880" s="186" t="s">
        <v>906</v>
      </c>
      <c r="F880" s="186" t="s">
        <v>907</v>
      </c>
      <c r="G880" s="186" t="s">
        <v>908</v>
      </c>
      <c r="H880" s="186" t="s">
        <v>2448</v>
      </c>
      <c r="I880" s="187" t="s">
        <v>2463</v>
      </c>
      <c r="J880" s="187" t="s">
        <v>2464</v>
      </c>
      <c r="K880" s="188"/>
      <c r="L880" s="188"/>
      <c r="M880" s="189" t="s">
        <v>807</v>
      </c>
      <c r="N880" s="190">
        <v>180.37</v>
      </c>
      <c r="O880" s="190">
        <f t="shared" si="106"/>
        <v>196.6</v>
      </c>
      <c r="P880" s="191">
        <f t="shared" si="107"/>
        <v>0</v>
      </c>
      <c r="Q880" s="192">
        <f t="shared" si="108"/>
        <v>0</v>
      </c>
      <c r="R880" s="193"/>
      <c r="S880" s="194"/>
      <c r="T880" s="195">
        <f t="shared" si="109"/>
        <v>0</v>
      </c>
      <c r="U880" s="195">
        <f t="shared" si="110"/>
        <v>0</v>
      </c>
      <c r="V880" s="195">
        <f t="shared" si="111"/>
        <v>0</v>
      </c>
      <c r="W880" s="196" t="e">
        <f t="shared" si="112"/>
        <v>#DIV/0!</v>
      </c>
      <c r="X880" s="197" t="e">
        <f t="shared" si="113"/>
        <v>#DIV/0!</v>
      </c>
      <c r="AH880" s="219" t="s">
        <v>1903</v>
      </c>
    </row>
    <row r="881" ht="11.4" customHeight="1" spans="1:34">
      <c r="A881" s="184" t="s">
        <v>904</v>
      </c>
      <c r="B881" s="184" t="s">
        <v>153</v>
      </c>
      <c r="C881" s="184" t="s">
        <v>905</v>
      </c>
      <c r="D881" s="185" t="s">
        <v>522</v>
      </c>
      <c r="E881" s="186" t="s">
        <v>906</v>
      </c>
      <c r="F881" s="186" t="s">
        <v>907</v>
      </c>
      <c r="G881" s="186" t="s">
        <v>908</v>
      </c>
      <c r="H881" s="186" t="s">
        <v>2448</v>
      </c>
      <c r="I881" s="187" t="s">
        <v>2465</v>
      </c>
      <c r="J881" s="187" t="s">
        <v>2466</v>
      </c>
      <c r="K881" s="188"/>
      <c r="L881" s="188"/>
      <c r="M881" s="189" t="s">
        <v>807</v>
      </c>
      <c r="N881" s="190">
        <v>146.92</v>
      </c>
      <c r="O881" s="190">
        <f t="shared" si="106"/>
        <v>160.14</v>
      </c>
      <c r="P881" s="191">
        <f t="shared" si="107"/>
        <v>0</v>
      </c>
      <c r="Q881" s="192">
        <f t="shared" si="108"/>
        <v>0</v>
      </c>
      <c r="R881" s="193"/>
      <c r="S881" s="194"/>
      <c r="T881" s="195">
        <f t="shared" si="109"/>
        <v>0</v>
      </c>
      <c r="U881" s="195">
        <f t="shared" si="110"/>
        <v>0</v>
      </c>
      <c r="V881" s="195">
        <f t="shared" si="111"/>
        <v>0</v>
      </c>
      <c r="W881" s="196" t="e">
        <f t="shared" si="112"/>
        <v>#DIV/0!</v>
      </c>
      <c r="X881" s="197" t="e">
        <f t="shared" si="113"/>
        <v>#DIV/0!</v>
      </c>
      <c r="AH881" s="219" t="s">
        <v>1903</v>
      </c>
    </row>
    <row r="882" ht="11.4" customHeight="1" spans="1:34">
      <c r="A882" s="184" t="s">
        <v>904</v>
      </c>
      <c r="B882" s="184" t="s">
        <v>153</v>
      </c>
      <c r="C882" s="184" t="s">
        <v>905</v>
      </c>
      <c r="D882" s="185" t="s">
        <v>522</v>
      </c>
      <c r="E882" s="186" t="s">
        <v>906</v>
      </c>
      <c r="F882" s="186" t="s">
        <v>907</v>
      </c>
      <c r="G882" s="186" t="s">
        <v>908</v>
      </c>
      <c r="H882" s="186" t="s">
        <v>2448</v>
      </c>
      <c r="I882" s="187" t="s">
        <v>2467</v>
      </c>
      <c r="J882" s="187" t="s">
        <v>2468</v>
      </c>
      <c r="K882" s="188"/>
      <c r="L882" s="188"/>
      <c r="M882" s="189" t="s">
        <v>807</v>
      </c>
      <c r="N882" s="190">
        <v>126.78</v>
      </c>
      <c r="O882" s="190">
        <f t="shared" si="106"/>
        <v>138.19</v>
      </c>
      <c r="P882" s="191">
        <f t="shared" si="107"/>
        <v>0</v>
      </c>
      <c r="Q882" s="192">
        <f t="shared" si="108"/>
        <v>0</v>
      </c>
      <c r="R882" s="193"/>
      <c r="S882" s="194"/>
      <c r="T882" s="195">
        <f t="shared" si="109"/>
        <v>0</v>
      </c>
      <c r="U882" s="195">
        <f t="shared" si="110"/>
        <v>0</v>
      </c>
      <c r="V882" s="195">
        <f t="shared" si="111"/>
        <v>0</v>
      </c>
      <c r="W882" s="196" t="e">
        <f t="shared" si="112"/>
        <v>#DIV/0!</v>
      </c>
      <c r="X882" s="197" t="e">
        <f t="shared" si="113"/>
        <v>#DIV/0!</v>
      </c>
      <c r="AH882" s="219" t="s">
        <v>1903</v>
      </c>
    </row>
    <row r="883" ht="11.4" customHeight="1" spans="1:34">
      <c r="A883" s="184" t="s">
        <v>904</v>
      </c>
      <c r="B883" s="184" t="s">
        <v>153</v>
      </c>
      <c r="C883" s="184" t="s">
        <v>905</v>
      </c>
      <c r="D883" s="185" t="s">
        <v>522</v>
      </c>
      <c r="E883" s="186" t="s">
        <v>906</v>
      </c>
      <c r="F883" s="186" t="s">
        <v>907</v>
      </c>
      <c r="G883" s="186" t="s">
        <v>908</v>
      </c>
      <c r="H883" s="186" t="s">
        <v>2448</v>
      </c>
      <c r="I883" s="187" t="s">
        <v>2469</v>
      </c>
      <c r="J883" s="187" t="s">
        <v>2470</v>
      </c>
      <c r="K883" s="188"/>
      <c r="L883" s="188"/>
      <c r="M883" s="189" t="s">
        <v>807</v>
      </c>
      <c r="N883" s="190">
        <v>109.45</v>
      </c>
      <c r="O883" s="190">
        <f t="shared" si="106"/>
        <v>119.3</v>
      </c>
      <c r="P883" s="191">
        <f t="shared" si="107"/>
        <v>0</v>
      </c>
      <c r="Q883" s="192">
        <f t="shared" si="108"/>
        <v>0</v>
      </c>
      <c r="R883" s="193"/>
      <c r="S883" s="194"/>
      <c r="T883" s="195">
        <f t="shared" si="109"/>
        <v>0</v>
      </c>
      <c r="U883" s="195">
        <f t="shared" si="110"/>
        <v>0</v>
      </c>
      <c r="V883" s="195">
        <f t="shared" si="111"/>
        <v>0</v>
      </c>
      <c r="W883" s="196" t="e">
        <f t="shared" si="112"/>
        <v>#DIV/0!</v>
      </c>
      <c r="X883" s="197" t="e">
        <f t="shared" si="113"/>
        <v>#DIV/0!</v>
      </c>
      <c r="AH883" s="219" t="s">
        <v>1903</v>
      </c>
    </row>
    <row r="884" ht="11.4" customHeight="1" spans="1:34">
      <c r="A884" s="184" t="s">
        <v>904</v>
      </c>
      <c r="B884" s="184" t="s">
        <v>153</v>
      </c>
      <c r="C884" s="184" t="s">
        <v>905</v>
      </c>
      <c r="D884" s="185" t="s">
        <v>522</v>
      </c>
      <c r="E884" s="186" t="s">
        <v>906</v>
      </c>
      <c r="F884" s="186" t="s">
        <v>907</v>
      </c>
      <c r="G884" s="186" t="s">
        <v>908</v>
      </c>
      <c r="H884" s="186" t="s">
        <v>2448</v>
      </c>
      <c r="I884" s="187" t="s">
        <v>2471</v>
      </c>
      <c r="J884" s="187" t="s">
        <v>2472</v>
      </c>
      <c r="K884" s="188"/>
      <c r="L884" s="188"/>
      <c r="M884" s="189" t="s">
        <v>807</v>
      </c>
      <c r="N884" s="190">
        <v>95.83</v>
      </c>
      <c r="O884" s="190">
        <f t="shared" si="106"/>
        <v>104.45</v>
      </c>
      <c r="P884" s="191">
        <f t="shared" si="107"/>
        <v>0</v>
      </c>
      <c r="Q884" s="192">
        <f t="shared" si="108"/>
        <v>0</v>
      </c>
      <c r="R884" s="193"/>
      <c r="S884" s="194"/>
      <c r="T884" s="195">
        <f t="shared" si="109"/>
        <v>0</v>
      </c>
      <c r="U884" s="195">
        <f t="shared" si="110"/>
        <v>0</v>
      </c>
      <c r="V884" s="195">
        <f t="shared" si="111"/>
        <v>0</v>
      </c>
      <c r="W884" s="196" t="e">
        <f t="shared" si="112"/>
        <v>#DIV/0!</v>
      </c>
      <c r="X884" s="197" t="e">
        <f t="shared" si="113"/>
        <v>#DIV/0!</v>
      </c>
      <c r="AH884" s="219" t="s">
        <v>1903</v>
      </c>
    </row>
    <row r="885" ht="11.4" customHeight="1" spans="1:34">
      <c r="A885" s="184" t="s">
        <v>904</v>
      </c>
      <c r="B885" s="184" t="s">
        <v>153</v>
      </c>
      <c r="C885" s="184" t="s">
        <v>905</v>
      </c>
      <c r="D885" s="185" t="s">
        <v>522</v>
      </c>
      <c r="E885" s="186" t="s">
        <v>906</v>
      </c>
      <c r="F885" s="186" t="s">
        <v>907</v>
      </c>
      <c r="G885" s="186" t="s">
        <v>908</v>
      </c>
      <c r="H885" s="186" t="s">
        <v>2448</v>
      </c>
      <c r="I885" s="187" t="s">
        <v>2473</v>
      </c>
      <c r="J885" s="187" t="s">
        <v>2474</v>
      </c>
      <c r="K885" s="188"/>
      <c r="L885" s="188"/>
      <c r="M885" s="189" t="s">
        <v>807</v>
      </c>
      <c r="N885" s="190">
        <v>82.51</v>
      </c>
      <c r="O885" s="190">
        <f t="shared" si="106"/>
        <v>89.94</v>
      </c>
      <c r="P885" s="191">
        <f t="shared" si="107"/>
        <v>0</v>
      </c>
      <c r="Q885" s="192">
        <f t="shared" si="108"/>
        <v>0</v>
      </c>
      <c r="R885" s="193"/>
      <c r="S885" s="194"/>
      <c r="T885" s="195">
        <f t="shared" si="109"/>
        <v>0</v>
      </c>
      <c r="U885" s="195">
        <f t="shared" si="110"/>
        <v>0</v>
      </c>
      <c r="V885" s="195">
        <f t="shared" si="111"/>
        <v>0</v>
      </c>
      <c r="W885" s="196" t="e">
        <f t="shared" si="112"/>
        <v>#DIV/0!</v>
      </c>
      <c r="X885" s="197" t="e">
        <f t="shared" si="113"/>
        <v>#DIV/0!</v>
      </c>
      <c r="AH885" s="219" t="s">
        <v>1903</v>
      </c>
    </row>
    <row r="886" ht="11.4" customHeight="1" spans="1:34">
      <c r="A886" s="184" t="s">
        <v>904</v>
      </c>
      <c r="B886" s="184" t="s">
        <v>153</v>
      </c>
      <c r="C886" s="184" t="s">
        <v>905</v>
      </c>
      <c r="D886" s="185" t="s">
        <v>522</v>
      </c>
      <c r="E886" s="186" t="s">
        <v>906</v>
      </c>
      <c r="F886" s="186" t="s">
        <v>907</v>
      </c>
      <c r="G886" s="186" t="s">
        <v>908</v>
      </c>
      <c r="H886" s="186" t="s">
        <v>2448</v>
      </c>
      <c r="I886" s="187" t="s">
        <v>2475</v>
      </c>
      <c r="J886" s="187" t="s">
        <v>2476</v>
      </c>
      <c r="K886" s="188"/>
      <c r="L886" s="188"/>
      <c r="M886" s="189" t="s">
        <v>807</v>
      </c>
      <c r="N886" s="190">
        <v>75.09</v>
      </c>
      <c r="O886" s="190">
        <f t="shared" si="106"/>
        <v>81.85</v>
      </c>
      <c r="P886" s="191">
        <f t="shared" si="107"/>
        <v>0</v>
      </c>
      <c r="Q886" s="192">
        <f t="shared" si="108"/>
        <v>0</v>
      </c>
      <c r="R886" s="193"/>
      <c r="S886" s="194"/>
      <c r="T886" s="195">
        <f t="shared" si="109"/>
        <v>0</v>
      </c>
      <c r="U886" s="195">
        <f t="shared" si="110"/>
        <v>0</v>
      </c>
      <c r="V886" s="195">
        <f t="shared" si="111"/>
        <v>0</v>
      </c>
      <c r="W886" s="196" t="e">
        <f t="shared" si="112"/>
        <v>#DIV/0!</v>
      </c>
      <c r="X886" s="197" t="e">
        <f t="shared" si="113"/>
        <v>#DIV/0!</v>
      </c>
      <c r="AH886" s="219" t="s">
        <v>1903</v>
      </c>
    </row>
    <row r="887" ht="11.4" customHeight="1" spans="1:34">
      <c r="A887" s="184" t="s">
        <v>904</v>
      </c>
      <c r="B887" s="184" t="s">
        <v>153</v>
      </c>
      <c r="C887" s="184" t="s">
        <v>905</v>
      </c>
      <c r="D887" s="185" t="s">
        <v>522</v>
      </c>
      <c r="E887" s="186" t="s">
        <v>906</v>
      </c>
      <c r="F887" s="186" t="s">
        <v>907</v>
      </c>
      <c r="G887" s="186" t="s">
        <v>908</v>
      </c>
      <c r="H887" s="186" t="s">
        <v>2448</v>
      </c>
      <c r="I887" s="187" t="s">
        <v>2477</v>
      </c>
      <c r="J887" s="187" t="s">
        <v>2478</v>
      </c>
      <c r="K887" s="188"/>
      <c r="L887" s="188"/>
      <c r="M887" s="189" t="s">
        <v>807</v>
      </c>
      <c r="N887" s="190">
        <v>64.9</v>
      </c>
      <c r="O887" s="190">
        <f t="shared" si="106"/>
        <v>70.74</v>
      </c>
      <c r="P887" s="191">
        <f t="shared" si="107"/>
        <v>0</v>
      </c>
      <c r="Q887" s="192">
        <f t="shared" si="108"/>
        <v>0</v>
      </c>
      <c r="R887" s="193"/>
      <c r="S887" s="194"/>
      <c r="T887" s="195">
        <f t="shared" si="109"/>
        <v>0</v>
      </c>
      <c r="U887" s="195">
        <f t="shared" si="110"/>
        <v>0</v>
      </c>
      <c r="V887" s="195">
        <f t="shared" si="111"/>
        <v>0</v>
      </c>
      <c r="W887" s="196" t="e">
        <f t="shared" si="112"/>
        <v>#DIV/0!</v>
      </c>
      <c r="X887" s="197" t="e">
        <f t="shared" si="113"/>
        <v>#DIV/0!</v>
      </c>
      <c r="AH887" s="219" t="s">
        <v>1903</v>
      </c>
    </row>
    <row r="888" ht="11.4" customHeight="1" spans="1:34">
      <c r="A888" s="184" t="s">
        <v>904</v>
      </c>
      <c r="B888" s="184" t="s">
        <v>153</v>
      </c>
      <c r="C888" s="184" t="s">
        <v>905</v>
      </c>
      <c r="D888" s="185" t="s">
        <v>522</v>
      </c>
      <c r="E888" s="186" t="s">
        <v>906</v>
      </c>
      <c r="F888" s="186" t="s">
        <v>907</v>
      </c>
      <c r="G888" s="186" t="s">
        <v>908</v>
      </c>
      <c r="H888" s="186" t="s">
        <v>2479</v>
      </c>
      <c r="I888" s="187" t="s">
        <v>2480</v>
      </c>
      <c r="J888" s="187" t="s">
        <v>2481</v>
      </c>
      <c r="K888" s="188">
        <v>2</v>
      </c>
      <c r="L888" s="188">
        <v>2</v>
      </c>
      <c r="M888" s="189" t="s">
        <v>963</v>
      </c>
      <c r="N888" s="190">
        <v>418.43</v>
      </c>
      <c r="O888" s="190">
        <f t="shared" si="106"/>
        <v>456.09</v>
      </c>
      <c r="P888" s="191">
        <f t="shared" si="107"/>
        <v>836.86</v>
      </c>
      <c r="Q888" s="192">
        <f t="shared" si="108"/>
        <v>836.86</v>
      </c>
      <c r="R888" s="193"/>
      <c r="S888" s="194"/>
      <c r="T888" s="195">
        <f t="shared" si="109"/>
        <v>0</v>
      </c>
      <c r="U888" s="195">
        <f t="shared" si="110"/>
        <v>0</v>
      </c>
      <c r="V888" s="195">
        <f t="shared" si="111"/>
        <v>0</v>
      </c>
      <c r="W888" s="196">
        <f t="shared" si="112"/>
        <v>0</v>
      </c>
      <c r="X888" s="197">
        <f t="shared" si="113"/>
        <v>0</v>
      </c>
      <c r="AG888" s="219" t="s">
        <v>990</v>
      </c>
    </row>
    <row r="889" ht="11.4" customHeight="1" spans="1:34">
      <c r="A889" s="184" t="s">
        <v>904</v>
      </c>
      <c r="B889" s="184" t="s">
        <v>153</v>
      </c>
      <c r="C889" s="184" t="s">
        <v>905</v>
      </c>
      <c r="D889" s="185" t="s">
        <v>522</v>
      </c>
      <c r="E889" s="186" t="s">
        <v>906</v>
      </c>
      <c r="F889" s="186" t="s">
        <v>907</v>
      </c>
      <c r="G889" s="186" t="s">
        <v>908</v>
      </c>
      <c r="H889" s="186" t="s">
        <v>2479</v>
      </c>
      <c r="I889" s="187" t="s">
        <v>2482</v>
      </c>
      <c r="J889" s="187" t="s">
        <v>2483</v>
      </c>
      <c r="K889" s="188">
        <v>1</v>
      </c>
      <c r="L889" s="188">
        <v>1</v>
      </c>
      <c r="M889" s="189" t="s">
        <v>963</v>
      </c>
      <c r="N889" s="190">
        <v>360.13</v>
      </c>
      <c r="O889" s="190">
        <f t="shared" si="106"/>
        <v>392.54</v>
      </c>
      <c r="P889" s="191">
        <f t="shared" si="107"/>
        <v>360.13</v>
      </c>
      <c r="Q889" s="192">
        <f t="shared" si="108"/>
        <v>360.13</v>
      </c>
      <c r="R889" s="193"/>
      <c r="S889" s="194"/>
      <c r="T889" s="195">
        <f t="shared" si="109"/>
        <v>0</v>
      </c>
      <c r="U889" s="195">
        <f t="shared" si="110"/>
        <v>0</v>
      </c>
      <c r="V889" s="195">
        <f t="shared" si="111"/>
        <v>0</v>
      </c>
      <c r="W889" s="196">
        <f t="shared" si="112"/>
        <v>0</v>
      </c>
      <c r="X889" s="197">
        <f t="shared" si="113"/>
        <v>0</v>
      </c>
      <c r="AG889" s="219" t="s">
        <v>990</v>
      </c>
    </row>
    <row r="890" ht="11.4" customHeight="1" spans="1:34">
      <c r="A890" s="184" t="s">
        <v>904</v>
      </c>
      <c r="B890" s="184" t="s">
        <v>153</v>
      </c>
      <c r="C890" s="184" t="s">
        <v>905</v>
      </c>
      <c r="D890" s="185" t="s">
        <v>522</v>
      </c>
      <c r="E890" s="186" t="s">
        <v>906</v>
      </c>
      <c r="F890" s="186" t="s">
        <v>907</v>
      </c>
      <c r="G890" s="186" t="s">
        <v>908</v>
      </c>
      <c r="H890" s="186" t="s">
        <v>2479</v>
      </c>
      <c r="I890" s="187" t="s">
        <v>2484</v>
      </c>
      <c r="J890" s="187" t="s">
        <v>2485</v>
      </c>
      <c r="K890" s="188"/>
      <c r="L890" s="188"/>
      <c r="M890" s="189" t="s">
        <v>963</v>
      </c>
      <c r="N890" s="190">
        <v>297.43</v>
      </c>
      <c r="O890" s="190">
        <f t="shared" si="106"/>
        <v>324.2</v>
      </c>
      <c r="P890" s="191">
        <f t="shared" si="107"/>
        <v>0</v>
      </c>
      <c r="Q890" s="192">
        <f t="shared" si="108"/>
        <v>0</v>
      </c>
      <c r="R890" s="193"/>
      <c r="S890" s="194"/>
      <c r="T890" s="195">
        <f t="shared" si="109"/>
        <v>0</v>
      </c>
      <c r="U890" s="195">
        <f t="shared" si="110"/>
        <v>0</v>
      </c>
      <c r="V890" s="195">
        <f t="shared" si="111"/>
        <v>0</v>
      </c>
      <c r="W890" s="196" t="e">
        <f t="shared" si="112"/>
        <v>#DIV/0!</v>
      </c>
      <c r="X890" s="197" t="e">
        <f t="shared" si="113"/>
        <v>#DIV/0!</v>
      </c>
      <c r="AG890" s="219" t="s">
        <v>990</v>
      </c>
    </row>
    <row r="891" ht="11.4" customHeight="1" spans="1:34">
      <c r="A891" s="184" t="s">
        <v>904</v>
      </c>
      <c r="B891" s="184" t="s">
        <v>153</v>
      </c>
      <c r="C891" s="184" t="s">
        <v>905</v>
      </c>
      <c r="D891" s="185" t="s">
        <v>522</v>
      </c>
      <c r="E891" s="186" t="s">
        <v>906</v>
      </c>
      <c r="F891" s="186" t="s">
        <v>907</v>
      </c>
      <c r="G891" s="186" t="s">
        <v>908</v>
      </c>
      <c r="H891" s="186" t="s">
        <v>2479</v>
      </c>
      <c r="I891" s="187" t="s">
        <v>2486</v>
      </c>
      <c r="J891" s="187" t="s">
        <v>2487</v>
      </c>
      <c r="K891" s="188"/>
      <c r="L891" s="188"/>
      <c r="M891" s="189" t="s">
        <v>963</v>
      </c>
      <c r="N891" s="190">
        <v>412.93</v>
      </c>
      <c r="O891" s="190">
        <f t="shared" si="106"/>
        <v>450.09</v>
      </c>
      <c r="P891" s="191">
        <f t="shared" si="107"/>
        <v>0</v>
      </c>
      <c r="Q891" s="192">
        <f t="shared" si="108"/>
        <v>0</v>
      </c>
      <c r="R891" s="193"/>
      <c r="S891" s="194"/>
      <c r="T891" s="195">
        <f t="shared" si="109"/>
        <v>0</v>
      </c>
      <c r="U891" s="195">
        <f t="shared" si="110"/>
        <v>0</v>
      </c>
      <c r="V891" s="195">
        <f t="shared" si="111"/>
        <v>0</v>
      </c>
      <c r="W891" s="196" t="e">
        <f t="shared" si="112"/>
        <v>#DIV/0!</v>
      </c>
      <c r="X891" s="197" t="e">
        <f t="shared" si="113"/>
        <v>#DIV/0!</v>
      </c>
      <c r="AG891" s="219" t="s">
        <v>990</v>
      </c>
    </row>
    <row r="892" ht="11.4" customHeight="1" spans="1:34">
      <c r="A892" s="184" t="s">
        <v>904</v>
      </c>
      <c r="B892" s="184" t="s">
        <v>153</v>
      </c>
      <c r="C892" s="184" t="s">
        <v>905</v>
      </c>
      <c r="D892" s="185" t="s">
        <v>522</v>
      </c>
      <c r="E892" s="186" t="s">
        <v>906</v>
      </c>
      <c r="F892" s="186" t="s">
        <v>907</v>
      </c>
      <c r="G892" s="186" t="s">
        <v>908</v>
      </c>
      <c r="H892" s="186" t="s">
        <v>2479</v>
      </c>
      <c r="I892" s="187" t="s">
        <v>2488</v>
      </c>
      <c r="J892" s="187" t="s">
        <v>2489</v>
      </c>
      <c r="K892" s="188"/>
      <c r="L892" s="188"/>
      <c r="M892" s="189" t="s">
        <v>963</v>
      </c>
      <c r="N892" s="190">
        <v>363.43</v>
      </c>
      <c r="O892" s="190">
        <f t="shared" si="106"/>
        <v>396.14</v>
      </c>
      <c r="P892" s="191">
        <f t="shared" si="107"/>
        <v>0</v>
      </c>
      <c r="Q892" s="192">
        <f t="shared" si="108"/>
        <v>0</v>
      </c>
      <c r="R892" s="193"/>
      <c r="S892" s="194"/>
      <c r="T892" s="195">
        <f t="shared" si="109"/>
        <v>0</v>
      </c>
      <c r="U892" s="195">
        <f t="shared" si="110"/>
        <v>0</v>
      </c>
      <c r="V892" s="195">
        <f t="shared" si="111"/>
        <v>0</v>
      </c>
      <c r="W892" s="196" t="e">
        <f t="shared" si="112"/>
        <v>#DIV/0!</v>
      </c>
      <c r="X892" s="197" t="e">
        <f t="shared" si="113"/>
        <v>#DIV/0!</v>
      </c>
      <c r="AG892" s="219" t="s">
        <v>990</v>
      </c>
    </row>
    <row r="893" ht="11.4" customHeight="1" spans="1:34">
      <c r="A893" s="184" t="s">
        <v>904</v>
      </c>
      <c r="B893" s="184" t="s">
        <v>153</v>
      </c>
      <c r="C893" s="184" t="s">
        <v>905</v>
      </c>
      <c r="D893" s="185" t="s">
        <v>522</v>
      </c>
      <c r="E893" s="186" t="s">
        <v>906</v>
      </c>
      <c r="F893" s="186" t="s">
        <v>907</v>
      </c>
      <c r="G893" s="186" t="s">
        <v>908</v>
      </c>
      <c r="H893" s="186" t="s">
        <v>2479</v>
      </c>
      <c r="I893" s="187" t="s">
        <v>2490</v>
      </c>
      <c r="J893" s="187" t="s">
        <v>2491</v>
      </c>
      <c r="K893" s="188"/>
      <c r="L893" s="188"/>
      <c r="M893" s="189" t="s">
        <v>963</v>
      </c>
      <c r="N893" s="190">
        <v>348.03</v>
      </c>
      <c r="O893" s="190">
        <f t="shared" si="106"/>
        <v>379.35</v>
      </c>
      <c r="P893" s="191">
        <f t="shared" si="107"/>
        <v>0</v>
      </c>
      <c r="Q893" s="192">
        <f t="shared" si="108"/>
        <v>0</v>
      </c>
      <c r="R893" s="193"/>
      <c r="S893" s="194"/>
      <c r="T893" s="195">
        <f t="shared" si="109"/>
        <v>0</v>
      </c>
      <c r="U893" s="195">
        <f t="shared" si="110"/>
        <v>0</v>
      </c>
      <c r="V893" s="195">
        <f t="shared" si="111"/>
        <v>0</v>
      </c>
      <c r="W893" s="196" t="e">
        <f t="shared" si="112"/>
        <v>#DIV/0!</v>
      </c>
      <c r="X893" s="197" t="e">
        <f t="shared" si="113"/>
        <v>#DIV/0!</v>
      </c>
      <c r="AG893" s="219" t="s">
        <v>990</v>
      </c>
    </row>
    <row r="894" ht="11.4" customHeight="1" spans="1:34">
      <c r="A894" s="184" t="s">
        <v>904</v>
      </c>
      <c r="B894" s="184" t="s">
        <v>153</v>
      </c>
      <c r="C894" s="184" t="s">
        <v>905</v>
      </c>
      <c r="D894" s="185" t="s">
        <v>522</v>
      </c>
      <c r="E894" s="186" t="s">
        <v>906</v>
      </c>
      <c r="F894" s="186" t="s">
        <v>907</v>
      </c>
      <c r="G894" s="186" t="s">
        <v>908</v>
      </c>
      <c r="H894" s="186" t="s">
        <v>2479</v>
      </c>
      <c r="I894" s="187" t="s">
        <v>2492</v>
      </c>
      <c r="J894" s="187" t="s">
        <v>2493</v>
      </c>
      <c r="K894" s="188">
        <v>8.4</v>
      </c>
      <c r="L894" s="188">
        <v>8.4</v>
      </c>
      <c r="M894" s="189" t="s">
        <v>807</v>
      </c>
      <c r="N894" s="190">
        <v>212.29</v>
      </c>
      <c r="O894" s="190">
        <f t="shared" si="106"/>
        <v>231.4</v>
      </c>
      <c r="P894" s="191">
        <f t="shared" si="107"/>
        <v>1783.24</v>
      </c>
      <c r="Q894" s="192">
        <f t="shared" si="108"/>
        <v>1783.24</v>
      </c>
      <c r="R894" s="193"/>
      <c r="S894" s="194"/>
      <c r="T894" s="195">
        <f t="shared" si="109"/>
        <v>0</v>
      </c>
      <c r="U894" s="195">
        <f t="shared" si="110"/>
        <v>0</v>
      </c>
      <c r="V894" s="195">
        <f t="shared" si="111"/>
        <v>0</v>
      </c>
      <c r="W894" s="196">
        <f t="shared" si="112"/>
        <v>0</v>
      </c>
      <c r="X894" s="197">
        <f t="shared" si="113"/>
        <v>0</v>
      </c>
      <c r="AG894" s="219" t="s">
        <v>2494</v>
      </c>
    </row>
    <row r="895" ht="11.4" customHeight="1" spans="1:34">
      <c r="A895" s="184" t="s">
        <v>904</v>
      </c>
      <c r="B895" s="184" t="s">
        <v>153</v>
      </c>
      <c r="C895" s="184" t="s">
        <v>905</v>
      </c>
      <c r="D895" s="185" t="s">
        <v>522</v>
      </c>
      <c r="E895" s="186" t="s">
        <v>906</v>
      </c>
      <c r="F895" s="186" t="s">
        <v>907</v>
      </c>
      <c r="G895" s="186" t="s">
        <v>908</v>
      </c>
      <c r="H895" s="186" t="s">
        <v>2479</v>
      </c>
      <c r="I895" s="187" t="s">
        <v>2495</v>
      </c>
      <c r="J895" s="187" t="s">
        <v>2496</v>
      </c>
      <c r="K895" s="188">
        <v>7</v>
      </c>
      <c r="L895" s="188">
        <v>7</v>
      </c>
      <c r="M895" s="189" t="s">
        <v>963</v>
      </c>
      <c r="N895" s="190">
        <v>488.83</v>
      </c>
      <c r="O895" s="190">
        <f t="shared" si="106"/>
        <v>532.82</v>
      </c>
      <c r="P895" s="191">
        <f t="shared" si="107"/>
        <v>3421.81</v>
      </c>
      <c r="Q895" s="192">
        <f t="shared" si="108"/>
        <v>3421.81</v>
      </c>
      <c r="R895" s="193"/>
      <c r="S895" s="194"/>
      <c r="T895" s="195">
        <f t="shared" si="109"/>
        <v>0</v>
      </c>
      <c r="U895" s="195">
        <f t="shared" si="110"/>
        <v>0</v>
      </c>
      <c r="V895" s="195">
        <f t="shared" si="111"/>
        <v>0</v>
      </c>
      <c r="W895" s="196">
        <f t="shared" si="112"/>
        <v>0</v>
      </c>
      <c r="X895" s="197">
        <f t="shared" si="113"/>
        <v>0</v>
      </c>
      <c r="AG895" s="219" t="s">
        <v>990</v>
      </c>
    </row>
    <row r="896" ht="11.4" customHeight="1" spans="1:34">
      <c r="A896" s="184" t="s">
        <v>904</v>
      </c>
      <c r="B896" s="184" t="s">
        <v>153</v>
      </c>
      <c r="C896" s="184" t="s">
        <v>905</v>
      </c>
      <c r="D896" s="185" t="s">
        <v>522</v>
      </c>
      <c r="E896" s="186" t="s">
        <v>906</v>
      </c>
      <c r="F896" s="186" t="s">
        <v>907</v>
      </c>
      <c r="G896" s="186" t="s">
        <v>908</v>
      </c>
      <c r="H896" s="186" t="s">
        <v>2479</v>
      </c>
      <c r="I896" s="187" t="s">
        <v>2497</v>
      </c>
      <c r="J896" s="187" t="s">
        <v>2498</v>
      </c>
      <c r="K896" s="188">
        <v>2</v>
      </c>
      <c r="L896" s="188">
        <v>2</v>
      </c>
      <c r="M896" s="189" t="s">
        <v>963</v>
      </c>
      <c r="N896" s="190">
        <v>277.63</v>
      </c>
      <c r="O896" s="190">
        <f t="shared" si="106"/>
        <v>302.62</v>
      </c>
      <c r="P896" s="191">
        <f t="shared" si="107"/>
        <v>555.26</v>
      </c>
      <c r="Q896" s="192">
        <f t="shared" si="108"/>
        <v>555.26</v>
      </c>
      <c r="R896" s="193"/>
      <c r="S896" s="194"/>
      <c r="T896" s="195">
        <f t="shared" si="109"/>
        <v>0</v>
      </c>
      <c r="U896" s="195">
        <f t="shared" si="110"/>
        <v>0</v>
      </c>
      <c r="V896" s="195">
        <f t="shared" si="111"/>
        <v>0</v>
      </c>
      <c r="W896" s="196">
        <f t="shared" si="112"/>
        <v>0</v>
      </c>
      <c r="X896" s="197">
        <f t="shared" si="113"/>
        <v>0</v>
      </c>
      <c r="AG896" s="219" t="s">
        <v>990</v>
      </c>
    </row>
    <row r="897" ht="11.4" customHeight="1" spans="1:34">
      <c r="A897" s="184" t="s">
        <v>904</v>
      </c>
      <c r="B897" s="184" t="s">
        <v>153</v>
      </c>
      <c r="C897" s="184" t="s">
        <v>905</v>
      </c>
      <c r="D897" s="185" t="s">
        <v>522</v>
      </c>
      <c r="E897" s="186" t="s">
        <v>906</v>
      </c>
      <c r="F897" s="186" t="s">
        <v>907</v>
      </c>
      <c r="G897" s="186" t="s">
        <v>908</v>
      </c>
      <c r="H897" s="186" t="s">
        <v>2479</v>
      </c>
      <c r="I897" s="187" t="s">
        <v>2499</v>
      </c>
      <c r="J897" s="187" t="s">
        <v>2500</v>
      </c>
      <c r="K897" s="188">
        <v>8</v>
      </c>
      <c r="L897" s="188">
        <v>8</v>
      </c>
      <c r="M897" s="189" t="s">
        <v>963</v>
      </c>
      <c r="N897" s="190">
        <v>430.53</v>
      </c>
      <c r="O897" s="190">
        <f t="shared" si="106"/>
        <v>469.28</v>
      </c>
      <c r="P897" s="191">
        <f t="shared" si="107"/>
        <v>3444.24</v>
      </c>
      <c r="Q897" s="192">
        <f t="shared" si="108"/>
        <v>3444.24</v>
      </c>
      <c r="R897" s="193"/>
      <c r="S897" s="194"/>
      <c r="T897" s="195">
        <f t="shared" si="109"/>
        <v>0</v>
      </c>
      <c r="U897" s="195">
        <f t="shared" si="110"/>
        <v>0</v>
      </c>
      <c r="V897" s="195">
        <f t="shared" si="111"/>
        <v>0</v>
      </c>
      <c r="W897" s="196">
        <f t="shared" si="112"/>
        <v>0</v>
      </c>
      <c r="X897" s="197">
        <f t="shared" si="113"/>
        <v>0</v>
      </c>
      <c r="AG897" s="219" t="s">
        <v>990</v>
      </c>
    </row>
    <row r="898" ht="11.4" customHeight="1" spans="1:34">
      <c r="A898" s="184" t="s">
        <v>904</v>
      </c>
      <c r="B898" s="184" t="s">
        <v>153</v>
      </c>
      <c r="C898" s="184" t="s">
        <v>905</v>
      </c>
      <c r="D898" s="185" t="s">
        <v>522</v>
      </c>
      <c r="E898" s="186" t="s">
        <v>906</v>
      </c>
      <c r="F898" s="186" t="s">
        <v>907</v>
      </c>
      <c r="G898" s="186" t="s">
        <v>908</v>
      </c>
      <c r="H898" s="186" t="s">
        <v>2479</v>
      </c>
      <c r="I898" s="187" t="s">
        <v>2501</v>
      </c>
      <c r="J898" s="187" t="s">
        <v>2502</v>
      </c>
      <c r="K898" s="188"/>
      <c r="L898" s="188"/>
      <c r="M898" s="189" t="s">
        <v>963</v>
      </c>
      <c r="N898" s="190">
        <v>720.06</v>
      </c>
      <c r="O898" s="190">
        <f t="shared" si="106"/>
        <v>784.87</v>
      </c>
      <c r="P898" s="191">
        <f t="shared" si="107"/>
        <v>0</v>
      </c>
      <c r="Q898" s="192">
        <f t="shared" si="108"/>
        <v>0</v>
      </c>
      <c r="R898" s="193"/>
      <c r="S898" s="194"/>
      <c r="T898" s="195">
        <f t="shared" si="109"/>
        <v>0</v>
      </c>
      <c r="U898" s="195">
        <f t="shared" si="110"/>
        <v>0</v>
      </c>
      <c r="V898" s="195">
        <f t="shared" si="111"/>
        <v>0</v>
      </c>
      <c r="W898" s="196" t="e">
        <f t="shared" si="112"/>
        <v>#DIV/0!</v>
      </c>
      <c r="X898" s="197" t="e">
        <f t="shared" si="113"/>
        <v>#DIV/0!</v>
      </c>
      <c r="AG898" s="219" t="s">
        <v>990</v>
      </c>
    </row>
    <row r="899" ht="11.4" customHeight="1" spans="1:34">
      <c r="A899" s="184" t="s">
        <v>904</v>
      </c>
      <c r="B899" s="184" t="s">
        <v>153</v>
      </c>
      <c r="C899" s="184" t="s">
        <v>905</v>
      </c>
      <c r="D899" s="185" t="s">
        <v>522</v>
      </c>
      <c r="E899" s="186" t="s">
        <v>906</v>
      </c>
      <c r="F899" s="186" t="s">
        <v>907</v>
      </c>
      <c r="G899" s="186" t="s">
        <v>908</v>
      </c>
      <c r="H899" s="186" t="s">
        <v>2479</v>
      </c>
      <c r="I899" s="187" t="s">
        <v>2503</v>
      </c>
      <c r="J899" s="187" t="s">
        <v>2504</v>
      </c>
      <c r="K899" s="188"/>
      <c r="L899" s="188"/>
      <c r="M899" s="189" t="s">
        <v>963</v>
      </c>
      <c r="N899" s="190">
        <v>358.38</v>
      </c>
      <c r="O899" s="190">
        <f t="shared" si="106"/>
        <v>390.63</v>
      </c>
      <c r="P899" s="191">
        <f t="shared" si="107"/>
        <v>0</v>
      </c>
      <c r="Q899" s="192">
        <f t="shared" si="108"/>
        <v>0</v>
      </c>
      <c r="R899" s="193"/>
      <c r="S899" s="194"/>
      <c r="T899" s="195">
        <f t="shared" si="109"/>
        <v>0</v>
      </c>
      <c r="U899" s="195">
        <f t="shared" si="110"/>
        <v>0</v>
      </c>
      <c r="V899" s="195">
        <f t="shared" si="111"/>
        <v>0</v>
      </c>
      <c r="W899" s="196" t="e">
        <f t="shared" si="112"/>
        <v>#DIV/0!</v>
      </c>
      <c r="X899" s="197" t="e">
        <f t="shared" si="113"/>
        <v>#DIV/0!</v>
      </c>
      <c r="AG899" s="219" t="s">
        <v>2505</v>
      </c>
    </row>
    <row r="900" ht="11.4" customHeight="1" spans="1:34">
      <c r="A900" s="184" t="s">
        <v>904</v>
      </c>
      <c r="B900" s="184" t="s">
        <v>153</v>
      </c>
      <c r="C900" s="184" t="s">
        <v>905</v>
      </c>
      <c r="D900" s="185" t="s">
        <v>522</v>
      </c>
      <c r="E900" s="186" t="s">
        <v>906</v>
      </c>
      <c r="F900" s="186" t="s">
        <v>907</v>
      </c>
      <c r="G900" s="186" t="s">
        <v>908</v>
      </c>
      <c r="H900" s="186" t="s">
        <v>2479</v>
      </c>
      <c r="I900" s="187" t="s">
        <v>2506</v>
      </c>
      <c r="J900" s="187" t="s">
        <v>2507</v>
      </c>
      <c r="K900" s="188"/>
      <c r="L900" s="188"/>
      <c r="M900" s="189" t="s">
        <v>963</v>
      </c>
      <c r="N900" s="190">
        <v>597.73</v>
      </c>
      <c r="O900" s="190">
        <f t="shared" si="106"/>
        <v>651.53</v>
      </c>
      <c r="P900" s="191">
        <f t="shared" si="107"/>
        <v>0</v>
      </c>
      <c r="Q900" s="192">
        <f t="shared" si="108"/>
        <v>0</v>
      </c>
      <c r="R900" s="193"/>
      <c r="S900" s="194"/>
      <c r="T900" s="195">
        <f t="shared" si="109"/>
        <v>0</v>
      </c>
      <c r="U900" s="195">
        <f t="shared" si="110"/>
        <v>0</v>
      </c>
      <c r="V900" s="195">
        <f t="shared" si="111"/>
        <v>0</v>
      </c>
      <c r="W900" s="196" t="e">
        <f t="shared" si="112"/>
        <v>#DIV/0!</v>
      </c>
      <c r="X900" s="197" t="e">
        <f t="shared" si="113"/>
        <v>#DIV/0!</v>
      </c>
      <c r="AG900" s="219" t="s">
        <v>2505</v>
      </c>
    </row>
    <row r="901" ht="11.4" customHeight="1" spans="1:34">
      <c r="A901" s="184" t="s">
        <v>904</v>
      </c>
      <c r="B901" s="184" t="s">
        <v>153</v>
      </c>
      <c r="C901" s="184" t="s">
        <v>905</v>
      </c>
      <c r="D901" s="185" t="s">
        <v>522</v>
      </c>
      <c r="E901" s="186" t="s">
        <v>906</v>
      </c>
      <c r="F901" s="186" t="s">
        <v>907</v>
      </c>
      <c r="G901" s="186" t="s">
        <v>908</v>
      </c>
      <c r="H901" s="186" t="s">
        <v>2479</v>
      </c>
      <c r="I901" s="187" t="s">
        <v>2508</v>
      </c>
      <c r="J901" s="187" t="s">
        <v>2509</v>
      </c>
      <c r="K901" s="188"/>
      <c r="L901" s="188"/>
      <c r="M901" s="189" t="s">
        <v>963</v>
      </c>
      <c r="N901" s="190">
        <v>368.83</v>
      </c>
      <c r="O901" s="190">
        <f t="shared" si="106"/>
        <v>402.02</v>
      </c>
      <c r="P901" s="191">
        <f t="shared" si="107"/>
        <v>0</v>
      </c>
      <c r="Q901" s="192">
        <f t="shared" si="108"/>
        <v>0</v>
      </c>
      <c r="R901" s="193"/>
      <c r="S901" s="194"/>
      <c r="T901" s="195">
        <f t="shared" si="109"/>
        <v>0</v>
      </c>
      <c r="U901" s="195">
        <f t="shared" si="110"/>
        <v>0</v>
      </c>
      <c r="V901" s="195">
        <f t="shared" si="111"/>
        <v>0</v>
      </c>
      <c r="W901" s="196" t="e">
        <f t="shared" si="112"/>
        <v>#DIV/0!</v>
      </c>
      <c r="X901" s="197" t="e">
        <f t="shared" si="113"/>
        <v>#DIV/0!</v>
      </c>
      <c r="AG901" s="219" t="s">
        <v>2505</v>
      </c>
    </row>
    <row r="902" ht="11.4" customHeight="1" spans="1:34">
      <c r="A902" s="184" t="s">
        <v>904</v>
      </c>
      <c r="B902" s="184" t="s">
        <v>153</v>
      </c>
      <c r="C902" s="184" t="s">
        <v>905</v>
      </c>
      <c r="D902" s="185" t="s">
        <v>522</v>
      </c>
      <c r="E902" s="186" t="s">
        <v>906</v>
      </c>
      <c r="F902" s="186" t="s">
        <v>907</v>
      </c>
      <c r="G902" s="186" t="s">
        <v>908</v>
      </c>
      <c r="H902" s="186" t="s">
        <v>2479</v>
      </c>
      <c r="I902" s="187" t="s">
        <v>2510</v>
      </c>
      <c r="J902" s="187" t="s">
        <v>2511</v>
      </c>
      <c r="K902" s="188"/>
      <c r="L902" s="188"/>
      <c r="M902" s="189" t="s">
        <v>963</v>
      </c>
      <c r="N902" s="190">
        <v>623.03</v>
      </c>
      <c r="O902" s="190">
        <f t="shared" si="106"/>
        <v>679.1</v>
      </c>
      <c r="P902" s="191">
        <f t="shared" si="107"/>
        <v>0</v>
      </c>
      <c r="Q902" s="192">
        <f t="shared" si="108"/>
        <v>0</v>
      </c>
      <c r="R902" s="193"/>
      <c r="S902" s="194"/>
      <c r="T902" s="195">
        <f t="shared" si="109"/>
        <v>0</v>
      </c>
      <c r="U902" s="195">
        <f t="shared" si="110"/>
        <v>0</v>
      </c>
      <c r="V902" s="195">
        <f t="shared" si="111"/>
        <v>0</v>
      </c>
      <c r="W902" s="196" t="e">
        <f t="shared" si="112"/>
        <v>#DIV/0!</v>
      </c>
      <c r="X902" s="197" t="e">
        <f t="shared" si="113"/>
        <v>#DIV/0!</v>
      </c>
      <c r="AG902" s="219" t="s">
        <v>2505</v>
      </c>
    </row>
    <row r="903" ht="11.4" customHeight="1" spans="1:34">
      <c r="A903" s="184" t="s">
        <v>904</v>
      </c>
      <c r="B903" s="184" t="s">
        <v>153</v>
      </c>
      <c r="C903" s="184" t="s">
        <v>905</v>
      </c>
      <c r="D903" s="185" t="s">
        <v>522</v>
      </c>
      <c r="E903" s="186" t="s">
        <v>906</v>
      </c>
      <c r="F903" s="186" t="s">
        <v>907</v>
      </c>
      <c r="G903" s="186" t="s">
        <v>908</v>
      </c>
      <c r="H903" s="186" t="s">
        <v>2479</v>
      </c>
      <c r="I903" s="187" t="s">
        <v>2512</v>
      </c>
      <c r="J903" s="187" t="s">
        <v>2513</v>
      </c>
      <c r="K903" s="188"/>
      <c r="L903" s="188"/>
      <c r="M903" s="189" t="s">
        <v>963</v>
      </c>
      <c r="N903" s="190">
        <v>894.62</v>
      </c>
      <c r="O903" s="190">
        <f t="shared" si="106"/>
        <v>975.14</v>
      </c>
      <c r="P903" s="191">
        <f t="shared" si="107"/>
        <v>0</v>
      </c>
      <c r="Q903" s="192">
        <f t="shared" si="108"/>
        <v>0</v>
      </c>
      <c r="R903" s="193"/>
      <c r="S903" s="194"/>
      <c r="T903" s="195">
        <f t="shared" si="109"/>
        <v>0</v>
      </c>
      <c r="U903" s="195">
        <f t="shared" si="110"/>
        <v>0</v>
      </c>
      <c r="V903" s="195">
        <f t="shared" si="111"/>
        <v>0</v>
      </c>
      <c r="W903" s="196" t="e">
        <f t="shared" si="112"/>
        <v>#DIV/0!</v>
      </c>
      <c r="X903" s="197" t="e">
        <f t="shared" si="113"/>
        <v>#DIV/0!</v>
      </c>
      <c r="AG903" s="219" t="s">
        <v>2505</v>
      </c>
    </row>
    <row r="904" ht="11.4" customHeight="1" spans="1:34">
      <c r="A904" s="184" t="s">
        <v>904</v>
      </c>
      <c r="B904" s="184" t="s">
        <v>153</v>
      </c>
      <c r="C904" s="184" t="s">
        <v>905</v>
      </c>
      <c r="D904" s="185" t="s">
        <v>522</v>
      </c>
      <c r="E904" s="186" t="s">
        <v>906</v>
      </c>
      <c r="F904" s="186" t="s">
        <v>907</v>
      </c>
      <c r="G904" s="186" t="s">
        <v>908</v>
      </c>
      <c r="H904" s="186" t="s">
        <v>2479</v>
      </c>
      <c r="I904" s="187" t="s">
        <v>2514</v>
      </c>
      <c r="J904" s="187" t="s">
        <v>2515</v>
      </c>
      <c r="K904" s="188"/>
      <c r="L904" s="188"/>
      <c r="M904" s="189" t="s">
        <v>963</v>
      </c>
      <c r="N904" s="190">
        <v>1213.85</v>
      </c>
      <c r="O904" s="190">
        <f t="shared" si="106"/>
        <v>1323.1</v>
      </c>
      <c r="P904" s="191">
        <f t="shared" si="107"/>
        <v>0</v>
      </c>
      <c r="Q904" s="192">
        <f t="shared" si="108"/>
        <v>0</v>
      </c>
      <c r="R904" s="193"/>
      <c r="S904" s="194"/>
      <c r="T904" s="195">
        <f t="shared" si="109"/>
        <v>0</v>
      </c>
      <c r="U904" s="195">
        <f t="shared" si="110"/>
        <v>0</v>
      </c>
      <c r="V904" s="195">
        <f t="shared" si="111"/>
        <v>0</v>
      </c>
      <c r="W904" s="196" t="e">
        <f t="shared" si="112"/>
        <v>#DIV/0!</v>
      </c>
      <c r="X904" s="197" t="e">
        <f t="shared" si="113"/>
        <v>#DIV/0!</v>
      </c>
      <c r="AG904" s="219" t="s">
        <v>2505</v>
      </c>
    </row>
    <row r="905" ht="11.4" customHeight="1" spans="1:34">
      <c r="A905" s="184" t="s">
        <v>904</v>
      </c>
      <c r="B905" s="184" t="s">
        <v>153</v>
      </c>
      <c r="C905" s="184" t="s">
        <v>905</v>
      </c>
      <c r="D905" s="185" t="s">
        <v>522</v>
      </c>
      <c r="E905" s="186" t="s">
        <v>906</v>
      </c>
      <c r="F905" s="186" t="s">
        <v>907</v>
      </c>
      <c r="G905" s="186" t="s">
        <v>908</v>
      </c>
      <c r="H905" s="186" t="s">
        <v>2479</v>
      </c>
      <c r="I905" s="187" t="s">
        <v>2516</v>
      </c>
      <c r="J905" s="187" t="s">
        <v>2517</v>
      </c>
      <c r="K905" s="188">
        <v>4</v>
      </c>
      <c r="L905" s="188">
        <v>4</v>
      </c>
      <c r="M905" s="189" t="s">
        <v>963</v>
      </c>
      <c r="N905" s="190">
        <v>232.43</v>
      </c>
      <c r="O905" s="190">
        <f t="shared" si="106"/>
        <v>253.35</v>
      </c>
      <c r="P905" s="191">
        <f t="shared" si="107"/>
        <v>929.72</v>
      </c>
      <c r="Q905" s="192">
        <f t="shared" si="108"/>
        <v>929.72</v>
      </c>
      <c r="R905" s="193"/>
      <c r="S905" s="194"/>
      <c r="T905" s="195">
        <f t="shared" si="109"/>
        <v>0</v>
      </c>
      <c r="U905" s="195">
        <f t="shared" si="110"/>
        <v>0</v>
      </c>
      <c r="V905" s="195">
        <f t="shared" si="111"/>
        <v>0</v>
      </c>
      <c r="W905" s="196">
        <f t="shared" si="112"/>
        <v>0</v>
      </c>
      <c r="X905" s="197">
        <f t="shared" si="113"/>
        <v>0</v>
      </c>
      <c r="AG905" s="219" t="s">
        <v>990</v>
      </c>
    </row>
    <row r="906" ht="11.4" customHeight="1" spans="1:34">
      <c r="A906" s="184" t="s">
        <v>904</v>
      </c>
      <c r="B906" s="184" t="s">
        <v>153</v>
      </c>
      <c r="C906" s="184" t="s">
        <v>905</v>
      </c>
      <c r="D906" s="185" t="s">
        <v>522</v>
      </c>
      <c r="E906" s="186" t="s">
        <v>906</v>
      </c>
      <c r="F906" s="186" t="s">
        <v>907</v>
      </c>
      <c r="G906" s="186" t="s">
        <v>908</v>
      </c>
      <c r="H906" s="186" t="s">
        <v>2479</v>
      </c>
      <c r="I906" s="187" t="s">
        <v>2518</v>
      </c>
      <c r="J906" s="187" t="s">
        <v>2519</v>
      </c>
      <c r="K906" s="188"/>
      <c r="L906" s="188"/>
      <c r="M906" s="189" t="s">
        <v>793</v>
      </c>
      <c r="N906" s="190"/>
      <c r="O906" s="190">
        <f t="shared" si="106"/>
        <v>0</v>
      </c>
      <c r="P906" s="191">
        <f t="shared" si="107"/>
        <v>0</v>
      </c>
      <c r="Q906" s="192">
        <f t="shared" si="108"/>
        <v>0</v>
      </c>
      <c r="R906" s="193"/>
      <c r="S906" s="194"/>
      <c r="T906" s="195">
        <f t="shared" si="109"/>
        <v>0</v>
      </c>
      <c r="U906" s="195">
        <f t="shared" si="110"/>
        <v>0</v>
      </c>
      <c r="V906" s="195">
        <f t="shared" si="111"/>
        <v>0</v>
      </c>
      <c r="W906" s="196" t="e">
        <f t="shared" si="112"/>
        <v>#DIV/0!</v>
      </c>
      <c r="X906" s="197" t="e">
        <f t="shared" si="113"/>
        <v>#DIV/0!</v>
      </c>
      <c r="AG906" s="219"/>
      <c r="AH906" s="219" t="s">
        <v>794</v>
      </c>
    </row>
    <row r="907" ht="11.4" customHeight="1" spans="1:34">
      <c r="A907" s="184" t="s">
        <v>904</v>
      </c>
      <c r="B907" s="184" t="s">
        <v>153</v>
      </c>
      <c r="C907" s="184" t="s">
        <v>905</v>
      </c>
      <c r="D907" s="185" t="s">
        <v>522</v>
      </c>
      <c r="E907" s="186" t="s">
        <v>906</v>
      </c>
      <c r="F907" s="186" t="s">
        <v>907</v>
      </c>
      <c r="G907" s="186" t="s">
        <v>908</v>
      </c>
      <c r="H907" s="186" t="s">
        <v>2479</v>
      </c>
      <c r="I907" s="187" t="s">
        <v>2520</v>
      </c>
      <c r="J907" s="187" t="s">
        <v>2521</v>
      </c>
      <c r="K907" s="188"/>
      <c r="L907" s="188"/>
      <c r="M907" s="189" t="s">
        <v>793</v>
      </c>
      <c r="N907" s="190"/>
      <c r="O907" s="190">
        <f t="shared" si="106"/>
        <v>0</v>
      </c>
      <c r="P907" s="191">
        <f t="shared" si="107"/>
        <v>0</v>
      </c>
      <c r="Q907" s="192">
        <f t="shared" si="108"/>
        <v>0</v>
      </c>
      <c r="R907" s="193"/>
      <c r="S907" s="194"/>
      <c r="T907" s="195">
        <f t="shared" si="109"/>
        <v>0</v>
      </c>
      <c r="U907" s="195">
        <f t="shared" si="110"/>
        <v>0</v>
      </c>
      <c r="V907" s="195">
        <f t="shared" si="111"/>
        <v>0</v>
      </c>
      <c r="W907" s="196" t="e">
        <f t="shared" si="112"/>
        <v>#DIV/0!</v>
      </c>
      <c r="X907" s="197" t="e">
        <f t="shared" si="113"/>
        <v>#DIV/0!</v>
      </c>
      <c r="AH907" s="219" t="s">
        <v>794</v>
      </c>
    </row>
    <row r="908" ht="11.4" customHeight="1" spans="1:34">
      <c r="A908" s="184" t="s">
        <v>904</v>
      </c>
      <c r="B908" s="184" t="s">
        <v>153</v>
      </c>
      <c r="C908" s="184" t="s">
        <v>905</v>
      </c>
      <c r="D908" s="185" t="s">
        <v>522</v>
      </c>
      <c r="E908" s="186" t="s">
        <v>906</v>
      </c>
      <c r="F908" s="186" t="s">
        <v>907</v>
      </c>
      <c r="G908" s="186" t="s">
        <v>908</v>
      </c>
      <c r="H908" s="186" t="s">
        <v>2522</v>
      </c>
      <c r="I908" s="187" t="s">
        <v>2523</v>
      </c>
      <c r="J908" s="187" t="s">
        <v>2524</v>
      </c>
      <c r="K908" s="188">
        <v>1</v>
      </c>
      <c r="L908" s="188">
        <v>1</v>
      </c>
      <c r="M908" s="189" t="s">
        <v>793</v>
      </c>
      <c r="N908" s="190">
        <v>2345</v>
      </c>
      <c r="O908" s="190">
        <f t="shared" si="106"/>
        <v>2556.05</v>
      </c>
      <c r="P908" s="191">
        <f t="shared" si="107"/>
        <v>2345</v>
      </c>
      <c r="Q908" s="192">
        <f t="shared" si="108"/>
        <v>2345</v>
      </c>
      <c r="R908" s="193"/>
      <c r="S908" s="194"/>
      <c r="T908" s="195">
        <f t="shared" si="109"/>
        <v>0</v>
      </c>
      <c r="U908" s="195">
        <f t="shared" si="110"/>
        <v>0</v>
      </c>
      <c r="V908" s="195">
        <f t="shared" si="111"/>
        <v>0</v>
      </c>
      <c r="W908" s="196">
        <f t="shared" si="112"/>
        <v>0</v>
      </c>
      <c r="X908" s="197">
        <f t="shared" si="113"/>
        <v>0</v>
      </c>
      <c r="AH908" s="109" t="s">
        <v>1954</v>
      </c>
    </row>
    <row r="909" ht="11.4" customHeight="1" spans="1:34">
      <c r="A909" s="184" t="s">
        <v>904</v>
      </c>
      <c r="B909" s="184" t="s">
        <v>153</v>
      </c>
      <c r="C909" s="184" t="s">
        <v>905</v>
      </c>
      <c r="D909" s="185" t="s">
        <v>522</v>
      </c>
      <c r="E909" s="186" t="s">
        <v>906</v>
      </c>
      <c r="F909" s="186" t="s">
        <v>907</v>
      </c>
      <c r="G909" s="186" t="s">
        <v>908</v>
      </c>
      <c r="H909" s="186" t="s">
        <v>2522</v>
      </c>
      <c r="I909" s="187" t="s">
        <v>2525</v>
      </c>
      <c r="J909" s="187" t="s">
        <v>2526</v>
      </c>
      <c r="K909" s="188">
        <v>2</v>
      </c>
      <c r="L909" s="188">
        <v>2</v>
      </c>
      <c r="M909" s="189" t="s">
        <v>989</v>
      </c>
      <c r="N909" s="190">
        <v>649.73</v>
      </c>
      <c r="O909" s="190">
        <f t="shared" ref="O909:O972" si="115">ROUND(N909*(1+$F$10),2)</f>
        <v>708.21</v>
      </c>
      <c r="P909" s="191">
        <f t="shared" ref="P909:P972" si="116">ROUND(K909*N909,2)</f>
        <v>1299.46</v>
      </c>
      <c r="Q909" s="192">
        <f t="shared" si="108"/>
        <v>1299.46</v>
      </c>
      <c r="R909" s="193"/>
      <c r="S909" s="194"/>
      <c r="T909" s="195">
        <f t="shared" si="109"/>
        <v>0</v>
      </c>
      <c r="U909" s="195">
        <f t="shared" si="110"/>
        <v>0</v>
      </c>
      <c r="V909" s="195">
        <f t="shared" si="111"/>
        <v>0</v>
      </c>
      <c r="W909" s="196">
        <f t="shared" si="112"/>
        <v>0</v>
      </c>
      <c r="X909" s="197">
        <f t="shared" si="113"/>
        <v>0</v>
      </c>
      <c r="AG909" s="219" t="s">
        <v>990</v>
      </c>
    </row>
    <row r="910" ht="11.4" customHeight="1" spans="1:34">
      <c r="A910" s="184" t="s">
        <v>2527</v>
      </c>
      <c r="B910" s="184" t="s">
        <v>161</v>
      </c>
      <c r="C910" s="184" t="s">
        <v>2528</v>
      </c>
      <c r="D910" s="185" t="s">
        <v>522</v>
      </c>
      <c r="E910" s="186" t="s">
        <v>906</v>
      </c>
      <c r="F910" s="186" t="s">
        <v>2529</v>
      </c>
      <c r="G910" s="186" t="s">
        <v>2530</v>
      </c>
      <c r="H910" s="186" t="s">
        <v>2531</v>
      </c>
      <c r="I910" s="187" t="s">
        <v>2532</v>
      </c>
      <c r="J910" s="187" t="s">
        <v>2533</v>
      </c>
      <c r="K910" s="188"/>
      <c r="L910" s="188"/>
      <c r="M910" s="189" t="s">
        <v>963</v>
      </c>
      <c r="N910" s="190">
        <v>510.81</v>
      </c>
      <c r="O910" s="190">
        <f t="shared" si="115"/>
        <v>556.78</v>
      </c>
      <c r="P910" s="191">
        <f t="shared" si="116"/>
        <v>0</v>
      </c>
      <c r="Q910" s="192">
        <f t="shared" ref="Q910:Q973" si="117">ROUND(L910*N910,2)</f>
        <v>0</v>
      </c>
      <c r="R910" s="193"/>
      <c r="S910" s="194"/>
      <c r="T910" s="195">
        <f t="shared" ref="T910:T973" si="118">K910-L910</f>
        <v>0</v>
      </c>
      <c r="U910" s="195">
        <f t="shared" ref="U910:U973" si="119">P910-Q910</f>
        <v>0</v>
      </c>
      <c r="V910" s="195">
        <f t="shared" ref="V910:V973" si="120">ABS(U910)</f>
        <v>0</v>
      </c>
      <c r="W910" s="196" t="e">
        <f t="shared" ref="W910:W973" si="121">T910/L910</f>
        <v>#DIV/0!</v>
      </c>
      <c r="X910" s="197" t="e">
        <f t="shared" ref="X910:X973" si="122">ABS(W910)</f>
        <v>#DIV/0!</v>
      </c>
      <c r="AH910" s="219" t="s">
        <v>1903</v>
      </c>
    </row>
    <row r="911" ht="11.4" customHeight="1" spans="1:34">
      <c r="A911" s="184" t="s">
        <v>2527</v>
      </c>
      <c r="B911" s="184" t="s">
        <v>161</v>
      </c>
      <c r="C911" s="184" t="s">
        <v>2528</v>
      </c>
      <c r="D911" s="185" t="s">
        <v>522</v>
      </c>
      <c r="E911" s="186" t="s">
        <v>906</v>
      </c>
      <c r="F911" s="186" t="s">
        <v>2529</v>
      </c>
      <c r="G911" s="186" t="s">
        <v>2530</v>
      </c>
      <c r="H911" s="186" t="s">
        <v>2531</v>
      </c>
      <c r="I911" s="187" t="s">
        <v>2534</v>
      </c>
      <c r="J911" s="187" t="s">
        <v>2535</v>
      </c>
      <c r="K911" s="188"/>
      <c r="L911" s="188"/>
      <c r="M911" s="189" t="s">
        <v>963</v>
      </c>
      <c r="N911" s="190">
        <v>509.91</v>
      </c>
      <c r="O911" s="190">
        <f t="shared" si="115"/>
        <v>555.8</v>
      </c>
      <c r="P911" s="191">
        <f t="shared" si="116"/>
        <v>0</v>
      </c>
      <c r="Q911" s="192">
        <f t="shared" si="117"/>
        <v>0</v>
      </c>
      <c r="R911" s="193"/>
      <c r="S911" s="194"/>
      <c r="T911" s="195">
        <f t="shared" si="118"/>
        <v>0</v>
      </c>
      <c r="U911" s="195">
        <f t="shared" si="119"/>
        <v>0</v>
      </c>
      <c r="V911" s="195">
        <f t="shared" si="120"/>
        <v>0</v>
      </c>
      <c r="W911" s="196" t="e">
        <f t="shared" si="121"/>
        <v>#DIV/0!</v>
      </c>
      <c r="X911" s="197" t="e">
        <f t="shared" si="122"/>
        <v>#DIV/0!</v>
      </c>
      <c r="AH911" s="219" t="s">
        <v>1903</v>
      </c>
    </row>
    <row r="912" ht="11.4" customHeight="1" spans="1:34">
      <c r="A912" s="184" t="s">
        <v>2527</v>
      </c>
      <c r="B912" s="184" t="s">
        <v>161</v>
      </c>
      <c r="C912" s="184" t="s">
        <v>2528</v>
      </c>
      <c r="D912" s="185" t="s">
        <v>522</v>
      </c>
      <c r="E912" s="186" t="s">
        <v>906</v>
      </c>
      <c r="F912" s="186" t="s">
        <v>2529</v>
      </c>
      <c r="G912" s="186" t="s">
        <v>2530</v>
      </c>
      <c r="H912" s="186" t="s">
        <v>2531</v>
      </c>
      <c r="I912" s="187" t="s">
        <v>2536</v>
      </c>
      <c r="J912" s="187" t="s">
        <v>2537</v>
      </c>
      <c r="K912" s="188"/>
      <c r="L912" s="188"/>
      <c r="M912" s="189" t="s">
        <v>963</v>
      </c>
      <c r="N912" s="190">
        <v>339.64</v>
      </c>
      <c r="O912" s="190">
        <f t="shared" si="115"/>
        <v>370.21</v>
      </c>
      <c r="P912" s="191">
        <f t="shared" si="116"/>
        <v>0</v>
      </c>
      <c r="Q912" s="192">
        <f t="shared" si="117"/>
        <v>0</v>
      </c>
      <c r="R912" s="193"/>
      <c r="S912" s="194"/>
      <c r="T912" s="195">
        <f t="shared" si="118"/>
        <v>0</v>
      </c>
      <c r="U912" s="195">
        <f t="shared" si="119"/>
        <v>0</v>
      </c>
      <c r="V912" s="195">
        <f t="shared" si="120"/>
        <v>0</v>
      </c>
      <c r="W912" s="196" t="e">
        <f t="shared" si="121"/>
        <v>#DIV/0!</v>
      </c>
      <c r="X912" s="197" t="e">
        <f t="shared" si="122"/>
        <v>#DIV/0!</v>
      </c>
      <c r="AH912" s="219" t="s">
        <v>1903</v>
      </c>
    </row>
    <row r="913" ht="11.4" customHeight="1" spans="1:34">
      <c r="A913" s="184" t="s">
        <v>2527</v>
      </c>
      <c r="B913" s="184" t="s">
        <v>161</v>
      </c>
      <c r="C913" s="184" t="s">
        <v>2528</v>
      </c>
      <c r="D913" s="185" t="s">
        <v>522</v>
      </c>
      <c r="E913" s="186" t="s">
        <v>906</v>
      </c>
      <c r="F913" s="186" t="s">
        <v>2529</v>
      </c>
      <c r="G913" s="186" t="s">
        <v>2530</v>
      </c>
      <c r="H913" s="186" t="s">
        <v>2531</v>
      </c>
      <c r="I913" s="187" t="s">
        <v>2538</v>
      </c>
      <c r="J913" s="187" t="s">
        <v>2539</v>
      </c>
      <c r="K913" s="188"/>
      <c r="L913" s="188"/>
      <c r="M913" s="189" t="s">
        <v>963</v>
      </c>
      <c r="N913" s="190">
        <v>339.64</v>
      </c>
      <c r="O913" s="190">
        <f t="shared" si="115"/>
        <v>370.21</v>
      </c>
      <c r="P913" s="191">
        <f t="shared" si="116"/>
        <v>0</v>
      </c>
      <c r="Q913" s="192">
        <f t="shared" si="117"/>
        <v>0</v>
      </c>
      <c r="R913" s="193"/>
      <c r="S913" s="194"/>
      <c r="T913" s="195">
        <f t="shared" si="118"/>
        <v>0</v>
      </c>
      <c r="U913" s="195">
        <f t="shared" si="119"/>
        <v>0</v>
      </c>
      <c r="V913" s="195">
        <f t="shared" si="120"/>
        <v>0</v>
      </c>
      <c r="W913" s="196" t="e">
        <f t="shared" si="121"/>
        <v>#DIV/0!</v>
      </c>
      <c r="X913" s="197" t="e">
        <f t="shared" si="122"/>
        <v>#DIV/0!</v>
      </c>
      <c r="AH913" s="219" t="s">
        <v>1903</v>
      </c>
    </row>
    <row r="914" ht="11.4" customHeight="1" spans="1:34">
      <c r="A914" s="184" t="s">
        <v>2527</v>
      </c>
      <c r="B914" s="184" t="s">
        <v>161</v>
      </c>
      <c r="C914" s="184" t="s">
        <v>2528</v>
      </c>
      <c r="D914" s="185" t="s">
        <v>522</v>
      </c>
      <c r="E914" s="186" t="s">
        <v>906</v>
      </c>
      <c r="F914" s="186" t="s">
        <v>2529</v>
      </c>
      <c r="G914" s="186" t="s">
        <v>2530</v>
      </c>
      <c r="H914" s="186" t="s">
        <v>2531</v>
      </c>
      <c r="I914" s="187" t="s">
        <v>2540</v>
      </c>
      <c r="J914" s="187" t="s">
        <v>2541</v>
      </c>
      <c r="K914" s="188"/>
      <c r="L914" s="188"/>
      <c r="M914" s="189" t="s">
        <v>2308</v>
      </c>
      <c r="N914" s="190">
        <v>311.71</v>
      </c>
      <c r="O914" s="190">
        <f t="shared" si="115"/>
        <v>339.76</v>
      </c>
      <c r="P914" s="191">
        <f t="shared" si="116"/>
        <v>0</v>
      </c>
      <c r="Q914" s="192">
        <f t="shared" si="117"/>
        <v>0</v>
      </c>
      <c r="R914" s="193"/>
      <c r="S914" s="194"/>
      <c r="T914" s="195">
        <f t="shared" si="118"/>
        <v>0</v>
      </c>
      <c r="U914" s="195">
        <f t="shared" si="119"/>
        <v>0</v>
      </c>
      <c r="V914" s="195">
        <f t="shared" si="120"/>
        <v>0</v>
      </c>
      <c r="W914" s="196" t="e">
        <f t="shared" si="121"/>
        <v>#DIV/0!</v>
      </c>
      <c r="X914" s="197" t="e">
        <f t="shared" si="122"/>
        <v>#DIV/0!</v>
      </c>
      <c r="AH914" s="219" t="s">
        <v>1903</v>
      </c>
    </row>
    <row r="915" ht="11.4" customHeight="1" spans="1:34">
      <c r="A915" s="184" t="s">
        <v>2527</v>
      </c>
      <c r="B915" s="184" t="s">
        <v>161</v>
      </c>
      <c r="C915" s="184" t="s">
        <v>2528</v>
      </c>
      <c r="D915" s="185" t="s">
        <v>522</v>
      </c>
      <c r="E915" s="186" t="s">
        <v>906</v>
      </c>
      <c r="F915" s="186" t="s">
        <v>2529</v>
      </c>
      <c r="G915" s="186" t="s">
        <v>2530</v>
      </c>
      <c r="H915" s="186" t="s">
        <v>2531</v>
      </c>
      <c r="I915" s="187" t="s">
        <v>2542</v>
      </c>
      <c r="J915" s="187" t="s">
        <v>2543</v>
      </c>
      <c r="K915" s="188"/>
      <c r="L915" s="188"/>
      <c r="M915" s="189" t="s">
        <v>963</v>
      </c>
      <c r="N915" s="190">
        <v>625.23</v>
      </c>
      <c r="O915" s="190">
        <f t="shared" si="115"/>
        <v>681.5</v>
      </c>
      <c r="P915" s="191">
        <f t="shared" si="116"/>
        <v>0</v>
      </c>
      <c r="Q915" s="192">
        <f t="shared" si="117"/>
        <v>0</v>
      </c>
      <c r="R915" s="193"/>
      <c r="S915" s="194"/>
      <c r="T915" s="195">
        <f t="shared" si="118"/>
        <v>0</v>
      </c>
      <c r="U915" s="195">
        <f t="shared" si="119"/>
        <v>0</v>
      </c>
      <c r="V915" s="195">
        <f t="shared" si="120"/>
        <v>0</v>
      </c>
      <c r="W915" s="196" t="e">
        <f t="shared" si="121"/>
        <v>#DIV/0!</v>
      </c>
      <c r="X915" s="197" t="e">
        <f t="shared" si="122"/>
        <v>#DIV/0!</v>
      </c>
      <c r="AH915" s="219" t="s">
        <v>1903</v>
      </c>
    </row>
    <row r="916" ht="11.4" customHeight="1" spans="1:34">
      <c r="A916" s="184" t="s">
        <v>2527</v>
      </c>
      <c r="B916" s="184" t="s">
        <v>161</v>
      </c>
      <c r="C916" s="184" t="s">
        <v>2528</v>
      </c>
      <c r="D916" s="185" t="s">
        <v>522</v>
      </c>
      <c r="E916" s="186" t="s">
        <v>906</v>
      </c>
      <c r="F916" s="186" t="s">
        <v>2529</v>
      </c>
      <c r="G916" s="186" t="s">
        <v>2530</v>
      </c>
      <c r="H916" s="186" t="s">
        <v>2531</v>
      </c>
      <c r="I916" s="187" t="s">
        <v>2544</v>
      </c>
      <c r="J916" s="187" t="s">
        <v>2545</v>
      </c>
      <c r="K916" s="188"/>
      <c r="L916" s="188"/>
      <c r="M916" s="189" t="s">
        <v>989</v>
      </c>
      <c r="N916" s="190">
        <v>556.76</v>
      </c>
      <c r="O916" s="190">
        <f t="shared" si="115"/>
        <v>606.87</v>
      </c>
      <c r="P916" s="191">
        <f t="shared" si="116"/>
        <v>0</v>
      </c>
      <c r="Q916" s="192">
        <f t="shared" si="117"/>
        <v>0</v>
      </c>
      <c r="R916" s="193"/>
      <c r="S916" s="194"/>
      <c r="T916" s="195">
        <f t="shared" si="118"/>
        <v>0</v>
      </c>
      <c r="U916" s="195">
        <f t="shared" si="119"/>
        <v>0</v>
      </c>
      <c r="V916" s="195">
        <f t="shared" si="120"/>
        <v>0</v>
      </c>
      <c r="W916" s="196" t="e">
        <f t="shared" si="121"/>
        <v>#DIV/0!</v>
      </c>
      <c r="X916" s="197" t="e">
        <f t="shared" si="122"/>
        <v>#DIV/0!</v>
      </c>
      <c r="AH916" s="219" t="s">
        <v>1903</v>
      </c>
    </row>
    <row r="917" ht="11.4" customHeight="1" spans="1:34">
      <c r="A917" s="184" t="s">
        <v>2527</v>
      </c>
      <c r="B917" s="184" t="s">
        <v>161</v>
      </c>
      <c r="C917" s="184" t="s">
        <v>2528</v>
      </c>
      <c r="D917" s="185" t="s">
        <v>522</v>
      </c>
      <c r="E917" s="186" t="s">
        <v>906</v>
      </c>
      <c r="F917" s="186" t="s">
        <v>2529</v>
      </c>
      <c r="G917" s="186" t="s">
        <v>2530</v>
      </c>
      <c r="H917" s="186" t="s">
        <v>2531</v>
      </c>
      <c r="I917" s="187" t="s">
        <v>2546</v>
      </c>
      <c r="J917" s="187" t="s">
        <v>2547</v>
      </c>
      <c r="K917" s="188"/>
      <c r="L917" s="188"/>
      <c r="M917" s="189" t="s">
        <v>2548</v>
      </c>
      <c r="N917" s="190">
        <v>3112.61</v>
      </c>
      <c r="O917" s="190">
        <f t="shared" si="115"/>
        <v>3392.74</v>
      </c>
      <c r="P917" s="191">
        <f t="shared" si="116"/>
        <v>0</v>
      </c>
      <c r="Q917" s="192">
        <f t="shared" si="117"/>
        <v>0</v>
      </c>
      <c r="R917" s="193"/>
      <c r="S917" s="194"/>
      <c r="T917" s="195">
        <f t="shared" si="118"/>
        <v>0</v>
      </c>
      <c r="U917" s="195">
        <f t="shared" si="119"/>
        <v>0</v>
      </c>
      <c r="V917" s="195">
        <f t="shared" si="120"/>
        <v>0</v>
      </c>
      <c r="W917" s="196" t="e">
        <f t="shared" si="121"/>
        <v>#DIV/0!</v>
      </c>
      <c r="X917" s="197" t="e">
        <f t="shared" si="122"/>
        <v>#DIV/0!</v>
      </c>
      <c r="AH917" s="219" t="s">
        <v>1903</v>
      </c>
    </row>
    <row r="918" ht="11.4" customHeight="1" spans="1:34">
      <c r="A918" s="184" t="s">
        <v>2527</v>
      </c>
      <c r="B918" s="184" t="s">
        <v>161</v>
      </c>
      <c r="C918" s="184" t="s">
        <v>2528</v>
      </c>
      <c r="D918" s="185" t="s">
        <v>522</v>
      </c>
      <c r="E918" s="186" t="s">
        <v>906</v>
      </c>
      <c r="F918" s="186" t="s">
        <v>2529</v>
      </c>
      <c r="G918" s="186" t="s">
        <v>2530</v>
      </c>
      <c r="H918" s="186" t="s">
        <v>2531</v>
      </c>
      <c r="I918" s="187" t="s">
        <v>2549</v>
      </c>
      <c r="J918" s="187" t="s">
        <v>2550</v>
      </c>
      <c r="K918" s="188"/>
      <c r="L918" s="188"/>
      <c r="M918" s="189" t="s">
        <v>963</v>
      </c>
      <c r="N918" s="190">
        <v>290.09</v>
      </c>
      <c r="O918" s="190">
        <f t="shared" si="115"/>
        <v>316.2</v>
      </c>
      <c r="P918" s="191">
        <f t="shared" si="116"/>
        <v>0</v>
      </c>
      <c r="Q918" s="192">
        <f t="shared" si="117"/>
        <v>0</v>
      </c>
      <c r="R918" s="193"/>
      <c r="S918" s="194"/>
      <c r="T918" s="195">
        <f t="shared" si="118"/>
        <v>0</v>
      </c>
      <c r="U918" s="195">
        <f t="shared" si="119"/>
        <v>0</v>
      </c>
      <c r="V918" s="195">
        <f t="shared" si="120"/>
        <v>0</v>
      </c>
      <c r="W918" s="196" t="e">
        <f t="shared" si="121"/>
        <v>#DIV/0!</v>
      </c>
      <c r="X918" s="197" t="e">
        <f t="shared" si="122"/>
        <v>#DIV/0!</v>
      </c>
      <c r="AH918" s="219" t="s">
        <v>1903</v>
      </c>
    </row>
    <row r="919" ht="11.4" customHeight="1" spans="1:34">
      <c r="A919" s="184" t="s">
        <v>2527</v>
      </c>
      <c r="B919" s="184" t="s">
        <v>161</v>
      </c>
      <c r="C919" s="184" t="s">
        <v>2528</v>
      </c>
      <c r="D919" s="185" t="s">
        <v>522</v>
      </c>
      <c r="E919" s="186" t="s">
        <v>906</v>
      </c>
      <c r="F919" s="186" t="s">
        <v>2529</v>
      </c>
      <c r="G919" s="186" t="s">
        <v>2530</v>
      </c>
      <c r="H919" s="186" t="s">
        <v>2551</v>
      </c>
      <c r="I919" s="187" t="s">
        <v>2552</v>
      </c>
      <c r="J919" s="187" t="s">
        <v>2553</v>
      </c>
      <c r="K919" s="188"/>
      <c r="L919" s="188"/>
      <c r="M919" s="189" t="s">
        <v>963</v>
      </c>
      <c r="N919" s="190">
        <v>271.17</v>
      </c>
      <c r="O919" s="190">
        <f t="shared" si="115"/>
        <v>295.58</v>
      </c>
      <c r="P919" s="191">
        <f t="shared" si="116"/>
        <v>0</v>
      </c>
      <c r="Q919" s="192">
        <f t="shared" si="117"/>
        <v>0</v>
      </c>
      <c r="R919" s="193"/>
      <c r="S919" s="194"/>
      <c r="T919" s="195">
        <f t="shared" si="118"/>
        <v>0</v>
      </c>
      <c r="U919" s="195">
        <f t="shared" si="119"/>
        <v>0</v>
      </c>
      <c r="V919" s="195">
        <f t="shared" si="120"/>
        <v>0</v>
      </c>
      <c r="W919" s="196" t="e">
        <f t="shared" si="121"/>
        <v>#DIV/0!</v>
      </c>
      <c r="X919" s="197" t="e">
        <f t="shared" si="122"/>
        <v>#DIV/0!</v>
      </c>
      <c r="AH919" s="219" t="s">
        <v>1903</v>
      </c>
    </row>
    <row r="920" ht="11.4" customHeight="1" spans="1:34">
      <c r="A920" s="184" t="s">
        <v>2527</v>
      </c>
      <c r="B920" s="184" t="s">
        <v>161</v>
      </c>
      <c r="C920" s="184" t="s">
        <v>2528</v>
      </c>
      <c r="D920" s="185" t="s">
        <v>522</v>
      </c>
      <c r="E920" s="186" t="s">
        <v>906</v>
      </c>
      <c r="F920" s="186" t="s">
        <v>2529</v>
      </c>
      <c r="G920" s="186" t="s">
        <v>2530</v>
      </c>
      <c r="H920" s="186" t="s">
        <v>2551</v>
      </c>
      <c r="I920" s="187" t="s">
        <v>2554</v>
      </c>
      <c r="J920" s="187" t="s">
        <v>2555</v>
      </c>
      <c r="K920" s="188"/>
      <c r="L920" s="188"/>
      <c r="M920" s="189" t="s">
        <v>989</v>
      </c>
      <c r="N920" s="190">
        <v>1794.59</v>
      </c>
      <c r="O920" s="190">
        <f t="shared" si="115"/>
        <v>1956.1</v>
      </c>
      <c r="P920" s="191">
        <f t="shared" si="116"/>
        <v>0</v>
      </c>
      <c r="Q920" s="192">
        <f t="shared" si="117"/>
        <v>0</v>
      </c>
      <c r="R920" s="193"/>
      <c r="S920" s="194"/>
      <c r="T920" s="195">
        <f t="shared" si="118"/>
        <v>0</v>
      </c>
      <c r="U920" s="195">
        <f t="shared" si="119"/>
        <v>0</v>
      </c>
      <c r="V920" s="195">
        <f t="shared" si="120"/>
        <v>0</v>
      </c>
      <c r="W920" s="196" t="e">
        <f t="shared" si="121"/>
        <v>#DIV/0!</v>
      </c>
      <c r="X920" s="197" t="e">
        <f t="shared" si="122"/>
        <v>#DIV/0!</v>
      </c>
      <c r="AH920" s="219" t="s">
        <v>1903</v>
      </c>
    </row>
    <row r="921" ht="11.4" customHeight="1" spans="1:34">
      <c r="A921" s="184" t="s">
        <v>2527</v>
      </c>
      <c r="B921" s="184" t="s">
        <v>161</v>
      </c>
      <c r="C921" s="184" t="s">
        <v>2528</v>
      </c>
      <c r="D921" s="185" t="s">
        <v>522</v>
      </c>
      <c r="E921" s="186" t="s">
        <v>906</v>
      </c>
      <c r="F921" s="186" t="s">
        <v>2529</v>
      </c>
      <c r="G921" s="186" t="s">
        <v>2530</v>
      </c>
      <c r="H921" s="186" t="s">
        <v>2551</v>
      </c>
      <c r="I921" s="187" t="s">
        <v>2556</v>
      </c>
      <c r="J921" s="187" t="s">
        <v>2557</v>
      </c>
      <c r="K921" s="188"/>
      <c r="L921" s="188"/>
      <c r="M921" s="189" t="s">
        <v>793</v>
      </c>
      <c r="N921" s="190">
        <v>2774.77</v>
      </c>
      <c r="O921" s="190">
        <f t="shared" si="115"/>
        <v>3024.5</v>
      </c>
      <c r="P921" s="191">
        <f t="shared" si="116"/>
        <v>0</v>
      </c>
      <c r="Q921" s="192">
        <f t="shared" si="117"/>
        <v>0</v>
      </c>
      <c r="R921" s="193"/>
      <c r="S921" s="194"/>
      <c r="T921" s="195">
        <f t="shared" si="118"/>
        <v>0</v>
      </c>
      <c r="U921" s="195">
        <f t="shared" si="119"/>
        <v>0</v>
      </c>
      <c r="V921" s="195">
        <f t="shared" si="120"/>
        <v>0</v>
      </c>
      <c r="W921" s="196" t="e">
        <f t="shared" si="121"/>
        <v>#DIV/0!</v>
      </c>
      <c r="X921" s="197" t="e">
        <f t="shared" si="122"/>
        <v>#DIV/0!</v>
      </c>
      <c r="AH921" s="219" t="s">
        <v>1903</v>
      </c>
    </row>
    <row r="922" ht="11.4" customHeight="1" spans="1:34">
      <c r="A922" s="184" t="s">
        <v>2527</v>
      </c>
      <c r="B922" s="184" t="s">
        <v>161</v>
      </c>
      <c r="C922" s="184" t="s">
        <v>2528</v>
      </c>
      <c r="D922" s="185" t="s">
        <v>522</v>
      </c>
      <c r="E922" s="186" t="s">
        <v>906</v>
      </c>
      <c r="F922" s="186" t="s">
        <v>2529</v>
      </c>
      <c r="G922" s="186" t="s">
        <v>2530</v>
      </c>
      <c r="H922" s="186" t="s">
        <v>2558</v>
      </c>
      <c r="I922" s="187" t="s">
        <v>2559</v>
      </c>
      <c r="J922" s="187" t="s">
        <v>2560</v>
      </c>
      <c r="K922" s="188"/>
      <c r="L922" s="188"/>
      <c r="M922" s="189" t="s">
        <v>1018</v>
      </c>
      <c r="N922" s="190">
        <v>63.96</v>
      </c>
      <c r="O922" s="190">
        <f t="shared" si="115"/>
        <v>69.72</v>
      </c>
      <c r="P922" s="191">
        <f t="shared" si="116"/>
        <v>0</v>
      </c>
      <c r="Q922" s="192">
        <f t="shared" si="117"/>
        <v>0</v>
      </c>
      <c r="R922" s="193"/>
      <c r="S922" s="194"/>
      <c r="T922" s="195">
        <f t="shared" si="118"/>
        <v>0</v>
      </c>
      <c r="U922" s="195">
        <f t="shared" si="119"/>
        <v>0</v>
      </c>
      <c r="V922" s="195">
        <f t="shared" si="120"/>
        <v>0</v>
      </c>
      <c r="W922" s="196" t="e">
        <f t="shared" si="121"/>
        <v>#DIV/0!</v>
      </c>
      <c r="X922" s="197" t="e">
        <f t="shared" si="122"/>
        <v>#DIV/0!</v>
      </c>
      <c r="AH922" s="219" t="s">
        <v>1903</v>
      </c>
    </row>
    <row r="923" ht="11.4" customHeight="1" spans="1:34">
      <c r="A923" s="184" t="s">
        <v>2527</v>
      </c>
      <c r="B923" s="184" t="s">
        <v>161</v>
      </c>
      <c r="C923" s="184" t="s">
        <v>2528</v>
      </c>
      <c r="D923" s="185" t="s">
        <v>522</v>
      </c>
      <c r="E923" s="186" t="s">
        <v>906</v>
      </c>
      <c r="F923" s="186" t="s">
        <v>2529</v>
      </c>
      <c r="G923" s="186" t="s">
        <v>2530</v>
      </c>
      <c r="H923" s="186" t="s">
        <v>2558</v>
      </c>
      <c r="I923" s="187" t="s">
        <v>2561</v>
      </c>
      <c r="J923" s="187" t="s">
        <v>2562</v>
      </c>
      <c r="K923" s="188"/>
      <c r="L923" s="188"/>
      <c r="M923" s="189" t="s">
        <v>1018</v>
      </c>
      <c r="N923" s="190">
        <v>17.35</v>
      </c>
      <c r="O923" s="190">
        <f t="shared" si="115"/>
        <v>18.91</v>
      </c>
      <c r="P923" s="191">
        <f t="shared" si="116"/>
        <v>0</v>
      </c>
      <c r="Q923" s="192">
        <f t="shared" si="117"/>
        <v>0</v>
      </c>
      <c r="R923" s="193"/>
      <c r="S923" s="194"/>
      <c r="T923" s="195">
        <f t="shared" si="118"/>
        <v>0</v>
      </c>
      <c r="U923" s="195">
        <f t="shared" si="119"/>
        <v>0</v>
      </c>
      <c r="V923" s="195">
        <f t="shared" si="120"/>
        <v>0</v>
      </c>
      <c r="W923" s="196" t="e">
        <f t="shared" si="121"/>
        <v>#DIV/0!</v>
      </c>
      <c r="X923" s="197" t="e">
        <f t="shared" si="122"/>
        <v>#DIV/0!</v>
      </c>
      <c r="AH923" s="219" t="s">
        <v>1903</v>
      </c>
    </row>
    <row r="924" ht="11.4" customHeight="1" spans="1:34">
      <c r="A924" s="184" t="s">
        <v>2527</v>
      </c>
      <c r="B924" s="184" t="s">
        <v>161</v>
      </c>
      <c r="C924" s="184" t="s">
        <v>2528</v>
      </c>
      <c r="D924" s="185" t="s">
        <v>522</v>
      </c>
      <c r="E924" s="186" t="s">
        <v>906</v>
      </c>
      <c r="F924" s="186" t="s">
        <v>2529</v>
      </c>
      <c r="G924" s="186" t="s">
        <v>2530</v>
      </c>
      <c r="H924" s="186" t="s">
        <v>2558</v>
      </c>
      <c r="I924" s="187" t="s">
        <v>2563</v>
      </c>
      <c r="J924" s="187" t="s">
        <v>2564</v>
      </c>
      <c r="K924" s="188"/>
      <c r="L924" s="188"/>
      <c r="M924" s="189" t="s">
        <v>807</v>
      </c>
      <c r="N924" s="190">
        <v>44</v>
      </c>
      <c r="O924" s="190">
        <f t="shared" si="115"/>
        <v>47.96</v>
      </c>
      <c r="P924" s="191">
        <f t="shared" si="116"/>
        <v>0</v>
      </c>
      <c r="Q924" s="192">
        <f t="shared" si="117"/>
        <v>0</v>
      </c>
      <c r="R924" s="193"/>
      <c r="S924" s="194"/>
      <c r="T924" s="195">
        <f t="shared" si="118"/>
        <v>0</v>
      </c>
      <c r="U924" s="195">
        <f t="shared" si="119"/>
        <v>0</v>
      </c>
      <c r="V924" s="195">
        <f t="shared" si="120"/>
        <v>0</v>
      </c>
      <c r="W924" s="196" t="e">
        <f t="shared" si="121"/>
        <v>#DIV/0!</v>
      </c>
      <c r="X924" s="197" t="e">
        <f t="shared" si="122"/>
        <v>#DIV/0!</v>
      </c>
      <c r="AH924" s="219" t="s">
        <v>1903</v>
      </c>
    </row>
    <row r="925" ht="11.4" customHeight="1" spans="1:34">
      <c r="A925" s="184" t="s">
        <v>2527</v>
      </c>
      <c r="B925" s="184" t="s">
        <v>161</v>
      </c>
      <c r="C925" s="184" t="s">
        <v>2528</v>
      </c>
      <c r="D925" s="185" t="s">
        <v>522</v>
      </c>
      <c r="E925" s="186" t="s">
        <v>906</v>
      </c>
      <c r="F925" s="186" t="s">
        <v>2529</v>
      </c>
      <c r="G925" s="186" t="s">
        <v>2530</v>
      </c>
      <c r="H925" s="186" t="s">
        <v>2558</v>
      </c>
      <c r="I925" s="187" t="s">
        <v>2565</v>
      </c>
      <c r="J925" s="187" t="s">
        <v>2566</v>
      </c>
      <c r="K925" s="188"/>
      <c r="L925" s="188"/>
      <c r="M925" s="189" t="s">
        <v>807</v>
      </c>
      <c r="N925" s="190">
        <v>55.86</v>
      </c>
      <c r="O925" s="190">
        <f t="shared" si="115"/>
        <v>60.89</v>
      </c>
      <c r="P925" s="191">
        <f t="shared" si="116"/>
        <v>0</v>
      </c>
      <c r="Q925" s="192">
        <f t="shared" si="117"/>
        <v>0</v>
      </c>
      <c r="R925" s="193"/>
      <c r="S925" s="194"/>
      <c r="T925" s="195">
        <f t="shared" si="118"/>
        <v>0</v>
      </c>
      <c r="U925" s="195">
        <f t="shared" si="119"/>
        <v>0</v>
      </c>
      <c r="V925" s="195">
        <f t="shared" si="120"/>
        <v>0</v>
      </c>
      <c r="W925" s="196" t="e">
        <f t="shared" si="121"/>
        <v>#DIV/0!</v>
      </c>
      <c r="X925" s="197" t="e">
        <f t="shared" si="122"/>
        <v>#DIV/0!</v>
      </c>
      <c r="AH925" s="219" t="s">
        <v>1903</v>
      </c>
    </row>
    <row r="926" ht="11.4" customHeight="1" spans="1:34">
      <c r="A926" s="184" t="s">
        <v>2527</v>
      </c>
      <c r="B926" s="184" t="s">
        <v>161</v>
      </c>
      <c r="C926" s="184" t="s">
        <v>2528</v>
      </c>
      <c r="D926" s="185" t="s">
        <v>522</v>
      </c>
      <c r="E926" s="186" t="s">
        <v>906</v>
      </c>
      <c r="F926" s="186" t="s">
        <v>2529</v>
      </c>
      <c r="G926" s="186" t="s">
        <v>2530</v>
      </c>
      <c r="H926" s="186" t="s">
        <v>2558</v>
      </c>
      <c r="I926" s="187" t="s">
        <v>2567</v>
      </c>
      <c r="J926" s="187" t="s">
        <v>2568</v>
      </c>
      <c r="K926" s="188"/>
      <c r="L926" s="188"/>
      <c r="M926" s="189" t="s">
        <v>807</v>
      </c>
      <c r="N926" s="190">
        <v>70.27</v>
      </c>
      <c r="O926" s="190">
        <f t="shared" si="115"/>
        <v>76.59</v>
      </c>
      <c r="P926" s="191">
        <f t="shared" si="116"/>
        <v>0</v>
      </c>
      <c r="Q926" s="192">
        <f t="shared" si="117"/>
        <v>0</v>
      </c>
      <c r="R926" s="193"/>
      <c r="S926" s="194"/>
      <c r="T926" s="195">
        <f t="shared" si="118"/>
        <v>0</v>
      </c>
      <c r="U926" s="195">
        <f t="shared" si="119"/>
        <v>0</v>
      </c>
      <c r="V926" s="195">
        <f t="shared" si="120"/>
        <v>0</v>
      </c>
      <c r="W926" s="196" t="e">
        <f t="shared" si="121"/>
        <v>#DIV/0!</v>
      </c>
      <c r="X926" s="197" t="e">
        <f t="shared" si="122"/>
        <v>#DIV/0!</v>
      </c>
      <c r="AH926" s="219" t="s">
        <v>1903</v>
      </c>
    </row>
    <row r="927" ht="11.4" customHeight="1" spans="1:34">
      <c r="A927" s="184" t="s">
        <v>2527</v>
      </c>
      <c r="B927" s="184" t="s">
        <v>161</v>
      </c>
      <c r="C927" s="184" t="s">
        <v>2528</v>
      </c>
      <c r="D927" s="185" t="s">
        <v>522</v>
      </c>
      <c r="E927" s="186" t="s">
        <v>906</v>
      </c>
      <c r="F927" s="186" t="s">
        <v>2529</v>
      </c>
      <c r="G927" s="186" t="s">
        <v>2530</v>
      </c>
      <c r="H927" s="186" t="s">
        <v>2558</v>
      </c>
      <c r="I927" s="187" t="s">
        <v>2569</v>
      </c>
      <c r="J927" s="187" t="s">
        <v>2570</v>
      </c>
      <c r="K927" s="188"/>
      <c r="L927" s="188"/>
      <c r="M927" s="189" t="s">
        <v>807</v>
      </c>
      <c r="N927" s="190">
        <v>101.8</v>
      </c>
      <c r="O927" s="190">
        <f t="shared" si="115"/>
        <v>110.96</v>
      </c>
      <c r="P927" s="191">
        <f t="shared" si="116"/>
        <v>0</v>
      </c>
      <c r="Q927" s="192">
        <f t="shared" si="117"/>
        <v>0</v>
      </c>
      <c r="R927" s="193"/>
      <c r="S927" s="194"/>
      <c r="T927" s="195">
        <f t="shared" si="118"/>
        <v>0</v>
      </c>
      <c r="U927" s="195">
        <f t="shared" si="119"/>
        <v>0</v>
      </c>
      <c r="V927" s="195">
        <f t="shared" si="120"/>
        <v>0</v>
      </c>
      <c r="W927" s="196" t="e">
        <f t="shared" si="121"/>
        <v>#DIV/0!</v>
      </c>
      <c r="X927" s="197" t="e">
        <f t="shared" si="122"/>
        <v>#DIV/0!</v>
      </c>
      <c r="AH927" s="219" t="s">
        <v>1903</v>
      </c>
    </row>
    <row r="928" ht="11.4" customHeight="1" spans="1:34">
      <c r="A928" s="184" t="s">
        <v>2527</v>
      </c>
      <c r="B928" s="184" t="s">
        <v>161</v>
      </c>
      <c r="C928" s="184" t="s">
        <v>2528</v>
      </c>
      <c r="D928" s="185" t="s">
        <v>522</v>
      </c>
      <c r="E928" s="186" t="s">
        <v>906</v>
      </c>
      <c r="F928" s="186" t="s">
        <v>2529</v>
      </c>
      <c r="G928" s="186" t="s">
        <v>2530</v>
      </c>
      <c r="H928" s="186" t="s">
        <v>2558</v>
      </c>
      <c r="I928" s="187" t="s">
        <v>2571</v>
      </c>
      <c r="J928" s="187" t="s">
        <v>2572</v>
      </c>
      <c r="K928" s="188"/>
      <c r="L928" s="188"/>
      <c r="M928" s="189" t="s">
        <v>807</v>
      </c>
      <c r="N928" s="190">
        <v>118.02</v>
      </c>
      <c r="O928" s="190">
        <f t="shared" si="115"/>
        <v>128.64</v>
      </c>
      <c r="P928" s="191">
        <f t="shared" si="116"/>
        <v>0</v>
      </c>
      <c r="Q928" s="192">
        <f t="shared" si="117"/>
        <v>0</v>
      </c>
      <c r="R928" s="193"/>
      <c r="S928" s="194"/>
      <c r="T928" s="195">
        <f t="shared" si="118"/>
        <v>0</v>
      </c>
      <c r="U928" s="195">
        <f t="shared" si="119"/>
        <v>0</v>
      </c>
      <c r="V928" s="195">
        <f t="shared" si="120"/>
        <v>0</v>
      </c>
      <c r="W928" s="196" t="e">
        <f t="shared" si="121"/>
        <v>#DIV/0!</v>
      </c>
      <c r="X928" s="197" t="e">
        <f t="shared" si="122"/>
        <v>#DIV/0!</v>
      </c>
      <c r="AH928" s="219" t="s">
        <v>1903</v>
      </c>
    </row>
    <row r="929" ht="11.4" customHeight="1" spans="1:34">
      <c r="A929" s="184" t="s">
        <v>2527</v>
      </c>
      <c r="B929" s="184" t="s">
        <v>161</v>
      </c>
      <c r="C929" s="184" t="s">
        <v>2528</v>
      </c>
      <c r="D929" s="185" t="s">
        <v>522</v>
      </c>
      <c r="E929" s="186" t="s">
        <v>906</v>
      </c>
      <c r="F929" s="186" t="s">
        <v>2529</v>
      </c>
      <c r="G929" s="186" t="s">
        <v>2530</v>
      </c>
      <c r="H929" s="186" t="s">
        <v>2558</v>
      </c>
      <c r="I929" s="187" t="s">
        <v>2573</v>
      </c>
      <c r="J929" s="187" t="s">
        <v>2574</v>
      </c>
      <c r="K929" s="188"/>
      <c r="L929" s="188"/>
      <c r="M929" s="189" t="s">
        <v>807</v>
      </c>
      <c r="N929" s="190">
        <v>136.04</v>
      </c>
      <c r="O929" s="190">
        <f t="shared" si="115"/>
        <v>148.28</v>
      </c>
      <c r="P929" s="191">
        <f t="shared" si="116"/>
        <v>0</v>
      </c>
      <c r="Q929" s="192">
        <f t="shared" si="117"/>
        <v>0</v>
      </c>
      <c r="R929" s="193"/>
      <c r="S929" s="194"/>
      <c r="T929" s="195">
        <f t="shared" si="118"/>
        <v>0</v>
      </c>
      <c r="U929" s="195">
        <f t="shared" si="119"/>
        <v>0</v>
      </c>
      <c r="V929" s="195">
        <f t="shared" si="120"/>
        <v>0</v>
      </c>
      <c r="W929" s="196" t="e">
        <f t="shared" si="121"/>
        <v>#DIV/0!</v>
      </c>
      <c r="X929" s="197" t="e">
        <f t="shared" si="122"/>
        <v>#DIV/0!</v>
      </c>
      <c r="AH929" s="219" t="s">
        <v>1903</v>
      </c>
    </row>
    <row r="930" ht="11.4" customHeight="1" spans="1:34">
      <c r="A930" s="184" t="s">
        <v>2527</v>
      </c>
      <c r="B930" s="184" t="s">
        <v>161</v>
      </c>
      <c r="C930" s="184" t="s">
        <v>2528</v>
      </c>
      <c r="D930" s="185" t="s">
        <v>522</v>
      </c>
      <c r="E930" s="186" t="s">
        <v>906</v>
      </c>
      <c r="F930" s="186" t="s">
        <v>2529</v>
      </c>
      <c r="G930" s="186" t="s">
        <v>2530</v>
      </c>
      <c r="H930" s="186" t="s">
        <v>2558</v>
      </c>
      <c r="I930" s="187" t="s">
        <v>2575</v>
      </c>
      <c r="J930" s="187" t="s">
        <v>2576</v>
      </c>
      <c r="K930" s="188"/>
      <c r="L930" s="188"/>
      <c r="M930" s="189" t="s">
        <v>807</v>
      </c>
      <c r="N930" s="190">
        <v>182.88</v>
      </c>
      <c r="O930" s="190">
        <f t="shared" si="115"/>
        <v>199.34</v>
      </c>
      <c r="P930" s="191">
        <f t="shared" si="116"/>
        <v>0</v>
      </c>
      <c r="Q930" s="192">
        <f t="shared" si="117"/>
        <v>0</v>
      </c>
      <c r="R930" s="193"/>
      <c r="S930" s="194"/>
      <c r="T930" s="195">
        <f t="shared" si="118"/>
        <v>0</v>
      </c>
      <c r="U930" s="195">
        <f t="shared" si="119"/>
        <v>0</v>
      </c>
      <c r="V930" s="195">
        <f t="shared" si="120"/>
        <v>0</v>
      </c>
      <c r="W930" s="196" t="e">
        <f t="shared" si="121"/>
        <v>#DIV/0!</v>
      </c>
      <c r="X930" s="197" t="e">
        <f t="shared" si="122"/>
        <v>#DIV/0!</v>
      </c>
      <c r="AH930" s="219" t="s">
        <v>1903</v>
      </c>
    </row>
    <row r="931" ht="11.4" customHeight="1" spans="1:34">
      <c r="A931" s="184" t="s">
        <v>2527</v>
      </c>
      <c r="B931" s="184" t="s">
        <v>161</v>
      </c>
      <c r="C931" s="184" t="s">
        <v>2528</v>
      </c>
      <c r="D931" s="185" t="s">
        <v>522</v>
      </c>
      <c r="E931" s="186" t="s">
        <v>906</v>
      </c>
      <c r="F931" s="186" t="s">
        <v>2529</v>
      </c>
      <c r="G931" s="186" t="s">
        <v>2530</v>
      </c>
      <c r="H931" s="186" t="s">
        <v>2558</v>
      </c>
      <c r="I931" s="187" t="s">
        <v>2577</v>
      </c>
      <c r="J931" s="187" t="s">
        <v>2578</v>
      </c>
      <c r="K931" s="188"/>
      <c r="L931" s="188"/>
      <c r="M931" s="189" t="s">
        <v>1018</v>
      </c>
      <c r="N931" s="190">
        <v>489.12</v>
      </c>
      <c r="O931" s="190">
        <f t="shared" si="115"/>
        <v>533.14</v>
      </c>
      <c r="P931" s="191">
        <f t="shared" si="116"/>
        <v>0</v>
      </c>
      <c r="Q931" s="192">
        <f t="shared" si="117"/>
        <v>0</v>
      </c>
      <c r="R931" s="193"/>
      <c r="S931" s="194"/>
      <c r="T931" s="195">
        <f t="shared" si="118"/>
        <v>0</v>
      </c>
      <c r="U931" s="195">
        <f t="shared" si="119"/>
        <v>0</v>
      </c>
      <c r="V931" s="195">
        <f t="shared" si="120"/>
        <v>0</v>
      </c>
      <c r="W931" s="196" t="e">
        <f t="shared" si="121"/>
        <v>#DIV/0!</v>
      </c>
      <c r="X931" s="197" t="e">
        <f t="shared" si="122"/>
        <v>#DIV/0!</v>
      </c>
      <c r="AH931" s="219" t="s">
        <v>1903</v>
      </c>
    </row>
    <row r="932" ht="11.4" customHeight="1" spans="1:34">
      <c r="A932" s="184" t="s">
        <v>2527</v>
      </c>
      <c r="B932" s="184" t="s">
        <v>161</v>
      </c>
      <c r="C932" s="184" t="s">
        <v>2528</v>
      </c>
      <c r="D932" s="185" t="s">
        <v>522</v>
      </c>
      <c r="E932" s="186" t="s">
        <v>906</v>
      </c>
      <c r="F932" s="186" t="s">
        <v>2529</v>
      </c>
      <c r="G932" s="186" t="s">
        <v>2530</v>
      </c>
      <c r="H932" s="186" t="s">
        <v>2558</v>
      </c>
      <c r="I932" s="187" t="s">
        <v>2579</v>
      </c>
      <c r="J932" s="187" t="s">
        <v>2580</v>
      </c>
      <c r="K932" s="188"/>
      <c r="L932" s="188"/>
      <c r="M932" s="189" t="s">
        <v>1018</v>
      </c>
      <c r="N932" s="190">
        <v>909.48</v>
      </c>
      <c r="O932" s="190">
        <f t="shared" si="115"/>
        <v>991.33</v>
      </c>
      <c r="P932" s="191">
        <f t="shared" si="116"/>
        <v>0</v>
      </c>
      <c r="Q932" s="192">
        <f t="shared" si="117"/>
        <v>0</v>
      </c>
      <c r="R932" s="193"/>
      <c r="S932" s="194"/>
      <c r="T932" s="195">
        <f t="shared" si="118"/>
        <v>0</v>
      </c>
      <c r="U932" s="195">
        <f t="shared" si="119"/>
        <v>0</v>
      </c>
      <c r="V932" s="195">
        <f t="shared" si="120"/>
        <v>0</v>
      </c>
      <c r="W932" s="196" t="e">
        <f t="shared" si="121"/>
        <v>#DIV/0!</v>
      </c>
      <c r="X932" s="197" t="e">
        <f t="shared" si="122"/>
        <v>#DIV/0!</v>
      </c>
      <c r="AH932" s="219" t="s">
        <v>1903</v>
      </c>
    </row>
    <row r="933" ht="11.4" customHeight="1" spans="1:34">
      <c r="A933" s="184" t="s">
        <v>2527</v>
      </c>
      <c r="B933" s="184" t="s">
        <v>161</v>
      </c>
      <c r="C933" s="184" t="s">
        <v>2528</v>
      </c>
      <c r="D933" s="185" t="s">
        <v>522</v>
      </c>
      <c r="E933" s="186" t="s">
        <v>906</v>
      </c>
      <c r="F933" s="186" t="s">
        <v>2529</v>
      </c>
      <c r="G933" s="186" t="s">
        <v>2530</v>
      </c>
      <c r="H933" s="186" t="s">
        <v>2558</v>
      </c>
      <c r="I933" s="187" t="s">
        <v>2581</v>
      </c>
      <c r="J933" s="187" t="s">
        <v>2582</v>
      </c>
      <c r="K933" s="188"/>
      <c r="L933" s="188"/>
      <c r="M933" s="189" t="s">
        <v>1018</v>
      </c>
      <c r="N933" s="190">
        <v>240.54</v>
      </c>
      <c r="O933" s="190">
        <f t="shared" si="115"/>
        <v>262.19</v>
      </c>
      <c r="P933" s="191">
        <f t="shared" si="116"/>
        <v>0</v>
      </c>
      <c r="Q933" s="192">
        <f t="shared" si="117"/>
        <v>0</v>
      </c>
      <c r="R933" s="193"/>
      <c r="S933" s="194"/>
      <c r="T933" s="195">
        <f t="shared" si="118"/>
        <v>0</v>
      </c>
      <c r="U933" s="195">
        <f t="shared" si="119"/>
        <v>0</v>
      </c>
      <c r="V933" s="195">
        <f t="shared" si="120"/>
        <v>0</v>
      </c>
      <c r="W933" s="196" t="e">
        <f t="shared" si="121"/>
        <v>#DIV/0!</v>
      </c>
      <c r="X933" s="197" t="e">
        <f t="shared" si="122"/>
        <v>#DIV/0!</v>
      </c>
      <c r="AH933" s="219" t="s">
        <v>1903</v>
      </c>
    </row>
    <row r="934" ht="11.4" customHeight="1" spans="1:34">
      <c r="A934" s="184" t="s">
        <v>2527</v>
      </c>
      <c r="B934" s="184" t="s">
        <v>161</v>
      </c>
      <c r="C934" s="184" t="s">
        <v>2528</v>
      </c>
      <c r="D934" s="185" t="s">
        <v>522</v>
      </c>
      <c r="E934" s="186" t="s">
        <v>906</v>
      </c>
      <c r="F934" s="186" t="s">
        <v>2529</v>
      </c>
      <c r="G934" s="186" t="s">
        <v>2530</v>
      </c>
      <c r="H934" s="186" t="s">
        <v>2558</v>
      </c>
      <c r="I934" s="187" t="s">
        <v>2583</v>
      </c>
      <c r="J934" s="187" t="s">
        <v>2584</v>
      </c>
      <c r="K934" s="188"/>
      <c r="L934" s="188"/>
      <c r="M934" s="189" t="s">
        <v>1018</v>
      </c>
      <c r="N934" s="190">
        <v>232.43</v>
      </c>
      <c r="O934" s="190">
        <f t="shared" si="115"/>
        <v>253.35</v>
      </c>
      <c r="P934" s="191">
        <f t="shared" si="116"/>
        <v>0</v>
      </c>
      <c r="Q934" s="192">
        <f t="shared" si="117"/>
        <v>0</v>
      </c>
      <c r="R934" s="193"/>
      <c r="S934" s="194"/>
      <c r="T934" s="195">
        <f t="shared" si="118"/>
        <v>0</v>
      </c>
      <c r="U934" s="195">
        <f t="shared" si="119"/>
        <v>0</v>
      </c>
      <c r="V934" s="195">
        <f t="shared" si="120"/>
        <v>0</v>
      </c>
      <c r="W934" s="196" t="e">
        <f t="shared" si="121"/>
        <v>#DIV/0!</v>
      </c>
      <c r="X934" s="197" t="e">
        <f t="shared" si="122"/>
        <v>#DIV/0!</v>
      </c>
      <c r="AH934" s="219" t="s">
        <v>1903</v>
      </c>
    </row>
    <row r="935" ht="11.4" customHeight="1" spans="1:34">
      <c r="A935" s="184" t="s">
        <v>2527</v>
      </c>
      <c r="B935" s="184" t="s">
        <v>161</v>
      </c>
      <c r="C935" s="184" t="s">
        <v>2528</v>
      </c>
      <c r="D935" s="185" t="s">
        <v>522</v>
      </c>
      <c r="E935" s="186" t="s">
        <v>906</v>
      </c>
      <c r="F935" s="186" t="s">
        <v>2529</v>
      </c>
      <c r="G935" s="186" t="s">
        <v>2530</v>
      </c>
      <c r="H935" s="186" t="s">
        <v>2558</v>
      </c>
      <c r="I935" s="187" t="s">
        <v>2585</v>
      </c>
      <c r="J935" s="187" t="s">
        <v>2586</v>
      </c>
      <c r="K935" s="188"/>
      <c r="L935" s="188"/>
      <c r="M935" s="189" t="s">
        <v>1018</v>
      </c>
      <c r="N935" s="190">
        <v>2829.18</v>
      </c>
      <c r="O935" s="190">
        <f t="shared" si="115"/>
        <v>3083.81</v>
      </c>
      <c r="P935" s="191">
        <f t="shared" si="116"/>
        <v>0</v>
      </c>
      <c r="Q935" s="192">
        <f t="shared" si="117"/>
        <v>0</v>
      </c>
      <c r="R935" s="193"/>
      <c r="S935" s="194"/>
      <c r="T935" s="195">
        <f t="shared" si="118"/>
        <v>0</v>
      </c>
      <c r="U935" s="195">
        <f t="shared" si="119"/>
        <v>0</v>
      </c>
      <c r="V935" s="195">
        <f t="shared" si="120"/>
        <v>0</v>
      </c>
      <c r="W935" s="196" t="e">
        <f t="shared" si="121"/>
        <v>#DIV/0!</v>
      </c>
      <c r="X935" s="197" t="e">
        <f t="shared" si="122"/>
        <v>#DIV/0!</v>
      </c>
      <c r="AH935" s="219" t="s">
        <v>1903</v>
      </c>
    </row>
    <row r="936" ht="11.4" customHeight="1" spans="1:34">
      <c r="A936" s="184" t="s">
        <v>2527</v>
      </c>
      <c r="B936" s="184" t="s">
        <v>161</v>
      </c>
      <c r="C936" s="184" t="s">
        <v>2528</v>
      </c>
      <c r="D936" s="185" t="s">
        <v>522</v>
      </c>
      <c r="E936" s="186" t="s">
        <v>906</v>
      </c>
      <c r="F936" s="186" t="s">
        <v>2529</v>
      </c>
      <c r="G936" s="186" t="s">
        <v>2530</v>
      </c>
      <c r="H936" s="186" t="s">
        <v>2558</v>
      </c>
      <c r="I936" s="187" t="s">
        <v>2587</v>
      </c>
      <c r="J936" s="187" t="s">
        <v>2588</v>
      </c>
      <c r="K936" s="188"/>
      <c r="L936" s="188"/>
      <c r="M936" s="189" t="s">
        <v>1018</v>
      </c>
      <c r="N936" s="190">
        <v>750.19</v>
      </c>
      <c r="O936" s="190">
        <f t="shared" si="115"/>
        <v>817.71</v>
      </c>
      <c r="P936" s="191">
        <f t="shared" si="116"/>
        <v>0</v>
      </c>
      <c r="Q936" s="192">
        <f t="shared" si="117"/>
        <v>0</v>
      </c>
      <c r="R936" s="193"/>
      <c r="S936" s="194"/>
      <c r="T936" s="195">
        <f t="shared" si="118"/>
        <v>0</v>
      </c>
      <c r="U936" s="195">
        <f t="shared" si="119"/>
        <v>0</v>
      </c>
      <c r="V936" s="195">
        <f t="shared" si="120"/>
        <v>0</v>
      </c>
      <c r="W936" s="196" t="e">
        <f t="shared" si="121"/>
        <v>#DIV/0!</v>
      </c>
      <c r="X936" s="197" t="e">
        <f t="shared" si="122"/>
        <v>#DIV/0!</v>
      </c>
      <c r="AH936" s="219" t="s">
        <v>1903</v>
      </c>
    </row>
    <row r="937" ht="11.4" customHeight="1" spans="1:34">
      <c r="A937" s="184" t="s">
        <v>2527</v>
      </c>
      <c r="B937" s="184" t="s">
        <v>161</v>
      </c>
      <c r="C937" s="184" t="s">
        <v>2528</v>
      </c>
      <c r="D937" s="185" t="s">
        <v>522</v>
      </c>
      <c r="E937" s="186" t="s">
        <v>906</v>
      </c>
      <c r="F937" s="186" t="s">
        <v>2529</v>
      </c>
      <c r="G937" s="186" t="s">
        <v>2530</v>
      </c>
      <c r="H937" s="186" t="s">
        <v>2558</v>
      </c>
      <c r="I937" s="187" t="s">
        <v>2589</v>
      </c>
      <c r="J937" s="187" t="s">
        <v>2590</v>
      </c>
      <c r="K937" s="188"/>
      <c r="L937" s="188"/>
      <c r="M937" s="189" t="s">
        <v>1018</v>
      </c>
      <c r="N937" s="190">
        <v>579.08</v>
      </c>
      <c r="O937" s="190">
        <f t="shared" si="115"/>
        <v>631.2</v>
      </c>
      <c r="P937" s="191">
        <f t="shared" si="116"/>
        <v>0</v>
      </c>
      <c r="Q937" s="192">
        <f t="shared" si="117"/>
        <v>0</v>
      </c>
      <c r="R937" s="193"/>
      <c r="S937" s="194"/>
      <c r="T937" s="195">
        <f t="shared" si="118"/>
        <v>0</v>
      </c>
      <c r="U937" s="195">
        <f t="shared" si="119"/>
        <v>0</v>
      </c>
      <c r="V937" s="195">
        <f t="shared" si="120"/>
        <v>0</v>
      </c>
      <c r="W937" s="196" t="e">
        <f t="shared" si="121"/>
        <v>#DIV/0!</v>
      </c>
      <c r="X937" s="197" t="e">
        <f t="shared" si="122"/>
        <v>#DIV/0!</v>
      </c>
      <c r="AH937" s="219" t="s">
        <v>1903</v>
      </c>
    </row>
    <row r="938" ht="11.4" customHeight="1" spans="1:34">
      <c r="A938" s="184" t="s">
        <v>2527</v>
      </c>
      <c r="B938" s="184" t="s">
        <v>161</v>
      </c>
      <c r="C938" s="184" t="s">
        <v>2528</v>
      </c>
      <c r="D938" s="185" t="s">
        <v>522</v>
      </c>
      <c r="E938" s="186" t="s">
        <v>906</v>
      </c>
      <c r="F938" s="186" t="s">
        <v>2529</v>
      </c>
      <c r="G938" s="186" t="s">
        <v>2530</v>
      </c>
      <c r="H938" s="186" t="s">
        <v>2591</v>
      </c>
      <c r="I938" s="187" t="s">
        <v>2592</v>
      </c>
      <c r="J938" s="187" t="s">
        <v>2593</v>
      </c>
      <c r="K938" s="188"/>
      <c r="L938" s="188"/>
      <c r="M938" s="189" t="s">
        <v>2548</v>
      </c>
      <c r="N938" s="190">
        <v>2654.05</v>
      </c>
      <c r="O938" s="190">
        <f t="shared" si="115"/>
        <v>2892.91</v>
      </c>
      <c r="P938" s="191">
        <f t="shared" si="116"/>
        <v>0</v>
      </c>
      <c r="Q938" s="192">
        <f t="shared" si="117"/>
        <v>0</v>
      </c>
      <c r="R938" s="193"/>
      <c r="S938" s="194"/>
      <c r="T938" s="195">
        <f t="shared" si="118"/>
        <v>0</v>
      </c>
      <c r="U938" s="195">
        <f t="shared" si="119"/>
        <v>0</v>
      </c>
      <c r="V938" s="195">
        <f t="shared" si="120"/>
        <v>0</v>
      </c>
      <c r="W938" s="196" t="e">
        <f t="shared" si="121"/>
        <v>#DIV/0!</v>
      </c>
      <c r="X938" s="197" t="e">
        <f t="shared" si="122"/>
        <v>#DIV/0!</v>
      </c>
      <c r="AH938" s="219" t="s">
        <v>1903</v>
      </c>
    </row>
    <row r="939" ht="11.4" customHeight="1" spans="1:34">
      <c r="A939" s="184" t="s">
        <v>2527</v>
      </c>
      <c r="B939" s="184" t="s">
        <v>161</v>
      </c>
      <c r="C939" s="184" t="s">
        <v>2528</v>
      </c>
      <c r="D939" s="185" t="s">
        <v>522</v>
      </c>
      <c r="E939" s="186" t="s">
        <v>906</v>
      </c>
      <c r="F939" s="186" t="s">
        <v>2529</v>
      </c>
      <c r="G939" s="186" t="s">
        <v>2530</v>
      </c>
      <c r="H939" s="186" t="s">
        <v>2591</v>
      </c>
      <c r="I939" s="187" t="s">
        <v>2594</v>
      </c>
      <c r="J939" s="187" t="s">
        <v>2595</v>
      </c>
      <c r="K939" s="188"/>
      <c r="L939" s="188"/>
      <c r="M939" s="189" t="s">
        <v>793</v>
      </c>
      <c r="N939" s="190">
        <v>689.3</v>
      </c>
      <c r="O939" s="190">
        <f t="shared" si="115"/>
        <v>751.34</v>
      </c>
      <c r="P939" s="191">
        <f t="shared" si="116"/>
        <v>0</v>
      </c>
      <c r="Q939" s="192">
        <f t="shared" si="117"/>
        <v>0</v>
      </c>
      <c r="R939" s="193"/>
      <c r="S939" s="194"/>
      <c r="T939" s="195">
        <f t="shared" si="118"/>
        <v>0</v>
      </c>
      <c r="U939" s="195">
        <f t="shared" si="119"/>
        <v>0</v>
      </c>
      <c r="V939" s="195">
        <f t="shared" si="120"/>
        <v>0</v>
      </c>
      <c r="W939" s="196" t="e">
        <f t="shared" si="121"/>
        <v>#DIV/0!</v>
      </c>
      <c r="X939" s="197" t="e">
        <f t="shared" si="122"/>
        <v>#DIV/0!</v>
      </c>
      <c r="AH939" s="219" t="s">
        <v>1903</v>
      </c>
    </row>
    <row r="940" ht="11.4" customHeight="1" spans="1:34">
      <c r="A940" s="184" t="s">
        <v>2527</v>
      </c>
      <c r="B940" s="184" t="s">
        <v>161</v>
      </c>
      <c r="C940" s="184" t="s">
        <v>2528</v>
      </c>
      <c r="D940" s="185" t="s">
        <v>522</v>
      </c>
      <c r="E940" s="186" t="s">
        <v>906</v>
      </c>
      <c r="F940" s="186" t="s">
        <v>2529</v>
      </c>
      <c r="G940" s="186" t="s">
        <v>2530</v>
      </c>
      <c r="H940" s="186" t="s">
        <v>2591</v>
      </c>
      <c r="I940" s="187" t="s">
        <v>2596</v>
      </c>
      <c r="J940" s="187" t="s">
        <v>2597</v>
      </c>
      <c r="K940" s="188"/>
      <c r="L940" s="188"/>
      <c r="M940" s="189" t="s">
        <v>989</v>
      </c>
      <c r="N940" s="190">
        <v>99.97</v>
      </c>
      <c r="O940" s="190">
        <f t="shared" si="115"/>
        <v>108.97</v>
      </c>
      <c r="P940" s="191">
        <f t="shared" si="116"/>
        <v>0</v>
      </c>
      <c r="Q940" s="192">
        <f t="shared" si="117"/>
        <v>0</v>
      </c>
      <c r="R940" s="193"/>
      <c r="S940" s="194"/>
      <c r="T940" s="195">
        <f t="shared" si="118"/>
        <v>0</v>
      </c>
      <c r="U940" s="195">
        <f t="shared" si="119"/>
        <v>0</v>
      </c>
      <c r="V940" s="195">
        <f t="shared" si="120"/>
        <v>0</v>
      </c>
      <c r="W940" s="196" t="e">
        <f t="shared" si="121"/>
        <v>#DIV/0!</v>
      </c>
      <c r="X940" s="197" t="e">
        <f t="shared" si="122"/>
        <v>#DIV/0!</v>
      </c>
      <c r="AH940" s="219" t="s">
        <v>1903</v>
      </c>
    </row>
    <row r="941" ht="11.4" customHeight="1" spans="1:34">
      <c r="A941" s="184" t="s">
        <v>2527</v>
      </c>
      <c r="B941" s="184" t="s">
        <v>161</v>
      </c>
      <c r="C941" s="184" t="s">
        <v>2528</v>
      </c>
      <c r="D941" s="185" t="s">
        <v>522</v>
      </c>
      <c r="E941" s="186" t="s">
        <v>906</v>
      </c>
      <c r="F941" s="186" t="s">
        <v>2529</v>
      </c>
      <c r="G941" s="186" t="s">
        <v>2530</v>
      </c>
      <c r="H941" s="186" t="s">
        <v>2591</v>
      </c>
      <c r="I941" s="187" t="s">
        <v>2598</v>
      </c>
      <c r="J941" s="187" t="s">
        <v>2599</v>
      </c>
      <c r="K941" s="188"/>
      <c r="L941" s="188"/>
      <c r="M941" s="189" t="s">
        <v>989</v>
      </c>
      <c r="N941" s="190">
        <v>144.14</v>
      </c>
      <c r="O941" s="190">
        <f t="shared" si="115"/>
        <v>157.11</v>
      </c>
      <c r="P941" s="191">
        <f t="shared" si="116"/>
        <v>0</v>
      </c>
      <c r="Q941" s="192">
        <f t="shared" si="117"/>
        <v>0</v>
      </c>
      <c r="R941" s="193"/>
      <c r="S941" s="194"/>
      <c r="T941" s="195">
        <f t="shared" si="118"/>
        <v>0</v>
      </c>
      <c r="U941" s="195">
        <f t="shared" si="119"/>
        <v>0</v>
      </c>
      <c r="V941" s="195">
        <f t="shared" si="120"/>
        <v>0</v>
      </c>
      <c r="W941" s="196" t="e">
        <f t="shared" si="121"/>
        <v>#DIV/0!</v>
      </c>
      <c r="X941" s="197" t="e">
        <f t="shared" si="122"/>
        <v>#DIV/0!</v>
      </c>
      <c r="AH941" s="219" t="s">
        <v>1903</v>
      </c>
    </row>
    <row r="942" ht="11.4" customHeight="1" spans="1:34">
      <c r="A942" s="184" t="s">
        <v>2527</v>
      </c>
      <c r="B942" s="184" t="s">
        <v>161</v>
      </c>
      <c r="C942" s="184" t="s">
        <v>2528</v>
      </c>
      <c r="D942" s="185" t="s">
        <v>522</v>
      </c>
      <c r="E942" s="186" t="s">
        <v>906</v>
      </c>
      <c r="F942" s="186" t="s">
        <v>2529</v>
      </c>
      <c r="G942" s="186" t="s">
        <v>2530</v>
      </c>
      <c r="H942" s="186" t="s">
        <v>2591</v>
      </c>
      <c r="I942" s="187" t="s">
        <v>2600</v>
      </c>
      <c r="J942" s="187" t="s">
        <v>2601</v>
      </c>
      <c r="K942" s="188"/>
      <c r="L942" s="188"/>
      <c r="M942" s="189" t="s">
        <v>989</v>
      </c>
      <c r="N942" s="190">
        <v>1375.89</v>
      </c>
      <c r="O942" s="190">
        <f t="shared" si="115"/>
        <v>1499.72</v>
      </c>
      <c r="P942" s="191">
        <f t="shared" si="116"/>
        <v>0</v>
      </c>
      <c r="Q942" s="192">
        <f t="shared" si="117"/>
        <v>0</v>
      </c>
      <c r="R942" s="193"/>
      <c r="S942" s="194"/>
      <c r="T942" s="195">
        <f t="shared" si="118"/>
        <v>0</v>
      </c>
      <c r="U942" s="195">
        <f t="shared" si="119"/>
        <v>0</v>
      </c>
      <c r="V942" s="195">
        <f t="shared" si="120"/>
        <v>0</v>
      </c>
      <c r="W942" s="196" t="e">
        <f t="shared" si="121"/>
        <v>#DIV/0!</v>
      </c>
      <c r="X942" s="197" t="e">
        <f t="shared" si="122"/>
        <v>#DIV/0!</v>
      </c>
      <c r="AH942" s="219" t="s">
        <v>1903</v>
      </c>
    </row>
    <row r="943" ht="11.4" customHeight="1" spans="1:34">
      <c r="A943" s="184" t="s">
        <v>2527</v>
      </c>
      <c r="B943" s="184" t="s">
        <v>161</v>
      </c>
      <c r="C943" s="184" t="s">
        <v>2528</v>
      </c>
      <c r="D943" s="185" t="s">
        <v>522</v>
      </c>
      <c r="E943" s="186" t="s">
        <v>906</v>
      </c>
      <c r="F943" s="186" t="s">
        <v>2529</v>
      </c>
      <c r="G943" s="186" t="s">
        <v>2530</v>
      </c>
      <c r="H943" s="186" t="s">
        <v>2591</v>
      </c>
      <c r="I943" s="187" t="s">
        <v>2602</v>
      </c>
      <c r="J943" s="187" t="s">
        <v>2603</v>
      </c>
      <c r="K943" s="188"/>
      <c r="L943" s="188"/>
      <c r="M943" s="189" t="s">
        <v>1018</v>
      </c>
      <c r="N943" s="190">
        <v>1294.59</v>
      </c>
      <c r="O943" s="190">
        <f t="shared" si="115"/>
        <v>1411.1</v>
      </c>
      <c r="P943" s="191">
        <f t="shared" si="116"/>
        <v>0</v>
      </c>
      <c r="Q943" s="192">
        <f t="shared" si="117"/>
        <v>0</v>
      </c>
      <c r="R943" s="193"/>
      <c r="S943" s="194"/>
      <c r="T943" s="195">
        <f t="shared" si="118"/>
        <v>0</v>
      </c>
      <c r="U943" s="195">
        <f t="shared" si="119"/>
        <v>0</v>
      </c>
      <c r="V943" s="195">
        <f t="shared" si="120"/>
        <v>0</v>
      </c>
      <c r="W943" s="196" t="e">
        <f t="shared" si="121"/>
        <v>#DIV/0!</v>
      </c>
      <c r="X943" s="197" t="e">
        <f t="shared" si="122"/>
        <v>#DIV/0!</v>
      </c>
      <c r="AH943" s="219" t="s">
        <v>1903</v>
      </c>
    </row>
    <row r="944" ht="11.4" customHeight="1" spans="1:34">
      <c r="A944" s="184" t="s">
        <v>2604</v>
      </c>
      <c r="B944" s="184" t="s">
        <v>164</v>
      </c>
      <c r="C944" s="184" t="s">
        <v>2605</v>
      </c>
      <c r="D944" s="185" t="s">
        <v>522</v>
      </c>
      <c r="E944" s="186" t="s">
        <v>906</v>
      </c>
      <c r="F944" s="186" t="s">
        <v>2529</v>
      </c>
      <c r="G944" s="186" t="s">
        <v>2530</v>
      </c>
      <c r="H944" s="186" t="s">
        <v>2606</v>
      </c>
      <c r="I944" s="187" t="s">
        <v>2607</v>
      </c>
      <c r="J944" s="187" t="s">
        <v>2608</v>
      </c>
      <c r="K944" s="188"/>
      <c r="L944" s="188"/>
      <c r="M944" s="189" t="s">
        <v>963</v>
      </c>
      <c r="N944" s="190">
        <v>517.6</v>
      </c>
      <c r="O944" s="190">
        <f t="shared" si="115"/>
        <v>564.18</v>
      </c>
      <c r="P944" s="191">
        <f t="shared" si="116"/>
        <v>0</v>
      </c>
      <c r="Q944" s="192">
        <f t="shared" si="117"/>
        <v>0</v>
      </c>
      <c r="R944" s="193"/>
      <c r="S944" s="194"/>
      <c r="T944" s="195">
        <f t="shared" si="118"/>
        <v>0</v>
      </c>
      <c r="U944" s="195">
        <f t="shared" si="119"/>
        <v>0</v>
      </c>
      <c r="V944" s="195">
        <f t="shared" si="120"/>
        <v>0</v>
      </c>
      <c r="W944" s="196" t="e">
        <f t="shared" si="121"/>
        <v>#DIV/0!</v>
      </c>
      <c r="X944" s="197" t="e">
        <f t="shared" si="122"/>
        <v>#DIV/0!</v>
      </c>
      <c r="AG944" s="219" t="s">
        <v>990</v>
      </c>
    </row>
    <row r="945" ht="11.4" customHeight="1" spans="1:34">
      <c r="A945" s="184" t="s">
        <v>2604</v>
      </c>
      <c r="B945" s="184" t="s">
        <v>164</v>
      </c>
      <c r="C945" s="184" t="s">
        <v>2605</v>
      </c>
      <c r="D945" s="185" t="s">
        <v>522</v>
      </c>
      <c r="E945" s="186" t="s">
        <v>906</v>
      </c>
      <c r="F945" s="186" t="s">
        <v>2529</v>
      </c>
      <c r="G945" s="186" t="s">
        <v>2530</v>
      </c>
      <c r="H945" s="186" t="s">
        <v>2606</v>
      </c>
      <c r="I945" s="187" t="s">
        <v>2609</v>
      </c>
      <c r="J945" s="187" t="s">
        <v>2610</v>
      </c>
      <c r="K945" s="188"/>
      <c r="L945" s="188"/>
      <c r="M945" s="189" t="s">
        <v>963</v>
      </c>
      <c r="N945" s="190">
        <v>624.3</v>
      </c>
      <c r="O945" s="190">
        <f t="shared" si="115"/>
        <v>680.49</v>
      </c>
      <c r="P945" s="191">
        <f t="shared" si="116"/>
        <v>0</v>
      </c>
      <c r="Q945" s="192">
        <f t="shared" si="117"/>
        <v>0</v>
      </c>
      <c r="R945" s="193"/>
      <c r="S945" s="194"/>
      <c r="T945" s="195">
        <f t="shared" si="118"/>
        <v>0</v>
      </c>
      <c r="U945" s="195">
        <f t="shared" si="119"/>
        <v>0</v>
      </c>
      <c r="V945" s="195">
        <f t="shared" si="120"/>
        <v>0</v>
      </c>
      <c r="W945" s="196" t="e">
        <f t="shared" si="121"/>
        <v>#DIV/0!</v>
      </c>
      <c r="X945" s="197" t="e">
        <f t="shared" si="122"/>
        <v>#DIV/0!</v>
      </c>
      <c r="AG945" s="219" t="s">
        <v>990</v>
      </c>
    </row>
    <row r="946" ht="11.4" customHeight="1" spans="1:34">
      <c r="A946" s="184" t="s">
        <v>2604</v>
      </c>
      <c r="B946" s="184" t="s">
        <v>164</v>
      </c>
      <c r="C946" s="184" t="s">
        <v>2605</v>
      </c>
      <c r="D946" s="185" t="s">
        <v>522</v>
      </c>
      <c r="E946" s="186" t="s">
        <v>906</v>
      </c>
      <c r="F946" s="186" t="s">
        <v>2529</v>
      </c>
      <c r="G946" s="186" t="s">
        <v>2530</v>
      </c>
      <c r="H946" s="186" t="s">
        <v>2606</v>
      </c>
      <c r="I946" s="187" t="s">
        <v>2611</v>
      </c>
      <c r="J946" s="187" t="s">
        <v>2612</v>
      </c>
      <c r="K946" s="188"/>
      <c r="L946" s="188"/>
      <c r="M946" s="189" t="s">
        <v>847</v>
      </c>
      <c r="N946" s="190">
        <v>219.99</v>
      </c>
      <c r="O946" s="190">
        <f t="shared" si="115"/>
        <v>239.79</v>
      </c>
      <c r="P946" s="191">
        <f t="shared" si="116"/>
        <v>0</v>
      </c>
      <c r="Q946" s="192">
        <f t="shared" si="117"/>
        <v>0</v>
      </c>
      <c r="R946" s="193"/>
      <c r="S946" s="194"/>
      <c r="T946" s="195">
        <f t="shared" si="118"/>
        <v>0</v>
      </c>
      <c r="U946" s="195">
        <f t="shared" si="119"/>
        <v>0</v>
      </c>
      <c r="V946" s="195">
        <f t="shared" si="120"/>
        <v>0</v>
      </c>
      <c r="W946" s="196" t="e">
        <f t="shared" si="121"/>
        <v>#DIV/0!</v>
      </c>
      <c r="X946" s="197" t="e">
        <f t="shared" si="122"/>
        <v>#DIV/0!</v>
      </c>
      <c r="AG946" s="109" t="s">
        <v>2417</v>
      </c>
    </row>
    <row r="947" ht="11.4" customHeight="1" spans="1:34">
      <c r="A947" s="184" t="s">
        <v>2604</v>
      </c>
      <c r="B947" s="184" t="s">
        <v>164</v>
      </c>
      <c r="C947" s="184" t="s">
        <v>2605</v>
      </c>
      <c r="D947" s="185" t="s">
        <v>522</v>
      </c>
      <c r="E947" s="186" t="s">
        <v>906</v>
      </c>
      <c r="F947" s="186" t="s">
        <v>2529</v>
      </c>
      <c r="G947" s="186" t="s">
        <v>2530</v>
      </c>
      <c r="H947" s="186" t="s">
        <v>2606</v>
      </c>
      <c r="I947" s="187" t="s">
        <v>2613</v>
      </c>
      <c r="J947" s="187" t="s">
        <v>2614</v>
      </c>
      <c r="K947" s="188"/>
      <c r="L947" s="188"/>
      <c r="M947" s="189" t="s">
        <v>2308</v>
      </c>
      <c r="N947" s="190"/>
      <c r="O947" s="190">
        <f t="shared" si="115"/>
        <v>0</v>
      </c>
      <c r="P947" s="191">
        <f t="shared" si="116"/>
        <v>0</v>
      </c>
      <c r="Q947" s="192">
        <f t="shared" si="117"/>
        <v>0</v>
      </c>
      <c r="R947" s="193"/>
      <c r="S947" s="194"/>
      <c r="T947" s="195">
        <f t="shared" si="118"/>
        <v>0</v>
      </c>
      <c r="U947" s="195">
        <f t="shared" si="119"/>
        <v>0</v>
      </c>
      <c r="V947" s="195">
        <f t="shared" si="120"/>
        <v>0</v>
      </c>
      <c r="W947" s="196" t="e">
        <f t="shared" si="121"/>
        <v>#DIV/0!</v>
      </c>
      <c r="X947" s="197" t="e">
        <f t="shared" si="122"/>
        <v>#DIV/0!</v>
      </c>
      <c r="AG947" s="219" t="s">
        <v>990</v>
      </c>
    </row>
    <row r="948" ht="11.4" customHeight="1" spans="1:34">
      <c r="A948" s="184" t="s">
        <v>2604</v>
      </c>
      <c r="B948" s="184" t="s">
        <v>164</v>
      </c>
      <c r="C948" s="184" t="s">
        <v>2605</v>
      </c>
      <c r="D948" s="185" t="s">
        <v>522</v>
      </c>
      <c r="E948" s="186" t="s">
        <v>906</v>
      </c>
      <c r="F948" s="186" t="s">
        <v>2529</v>
      </c>
      <c r="G948" s="186" t="s">
        <v>2530</v>
      </c>
      <c r="H948" s="186" t="s">
        <v>2606</v>
      </c>
      <c r="I948" s="187" t="s">
        <v>2615</v>
      </c>
      <c r="J948" s="187" t="s">
        <v>2616</v>
      </c>
      <c r="K948" s="188"/>
      <c r="L948" s="188"/>
      <c r="M948" s="189" t="s">
        <v>847</v>
      </c>
      <c r="N948" s="190">
        <v>560</v>
      </c>
      <c r="O948" s="190">
        <f t="shared" si="115"/>
        <v>610.4</v>
      </c>
      <c r="P948" s="191">
        <f t="shared" si="116"/>
        <v>0</v>
      </c>
      <c r="Q948" s="192">
        <f t="shared" si="117"/>
        <v>0</v>
      </c>
      <c r="R948" s="193"/>
      <c r="S948" s="194"/>
      <c r="T948" s="195">
        <f t="shared" si="118"/>
        <v>0</v>
      </c>
      <c r="U948" s="195">
        <f t="shared" si="119"/>
        <v>0</v>
      </c>
      <c r="V948" s="195">
        <f t="shared" si="120"/>
        <v>0</v>
      </c>
      <c r="W948" s="196" t="e">
        <f t="shared" si="121"/>
        <v>#DIV/0!</v>
      </c>
      <c r="X948" s="197" t="e">
        <f t="shared" si="122"/>
        <v>#DIV/0!</v>
      </c>
      <c r="AG948" s="109" t="s">
        <v>865</v>
      </c>
    </row>
    <row r="949" ht="11.4" customHeight="1" spans="1:34">
      <c r="A949" s="184" t="s">
        <v>2604</v>
      </c>
      <c r="B949" s="184" t="s">
        <v>164</v>
      </c>
      <c r="C949" s="184" t="s">
        <v>2605</v>
      </c>
      <c r="D949" s="185" t="s">
        <v>522</v>
      </c>
      <c r="E949" s="186" t="s">
        <v>906</v>
      </c>
      <c r="F949" s="186" t="s">
        <v>2529</v>
      </c>
      <c r="G949" s="186" t="s">
        <v>2530</v>
      </c>
      <c r="H949" s="186" t="s">
        <v>2606</v>
      </c>
      <c r="I949" s="187" t="s">
        <v>2617</v>
      </c>
      <c r="J949" s="187" t="s">
        <v>2618</v>
      </c>
      <c r="K949" s="188"/>
      <c r="L949" s="188"/>
      <c r="M949" s="189" t="s">
        <v>2308</v>
      </c>
      <c r="N949" s="190">
        <v>3580</v>
      </c>
      <c r="O949" s="190">
        <f t="shared" si="115"/>
        <v>3902.2</v>
      </c>
      <c r="P949" s="191">
        <f t="shared" si="116"/>
        <v>0</v>
      </c>
      <c r="Q949" s="192">
        <f t="shared" si="117"/>
        <v>0</v>
      </c>
      <c r="R949" s="193"/>
      <c r="S949" s="194"/>
      <c r="T949" s="195">
        <f t="shared" si="118"/>
        <v>0</v>
      </c>
      <c r="U949" s="195">
        <f t="shared" si="119"/>
        <v>0</v>
      </c>
      <c r="V949" s="195">
        <f t="shared" si="120"/>
        <v>0</v>
      </c>
      <c r="W949" s="196" t="e">
        <f t="shared" si="121"/>
        <v>#DIV/0!</v>
      </c>
      <c r="X949" s="197" t="e">
        <f t="shared" si="122"/>
        <v>#DIV/0!</v>
      </c>
      <c r="AG949" s="219" t="s">
        <v>990</v>
      </c>
    </row>
    <row r="950" ht="11.4" customHeight="1" spans="1:34">
      <c r="A950" s="184" t="s">
        <v>2527</v>
      </c>
      <c r="B950" s="184" t="s">
        <v>161</v>
      </c>
      <c r="C950" s="184" t="s">
        <v>2528</v>
      </c>
      <c r="D950" s="185" t="s">
        <v>522</v>
      </c>
      <c r="E950" s="186" t="s">
        <v>906</v>
      </c>
      <c r="F950" s="186" t="s">
        <v>2529</v>
      </c>
      <c r="G950" s="186" t="s">
        <v>2530</v>
      </c>
      <c r="H950" s="186" t="s">
        <v>2619</v>
      </c>
      <c r="I950" s="187" t="s">
        <v>2620</v>
      </c>
      <c r="J950" s="187" t="s">
        <v>2621</v>
      </c>
      <c r="K950" s="188"/>
      <c r="L950" s="188"/>
      <c r="M950" s="189" t="s">
        <v>1018</v>
      </c>
      <c r="N950" s="190">
        <v>40</v>
      </c>
      <c r="O950" s="190">
        <f t="shared" si="115"/>
        <v>43.6</v>
      </c>
      <c r="P950" s="191">
        <f t="shared" si="116"/>
        <v>0</v>
      </c>
      <c r="Q950" s="192">
        <f t="shared" si="117"/>
        <v>0</v>
      </c>
      <c r="R950" s="193"/>
      <c r="S950" s="194"/>
      <c r="T950" s="195">
        <f t="shared" si="118"/>
        <v>0</v>
      </c>
      <c r="U950" s="195">
        <f t="shared" si="119"/>
        <v>0</v>
      </c>
      <c r="V950" s="195">
        <f t="shared" si="120"/>
        <v>0</v>
      </c>
      <c r="W950" s="196" t="e">
        <f t="shared" si="121"/>
        <v>#DIV/0!</v>
      </c>
      <c r="X950" s="197" t="e">
        <f t="shared" si="122"/>
        <v>#DIV/0!</v>
      </c>
      <c r="AH950" s="219" t="s">
        <v>892</v>
      </c>
    </row>
    <row r="951" ht="11.4" customHeight="1" spans="1:34">
      <c r="A951" s="184" t="s">
        <v>2622</v>
      </c>
      <c r="B951" s="184" t="s">
        <v>170</v>
      </c>
      <c r="C951" s="184" t="s">
        <v>2623</v>
      </c>
      <c r="D951" s="185" t="s">
        <v>522</v>
      </c>
      <c r="E951" s="186" t="s">
        <v>906</v>
      </c>
      <c r="F951" s="186" t="s">
        <v>2624</v>
      </c>
      <c r="G951" s="186" t="s">
        <v>2625</v>
      </c>
      <c r="H951" s="186" t="s">
        <v>2626</v>
      </c>
      <c r="I951" s="187" t="s">
        <v>2627</v>
      </c>
      <c r="J951" s="187" t="s">
        <v>2628</v>
      </c>
      <c r="K951" s="188"/>
      <c r="L951" s="188"/>
      <c r="M951" s="189" t="s">
        <v>847</v>
      </c>
      <c r="N951" s="190">
        <v>260.72</v>
      </c>
      <c r="O951" s="190">
        <f t="shared" si="115"/>
        <v>284.18</v>
      </c>
      <c r="P951" s="191">
        <f t="shared" si="116"/>
        <v>0</v>
      </c>
      <c r="Q951" s="192">
        <f t="shared" si="117"/>
        <v>0</v>
      </c>
      <c r="R951" s="193"/>
      <c r="S951" s="194"/>
      <c r="T951" s="195">
        <f t="shared" si="118"/>
        <v>0</v>
      </c>
      <c r="U951" s="195">
        <f t="shared" si="119"/>
        <v>0</v>
      </c>
      <c r="V951" s="195">
        <f t="shared" si="120"/>
        <v>0</v>
      </c>
      <c r="W951" s="196" t="e">
        <f t="shared" si="121"/>
        <v>#DIV/0!</v>
      </c>
      <c r="X951" s="197" t="e">
        <f t="shared" si="122"/>
        <v>#DIV/0!</v>
      </c>
      <c r="AG951" s="219" t="s">
        <v>865</v>
      </c>
    </row>
    <row r="952" ht="11.4" customHeight="1" spans="1:34">
      <c r="A952" s="184" t="s">
        <v>2622</v>
      </c>
      <c r="B952" s="184" t="s">
        <v>170</v>
      </c>
      <c r="C952" s="184" t="s">
        <v>2623</v>
      </c>
      <c r="D952" s="185" t="s">
        <v>522</v>
      </c>
      <c r="E952" s="186" t="s">
        <v>906</v>
      </c>
      <c r="F952" s="186" t="s">
        <v>2624</v>
      </c>
      <c r="G952" s="186" t="s">
        <v>2625</v>
      </c>
      <c r="H952" s="186" t="s">
        <v>2629</v>
      </c>
      <c r="I952" s="187" t="s">
        <v>2630</v>
      </c>
      <c r="J952" s="187" t="s">
        <v>2631</v>
      </c>
      <c r="K952" s="188"/>
      <c r="L952" s="188"/>
      <c r="M952" s="189" t="s">
        <v>793</v>
      </c>
      <c r="N952" s="190">
        <v>0</v>
      </c>
      <c r="O952" s="190">
        <f t="shared" si="115"/>
        <v>0</v>
      </c>
      <c r="P952" s="191">
        <f t="shared" si="116"/>
        <v>0</v>
      </c>
      <c r="Q952" s="192">
        <f t="shared" si="117"/>
        <v>0</v>
      </c>
      <c r="R952" s="193"/>
      <c r="S952" s="194"/>
      <c r="T952" s="195">
        <f t="shared" si="118"/>
        <v>0</v>
      </c>
      <c r="U952" s="195">
        <f t="shared" si="119"/>
        <v>0</v>
      </c>
      <c r="V952" s="195">
        <f t="shared" si="120"/>
        <v>0</v>
      </c>
      <c r="W952" s="196" t="e">
        <f t="shared" si="121"/>
        <v>#DIV/0!</v>
      </c>
      <c r="X952" s="197" t="e">
        <f t="shared" si="122"/>
        <v>#DIV/0!</v>
      </c>
      <c r="AG952" s="219"/>
      <c r="AH952" s="219" t="s">
        <v>794</v>
      </c>
    </row>
    <row r="953" ht="11.4" customHeight="1" spans="1:34">
      <c r="A953" s="184" t="s">
        <v>2622</v>
      </c>
      <c r="B953" s="184" t="s">
        <v>170</v>
      </c>
      <c r="C953" s="184" t="s">
        <v>2623</v>
      </c>
      <c r="D953" s="185" t="s">
        <v>522</v>
      </c>
      <c r="E953" s="186" t="s">
        <v>906</v>
      </c>
      <c r="F953" s="186" t="s">
        <v>2624</v>
      </c>
      <c r="G953" s="186" t="s">
        <v>2625</v>
      </c>
      <c r="H953" s="186" t="s">
        <v>2629</v>
      </c>
      <c r="I953" s="187" t="s">
        <v>2632</v>
      </c>
      <c r="J953" s="187" t="s">
        <v>2633</v>
      </c>
      <c r="K953" s="188">
        <v>1</v>
      </c>
      <c r="L953" s="188">
        <v>1</v>
      </c>
      <c r="M953" s="189" t="s">
        <v>793</v>
      </c>
      <c r="N953" s="190">
        <v>1572.2</v>
      </c>
      <c r="O953" s="190">
        <f t="shared" si="115"/>
        <v>1713.7</v>
      </c>
      <c r="P953" s="191">
        <f t="shared" si="116"/>
        <v>1572.2</v>
      </c>
      <c r="Q953" s="192">
        <f t="shared" si="117"/>
        <v>1572.2</v>
      </c>
      <c r="R953" s="193"/>
      <c r="S953" s="194"/>
      <c r="T953" s="195">
        <f t="shared" si="118"/>
        <v>0</v>
      </c>
      <c r="U953" s="195">
        <f t="shared" si="119"/>
        <v>0</v>
      </c>
      <c r="V953" s="195">
        <f t="shared" si="120"/>
        <v>0</v>
      </c>
      <c r="W953" s="196">
        <f t="shared" si="121"/>
        <v>0</v>
      </c>
      <c r="X953" s="197">
        <f t="shared" si="122"/>
        <v>0</v>
      </c>
      <c r="AH953" s="219" t="s">
        <v>794</v>
      </c>
    </row>
    <row r="954" ht="11.4" customHeight="1" spans="1:34">
      <c r="A954" s="184" t="s">
        <v>2622</v>
      </c>
      <c r="B954" s="184" t="s">
        <v>170</v>
      </c>
      <c r="C954" s="184" t="s">
        <v>2623</v>
      </c>
      <c r="D954" s="185" t="s">
        <v>522</v>
      </c>
      <c r="E954" s="186" t="s">
        <v>906</v>
      </c>
      <c r="F954" s="186" t="s">
        <v>2624</v>
      </c>
      <c r="G954" s="186" t="s">
        <v>2625</v>
      </c>
      <c r="H954" s="186" t="s">
        <v>2634</v>
      </c>
      <c r="I954" s="187" t="s">
        <v>2635</v>
      </c>
      <c r="J954" s="187" t="s">
        <v>2636</v>
      </c>
      <c r="K954" s="188"/>
      <c r="L954" s="188"/>
      <c r="M954" s="189" t="s">
        <v>793</v>
      </c>
      <c r="N954" s="190">
        <v>11764.6</v>
      </c>
      <c r="O954" s="190">
        <f t="shared" si="115"/>
        <v>12823.41</v>
      </c>
      <c r="P954" s="191">
        <f t="shared" si="116"/>
        <v>0</v>
      </c>
      <c r="Q954" s="192">
        <f t="shared" si="117"/>
        <v>0</v>
      </c>
      <c r="R954" s="193"/>
      <c r="S954" s="194"/>
      <c r="T954" s="195">
        <f t="shared" si="118"/>
        <v>0</v>
      </c>
      <c r="U954" s="195">
        <f t="shared" si="119"/>
        <v>0</v>
      </c>
      <c r="V954" s="195">
        <f t="shared" si="120"/>
        <v>0</v>
      </c>
      <c r="W954" s="196" t="e">
        <f t="shared" si="121"/>
        <v>#DIV/0!</v>
      </c>
      <c r="X954" s="197" t="e">
        <f t="shared" si="122"/>
        <v>#DIV/0!</v>
      </c>
      <c r="AH954" s="219" t="s">
        <v>794</v>
      </c>
    </row>
    <row r="955" ht="11.4" customHeight="1" spans="1:34">
      <c r="A955" s="184" t="s">
        <v>2622</v>
      </c>
      <c r="B955" s="184" t="s">
        <v>170</v>
      </c>
      <c r="C955" s="184" t="s">
        <v>2623</v>
      </c>
      <c r="D955" s="185" t="s">
        <v>522</v>
      </c>
      <c r="E955" s="186" t="s">
        <v>906</v>
      </c>
      <c r="F955" s="186" t="s">
        <v>2624</v>
      </c>
      <c r="G955" s="186" t="s">
        <v>2625</v>
      </c>
      <c r="H955" s="186" t="s">
        <v>2634</v>
      </c>
      <c r="I955" s="187" t="s">
        <v>2637</v>
      </c>
      <c r="J955" s="187" t="s">
        <v>2638</v>
      </c>
      <c r="K955" s="188"/>
      <c r="L955" s="188"/>
      <c r="M955" s="189" t="s">
        <v>1018</v>
      </c>
      <c r="N955" s="190">
        <v>661.09</v>
      </c>
      <c r="O955" s="190">
        <f t="shared" si="115"/>
        <v>720.59</v>
      </c>
      <c r="P955" s="191">
        <f t="shared" si="116"/>
        <v>0</v>
      </c>
      <c r="Q955" s="192">
        <f t="shared" si="117"/>
        <v>0</v>
      </c>
      <c r="R955" s="193"/>
      <c r="S955" s="194"/>
      <c r="T955" s="195">
        <f t="shared" si="118"/>
        <v>0</v>
      </c>
      <c r="U955" s="195">
        <f t="shared" si="119"/>
        <v>0</v>
      </c>
      <c r="V955" s="195">
        <f t="shared" si="120"/>
        <v>0</v>
      </c>
      <c r="W955" s="196" t="e">
        <f t="shared" si="121"/>
        <v>#DIV/0!</v>
      </c>
      <c r="X955" s="197" t="e">
        <f t="shared" si="122"/>
        <v>#DIV/0!</v>
      </c>
      <c r="AH955" s="219" t="s">
        <v>892</v>
      </c>
    </row>
    <row r="956" ht="11.4" customHeight="1" spans="1:34">
      <c r="A956" s="184" t="s">
        <v>2622</v>
      </c>
      <c r="B956" s="184" t="s">
        <v>170</v>
      </c>
      <c r="C956" s="184" t="s">
        <v>2623</v>
      </c>
      <c r="D956" s="185" t="s">
        <v>522</v>
      </c>
      <c r="E956" s="186" t="s">
        <v>906</v>
      </c>
      <c r="F956" s="186" t="s">
        <v>2624</v>
      </c>
      <c r="G956" s="186" t="s">
        <v>2625</v>
      </c>
      <c r="H956" s="186" t="s">
        <v>2634</v>
      </c>
      <c r="I956" s="187" t="s">
        <v>2639</v>
      </c>
      <c r="J956" s="187" t="s">
        <v>2640</v>
      </c>
      <c r="K956" s="188"/>
      <c r="L956" s="188"/>
      <c r="M956" s="189" t="s">
        <v>793</v>
      </c>
      <c r="N956" s="190">
        <v>11489.6</v>
      </c>
      <c r="O956" s="190">
        <f t="shared" si="115"/>
        <v>12523.66</v>
      </c>
      <c r="P956" s="191">
        <f t="shared" si="116"/>
        <v>0</v>
      </c>
      <c r="Q956" s="192">
        <f t="shared" si="117"/>
        <v>0</v>
      </c>
      <c r="R956" s="193"/>
      <c r="S956" s="194"/>
      <c r="T956" s="195">
        <f t="shared" si="118"/>
        <v>0</v>
      </c>
      <c r="U956" s="195">
        <f t="shared" si="119"/>
        <v>0</v>
      </c>
      <c r="V956" s="195">
        <f t="shared" si="120"/>
        <v>0</v>
      </c>
      <c r="W956" s="196" t="e">
        <f t="shared" si="121"/>
        <v>#DIV/0!</v>
      </c>
      <c r="X956" s="197" t="e">
        <f t="shared" si="122"/>
        <v>#DIV/0!</v>
      </c>
      <c r="AH956" s="219" t="s">
        <v>794</v>
      </c>
    </row>
    <row r="957" ht="11.4" customHeight="1" spans="1:34">
      <c r="A957" s="184" t="s">
        <v>2622</v>
      </c>
      <c r="B957" s="184" t="s">
        <v>170</v>
      </c>
      <c r="C957" s="184" t="s">
        <v>2623</v>
      </c>
      <c r="D957" s="185" t="s">
        <v>522</v>
      </c>
      <c r="E957" s="186" t="s">
        <v>906</v>
      </c>
      <c r="F957" s="186" t="s">
        <v>2624</v>
      </c>
      <c r="G957" s="186" t="s">
        <v>2625</v>
      </c>
      <c r="H957" s="186" t="s">
        <v>2634</v>
      </c>
      <c r="I957" s="187" t="s">
        <v>2641</v>
      </c>
      <c r="J957" s="187" t="s">
        <v>2642</v>
      </c>
      <c r="K957" s="188"/>
      <c r="L957" s="188"/>
      <c r="M957" s="189" t="s">
        <v>793</v>
      </c>
      <c r="N957" s="190">
        <v>5866.38</v>
      </c>
      <c r="O957" s="190">
        <f t="shared" si="115"/>
        <v>6394.35</v>
      </c>
      <c r="P957" s="191">
        <f t="shared" si="116"/>
        <v>0</v>
      </c>
      <c r="Q957" s="192">
        <f t="shared" si="117"/>
        <v>0</v>
      </c>
      <c r="R957" s="193"/>
      <c r="S957" s="194"/>
      <c r="T957" s="195">
        <f t="shared" si="118"/>
        <v>0</v>
      </c>
      <c r="U957" s="195">
        <f t="shared" si="119"/>
        <v>0</v>
      </c>
      <c r="V957" s="195">
        <f t="shared" si="120"/>
        <v>0</v>
      </c>
      <c r="W957" s="196" t="e">
        <f t="shared" si="121"/>
        <v>#DIV/0!</v>
      </c>
      <c r="X957" s="197" t="e">
        <f t="shared" si="122"/>
        <v>#DIV/0!</v>
      </c>
      <c r="AG957" s="219" t="s">
        <v>990</v>
      </c>
      <c r="AH957" s="219"/>
    </row>
    <row r="958" ht="11.4" customHeight="1" spans="1:34">
      <c r="A958" s="184" t="s">
        <v>2643</v>
      </c>
      <c r="B958" s="184" t="s">
        <v>188</v>
      </c>
      <c r="C958" s="184" t="s">
        <v>2644</v>
      </c>
      <c r="D958" s="185" t="s">
        <v>522</v>
      </c>
      <c r="E958" s="186" t="s">
        <v>2645</v>
      </c>
      <c r="F958" s="186" t="s">
        <v>2646</v>
      </c>
      <c r="G958" s="186" t="s">
        <v>2647</v>
      </c>
      <c r="H958" s="186" t="s">
        <v>2647</v>
      </c>
      <c r="I958" s="187" t="s">
        <v>2648</v>
      </c>
      <c r="J958" s="187" t="s">
        <v>2649</v>
      </c>
      <c r="K958" s="188">
        <v>4.84</v>
      </c>
      <c r="L958" s="188">
        <v>5.02</v>
      </c>
      <c r="M958" s="189" t="s">
        <v>847</v>
      </c>
      <c r="N958" s="190">
        <v>60</v>
      </c>
      <c r="O958" s="190">
        <f t="shared" si="115"/>
        <v>65.4</v>
      </c>
      <c r="P958" s="191">
        <f t="shared" si="116"/>
        <v>290.4</v>
      </c>
      <c r="Q958" s="192">
        <f t="shared" si="117"/>
        <v>301.2</v>
      </c>
      <c r="R958" s="193"/>
      <c r="S958" s="194"/>
      <c r="T958" s="195">
        <f t="shared" si="118"/>
        <v>-0.18</v>
      </c>
      <c r="U958" s="195">
        <f t="shared" si="119"/>
        <v>-10.8</v>
      </c>
      <c r="V958" s="195">
        <f t="shared" si="120"/>
        <v>10.8</v>
      </c>
      <c r="W958" s="196">
        <f t="shared" si="121"/>
        <v>-0.0358565737051792</v>
      </c>
      <c r="X958" s="197">
        <f t="shared" si="122"/>
        <v>0.0358565737051792</v>
      </c>
      <c r="AG958" s="219" t="s">
        <v>2650</v>
      </c>
    </row>
    <row r="959" ht="11.4" customHeight="1" spans="1:34">
      <c r="A959" s="184" t="s">
        <v>2643</v>
      </c>
      <c r="B959" s="184" t="s">
        <v>188</v>
      </c>
      <c r="C959" s="184" t="s">
        <v>2644</v>
      </c>
      <c r="D959" s="185" t="s">
        <v>522</v>
      </c>
      <c r="E959" s="186" t="s">
        <v>2645</v>
      </c>
      <c r="F959" s="186" t="s">
        <v>2651</v>
      </c>
      <c r="G959" s="186" t="s">
        <v>2647</v>
      </c>
      <c r="H959" s="186" t="s">
        <v>2647</v>
      </c>
      <c r="I959" s="187" t="s">
        <v>2652</v>
      </c>
      <c r="J959" s="187" t="s">
        <v>2653</v>
      </c>
      <c r="K959" s="188">
        <v>2.58</v>
      </c>
      <c r="L959" s="188">
        <v>2.64</v>
      </c>
      <c r="M959" s="189" t="s">
        <v>847</v>
      </c>
      <c r="N959" s="190">
        <v>438.66</v>
      </c>
      <c r="O959" s="190">
        <f t="shared" si="115"/>
        <v>478.14</v>
      </c>
      <c r="P959" s="191">
        <f t="shared" si="116"/>
        <v>1131.74</v>
      </c>
      <c r="Q959" s="192">
        <f t="shared" si="117"/>
        <v>1158.06</v>
      </c>
      <c r="R959" s="193"/>
      <c r="S959" s="194"/>
      <c r="T959" s="195">
        <f t="shared" si="118"/>
        <v>-0.0600000000000001</v>
      </c>
      <c r="U959" s="195">
        <f t="shared" si="119"/>
        <v>-26.3199999999999</v>
      </c>
      <c r="V959" s="195">
        <f t="shared" si="120"/>
        <v>26.3199999999999</v>
      </c>
      <c r="W959" s="196">
        <f t="shared" si="121"/>
        <v>-0.0227272727272727</v>
      </c>
      <c r="X959" s="197">
        <f t="shared" si="122"/>
        <v>0.0227272727272727</v>
      </c>
      <c r="AG959" s="219" t="s">
        <v>2654</v>
      </c>
    </row>
    <row r="960" ht="11.4" customHeight="1" spans="1:34">
      <c r="A960" s="184" t="s">
        <v>2643</v>
      </c>
      <c r="B960" s="184" t="s">
        <v>188</v>
      </c>
      <c r="C960" s="184" t="s">
        <v>2644</v>
      </c>
      <c r="D960" s="185" t="s">
        <v>522</v>
      </c>
      <c r="E960" s="186" t="s">
        <v>2645</v>
      </c>
      <c r="F960" s="186" t="s">
        <v>2651</v>
      </c>
      <c r="G960" s="186" t="s">
        <v>2647</v>
      </c>
      <c r="H960" s="186" t="s">
        <v>2647</v>
      </c>
      <c r="I960" s="187" t="s">
        <v>2655</v>
      </c>
      <c r="J960" s="187" t="s">
        <v>2656</v>
      </c>
      <c r="K960" s="188"/>
      <c r="L960" s="188"/>
      <c r="M960" s="189" t="s">
        <v>963</v>
      </c>
      <c r="N960" s="190">
        <v>4341.19</v>
      </c>
      <c r="O960" s="190">
        <f t="shared" si="115"/>
        <v>4731.9</v>
      </c>
      <c r="P960" s="191">
        <f t="shared" si="116"/>
        <v>0</v>
      </c>
      <c r="Q960" s="192">
        <f t="shared" si="117"/>
        <v>0</v>
      </c>
      <c r="R960" s="193"/>
      <c r="S960" s="194"/>
      <c r="T960" s="195">
        <f t="shared" si="118"/>
        <v>0</v>
      </c>
      <c r="U960" s="195">
        <f t="shared" si="119"/>
        <v>0</v>
      </c>
      <c r="V960" s="195">
        <f t="shared" si="120"/>
        <v>0</v>
      </c>
      <c r="W960" s="196" t="e">
        <f t="shared" si="121"/>
        <v>#DIV/0!</v>
      </c>
      <c r="X960" s="197" t="e">
        <f t="shared" si="122"/>
        <v>#DIV/0!</v>
      </c>
      <c r="AG960" s="219" t="s">
        <v>2657</v>
      </c>
    </row>
    <row r="961" ht="11.4" customHeight="1" spans="1:34">
      <c r="A961" s="184" t="s">
        <v>2643</v>
      </c>
      <c r="B961" s="184" t="s">
        <v>188</v>
      </c>
      <c r="C961" s="184" t="s">
        <v>2644</v>
      </c>
      <c r="D961" s="185" t="s">
        <v>522</v>
      </c>
      <c r="E961" s="186" t="s">
        <v>2645</v>
      </c>
      <c r="F961" s="186" t="s">
        <v>2651</v>
      </c>
      <c r="G961" s="186" t="s">
        <v>2647</v>
      </c>
      <c r="H961" s="186" t="s">
        <v>2647</v>
      </c>
      <c r="I961" s="187" t="s">
        <v>2658</v>
      </c>
      <c r="J961" s="187" t="s">
        <v>2659</v>
      </c>
      <c r="K961" s="188"/>
      <c r="L961" s="188"/>
      <c r="M961" s="189" t="s">
        <v>963</v>
      </c>
      <c r="N961" s="190">
        <v>5895.79</v>
      </c>
      <c r="O961" s="190">
        <f t="shared" si="115"/>
        <v>6426.41</v>
      </c>
      <c r="P961" s="191">
        <f t="shared" si="116"/>
        <v>0</v>
      </c>
      <c r="Q961" s="192">
        <f t="shared" si="117"/>
        <v>0</v>
      </c>
      <c r="R961" s="193"/>
      <c r="S961" s="194"/>
      <c r="T961" s="195">
        <f t="shared" si="118"/>
        <v>0</v>
      </c>
      <c r="U961" s="195">
        <f t="shared" si="119"/>
        <v>0</v>
      </c>
      <c r="V961" s="195">
        <f t="shared" si="120"/>
        <v>0</v>
      </c>
      <c r="W961" s="196" t="e">
        <f t="shared" si="121"/>
        <v>#DIV/0!</v>
      </c>
      <c r="X961" s="197" t="e">
        <f t="shared" si="122"/>
        <v>#DIV/0!</v>
      </c>
      <c r="AG961" s="219" t="s">
        <v>2657</v>
      </c>
    </row>
    <row r="962" ht="11.4" customHeight="1" spans="1:34">
      <c r="A962" s="184" t="s">
        <v>2643</v>
      </c>
      <c r="B962" s="184" t="s">
        <v>188</v>
      </c>
      <c r="C962" s="184" t="s">
        <v>2644</v>
      </c>
      <c r="D962" s="185" t="s">
        <v>522</v>
      </c>
      <c r="E962" s="186" t="s">
        <v>2645</v>
      </c>
      <c r="F962" s="186" t="s">
        <v>2651</v>
      </c>
      <c r="G962" s="186" t="s">
        <v>2647</v>
      </c>
      <c r="H962" s="186" t="s">
        <v>2647</v>
      </c>
      <c r="I962" s="187" t="s">
        <v>2660</v>
      </c>
      <c r="J962" s="187" t="s">
        <v>2661</v>
      </c>
      <c r="K962" s="188"/>
      <c r="L962" s="188"/>
      <c r="M962" s="189" t="s">
        <v>963</v>
      </c>
      <c r="N962" s="190">
        <v>1317.56</v>
      </c>
      <c r="O962" s="190">
        <f t="shared" si="115"/>
        <v>1436.14</v>
      </c>
      <c r="P962" s="191">
        <f t="shared" si="116"/>
        <v>0</v>
      </c>
      <c r="Q962" s="192">
        <f t="shared" si="117"/>
        <v>0</v>
      </c>
      <c r="R962" s="193"/>
      <c r="S962" s="194"/>
      <c r="T962" s="195">
        <f t="shared" si="118"/>
        <v>0</v>
      </c>
      <c r="U962" s="195">
        <f t="shared" si="119"/>
        <v>0</v>
      </c>
      <c r="V962" s="195">
        <f t="shared" si="120"/>
        <v>0</v>
      </c>
      <c r="W962" s="196" t="e">
        <f t="shared" si="121"/>
        <v>#DIV/0!</v>
      </c>
      <c r="X962" s="197" t="e">
        <f t="shared" si="122"/>
        <v>#DIV/0!</v>
      </c>
      <c r="AG962" s="219" t="s">
        <v>990</v>
      </c>
    </row>
    <row r="963" ht="11.4" customHeight="1" spans="1:34">
      <c r="A963" s="184" t="s">
        <v>2643</v>
      </c>
      <c r="B963" s="184" t="s">
        <v>188</v>
      </c>
      <c r="C963" s="184" t="s">
        <v>2644</v>
      </c>
      <c r="D963" s="185" t="s">
        <v>522</v>
      </c>
      <c r="E963" s="186" t="s">
        <v>2645</v>
      </c>
      <c r="F963" s="186" t="s">
        <v>2651</v>
      </c>
      <c r="G963" s="186" t="s">
        <v>2647</v>
      </c>
      <c r="H963" s="186" t="s">
        <v>2647</v>
      </c>
      <c r="I963" s="187" t="s">
        <v>2662</v>
      </c>
      <c r="J963" s="187" t="s">
        <v>2663</v>
      </c>
      <c r="K963" s="188"/>
      <c r="L963" s="188"/>
      <c r="M963" s="189" t="s">
        <v>963</v>
      </c>
      <c r="N963" s="190">
        <v>16886.35</v>
      </c>
      <c r="O963" s="190">
        <f t="shared" si="115"/>
        <v>18406.12</v>
      </c>
      <c r="P963" s="191">
        <f t="shared" si="116"/>
        <v>0</v>
      </c>
      <c r="Q963" s="192">
        <f t="shared" si="117"/>
        <v>0</v>
      </c>
      <c r="R963" s="193"/>
      <c r="S963" s="194"/>
      <c r="T963" s="195">
        <f t="shared" si="118"/>
        <v>0</v>
      </c>
      <c r="U963" s="195">
        <f t="shared" si="119"/>
        <v>0</v>
      </c>
      <c r="V963" s="195">
        <f t="shared" si="120"/>
        <v>0</v>
      </c>
      <c r="W963" s="196" t="e">
        <f t="shared" si="121"/>
        <v>#DIV/0!</v>
      </c>
      <c r="X963" s="197" t="e">
        <f t="shared" si="122"/>
        <v>#DIV/0!</v>
      </c>
      <c r="AG963" s="219" t="s">
        <v>990</v>
      </c>
    </row>
    <row r="964" ht="11.4" customHeight="1" spans="1:34">
      <c r="A964" s="184" t="s">
        <v>2643</v>
      </c>
      <c r="B964" s="184" t="s">
        <v>188</v>
      </c>
      <c r="C964" s="184" t="s">
        <v>2644</v>
      </c>
      <c r="D964" s="185" t="s">
        <v>522</v>
      </c>
      <c r="E964" s="186" t="s">
        <v>2645</v>
      </c>
      <c r="F964" s="186" t="s">
        <v>2651</v>
      </c>
      <c r="G964" s="186" t="s">
        <v>2647</v>
      </c>
      <c r="H964" s="186" t="s">
        <v>2647</v>
      </c>
      <c r="I964" s="187" t="s">
        <v>2664</v>
      </c>
      <c r="J964" s="187" t="s">
        <v>2665</v>
      </c>
      <c r="K964" s="188"/>
      <c r="L964" s="188"/>
      <c r="M964" s="189" t="s">
        <v>963</v>
      </c>
      <c r="N964" s="190">
        <v>43209.18</v>
      </c>
      <c r="O964" s="190">
        <f t="shared" si="115"/>
        <v>47098.01</v>
      </c>
      <c r="P964" s="191">
        <f t="shared" si="116"/>
        <v>0</v>
      </c>
      <c r="Q964" s="192">
        <f t="shared" si="117"/>
        <v>0</v>
      </c>
      <c r="R964" s="193"/>
      <c r="S964" s="194"/>
      <c r="T964" s="195">
        <f t="shared" si="118"/>
        <v>0</v>
      </c>
      <c r="U964" s="195">
        <f t="shared" si="119"/>
        <v>0</v>
      </c>
      <c r="V964" s="195">
        <f t="shared" si="120"/>
        <v>0</v>
      </c>
      <c r="W964" s="196" t="e">
        <f t="shared" si="121"/>
        <v>#DIV/0!</v>
      </c>
      <c r="X964" s="197" t="e">
        <f t="shared" si="122"/>
        <v>#DIV/0!</v>
      </c>
      <c r="AG964" s="219" t="s">
        <v>990</v>
      </c>
    </row>
    <row r="965" ht="11.4" customHeight="1" spans="1:34">
      <c r="A965" s="184" t="s">
        <v>2643</v>
      </c>
      <c r="B965" s="184" t="s">
        <v>188</v>
      </c>
      <c r="C965" s="184" t="s">
        <v>2644</v>
      </c>
      <c r="D965" s="185" t="s">
        <v>522</v>
      </c>
      <c r="E965" s="186" t="s">
        <v>2645</v>
      </c>
      <c r="F965" s="186" t="s">
        <v>2651</v>
      </c>
      <c r="G965" s="186" t="s">
        <v>2647</v>
      </c>
      <c r="H965" s="186" t="s">
        <v>2647</v>
      </c>
      <c r="I965" s="187" t="s">
        <v>2666</v>
      </c>
      <c r="J965" s="187" t="s">
        <v>2667</v>
      </c>
      <c r="K965" s="188"/>
      <c r="L965" s="188"/>
      <c r="M965" s="189" t="s">
        <v>963</v>
      </c>
      <c r="N965" s="190">
        <v>18631.78</v>
      </c>
      <c r="O965" s="190">
        <f t="shared" si="115"/>
        <v>20308.64</v>
      </c>
      <c r="P965" s="191">
        <f t="shared" si="116"/>
        <v>0</v>
      </c>
      <c r="Q965" s="192">
        <f t="shared" si="117"/>
        <v>0</v>
      </c>
      <c r="R965" s="193"/>
      <c r="S965" s="194"/>
      <c r="T965" s="195">
        <f t="shared" si="118"/>
        <v>0</v>
      </c>
      <c r="U965" s="195">
        <f t="shared" si="119"/>
        <v>0</v>
      </c>
      <c r="V965" s="195">
        <f t="shared" si="120"/>
        <v>0</v>
      </c>
      <c r="W965" s="196" t="e">
        <f t="shared" si="121"/>
        <v>#DIV/0!</v>
      </c>
      <c r="X965" s="197" t="e">
        <f t="shared" si="122"/>
        <v>#DIV/0!</v>
      </c>
      <c r="AG965" s="219" t="s">
        <v>990</v>
      </c>
    </row>
    <row r="966" ht="11.4" customHeight="1" spans="1:34">
      <c r="A966" s="184" t="s">
        <v>2643</v>
      </c>
      <c r="B966" s="184" t="s">
        <v>188</v>
      </c>
      <c r="C966" s="184" t="s">
        <v>2644</v>
      </c>
      <c r="D966" s="185" t="s">
        <v>522</v>
      </c>
      <c r="E966" s="186" t="s">
        <v>2645</v>
      </c>
      <c r="F966" s="186" t="s">
        <v>2651</v>
      </c>
      <c r="G966" s="186" t="s">
        <v>2647</v>
      </c>
      <c r="H966" s="186" t="s">
        <v>2647</v>
      </c>
      <c r="I966" s="187" t="s">
        <v>2668</v>
      </c>
      <c r="J966" s="187" t="s">
        <v>2669</v>
      </c>
      <c r="K966" s="188"/>
      <c r="L966" s="188"/>
      <c r="M966" s="189" t="s">
        <v>963</v>
      </c>
      <c r="N966" s="190">
        <v>45299.18</v>
      </c>
      <c r="O966" s="190">
        <f t="shared" si="115"/>
        <v>49376.11</v>
      </c>
      <c r="P966" s="191">
        <f t="shared" si="116"/>
        <v>0</v>
      </c>
      <c r="Q966" s="192">
        <f t="shared" si="117"/>
        <v>0</v>
      </c>
      <c r="R966" s="193"/>
      <c r="S966" s="194"/>
      <c r="T966" s="195">
        <f t="shared" si="118"/>
        <v>0</v>
      </c>
      <c r="U966" s="195">
        <f t="shared" si="119"/>
        <v>0</v>
      </c>
      <c r="V966" s="195">
        <f t="shared" si="120"/>
        <v>0</v>
      </c>
      <c r="W966" s="196" t="e">
        <f t="shared" si="121"/>
        <v>#DIV/0!</v>
      </c>
      <c r="X966" s="197" t="e">
        <f t="shared" si="122"/>
        <v>#DIV/0!</v>
      </c>
      <c r="AG966" s="219" t="s">
        <v>990</v>
      </c>
    </row>
    <row r="967" ht="11.4" customHeight="1" spans="1:34">
      <c r="A967" s="184" t="s">
        <v>2643</v>
      </c>
      <c r="B967" s="184" t="s">
        <v>188</v>
      </c>
      <c r="C967" s="184" t="s">
        <v>2644</v>
      </c>
      <c r="D967" s="185" t="s">
        <v>522</v>
      </c>
      <c r="E967" s="186" t="s">
        <v>2645</v>
      </c>
      <c r="F967" s="186" t="s">
        <v>2651</v>
      </c>
      <c r="G967" s="186" t="s">
        <v>2647</v>
      </c>
      <c r="H967" s="186" t="s">
        <v>2647</v>
      </c>
      <c r="I967" s="187" t="s">
        <v>2670</v>
      </c>
      <c r="J967" s="187" t="s">
        <v>2671</v>
      </c>
      <c r="K967" s="188"/>
      <c r="L967" s="188"/>
      <c r="M967" s="189" t="s">
        <v>963</v>
      </c>
      <c r="N967" s="190">
        <v>3067.95</v>
      </c>
      <c r="O967" s="190">
        <f t="shared" si="115"/>
        <v>3344.07</v>
      </c>
      <c r="P967" s="191">
        <f t="shared" si="116"/>
        <v>0</v>
      </c>
      <c r="Q967" s="192">
        <f t="shared" si="117"/>
        <v>0</v>
      </c>
      <c r="R967" s="193"/>
      <c r="S967" s="194"/>
      <c r="T967" s="195">
        <f t="shared" si="118"/>
        <v>0</v>
      </c>
      <c r="U967" s="195">
        <f t="shared" si="119"/>
        <v>0</v>
      </c>
      <c r="V967" s="195">
        <f t="shared" si="120"/>
        <v>0</v>
      </c>
      <c r="W967" s="196" t="e">
        <f t="shared" si="121"/>
        <v>#DIV/0!</v>
      </c>
      <c r="X967" s="197" t="e">
        <f t="shared" si="122"/>
        <v>#DIV/0!</v>
      </c>
      <c r="AG967" s="219" t="s">
        <v>990</v>
      </c>
    </row>
    <row r="968" ht="11.4" customHeight="1" spans="1:34">
      <c r="A968" s="184" t="s">
        <v>2643</v>
      </c>
      <c r="B968" s="184" t="s">
        <v>188</v>
      </c>
      <c r="C968" s="184" t="s">
        <v>2644</v>
      </c>
      <c r="D968" s="185" t="s">
        <v>522</v>
      </c>
      <c r="E968" s="186" t="s">
        <v>2645</v>
      </c>
      <c r="F968" s="186" t="s">
        <v>2651</v>
      </c>
      <c r="G968" s="186" t="s">
        <v>2647</v>
      </c>
      <c r="H968" s="186" t="s">
        <v>2647</v>
      </c>
      <c r="I968" s="187" t="s">
        <v>2672</v>
      </c>
      <c r="J968" s="187" t="s">
        <v>2673</v>
      </c>
      <c r="K968" s="188"/>
      <c r="L968" s="188"/>
      <c r="M968" s="189" t="s">
        <v>963</v>
      </c>
      <c r="N968" s="190">
        <v>4892.05</v>
      </c>
      <c r="O968" s="190">
        <f t="shared" si="115"/>
        <v>5332.33</v>
      </c>
      <c r="P968" s="191">
        <f t="shared" si="116"/>
        <v>0</v>
      </c>
      <c r="Q968" s="192">
        <f t="shared" si="117"/>
        <v>0</v>
      </c>
      <c r="R968" s="193"/>
      <c r="S968" s="194"/>
      <c r="T968" s="195">
        <f t="shared" si="118"/>
        <v>0</v>
      </c>
      <c r="U968" s="195">
        <f t="shared" si="119"/>
        <v>0</v>
      </c>
      <c r="V968" s="195">
        <f t="shared" si="120"/>
        <v>0</v>
      </c>
      <c r="W968" s="196" t="e">
        <f t="shared" si="121"/>
        <v>#DIV/0!</v>
      </c>
      <c r="X968" s="197" t="e">
        <f t="shared" si="122"/>
        <v>#DIV/0!</v>
      </c>
      <c r="AG968" s="219" t="s">
        <v>990</v>
      </c>
    </row>
    <row r="969" ht="11.4" customHeight="1" spans="1:34">
      <c r="A969" s="184" t="s">
        <v>2643</v>
      </c>
      <c r="B969" s="184" t="s">
        <v>188</v>
      </c>
      <c r="C969" s="184" t="s">
        <v>2644</v>
      </c>
      <c r="D969" s="185" t="s">
        <v>522</v>
      </c>
      <c r="E969" s="186" t="s">
        <v>2645</v>
      </c>
      <c r="F969" s="186" t="s">
        <v>2651</v>
      </c>
      <c r="G969" s="186" t="s">
        <v>2647</v>
      </c>
      <c r="H969" s="186" t="s">
        <v>2647</v>
      </c>
      <c r="I969" s="187" t="s">
        <v>2674</v>
      </c>
      <c r="J969" s="187" t="s">
        <v>2675</v>
      </c>
      <c r="K969" s="188">
        <v>1</v>
      </c>
      <c r="L969" s="188">
        <v>1</v>
      </c>
      <c r="M969" s="189" t="s">
        <v>963</v>
      </c>
      <c r="N969" s="190">
        <v>1554.6</v>
      </c>
      <c r="O969" s="190">
        <f t="shared" si="115"/>
        <v>1694.51</v>
      </c>
      <c r="P969" s="191">
        <f t="shared" si="116"/>
        <v>1554.6</v>
      </c>
      <c r="Q969" s="192">
        <f t="shared" si="117"/>
        <v>1554.6</v>
      </c>
      <c r="R969" s="193"/>
      <c r="S969" s="194"/>
      <c r="T969" s="195">
        <f t="shared" si="118"/>
        <v>0</v>
      </c>
      <c r="U969" s="195">
        <f t="shared" si="119"/>
        <v>0</v>
      </c>
      <c r="V969" s="195">
        <f t="shared" si="120"/>
        <v>0</v>
      </c>
      <c r="W969" s="196">
        <f t="shared" si="121"/>
        <v>0</v>
      </c>
      <c r="X969" s="197">
        <f t="shared" si="122"/>
        <v>0</v>
      </c>
      <c r="AG969" s="219" t="s">
        <v>990</v>
      </c>
    </row>
    <row r="970" ht="11.4" customHeight="1" spans="1:34">
      <c r="A970" s="184" t="s">
        <v>2643</v>
      </c>
      <c r="B970" s="184" t="s">
        <v>188</v>
      </c>
      <c r="C970" s="184" t="s">
        <v>2644</v>
      </c>
      <c r="D970" s="185" t="s">
        <v>522</v>
      </c>
      <c r="E970" s="186" t="s">
        <v>2645</v>
      </c>
      <c r="F970" s="186" t="s">
        <v>2651</v>
      </c>
      <c r="G970" s="186" t="s">
        <v>2647</v>
      </c>
      <c r="H970" s="186" t="s">
        <v>2647</v>
      </c>
      <c r="I970" s="187" t="s">
        <v>2676</v>
      </c>
      <c r="J970" s="187" t="s">
        <v>2677</v>
      </c>
      <c r="K970" s="188"/>
      <c r="L970" s="188"/>
      <c r="M970" s="189" t="s">
        <v>963</v>
      </c>
      <c r="N970" s="190">
        <v>165</v>
      </c>
      <c r="O970" s="190">
        <f t="shared" si="115"/>
        <v>179.85</v>
      </c>
      <c r="P970" s="191">
        <f t="shared" si="116"/>
        <v>0</v>
      </c>
      <c r="Q970" s="192">
        <f t="shared" si="117"/>
        <v>0</v>
      </c>
      <c r="R970" s="193"/>
      <c r="S970" s="194"/>
      <c r="T970" s="195">
        <f t="shared" si="118"/>
        <v>0</v>
      </c>
      <c r="U970" s="195">
        <f t="shared" si="119"/>
        <v>0</v>
      </c>
      <c r="V970" s="195">
        <f t="shared" si="120"/>
        <v>0</v>
      </c>
      <c r="W970" s="196" t="e">
        <f t="shared" si="121"/>
        <v>#DIV/0!</v>
      </c>
      <c r="X970" s="197" t="e">
        <f t="shared" si="122"/>
        <v>#DIV/0!</v>
      </c>
      <c r="AG970" s="219" t="s">
        <v>990</v>
      </c>
    </row>
    <row r="971" ht="11.4" customHeight="1" spans="1:34">
      <c r="A971" s="184" t="s">
        <v>2643</v>
      </c>
      <c r="B971" s="184" t="s">
        <v>188</v>
      </c>
      <c r="C971" s="184" t="s">
        <v>2644</v>
      </c>
      <c r="D971" s="185" t="s">
        <v>522</v>
      </c>
      <c r="E971" s="186" t="s">
        <v>2645</v>
      </c>
      <c r="F971" s="186" t="s">
        <v>2651</v>
      </c>
      <c r="G971" s="186" t="s">
        <v>2647</v>
      </c>
      <c r="H971" s="186" t="s">
        <v>2647</v>
      </c>
      <c r="I971" s="187" t="s">
        <v>2678</v>
      </c>
      <c r="J971" s="187" t="s">
        <v>2679</v>
      </c>
      <c r="K971" s="188">
        <v>2</v>
      </c>
      <c r="L971" s="188">
        <v>2</v>
      </c>
      <c r="M971" s="189" t="s">
        <v>963</v>
      </c>
      <c r="N971" s="190">
        <v>648.76</v>
      </c>
      <c r="O971" s="190">
        <f t="shared" si="115"/>
        <v>707.15</v>
      </c>
      <c r="P971" s="191">
        <f t="shared" si="116"/>
        <v>1297.52</v>
      </c>
      <c r="Q971" s="192">
        <f t="shared" si="117"/>
        <v>1297.52</v>
      </c>
      <c r="R971" s="193"/>
      <c r="S971" s="194"/>
      <c r="T971" s="195">
        <f t="shared" si="118"/>
        <v>0</v>
      </c>
      <c r="U971" s="195">
        <f t="shared" si="119"/>
        <v>0</v>
      </c>
      <c r="V971" s="195">
        <f t="shared" si="120"/>
        <v>0</v>
      </c>
      <c r="W971" s="196">
        <f t="shared" si="121"/>
        <v>0</v>
      </c>
      <c r="X971" s="197">
        <f t="shared" si="122"/>
        <v>0</v>
      </c>
      <c r="AG971" s="219" t="s">
        <v>990</v>
      </c>
    </row>
    <row r="972" ht="11.4" customHeight="1" spans="1:34">
      <c r="A972" s="184" t="s">
        <v>2643</v>
      </c>
      <c r="B972" s="184" t="s">
        <v>188</v>
      </c>
      <c r="C972" s="184" t="s">
        <v>2644</v>
      </c>
      <c r="D972" s="185" t="s">
        <v>522</v>
      </c>
      <c r="E972" s="186" t="s">
        <v>2645</v>
      </c>
      <c r="F972" s="186" t="s">
        <v>2651</v>
      </c>
      <c r="G972" s="186" t="s">
        <v>2647</v>
      </c>
      <c r="H972" s="186" t="s">
        <v>2647</v>
      </c>
      <c r="I972" s="187" t="s">
        <v>2680</v>
      </c>
      <c r="J972" s="187" t="s">
        <v>2681</v>
      </c>
      <c r="K972" s="188"/>
      <c r="L972" s="188"/>
      <c r="M972" s="189" t="s">
        <v>1018</v>
      </c>
      <c r="N972" s="190">
        <v>1369.65</v>
      </c>
      <c r="O972" s="190">
        <f t="shared" si="115"/>
        <v>1492.92</v>
      </c>
      <c r="P972" s="191">
        <f t="shared" si="116"/>
        <v>0</v>
      </c>
      <c r="Q972" s="192">
        <f t="shared" si="117"/>
        <v>0</v>
      </c>
      <c r="R972" s="193"/>
      <c r="S972" s="194"/>
      <c r="T972" s="195">
        <f t="shared" si="118"/>
        <v>0</v>
      </c>
      <c r="U972" s="195">
        <f t="shared" si="119"/>
        <v>0</v>
      </c>
      <c r="V972" s="195">
        <f t="shared" si="120"/>
        <v>0</v>
      </c>
      <c r="W972" s="196" t="e">
        <f t="shared" si="121"/>
        <v>#DIV/0!</v>
      </c>
      <c r="X972" s="197" t="e">
        <f t="shared" si="122"/>
        <v>#DIV/0!</v>
      </c>
      <c r="AG972" s="219" t="s">
        <v>990</v>
      </c>
    </row>
    <row r="973" ht="11.4" customHeight="1" spans="1:34">
      <c r="A973" s="184" t="s">
        <v>2643</v>
      </c>
      <c r="B973" s="184" t="s">
        <v>188</v>
      </c>
      <c r="C973" s="184" t="s">
        <v>2644</v>
      </c>
      <c r="D973" s="185" t="s">
        <v>522</v>
      </c>
      <c r="E973" s="186" t="s">
        <v>2645</v>
      </c>
      <c r="F973" s="186" t="s">
        <v>2651</v>
      </c>
      <c r="G973" s="186" t="s">
        <v>2647</v>
      </c>
      <c r="H973" s="186" t="s">
        <v>2647</v>
      </c>
      <c r="I973" s="187" t="s">
        <v>2682</v>
      </c>
      <c r="J973" s="187" t="s">
        <v>2683</v>
      </c>
      <c r="K973" s="188"/>
      <c r="L973" s="188"/>
      <c r="M973" s="189" t="s">
        <v>847</v>
      </c>
      <c r="N973" s="190">
        <v>489.26</v>
      </c>
      <c r="O973" s="190">
        <f t="shared" ref="O973:O1036" si="123">ROUND(N973*(1+$F$10),2)</f>
        <v>533.29</v>
      </c>
      <c r="P973" s="191">
        <f t="shared" ref="P973:P1036" si="124">ROUND(K973*N973,2)</f>
        <v>0</v>
      </c>
      <c r="Q973" s="192">
        <f t="shared" si="117"/>
        <v>0</v>
      </c>
      <c r="R973" s="193"/>
      <c r="S973" s="194"/>
      <c r="T973" s="195">
        <f t="shared" si="118"/>
        <v>0</v>
      </c>
      <c r="U973" s="195">
        <f t="shared" si="119"/>
        <v>0</v>
      </c>
      <c r="V973" s="195">
        <f t="shared" si="120"/>
        <v>0</v>
      </c>
      <c r="W973" s="196" t="e">
        <f t="shared" si="121"/>
        <v>#DIV/0!</v>
      </c>
      <c r="X973" s="197" t="e">
        <f t="shared" si="122"/>
        <v>#DIV/0!</v>
      </c>
      <c r="AH973" s="219" t="s">
        <v>1903</v>
      </c>
    </row>
    <row r="974" ht="11.4" customHeight="1" spans="1:34">
      <c r="A974" s="184" t="s">
        <v>2643</v>
      </c>
      <c r="B974" s="184" t="s">
        <v>188</v>
      </c>
      <c r="C974" s="184" t="s">
        <v>2644</v>
      </c>
      <c r="D974" s="185" t="s">
        <v>522</v>
      </c>
      <c r="E974" s="186" t="s">
        <v>2645</v>
      </c>
      <c r="F974" s="186" t="s">
        <v>2651</v>
      </c>
      <c r="G974" s="186" t="s">
        <v>2647</v>
      </c>
      <c r="H974" s="186" t="s">
        <v>2647</v>
      </c>
      <c r="I974" s="187" t="s">
        <v>2684</v>
      </c>
      <c r="J974" s="187" t="s">
        <v>2685</v>
      </c>
      <c r="K974" s="188"/>
      <c r="L974" s="188"/>
      <c r="M974" s="189" t="s">
        <v>963</v>
      </c>
      <c r="N974" s="190">
        <v>1457.26</v>
      </c>
      <c r="O974" s="190">
        <f t="shared" si="123"/>
        <v>1588.41</v>
      </c>
      <c r="P974" s="191">
        <f t="shared" si="124"/>
        <v>0</v>
      </c>
      <c r="Q974" s="192">
        <f t="shared" ref="Q974:Q1037" si="125">ROUND(L974*N974,2)</f>
        <v>0</v>
      </c>
      <c r="R974" s="193"/>
      <c r="S974" s="194"/>
      <c r="T974" s="195">
        <f t="shared" ref="T974:T1037" si="126">K974-L974</f>
        <v>0</v>
      </c>
      <c r="U974" s="195">
        <f t="shared" ref="U974:U1037" si="127">P974-Q974</f>
        <v>0</v>
      </c>
      <c r="V974" s="195">
        <f t="shared" ref="V974:V1037" si="128">ABS(U974)</f>
        <v>0</v>
      </c>
      <c r="W974" s="196" t="e">
        <f t="shared" ref="W974:W1037" si="129">T974/L974</f>
        <v>#DIV/0!</v>
      </c>
      <c r="X974" s="197" t="e">
        <f t="shared" ref="X974:X1037" si="130">ABS(W974)</f>
        <v>#DIV/0!</v>
      </c>
      <c r="AH974" s="219" t="s">
        <v>1903</v>
      </c>
    </row>
    <row r="975" ht="11.4" customHeight="1" spans="1:34">
      <c r="A975" s="184" t="s">
        <v>2643</v>
      </c>
      <c r="B975" s="184" t="s">
        <v>188</v>
      </c>
      <c r="C975" s="184" t="s">
        <v>2644</v>
      </c>
      <c r="D975" s="185" t="s">
        <v>522</v>
      </c>
      <c r="E975" s="186" t="s">
        <v>2645</v>
      </c>
      <c r="F975" s="186" t="s">
        <v>2651</v>
      </c>
      <c r="G975" s="186" t="s">
        <v>2647</v>
      </c>
      <c r="H975" s="186" t="s">
        <v>2647</v>
      </c>
      <c r="I975" s="187" t="s">
        <v>2686</v>
      </c>
      <c r="J975" s="187" t="s">
        <v>2687</v>
      </c>
      <c r="K975" s="188"/>
      <c r="L975" s="188"/>
      <c r="M975" s="189" t="s">
        <v>963</v>
      </c>
      <c r="N975" s="190">
        <v>489.26</v>
      </c>
      <c r="O975" s="190">
        <f t="shared" si="123"/>
        <v>533.29</v>
      </c>
      <c r="P975" s="191">
        <f t="shared" si="124"/>
        <v>0</v>
      </c>
      <c r="Q975" s="192">
        <f t="shared" si="125"/>
        <v>0</v>
      </c>
      <c r="R975" s="193"/>
      <c r="S975" s="194"/>
      <c r="T975" s="195">
        <f t="shared" si="126"/>
        <v>0</v>
      </c>
      <c r="U975" s="195">
        <f t="shared" si="127"/>
        <v>0</v>
      </c>
      <c r="V975" s="195">
        <f t="shared" si="128"/>
        <v>0</v>
      </c>
      <c r="W975" s="196" t="e">
        <f t="shared" si="129"/>
        <v>#DIV/0!</v>
      </c>
      <c r="X975" s="197" t="e">
        <f t="shared" si="130"/>
        <v>#DIV/0!</v>
      </c>
      <c r="AH975" s="219" t="s">
        <v>1903</v>
      </c>
    </row>
    <row r="976" ht="11.4" customHeight="1" spans="1:34">
      <c r="A976" s="184" t="s">
        <v>2643</v>
      </c>
      <c r="B976" s="184" t="s">
        <v>188</v>
      </c>
      <c r="C976" s="184" t="s">
        <v>2644</v>
      </c>
      <c r="D976" s="185" t="s">
        <v>522</v>
      </c>
      <c r="E976" s="186" t="s">
        <v>2645</v>
      </c>
      <c r="F976" s="186" t="s">
        <v>2651</v>
      </c>
      <c r="G976" s="186" t="s">
        <v>2647</v>
      </c>
      <c r="H976" s="186" t="s">
        <v>2647</v>
      </c>
      <c r="I976" s="187" t="s">
        <v>2688</v>
      </c>
      <c r="J976" s="187" t="s">
        <v>2689</v>
      </c>
      <c r="K976" s="188"/>
      <c r="L976" s="188"/>
      <c r="M976" s="189" t="s">
        <v>963</v>
      </c>
      <c r="N976" s="190">
        <v>439.49</v>
      </c>
      <c r="O976" s="190">
        <f t="shared" si="123"/>
        <v>479.04</v>
      </c>
      <c r="P976" s="191">
        <f t="shared" si="124"/>
        <v>0</v>
      </c>
      <c r="Q976" s="192">
        <f t="shared" si="125"/>
        <v>0</v>
      </c>
      <c r="R976" s="193"/>
      <c r="S976" s="194"/>
      <c r="T976" s="195">
        <f t="shared" si="126"/>
        <v>0</v>
      </c>
      <c r="U976" s="195">
        <f t="shared" si="127"/>
        <v>0</v>
      </c>
      <c r="V976" s="195">
        <f t="shared" si="128"/>
        <v>0</v>
      </c>
      <c r="W976" s="196" t="e">
        <f t="shared" si="129"/>
        <v>#DIV/0!</v>
      </c>
      <c r="X976" s="197" t="e">
        <f t="shared" si="130"/>
        <v>#DIV/0!</v>
      </c>
      <c r="AH976" s="219" t="s">
        <v>1903</v>
      </c>
    </row>
    <row r="977" ht="11.4" customHeight="1" spans="1:33">
      <c r="A977" s="184" t="s">
        <v>2643</v>
      </c>
      <c r="B977" s="184" t="s">
        <v>188</v>
      </c>
      <c r="C977" s="184" t="s">
        <v>2644</v>
      </c>
      <c r="D977" s="185" t="s">
        <v>522</v>
      </c>
      <c r="E977" s="186" t="s">
        <v>2645</v>
      </c>
      <c r="F977" s="186" t="s">
        <v>2651</v>
      </c>
      <c r="G977" s="186" t="s">
        <v>2647</v>
      </c>
      <c r="H977" s="186" t="s">
        <v>2647</v>
      </c>
      <c r="I977" s="187" t="s">
        <v>2690</v>
      </c>
      <c r="J977" s="187" t="s">
        <v>2691</v>
      </c>
      <c r="K977" s="188"/>
      <c r="L977" s="188"/>
      <c r="M977" s="189" t="s">
        <v>963</v>
      </c>
      <c r="N977" s="190">
        <v>6462.29</v>
      </c>
      <c r="O977" s="190">
        <f t="shared" si="123"/>
        <v>7043.9</v>
      </c>
      <c r="P977" s="191">
        <f t="shared" si="124"/>
        <v>0</v>
      </c>
      <c r="Q977" s="192">
        <f t="shared" si="125"/>
        <v>0</v>
      </c>
      <c r="R977" s="193"/>
      <c r="S977" s="194"/>
      <c r="T977" s="195">
        <f t="shared" si="126"/>
        <v>0</v>
      </c>
      <c r="U977" s="195">
        <f t="shared" si="127"/>
        <v>0</v>
      </c>
      <c r="V977" s="195">
        <f t="shared" si="128"/>
        <v>0</v>
      </c>
      <c r="W977" s="196" t="e">
        <f t="shared" si="129"/>
        <v>#DIV/0!</v>
      </c>
      <c r="X977" s="197" t="e">
        <f t="shared" si="130"/>
        <v>#DIV/0!</v>
      </c>
      <c r="AG977" s="109" t="s">
        <v>2657</v>
      </c>
    </row>
    <row r="978" ht="11.4" customHeight="1" spans="1:33">
      <c r="A978" s="184" t="s">
        <v>2643</v>
      </c>
      <c r="B978" s="184" t="s">
        <v>188</v>
      </c>
      <c r="C978" s="184" t="s">
        <v>2644</v>
      </c>
      <c r="D978" s="185" t="s">
        <v>522</v>
      </c>
      <c r="E978" s="186" t="s">
        <v>2645</v>
      </c>
      <c r="F978" s="186" t="s">
        <v>2651</v>
      </c>
      <c r="G978" s="186" t="s">
        <v>2647</v>
      </c>
      <c r="H978" s="186" t="s">
        <v>2647</v>
      </c>
      <c r="I978" s="187" t="s">
        <v>2692</v>
      </c>
      <c r="J978" s="187" t="s">
        <v>2693</v>
      </c>
      <c r="K978" s="188"/>
      <c r="L978" s="188"/>
      <c r="M978" s="189" t="s">
        <v>963</v>
      </c>
      <c r="N978" s="190">
        <v>4737.19</v>
      </c>
      <c r="O978" s="190">
        <f t="shared" si="123"/>
        <v>5163.54</v>
      </c>
      <c r="P978" s="191">
        <f t="shared" si="124"/>
        <v>0</v>
      </c>
      <c r="Q978" s="192">
        <f t="shared" si="125"/>
        <v>0</v>
      </c>
      <c r="R978" s="193"/>
      <c r="S978" s="194"/>
      <c r="T978" s="195">
        <f t="shared" si="126"/>
        <v>0</v>
      </c>
      <c r="U978" s="195">
        <f t="shared" si="127"/>
        <v>0</v>
      </c>
      <c r="V978" s="195">
        <f t="shared" si="128"/>
        <v>0</v>
      </c>
      <c r="W978" s="196" t="e">
        <f t="shared" si="129"/>
        <v>#DIV/0!</v>
      </c>
      <c r="X978" s="197" t="e">
        <f t="shared" si="130"/>
        <v>#DIV/0!</v>
      </c>
      <c r="AG978" s="109" t="s">
        <v>2657</v>
      </c>
    </row>
    <row r="979" ht="11.4" customHeight="1" spans="1:33">
      <c r="A979" s="184" t="s">
        <v>2643</v>
      </c>
      <c r="B979" s="184" t="s">
        <v>188</v>
      </c>
      <c r="C979" s="184" t="s">
        <v>2644</v>
      </c>
      <c r="D979" s="185" t="s">
        <v>522</v>
      </c>
      <c r="E979" s="186" t="s">
        <v>2645</v>
      </c>
      <c r="F979" s="186" t="s">
        <v>2651</v>
      </c>
      <c r="G979" s="186" t="s">
        <v>2647</v>
      </c>
      <c r="H979" s="186" t="s">
        <v>2647</v>
      </c>
      <c r="I979" s="187" t="s">
        <v>2694</v>
      </c>
      <c r="J979" s="187" t="s">
        <v>2695</v>
      </c>
      <c r="K979" s="188"/>
      <c r="L979" s="188"/>
      <c r="M979" s="189" t="s">
        <v>963</v>
      </c>
      <c r="N979" s="190">
        <v>1591.99</v>
      </c>
      <c r="O979" s="190">
        <f t="shared" si="123"/>
        <v>1735.27</v>
      </c>
      <c r="P979" s="191">
        <f t="shared" si="124"/>
        <v>0</v>
      </c>
      <c r="Q979" s="192">
        <f t="shared" si="125"/>
        <v>0</v>
      </c>
      <c r="R979" s="193"/>
      <c r="S979" s="194"/>
      <c r="T979" s="195">
        <f t="shared" si="126"/>
        <v>0</v>
      </c>
      <c r="U979" s="195">
        <f t="shared" si="127"/>
        <v>0</v>
      </c>
      <c r="V979" s="195">
        <f t="shared" si="128"/>
        <v>0</v>
      </c>
      <c r="W979" s="196" t="e">
        <f t="shared" si="129"/>
        <v>#DIV/0!</v>
      </c>
      <c r="X979" s="197" t="e">
        <f t="shared" si="130"/>
        <v>#DIV/0!</v>
      </c>
      <c r="AG979" s="219" t="s">
        <v>990</v>
      </c>
    </row>
    <row r="980" ht="11.4" customHeight="1" spans="1:33">
      <c r="A980" s="184" t="s">
        <v>2643</v>
      </c>
      <c r="B980" s="184" t="s">
        <v>188</v>
      </c>
      <c r="C980" s="184" t="s">
        <v>2644</v>
      </c>
      <c r="D980" s="185" t="s">
        <v>522</v>
      </c>
      <c r="E980" s="186" t="s">
        <v>2645</v>
      </c>
      <c r="F980" s="186" t="s">
        <v>2651</v>
      </c>
      <c r="G980" s="186" t="s">
        <v>2647</v>
      </c>
      <c r="H980" s="186" t="s">
        <v>2647</v>
      </c>
      <c r="I980" s="187" t="s">
        <v>2696</v>
      </c>
      <c r="J980" s="187" t="s">
        <v>2697</v>
      </c>
      <c r="K980" s="188"/>
      <c r="L980" s="188"/>
      <c r="M980" s="189" t="s">
        <v>963</v>
      </c>
      <c r="N980" s="190">
        <v>372.89</v>
      </c>
      <c r="O980" s="190">
        <f t="shared" si="123"/>
        <v>406.45</v>
      </c>
      <c r="P980" s="191">
        <f t="shared" si="124"/>
        <v>0</v>
      </c>
      <c r="Q980" s="192">
        <f t="shared" si="125"/>
        <v>0</v>
      </c>
      <c r="R980" s="193"/>
      <c r="S980" s="194"/>
      <c r="T980" s="195">
        <f t="shared" si="126"/>
        <v>0</v>
      </c>
      <c r="U980" s="195">
        <f t="shared" si="127"/>
        <v>0</v>
      </c>
      <c r="V980" s="195">
        <f t="shared" si="128"/>
        <v>0</v>
      </c>
      <c r="W980" s="196" t="e">
        <f t="shared" si="129"/>
        <v>#DIV/0!</v>
      </c>
      <c r="X980" s="197" t="e">
        <f t="shared" si="130"/>
        <v>#DIV/0!</v>
      </c>
      <c r="AG980" s="219" t="s">
        <v>990</v>
      </c>
    </row>
    <row r="981" ht="11.4" customHeight="1" spans="1:33">
      <c r="A981" s="184" t="s">
        <v>2643</v>
      </c>
      <c r="B981" s="184" t="s">
        <v>188</v>
      </c>
      <c r="C981" s="184" t="s">
        <v>2644</v>
      </c>
      <c r="D981" s="185" t="s">
        <v>522</v>
      </c>
      <c r="E981" s="186" t="s">
        <v>2645</v>
      </c>
      <c r="F981" s="186" t="s">
        <v>2651</v>
      </c>
      <c r="G981" s="186" t="s">
        <v>2647</v>
      </c>
      <c r="H981" s="186" t="s">
        <v>2647</v>
      </c>
      <c r="I981" s="187" t="s">
        <v>2698</v>
      </c>
      <c r="J981" s="187" t="s">
        <v>2699</v>
      </c>
      <c r="K981" s="188"/>
      <c r="L981" s="188"/>
      <c r="M981" s="189" t="s">
        <v>963</v>
      </c>
      <c r="N981" s="190">
        <v>549.99</v>
      </c>
      <c r="O981" s="190">
        <f t="shared" si="123"/>
        <v>599.49</v>
      </c>
      <c r="P981" s="191">
        <f t="shared" si="124"/>
        <v>0</v>
      </c>
      <c r="Q981" s="192">
        <f t="shared" si="125"/>
        <v>0</v>
      </c>
      <c r="R981" s="193"/>
      <c r="S981" s="194"/>
      <c r="T981" s="195">
        <f t="shared" si="126"/>
        <v>0</v>
      </c>
      <c r="U981" s="195">
        <f t="shared" si="127"/>
        <v>0</v>
      </c>
      <c r="V981" s="195">
        <f t="shared" si="128"/>
        <v>0</v>
      </c>
      <c r="W981" s="196" t="e">
        <f t="shared" si="129"/>
        <v>#DIV/0!</v>
      </c>
      <c r="X981" s="197" t="e">
        <f t="shared" si="130"/>
        <v>#DIV/0!</v>
      </c>
      <c r="AG981" s="219" t="s">
        <v>990</v>
      </c>
    </row>
    <row r="982" ht="11.4" customHeight="1" spans="1:33">
      <c r="A982" s="184" t="s">
        <v>2643</v>
      </c>
      <c r="B982" s="184" t="s">
        <v>188</v>
      </c>
      <c r="C982" s="184" t="s">
        <v>2644</v>
      </c>
      <c r="D982" s="185" t="s">
        <v>522</v>
      </c>
      <c r="E982" s="186" t="s">
        <v>2645</v>
      </c>
      <c r="F982" s="186" t="s">
        <v>2651</v>
      </c>
      <c r="G982" s="186" t="s">
        <v>2647</v>
      </c>
      <c r="H982" s="186" t="s">
        <v>2647</v>
      </c>
      <c r="I982" s="187" t="s">
        <v>2700</v>
      </c>
      <c r="J982" s="187" t="s">
        <v>2701</v>
      </c>
      <c r="K982" s="188"/>
      <c r="L982" s="188"/>
      <c r="M982" s="189" t="s">
        <v>963</v>
      </c>
      <c r="N982" s="190">
        <v>416.89</v>
      </c>
      <c r="O982" s="190">
        <f t="shared" si="123"/>
        <v>454.41</v>
      </c>
      <c r="P982" s="191">
        <f t="shared" si="124"/>
        <v>0</v>
      </c>
      <c r="Q982" s="192">
        <f t="shared" si="125"/>
        <v>0</v>
      </c>
      <c r="R982" s="193"/>
      <c r="S982" s="194"/>
      <c r="T982" s="195">
        <f t="shared" si="126"/>
        <v>0</v>
      </c>
      <c r="U982" s="195">
        <f t="shared" si="127"/>
        <v>0</v>
      </c>
      <c r="V982" s="195">
        <f t="shared" si="128"/>
        <v>0</v>
      </c>
      <c r="W982" s="196" t="e">
        <f t="shared" si="129"/>
        <v>#DIV/0!</v>
      </c>
      <c r="X982" s="197" t="e">
        <f t="shared" si="130"/>
        <v>#DIV/0!</v>
      </c>
      <c r="AG982" s="219" t="s">
        <v>990</v>
      </c>
    </row>
    <row r="983" ht="11.4" customHeight="1" spans="1:33">
      <c r="A983" s="184" t="s">
        <v>2643</v>
      </c>
      <c r="B983" s="184" t="s">
        <v>188</v>
      </c>
      <c r="C983" s="184" t="s">
        <v>2644</v>
      </c>
      <c r="D983" s="185" t="s">
        <v>522</v>
      </c>
      <c r="E983" s="186" t="s">
        <v>2645</v>
      </c>
      <c r="F983" s="186" t="s">
        <v>2651</v>
      </c>
      <c r="G983" s="186" t="s">
        <v>2647</v>
      </c>
      <c r="H983" s="186" t="s">
        <v>2647</v>
      </c>
      <c r="I983" s="187" t="s">
        <v>2702</v>
      </c>
      <c r="J983" s="187" t="s">
        <v>2703</v>
      </c>
      <c r="K983" s="188"/>
      <c r="L983" s="188"/>
      <c r="M983" s="189" t="s">
        <v>963</v>
      </c>
      <c r="N983" s="190">
        <v>598.39</v>
      </c>
      <c r="O983" s="190">
        <f t="shared" si="123"/>
        <v>652.25</v>
      </c>
      <c r="P983" s="191">
        <f t="shared" si="124"/>
        <v>0</v>
      </c>
      <c r="Q983" s="192">
        <f t="shared" si="125"/>
        <v>0</v>
      </c>
      <c r="R983" s="193"/>
      <c r="S983" s="194"/>
      <c r="T983" s="195">
        <f t="shared" si="126"/>
        <v>0</v>
      </c>
      <c r="U983" s="195">
        <f t="shared" si="127"/>
        <v>0</v>
      </c>
      <c r="V983" s="195">
        <f t="shared" si="128"/>
        <v>0</v>
      </c>
      <c r="W983" s="196" t="e">
        <f t="shared" si="129"/>
        <v>#DIV/0!</v>
      </c>
      <c r="X983" s="197" t="e">
        <f t="shared" si="130"/>
        <v>#DIV/0!</v>
      </c>
      <c r="AG983" s="219" t="s">
        <v>990</v>
      </c>
    </row>
    <row r="984" ht="11.4" customHeight="1" spans="1:33">
      <c r="A984" s="184" t="s">
        <v>2643</v>
      </c>
      <c r="B984" s="184" t="s">
        <v>188</v>
      </c>
      <c r="C984" s="184" t="s">
        <v>2644</v>
      </c>
      <c r="D984" s="185" t="s">
        <v>522</v>
      </c>
      <c r="E984" s="186" t="s">
        <v>2645</v>
      </c>
      <c r="F984" s="186" t="s">
        <v>2651</v>
      </c>
      <c r="G984" s="186" t="s">
        <v>2647</v>
      </c>
      <c r="H984" s="186" t="s">
        <v>2647</v>
      </c>
      <c r="I984" s="187" t="s">
        <v>2704</v>
      </c>
      <c r="J984" s="187" t="s">
        <v>2705</v>
      </c>
      <c r="K984" s="188"/>
      <c r="L984" s="188"/>
      <c r="M984" s="189" t="s">
        <v>963</v>
      </c>
      <c r="N984" s="190"/>
      <c r="O984" s="190">
        <f t="shared" si="123"/>
        <v>0</v>
      </c>
      <c r="P984" s="191">
        <f t="shared" si="124"/>
        <v>0</v>
      </c>
      <c r="Q984" s="192">
        <f t="shared" si="125"/>
        <v>0</v>
      </c>
      <c r="R984" s="193"/>
      <c r="S984" s="194"/>
      <c r="T984" s="195">
        <f t="shared" si="126"/>
        <v>0</v>
      </c>
      <c r="U984" s="195">
        <f t="shared" si="127"/>
        <v>0</v>
      </c>
      <c r="V984" s="195">
        <f t="shared" si="128"/>
        <v>0</v>
      </c>
      <c r="W984" s="196" t="e">
        <f t="shared" si="129"/>
        <v>#DIV/0!</v>
      </c>
      <c r="X984" s="197" t="e">
        <f t="shared" si="130"/>
        <v>#DIV/0!</v>
      </c>
      <c r="AG984" s="219" t="s">
        <v>990</v>
      </c>
    </row>
    <row r="985" ht="11.4" customHeight="1" spans="1:33">
      <c r="A985" s="184" t="s">
        <v>2643</v>
      </c>
      <c r="B985" s="184" t="s">
        <v>188</v>
      </c>
      <c r="C985" s="184" t="s">
        <v>2644</v>
      </c>
      <c r="D985" s="185" t="s">
        <v>522</v>
      </c>
      <c r="E985" s="186" t="s">
        <v>2645</v>
      </c>
      <c r="F985" s="186" t="s">
        <v>2651</v>
      </c>
      <c r="G985" s="186" t="s">
        <v>2647</v>
      </c>
      <c r="H985" s="186" t="s">
        <v>2647</v>
      </c>
      <c r="I985" s="187" t="s">
        <v>2706</v>
      </c>
      <c r="J985" s="187" t="s">
        <v>2707</v>
      </c>
      <c r="K985" s="188"/>
      <c r="L985" s="188"/>
      <c r="M985" s="189" t="s">
        <v>963</v>
      </c>
      <c r="N985" s="190"/>
      <c r="O985" s="190">
        <f t="shared" si="123"/>
        <v>0</v>
      </c>
      <c r="P985" s="191">
        <f t="shared" si="124"/>
        <v>0</v>
      </c>
      <c r="Q985" s="192">
        <f t="shared" si="125"/>
        <v>0</v>
      </c>
      <c r="R985" s="193"/>
      <c r="S985" s="194"/>
      <c r="T985" s="195">
        <f t="shared" si="126"/>
        <v>0</v>
      </c>
      <c r="U985" s="195">
        <f t="shared" si="127"/>
        <v>0</v>
      </c>
      <c r="V985" s="195">
        <f t="shared" si="128"/>
        <v>0</v>
      </c>
      <c r="W985" s="196" t="e">
        <f t="shared" si="129"/>
        <v>#DIV/0!</v>
      </c>
      <c r="X985" s="197" t="e">
        <f t="shared" si="130"/>
        <v>#DIV/0!</v>
      </c>
      <c r="AG985" s="219" t="s">
        <v>990</v>
      </c>
    </row>
    <row r="986" ht="11.4" customHeight="1" spans="1:33">
      <c r="A986" s="184" t="s">
        <v>2643</v>
      </c>
      <c r="B986" s="184" t="s">
        <v>188</v>
      </c>
      <c r="C986" s="184" t="s">
        <v>2644</v>
      </c>
      <c r="D986" s="185" t="s">
        <v>522</v>
      </c>
      <c r="E986" s="186" t="s">
        <v>2645</v>
      </c>
      <c r="F986" s="186" t="s">
        <v>2651</v>
      </c>
      <c r="G986" s="186" t="s">
        <v>2647</v>
      </c>
      <c r="H986" s="186" t="s">
        <v>2647</v>
      </c>
      <c r="I986" s="187" t="s">
        <v>2708</v>
      </c>
      <c r="J986" s="187" t="s">
        <v>2709</v>
      </c>
      <c r="K986" s="188"/>
      <c r="L986" s="188"/>
      <c r="M986" s="189" t="s">
        <v>963</v>
      </c>
      <c r="N986" s="190"/>
      <c r="O986" s="190">
        <f t="shared" si="123"/>
        <v>0</v>
      </c>
      <c r="P986" s="191">
        <f t="shared" si="124"/>
        <v>0</v>
      </c>
      <c r="Q986" s="192">
        <f t="shared" si="125"/>
        <v>0</v>
      </c>
      <c r="R986" s="193"/>
      <c r="S986" s="194"/>
      <c r="T986" s="195">
        <f t="shared" si="126"/>
        <v>0</v>
      </c>
      <c r="U986" s="195">
        <f t="shared" si="127"/>
        <v>0</v>
      </c>
      <c r="V986" s="195">
        <f t="shared" si="128"/>
        <v>0</v>
      </c>
      <c r="W986" s="196" t="e">
        <f t="shared" si="129"/>
        <v>#DIV/0!</v>
      </c>
      <c r="X986" s="197" t="e">
        <f t="shared" si="130"/>
        <v>#DIV/0!</v>
      </c>
      <c r="AG986" s="219" t="s">
        <v>990</v>
      </c>
    </row>
    <row r="987" ht="11.4" customHeight="1" spans="1:33">
      <c r="A987" s="184" t="s">
        <v>2643</v>
      </c>
      <c r="B987" s="184" t="s">
        <v>188</v>
      </c>
      <c r="C987" s="184" t="s">
        <v>2644</v>
      </c>
      <c r="D987" s="185" t="s">
        <v>522</v>
      </c>
      <c r="E987" s="186" t="s">
        <v>2645</v>
      </c>
      <c r="F987" s="186" t="s">
        <v>2651</v>
      </c>
      <c r="G987" s="186" t="s">
        <v>2647</v>
      </c>
      <c r="H987" s="186" t="s">
        <v>2647</v>
      </c>
      <c r="I987" s="187" t="s">
        <v>2710</v>
      </c>
      <c r="J987" s="187" t="s">
        <v>2711</v>
      </c>
      <c r="K987" s="188"/>
      <c r="L987" s="188"/>
      <c r="M987" s="189" t="s">
        <v>963</v>
      </c>
      <c r="N987" s="190"/>
      <c r="O987" s="190">
        <f t="shared" si="123"/>
        <v>0</v>
      </c>
      <c r="P987" s="191">
        <f t="shared" si="124"/>
        <v>0</v>
      </c>
      <c r="Q987" s="192">
        <f t="shared" si="125"/>
        <v>0</v>
      </c>
      <c r="R987" s="193"/>
      <c r="S987" s="194"/>
      <c r="T987" s="195">
        <f t="shared" si="126"/>
        <v>0</v>
      </c>
      <c r="U987" s="195">
        <f t="shared" si="127"/>
        <v>0</v>
      </c>
      <c r="V987" s="195">
        <f t="shared" si="128"/>
        <v>0</v>
      </c>
      <c r="W987" s="196" t="e">
        <f t="shared" si="129"/>
        <v>#DIV/0!</v>
      </c>
      <c r="X987" s="197" t="e">
        <f t="shared" si="130"/>
        <v>#DIV/0!</v>
      </c>
      <c r="AG987" s="219" t="s">
        <v>990</v>
      </c>
    </row>
    <row r="988" ht="11.4" customHeight="1" spans="1:33">
      <c r="A988" s="184" t="s">
        <v>2643</v>
      </c>
      <c r="B988" s="184" t="s">
        <v>188</v>
      </c>
      <c r="C988" s="184" t="s">
        <v>2644</v>
      </c>
      <c r="D988" s="185" t="s">
        <v>522</v>
      </c>
      <c r="E988" s="186" t="s">
        <v>2645</v>
      </c>
      <c r="F988" s="186" t="s">
        <v>2651</v>
      </c>
      <c r="G988" s="186" t="s">
        <v>2647</v>
      </c>
      <c r="H988" s="186" t="s">
        <v>2647</v>
      </c>
      <c r="I988" s="187" t="s">
        <v>2712</v>
      </c>
      <c r="J988" s="187" t="s">
        <v>2713</v>
      </c>
      <c r="K988" s="188"/>
      <c r="L988" s="188"/>
      <c r="M988" s="189" t="s">
        <v>963</v>
      </c>
      <c r="N988" s="190"/>
      <c r="O988" s="190">
        <f t="shared" si="123"/>
        <v>0</v>
      </c>
      <c r="P988" s="191">
        <f t="shared" si="124"/>
        <v>0</v>
      </c>
      <c r="Q988" s="192">
        <f t="shared" si="125"/>
        <v>0</v>
      </c>
      <c r="R988" s="193"/>
      <c r="S988" s="194"/>
      <c r="T988" s="195">
        <f t="shared" si="126"/>
        <v>0</v>
      </c>
      <c r="U988" s="195">
        <f t="shared" si="127"/>
        <v>0</v>
      </c>
      <c r="V988" s="195">
        <f t="shared" si="128"/>
        <v>0</v>
      </c>
      <c r="W988" s="196" t="e">
        <f t="shared" si="129"/>
        <v>#DIV/0!</v>
      </c>
      <c r="X988" s="197" t="e">
        <f t="shared" si="130"/>
        <v>#DIV/0!</v>
      </c>
      <c r="AG988" s="219" t="s">
        <v>990</v>
      </c>
    </row>
    <row r="989" ht="11.4" customHeight="1" spans="1:33">
      <c r="A989" s="184" t="s">
        <v>2643</v>
      </c>
      <c r="B989" s="184" t="s">
        <v>188</v>
      </c>
      <c r="C989" s="184" t="s">
        <v>2644</v>
      </c>
      <c r="D989" s="185" t="s">
        <v>522</v>
      </c>
      <c r="E989" s="186" t="s">
        <v>2645</v>
      </c>
      <c r="F989" s="186" t="s">
        <v>2651</v>
      </c>
      <c r="G989" s="186" t="s">
        <v>2647</v>
      </c>
      <c r="H989" s="186" t="s">
        <v>2647</v>
      </c>
      <c r="I989" s="187" t="s">
        <v>2714</v>
      </c>
      <c r="J989" s="187" t="s">
        <v>2715</v>
      </c>
      <c r="K989" s="188"/>
      <c r="L989" s="188"/>
      <c r="M989" s="189" t="s">
        <v>963</v>
      </c>
      <c r="N989" s="190"/>
      <c r="O989" s="190">
        <f t="shared" si="123"/>
        <v>0</v>
      </c>
      <c r="P989" s="191">
        <f t="shared" si="124"/>
        <v>0</v>
      </c>
      <c r="Q989" s="192">
        <f t="shared" si="125"/>
        <v>0</v>
      </c>
      <c r="R989" s="193"/>
      <c r="S989" s="194"/>
      <c r="T989" s="195">
        <f t="shared" si="126"/>
        <v>0</v>
      </c>
      <c r="U989" s="195">
        <f t="shared" si="127"/>
        <v>0</v>
      </c>
      <c r="V989" s="195">
        <f t="shared" si="128"/>
        <v>0</v>
      </c>
      <c r="W989" s="196" t="e">
        <f t="shared" si="129"/>
        <v>#DIV/0!</v>
      </c>
      <c r="X989" s="197" t="e">
        <f t="shared" si="130"/>
        <v>#DIV/0!</v>
      </c>
      <c r="AG989" s="219" t="s">
        <v>990</v>
      </c>
    </row>
    <row r="990" ht="11.4" customHeight="1" spans="1:33">
      <c r="A990" s="184" t="s">
        <v>2643</v>
      </c>
      <c r="B990" s="184" t="s">
        <v>188</v>
      </c>
      <c r="C990" s="184" t="s">
        <v>2644</v>
      </c>
      <c r="D990" s="185" t="s">
        <v>522</v>
      </c>
      <c r="E990" s="186" t="s">
        <v>2645</v>
      </c>
      <c r="F990" s="186" t="s">
        <v>2651</v>
      </c>
      <c r="G990" s="186" t="s">
        <v>2647</v>
      </c>
      <c r="H990" s="186" t="s">
        <v>2647</v>
      </c>
      <c r="I990" s="187" t="s">
        <v>2716</v>
      </c>
      <c r="J990" s="187" t="s">
        <v>2717</v>
      </c>
      <c r="K990" s="188"/>
      <c r="L990" s="188"/>
      <c r="M990" s="189" t="s">
        <v>963</v>
      </c>
      <c r="N990" s="190">
        <v>1575.49</v>
      </c>
      <c r="O990" s="190">
        <f t="shared" si="123"/>
        <v>1717.28</v>
      </c>
      <c r="P990" s="191">
        <f t="shared" si="124"/>
        <v>0</v>
      </c>
      <c r="Q990" s="192">
        <f t="shared" si="125"/>
        <v>0</v>
      </c>
      <c r="R990" s="193"/>
      <c r="S990" s="194"/>
      <c r="T990" s="195">
        <f t="shared" si="126"/>
        <v>0</v>
      </c>
      <c r="U990" s="195">
        <f t="shared" si="127"/>
        <v>0</v>
      </c>
      <c r="V990" s="195">
        <f t="shared" si="128"/>
        <v>0</v>
      </c>
      <c r="W990" s="196" t="e">
        <f t="shared" si="129"/>
        <v>#DIV/0!</v>
      </c>
      <c r="X990" s="197" t="e">
        <f t="shared" si="130"/>
        <v>#DIV/0!</v>
      </c>
      <c r="AG990" s="219" t="s">
        <v>990</v>
      </c>
    </row>
    <row r="991" ht="11.4" customHeight="1" spans="1:33">
      <c r="A991" s="184" t="s">
        <v>2643</v>
      </c>
      <c r="B991" s="184" t="s">
        <v>188</v>
      </c>
      <c r="C991" s="184" t="s">
        <v>2644</v>
      </c>
      <c r="D991" s="185" t="s">
        <v>522</v>
      </c>
      <c r="E991" s="186" t="s">
        <v>2645</v>
      </c>
      <c r="F991" s="186" t="s">
        <v>2651</v>
      </c>
      <c r="G991" s="186" t="s">
        <v>2647</v>
      </c>
      <c r="H991" s="186" t="s">
        <v>2647</v>
      </c>
      <c r="I991" s="187" t="s">
        <v>2718</v>
      </c>
      <c r="J991" s="187" t="s">
        <v>2719</v>
      </c>
      <c r="K991" s="188"/>
      <c r="L991" s="188"/>
      <c r="M991" s="189" t="s">
        <v>793</v>
      </c>
      <c r="N991" s="190">
        <v>3038.34</v>
      </c>
      <c r="O991" s="190">
        <f t="shared" si="123"/>
        <v>3311.79</v>
      </c>
      <c r="P991" s="191">
        <f t="shared" si="124"/>
        <v>0</v>
      </c>
      <c r="Q991" s="192">
        <f t="shared" si="125"/>
        <v>0</v>
      </c>
      <c r="R991" s="193"/>
      <c r="S991" s="194"/>
      <c r="T991" s="195">
        <f t="shared" si="126"/>
        <v>0</v>
      </c>
      <c r="U991" s="195">
        <f t="shared" si="127"/>
        <v>0</v>
      </c>
      <c r="V991" s="195">
        <f t="shared" si="128"/>
        <v>0</v>
      </c>
      <c r="W991" s="196" t="e">
        <f t="shared" si="129"/>
        <v>#DIV/0!</v>
      </c>
      <c r="X991" s="197" t="e">
        <f t="shared" si="130"/>
        <v>#DIV/0!</v>
      </c>
      <c r="AG991" s="219" t="s">
        <v>990</v>
      </c>
    </row>
    <row r="992" ht="11.4" customHeight="1" spans="1:33">
      <c r="A992" s="184" t="s">
        <v>2643</v>
      </c>
      <c r="B992" s="184" t="s">
        <v>188</v>
      </c>
      <c r="C992" s="184" t="s">
        <v>2644</v>
      </c>
      <c r="D992" s="185" t="s">
        <v>522</v>
      </c>
      <c r="E992" s="186" t="s">
        <v>2645</v>
      </c>
      <c r="F992" s="186" t="s">
        <v>2651</v>
      </c>
      <c r="G992" s="186" t="s">
        <v>2647</v>
      </c>
      <c r="H992" s="186" t="s">
        <v>2647</v>
      </c>
      <c r="I992" s="187" t="s">
        <v>2720</v>
      </c>
      <c r="J992" s="187" t="s">
        <v>2721</v>
      </c>
      <c r="K992" s="188"/>
      <c r="L992" s="188"/>
      <c r="M992" s="189" t="s">
        <v>963</v>
      </c>
      <c r="N992" s="190">
        <v>1575.49</v>
      </c>
      <c r="O992" s="190">
        <f t="shared" si="123"/>
        <v>1717.28</v>
      </c>
      <c r="P992" s="191">
        <f t="shared" si="124"/>
        <v>0</v>
      </c>
      <c r="Q992" s="192">
        <f t="shared" si="125"/>
        <v>0</v>
      </c>
      <c r="R992" s="193"/>
      <c r="S992" s="194"/>
      <c r="T992" s="195">
        <f t="shared" si="126"/>
        <v>0</v>
      </c>
      <c r="U992" s="195">
        <f t="shared" si="127"/>
        <v>0</v>
      </c>
      <c r="V992" s="195">
        <f t="shared" si="128"/>
        <v>0</v>
      </c>
      <c r="W992" s="196" t="e">
        <f t="shared" si="129"/>
        <v>#DIV/0!</v>
      </c>
      <c r="X992" s="197" t="e">
        <f t="shared" si="130"/>
        <v>#DIV/0!</v>
      </c>
      <c r="AG992" s="219" t="s">
        <v>990</v>
      </c>
    </row>
    <row r="993" ht="11.4" customHeight="1" spans="1:34">
      <c r="A993" s="184" t="s">
        <v>2643</v>
      </c>
      <c r="B993" s="184" t="s">
        <v>188</v>
      </c>
      <c r="C993" s="184" t="s">
        <v>2644</v>
      </c>
      <c r="D993" s="185" t="s">
        <v>522</v>
      </c>
      <c r="E993" s="186" t="s">
        <v>2645</v>
      </c>
      <c r="F993" s="186" t="s">
        <v>2651</v>
      </c>
      <c r="G993" s="186" t="s">
        <v>2647</v>
      </c>
      <c r="H993" s="186" t="s">
        <v>2647</v>
      </c>
      <c r="I993" s="187" t="s">
        <v>2722</v>
      </c>
      <c r="J993" s="187" t="s">
        <v>2723</v>
      </c>
      <c r="K993" s="188"/>
      <c r="L993" s="188"/>
      <c r="M993" s="189" t="s">
        <v>793</v>
      </c>
      <c r="N993" s="190">
        <v>876.46</v>
      </c>
      <c r="O993" s="190">
        <f t="shared" si="123"/>
        <v>955.34</v>
      </c>
      <c r="P993" s="191">
        <f t="shared" si="124"/>
        <v>0</v>
      </c>
      <c r="Q993" s="192">
        <f t="shared" si="125"/>
        <v>0</v>
      </c>
      <c r="R993" s="193"/>
      <c r="S993" s="194"/>
      <c r="T993" s="195">
        <f t="shared" si="126"/>
        <v>0</v>
      </c>
      <c r="U993" s="195">
        <f t="shared" si="127"/>
        <v>0</v>
      </c>
      <c r="V993" s="195">
        <f t="shared" si="128"/>
        <v>0</v>
      </c>
      <c r="W993" s="196" t="e">
        <f t="shared" si="129"/>
        <v>#DIV/0!</v>
      </c>
      <c r="X993" s="197" t="e">
        <f t="shared" si="130"/>
        <v>#DIV/0!</v>
      </c>
      <c r="AG993" s="219" t="s">
        <v>990</v>
      </c>
    </row>
    <row r="994" ht="11.4" customHeight="1" spans="1:34">
      <c r="A994" s="184" t="s">
        <v>2643</v>
      </c>
      <c r="B994" s="184" t="s">
        <v>188</v>
      </c>
      <c r="C994" s="184" t="s">
        <v>2644</v>
      </c>
      <c r="D994" s="185" t="s">
        <v>522</v>
      </c>
      <c r="E994" s="186" t="s">
        <v>2645</v>
      </c>
      <c r="F994" s="186" t="s">
        <v>2651</v>
      </c>
      <c r="G994" s="186" t="s">
        <v>2647</v>
      </c>
      <c r="H994" s="186" t="s">
        <v>2647</v>
      </c>
      <c r="I994" s="187" t="s">
        <v>2724</v>
      </c>
      <c r="J994" s="187" t="s">
        <v>2725</v>
      </c>
      <c r="K994" s="188"/>
      <c r="L994" s="188"/>
      <c r="M994" s="189" t="s">
        <v>963</v>
      </c>
      <c r="N994" s="190">
        <v>372.89</v>
      </c>
      <c r="O994" s="190">
        <f t="shared" si="123"/>
        <v>406.45</v>
      </c>
      <c r="P994" s="191">
        <f t="shared" si="124"/>
        <v>0</v>
      </c>
      <c r="Q994" s="192">
        <f t="shared" si="125"/>
        <v>0</v>
      </c>
      <c r="R994" s="193"/>
      <c r="S994" s="194"/>
      <c r="T994" s="195">
        <f t="shared" si="126"/>
        <v>0</v>
      </c>
      <c r="U994" s="195">
        <f t="shared" si="127"/>
        <v>0</v>
      </c>
      <c r="V994" s="195">
        <f t="shared" si="128"/>
        <v>0</v>
      </c>
      <c r="W994" s="196" t="e">
        <f t="shared" si="129"/>
        <v>#DIV/0!</v>
      </c>
      <c r="X994" s="197" t="e">
        <f t="shared" si="130"/>
        <v>#DIV/0!</v>
      </c>
      <c r="AG994" s="219" t="s">
        <v>990</v>
      </c>
    </row>
    <row r="995" ht="11.4" customHeight="1" spans="1:34">
      <c r="A995" s="184" t="s">
        <v>2726</v>
      </c>
      <c r="B995" s="184" t="s">
        <v>351</v>
      </c>
      <c r="C995" s="184" t="s">
        <v>2727</v>
      </c>
      <c r="D995" s="185" t="s">
        <v>522</v>
      </c>
      <c r="E995" s="186" t="s">
        <v>2728</v>
      </c>
      <c r="F995" s="186" t="s">
        <v>2729</v>
      </c>
      <c r="G995" s="186" t="s">
        <v>2730</v>
      </c>
      <c r="H995" s="186" t="s">
        <v>563</v>
      </c>
      <c r="I995" s="187" t="s">
        <v>2731</v>
      </c>
      <c r="J995" s="187" t="s">
        <v>563</v>
      </c>
      <c r="K995" s="188">
        <v>1</v>
      </c>
      <c r="L995" s="188">
        <v>1</v>
      </c>
      <c r="M995" s="189" t="s">
        <v>2308</v>
      </c>
      <c r="N995" s="190">
        <v>2676.15</v>
      </c>
      <c r="O995" s="190">
        <f t="shared" si="123"/>
        <v>2917</v>
      </c>
      <c r="P995" s="191">
        <f t="shared" si="124"/>
        <v>2676.15</v>
      </c>
      <c r="Q995" s="192">
        <f t="shared" si="125"/>
        <v>2676.15</v>
      </c>
      <c r="R995" s="193"/>
      <c r="S995" s="194"/>
      <c r="T995" s="195">
        <f t="shared" si="126"/>
        <v>0</v>
      </c>
      <c r="U995" s="195">
        <f t="shared" si="127"/>
        <v>0</v>
      </c>
      <c r="V995" s="195">
        <f t="shared" si="128"/>
        <v>0</v>
      </c>
      <c r="W995" s="196">
        <f t="shared" si="129"/>
        <v>0</v>
      </c>
      <c r="X995" s="197">
        <f t="shared" si="130"/>
        <v>0</v>
      </c>
      <c r="AG995" s="219"/>
      <c r="AH995" s="219" t="s">
        <v>794</v>
      </c>
    </row>
    <row r="996" ht="11.4" customHeight="1" spans="1:34">
      <c r="A996" s="184" t="s">
        <v>2732</v>
      </c>
      <c r="B996" s="184" t="s">
        <v>355</v>
      </c>
      <c r="C996" s="184" t="s">
        <v>2733</v>
      </c>
      <c r="D996" s="185" t="s">
        <v>522</v>
      </c>
      <c r="E996" s="186" t="s">
        <v>2728</v>
      </c>
      <c r="F996" s="186" t="s">
        <v>2729</v>
      </c>
      <c r="G996" s="186" t="s">
        <v>2734</v>
      </c>
      <c r="H996" s="186" t="s">
        <v>2735</v>
      </c>
      <c r="I996" s="187" t="s">
        <v>2736</v>
      </c>
      <c r="J996" s="187" t="s">
        <v>2737</v>
      </c>
      <c r="K996" s="188"/>
      <c r="L996" s="188"/>
      <c r="M996" s="189" t="s">
        <v>2308</v>
      </c>
      <c r="N996" s="190"/>
      <c r="O996" s="190">
        <f t="shared" si="123"/>
        <v>0</v>
      </c>
      <c r="P996" s="191">
        <f t="shared" si="124"/>
        <v>0</v>
      </c>
      <c r="Q996" s="192">
        <f t="shared" si="125"/>
        <v>0</v>
      </c>
      <c r="R996" s="193"/>
      <c r="S996" s="194"/>
      <c r="T996" s="195">
        <f t="shared" si="126"/>
        <v>0</v>
      </c>
      <c r="U996" s="195">
        <f t="shared" si="127"/>
        <v>0</v>
      </c>
      <c r="V996" s="195">
        <f t="shared" si="128"/>
        <v>0</v>
      </c>
      <c r="W996" s="196" t="e">
        <f t="shared" si="129"/>
        <v>#DIV/0!</v>
      </c>
      <c r="X996" s="197" t="e">
        <f t="shared" si="130"/>
        <v>#DIV/0!</v>
      </c>
      <c r="AH996" s="219" t="s">
        <v>794</v>
      </c>
    </row>
    <row r="997" ht="11.4" customHeight="1" spans="1:34">
      <c r="A997" s="184" t="s">
        <v>2732</v>
      </c>
      <c r="B997" s="184" t="s">
        <v>355</v>
      </c>
      <c r="C997" s="184" t="s">
        <v>2733</v>
      </c>
      <c r="D997" s="185" t="s">
        <v>522</v>
      </c>
      <c r="E997" s="186" t="s">
        <v>2728</v>
      </c>
      <c r="F997" s="186" t="s">
        <v>2729</v>
      </c>
      <c r="G997" s="186" t="s">
        <v>2734</v>
      </c>
      <c r="H997" s="186" t="s">
        <v>2735</v>
      </c>
      <c r="I997" s="187" t="s">
        <v>2738</v>
      </c>
      <c r="J997" s="187" t="s">
        <v>2739</v>
      </c>
      <c r="K997" s="188"/>
      <c r="L997" s="188"/>
      <c r="M997" s="189" t="s">
        <v>2308</v>
      </c>
      <c r="N997" s="190">
        <v>939</v>
      </c>
      <c r="O997" s="190">
        <f t="shared" si="123"/>
        <v>1023.51</v>
      </c>
      <c r="P997" s="191">
        <f t="shared" si="124"/>
        <v>0</v>
      </c>
      <c r="Q997" s="192">
        <f t="shared" si="125"/>
        <v>0</v>
      </c>
      <c r="R997" s="193"/>
      <c r="S997" s="194"/>
      <c r="T997" s="195">
        <f t="shared" si="126"/>
        <v>0</v>
      </c>
      <c r="U997" s="195">
        <f t="shared" si="127"/>
        <v>0</v>
      </c>
      <c r="V997" s="195">
        <f t="shared" si="128"/>
        <v>0</v>
      </c>
      <c r="W997" s="196" t="e">
        <f t="shared" si="129"/>
        <v>#DIV/0!</v>
      </c>
      <c r="X997" s="197" t="e">
        <f t="shared" si="130"/>
        <v>#DIV/0!</v>
      </c>
      <c r="AH997" s="219" t="s">
        <v>794</v>
      </c>
    </row>
    <row r="998" ht="11.4" customHeight="1" spans="1:34">
      <c r="A998" s="184" t="s">
        <v>2740</v>
      </c>
      <c r="B998" s="184" t="s">
        <v>363</v>
      </c>
      <c r="C998" s="184" t="s">
        <v>362</v>
      </c>
      <c r="D998" s="185" t="s">
        <v>522</v>
      </c>
      <c r="E998" s="186" t="s">
        <v>2728</v>
      </c>
      <c r="F998" s="186" t="s">
        <v>2729</v>
      </c>
      <c r="G998" s="186" t="s">
        <v>2734</v>
      </c>
      <c r="H998" s="186" t="s">
        <v>2735</v>
      </c>
      <c r="I998" s="187" t="s">
        <v>2741</v>
      </c>
      <c r="J998" s="187" t="s">
        <v>2742</v>
      </c>
      <c r="K998" s="188"/>
      <c r="L998" s="188"/>
      <c r="M998" s="189" t="s">
        <v>989</v>
      </c>
      <c r="N998" s="190">
        <v>4889.85</v>
      </c>
      <c r="O998" s="190">
        <f t="shared" si="123"/>
        <v>5329.94</v>
      </c>
      <c r="P998" s="191">
        <f t="shared" si="124"/>
        <v>0</v>
      </c>
      <c r="Q998" s="192">
        <f t="shared" si="125"/>
        <v>0</v>
      </c>
      <c r="R998" s="193"/>
      <c r="S998" s="194"/>
      <c r="T998" s="195">
        <f t="shared" si="126"/>
        <v>0</v>
      </c>
      <c r="U998" s="195">
        <f t="shared" si="127"/>
        <v>0</v>
      </c>
      <c r="V998" s="195">
        <f t="shared" si="128"/>
        <v>0</v>
      </c>
      <c r="W998" s="196" t="e">
        <f t="shared" si="129"/>
        <v>#DIV/0!</v>
      </c>
      <c r="X998" s="197" t="e">
        <f t="shared" si="130"/>
        <v>#DIV/0!</v>
      </c>
      <c r="AH998" s="219" t="s">
        <v>794</v>
      </c>
    </row>
    <row r="999" ht="11.4" customHeight="1" spans="1:34">
      <c r="A999" s="184" t="s">
        <v>2732</v>
      </c>
      <c r="B999" s="184" t="s">
        <v>355</v>
      </c>
      <c r="C999" s="184" t="s">
        <v>2743</v>
      </c>
      <c r="D999" s="185" t="s">
        <v>522</v>
      </c>
      <c r="E999" s="186" t="s">
        <v>2728</v>
      </c>
      <c r="F999" s="186" t="s">
        <v>2729</v>
      </c>
      <c r="G999" s="186" t="s">
        <v>2734</v>
      </c>
      <c r="H999" s="186" t="s">
        <v>2735</v>
      </c>
      <c r="I999" s="187" t="s">
        <v>2744</v>
      </c>
      <c r="J999" s="187" t="s">
        <v>2745</v>
      </c>
      <c r="K999" s="188">
        <v>1</v>
      </c>
      <c r="L999" s="188">
        <v>1</v>
      </c>
      <c r="M999" s="189" t="s">
        <v>793</v>
      </c>
      <c r="N999" s="190">
        <v>8944.69</v>
      </c>
      <c r="O999" s="190">
        <f t="shared" si="123"/>
        <v>9749.71</v>
      </c>
      <c r="P999" s="191">
        <f t="shared" si="124"/>
        <v>8944.69</v>
      </c>
      <c r="Q999" s="192">
        <f t="shared" si="125"/>
        <v>8944.69</v>
      </c>
      <c r="R999" s="193"/>
      <c r="S999" s="194"/>
      <c r="T999" s="195">
        <f t="shared" si="126"/>
        <v>0</v>
      </c>
      <c r="U999" s="195">
        <f t="shared" si="127"/>
        <v>0</v>
      </c>
      <c r="V999" s="195">
        <f t="shared" si="128"/>
        <v>0</v>
      </c>
      <c r="W999" s="196">
        <f t="shared" si="129"/>
        <v>0</v>
      </c>
      <c r="X999" s="197">
        <f t="shared" si="130"/>
        <v>0</v>
      </c>
      <c r="AH999" s="219" t="s">
        <v>794</v>
      </c>
    </row>
    <row r="1000" ht="11.4" customHeight="1" spans="1:34">
      <c r="A1000" s="184" t="s">
        <v>2732</v>
      </c>
      <c r="B1000" s="184" t="s">
        <v>355</v>
      </c>
      <c r="C1000" s="184" t="s">
        <v>2743</v>
      </c>
      <c r="D1000" s="185" t="s">
        <v>522</v>
      </c>
      <c r="E1000" s="186" t="s">
        <v>2728</v>
      </c>
      <c r="F1000" s="186" t="s">
        <v>2729</v>
      </c>
      <c r="G1000" s="186" t="s">
        <v>2734</v>
      </c>
      <c r="H1000" s="186" t="s">
        <v>2735</v>
      </c>
      <c r="I1000" s="187" t="s">
        <v>2746</v>
      </c>
      <c r="J1000" s="187" t="s">
        <v>2747</v>
      </c>
      <c r="K1000" s="188"/>
      <c r="L1000" s="188"/>
      <c r="M1000" s="189" t="s">
        <v>793</v>
      </c>
      <c r="N1000" s="190">
        <v>9276.48</v>
      </c>
      <c r="O1000" s="190">
        <f t="shared" si="123"/>
        <v>10111.36</v>
      </c>
      <c r="P1000" s="191">
        <f t="shared" si="124"/>
        <v>0</v>
      </c>
      <c r="Q1000" s="192">
        <f t="shared" si="125"/>
        <v>0</v>
      </c>
      <c r="R1000" s="193"/>
      <c r="S1000" s="194"/>
      <c r="T1000" s="195">
        <f t="shared" si="126"/>
        <v>0</v>
      </c>
      <c r="U1000" s="195">
        <f t="shared" si="127"/>
        <v>0</v>
      </c>
      <c r="V1000" s="195">
        <f t="shared" si="128"/>
        <v>0</v>
      </c>
      <c r="W1000" s="196" t="e">
        <f t="shared" si="129"/>
        <v>#DIV/0!</v>
      </c>
      <c r="X1000" s="197" t="e">
        <f t="shared" si="130"/>
        <v>#DIV/0!</v>
      </c>
      <c r="AH1000" s="219" t="s">
        <v>794</v>
      </c>
    </row>
    <row r="1001" ht="11.4" customHeight="1" spans="1:34">
      <c r="A1001" s="184" t="s">
        <v>2732</v>
      </c>
      <c r="B1001" s="184" t="s">
        <v>355</v>
      </c>
      <c r="C1001" s="184" t="s">
        <v>2743</v>
      </c>
      <c r="D1001" s="185" t="s">
        <v>522</v>
      </c>
      <c r="E1001" s="186" t="s">
        <v>2728</v>
      </c>
      <c r="F1001" s="186" t="s">
        <v>2729</v>
      </c>
      <c r="G1001" s="186" t="s">
        <v>2734</v>
      </c>
      <c r="H1001" s="186" t="s">
        <v>2735</v>
      </c>
      <c r="I1001" s="187" t="s">
        <v>2748</v>
      </c>
      <c r="J1001" s="187" t="s">
        <v>2749</v>
      </c>
      <c r="K1001" s="188"/>
      <c r="L1001" s="188"/>
      <c r="M1001" s="189" t="s">
        <v>793</v>
      </c>
      <c r="N1001" s="190">
        <v>4264.19</v>
      </c>
      <c r="O1001" s="190">
        <f t="shared" si="123"/>
        <v>4647.97</v>
      </c>
      <c r="P1001" s="191">
        <f t="shared" si="124"/>
        <v>0</v>
      </c>
      <c r="Q1001" s="192">
        <f t="shared" si="125"/>
        <v>0</v>
      </c>
      <c r="R1001" s="193"/>
      <c r="S1001" s="194"/>
      <c r="T1001" s="195">
        <f t="shared" si="126"/>
        <v>0</v>
      </c>
      <c r="U1001" s="195">
        <f t="shared" si="127"/>
        <v>0</v>
      </c>
      <c r="V1001" s="195">
        <f t="shared" si="128"/>
        <v>0</v>
      </c>
      <c r="W1001" s="196" t="e">
        <f t="shared" si="129"/>
        <v>#DIV/0!</v>
      </c>
      <c r="X1001" s="197" t="e">
        <f t="shared" si="130"/>
        <v>#DIV/0!</v>
      </c>
      <c r="AH1001" s="219" t="s">
        <v>794</v>
      </c>
    </row>
    <row r="1002" ht="11.4" customHeight="1" spans="1:34">
      <c r="A1002" s="184" t="s">
        <v>2750</v>
      </c>
      <c r="B1002" s="184" t="s">
        <v>359</v>
      </c>
      <c r="C1002" s="184" t="s">
        <v>358</v>
      </c>
      <c r="D1002" s="185" t="s">
        <v>522</v>
      </c>
      <c r="E1002" s="186" t="s">
        <v>2728</v>
      </c>
      <c r="F1002" s="186" t="s">
        <v>2729</v>
      </c>
      <c r="G1002" s="186" t="s">
        <v>2751</v>
      </c>
      <c r="H1002" s="186" t="s">
        <v>2752</v>
      </c>
      <c r="I1002" s="187" t="s">
        <v>2753</v>
      </c>
      <c r="J1002" s="187" t="s">
        <v>2752</v>
      </c>
      <c r="K1002" s="188"/>
      <c r="L1002" s="188"/>
      <c r="M1002" s="189" t="s">
        <v>989</v>
      </c>
      <c r="N1002" s="190">
        <v>10650.04</v>
      </c>
      <c r="O1002" s="190">
        <f t="shared" si="123"/>
        <v>11608.54</v>
      </c>
      <c r="P1002" s="191">
        <f t="shared" si="124"/>
        <v>0</v>
      </c>
      <c r="Q1002" s="192">
        <f t="shared" si="125"/>
        <v>0</v>
      </c>
      <c r="R1002" s="193"/>
      <c r="S1002" s="194"/>
      <c r="T1002" s="195">
        <f t="shared" si="126"/>
        <v>0</v>
      </c>
      <c r="U1002" s="195">
        <f t="shared" si="127"/>
        <v>0</v>
      </c>
      <c r="V1002" s="195">
        <f t="shared" si="128"/>
        <v>0</v>
      </c>
      <c r="W1002" s="196" t="e">
        <f t="shared" si="129"/>
        <v>#DIV/0!</v>
      </c>
      <c r="X1002" s="197" t="e">
        <f t="shared" si="130"/>
        <v>#DIV/0!</v>
      </c>
      <c r="AH1002" s="219" t="s">
        <v>794</v>
      </c>
    </row>
    <row r="1003" ht="11.4" customHeight="1" spans="1:34">
      <c r="A1003" s="184" t="s">
        <v>2750</v>
      </c>
      <c r="B1003" s="184" t="s">
        <v>359</v>
      </c>
      <c r="C1003" s="184" t="s">
        <v>358</v>
      </c>
      <c r="D1003" s="185" t="s">
        <v>522</v>
      </c>
      <c r="E1003" s="186" t="s">
        <v>2728</v>
      </c>
      <c r="F1003" s="186" t="s">
        <v>2729</v>
      </c>
      <c r="G1003" s="186" t="s">
        <v>2751</v>
      </c>
      <c r="H1003" s="186" t="s">
        <v>2754</v>
      </c>
      <c r="I1003" s="187" t="s">
        <v>2755</v>
      </c>
      <c r="J1003" s="187" t="s">
        <v>2754</v>
      </c>
      <c r="K1003" s="188"/>
      <c r="L1003" s="188"/>
      <c r="M1003" s="189" t="s">
        <v>989</v>
      </c>
      <c r="N1003" s="190">
        <v>29506.31</v>
      </c>
      <c r="O1003" s="190">
        <f t="shared" si="123"/>
        <v>32161.88</v>
      </c>
      <c r="P1003" s="191">
        <f t="shared" si="124"/>
        <v>0</v>
      </c>
      <c r="Q1003" s="192">
        <f t="shared" si="125"/>
        <v>0</v>
      </c>
      <c r="R1003" s="193"/>
      <c r="S1003" s="194"/>
      <c r="T1003" s="195">
        <f t="shared" si="126"/>
        <v>0</v>
      </c>
      <c r="U1003" s="195">
        <f t="shared" si="127"/>
        <v>0</v>
      </c>
      <c r="V1003" s="195">
        <f t="shared" si="128"/>
        <v>0</v>
      </c>
      <c r="W1003" s="196" t="e">
        <f t="shared" si="129"/>
        <v>#DIV/0!</v>
      </c>
      <c r="X1003" s="197" t="e">
        <f t="shared" si="130"/>
        <v>#DIV/0!</v>
      </c>
      <c r="AH1003" s="219" t="s">
        <v>794</v>
      </c>
    </row>
    <row r="1004" ht="11.4" customHeight="1" spans="1:34">
      <c r="A1004" s="184" t="s">
        <v>2750</v>
      </c>
      <c r="B1004" s="184" t="s">
        <v>359</v>
      </c>
      <c r="C1004" s="184" t="s">
        <v>358</v>
      </c>
      <c r="D1004" s="185" t="s">
        <v>522</v>
      </c>
      <c r="E1004" s="186" t="s">
        <v>2728</v>
      </c>
      <c r="F1004" s="186" t="s">
        <v>2729</v>
      </c>
      <c r="G1004" s="186" t="s">
        <v>2751</v>
      </c>
      <c r="H1004" s="186" t="s">
        <v>2756</v>
      </c>
      <c r="I1004" s="187" t="s">
        <v>2757</v>
      </c>
      <c r="J1004" s="187" t="s">
        <v>2756</v>
      </c>
      <c r="K1004" s="221">
        <v>1</v>
      </c>
      <c r="L1004" s="188"/>
      <c r="M1004" s="189" t="s">
        <v>989</v>
      </c>
      <c r="N1004" s="190">
        <v>9009.01</v>
      </c>
      <c r="O1004" s="190">
        <f t="shared" si="123"/>
        <v>9819.82</v>
      </c>
      <c r="P1004" s="191">
        <f t="shared" si="124"/>
        <v>9009.01</v>
      </c>
      <c r="Q1004" s="192">
        <f t="shared" si="125"/>
        <v>0</v>
      </c>
      <c r="R1004" s="193"/>
      <c r="S1004" s="194"/>
      <c r="T1004" s="195">
        <f t="shared" si="126"/>
        <v>1</v>
      </c>
      <c r="U1004" s="195">
        <f t="shared" si="127"/>
        <v>9009.01</v>
      </c>
      <c r="V1004" s="195">
        <f t="shared" si="128"/>
        <v>9009.01</v>
      </c>
      <c r="W1004" s="196" t="e">
        <f t="shared" si="129"/>
        <v>#DIV/0!</v>
      </c>
      <c r="X1004" s="197" t="e">
        <f t="shared" si="130"/>
        <v>#DIV/0!</v>
      </c>
      <c r="AH1004" s="219" t="s">
        <v>794</v>
      </c>
    </row>
    <row r="1005" ht="11.4" customHeight="1" spans="1:34">
      <c r="A1005" s="184" t="s">
        <v>2758</v>
      </c>
      <c r="B1005" s="184" t="s">
        <v>378</v>
      </c>
      <c r="C1005" s="184" t="s">
        <v>573</v>
      </c>
      <c r="D1005" s="185" t="s">
        <v>522</v>
      </c>
      <c r="E1005" s="186" t="s">
        <v>2728</v>
      </c>
      <c r="F1005" s="186" t="s">
        <v>2729</v>
      </c>
      <c r="G1005" s="186" t="s">
        <v>2759</v>
      </c>
      <c r="H1005" s="186" t="s">
        <v>570</v>
      </c>
      <c r="I1005" s="187" t="s">
        <v>2760</v>
      </c>
      <c r="J1005" s="187" t="s">
        <v>2761</v>
      </c>
      <c r="K1005" s="188">
        <v>1</v>
      </c>
      <c r="L1005" s="188">
        <v>1</v>
      </c>
      <c r="M1005" s="189" t="s">
        <v>2308</v>
      </c>
      <c r="N1005" s="190">
        <v>1133.63</v>
      </c>
      <c r="O1005" s="190">
        <f t="shared" si="123"/>
        <v>1235.66</v>
      </c>
      <c r="P1005" s="191">
        <f t="shared" si="124"/>
        <v>1133.63</v>
      </c>
      <c r="Q1005" s="192">
        <f t="shared" si="125"/>
        <v>1133.63</v>
      </c>
      <c r="R1005" s="193"/>
      <c r="S1005" s="194"/>
      <c r="T1005" s="195">
        <f t="shared" si="126"/>
        <v>0</v>
      </c>
      <c r="U1005" s="195">
        <f t="shared" si="127"/>
        <v>0</v>
      </c>
      <c r="V1005" s="195">
        <f t="shared" si="128"/>
        <v>0</v>
      </c>
      <c r="W1005" s="196">
        <f t="shared" si="129"/>
        <v>0</v>
      </c>
      <c r="X1005" s="197">
        <f t="shared" si="130"/>
        <v>0</v>
      </c>
      <c r="AG1005" s="219" t="s">
        <v>2762</v>
      </c>
    </row>
    <row r="1006" ht="11.4" customHeight="1" spans="1:34">
      <c r="A1006" s="184" t="s">
        <v>2758</v>
      </c>
      <c r="B1006" s="184" t="s">
        <v>378</v>
      </c>
      <c r="C1006" s="184" t="s">
        <v>2763</v>
      </c>
      <c r="D1006" s="185" t="s">
        <v>522</v>
      </c>
      <c r="E1006" s="186" t="s">
        <v>2728</v>
      </c>
      <c r="F1006" s="186" t="s">
        <v>2729</v>
      </c>
      <c r="G1006" s="186" t="s">
        <v>2759</v>
      </c>
      <c r="H1006" s="186" t="s">
        <v>570</v>
      </c>
      <c r="I1006" s="187" t="s">
        <v>2764</v>
      </c>
      <c r="J1006" s="187" t="s">
        <v>2765</v>
      </c>
      <c r="K1006" s="188">
        <v>6</v>
      </c>
      <c r="L1006" s="188">
        <v>6</v>
      </c>
      <c r="M1006" s="189" t="s">
        <v>1018</v>
      </c>
      <c r="N1006" s="190">
        <v>262.5</v>
      </c>
      <c r="O1006" s="190">
        <f t="shared" si="123"/>
        <v>286.13</v>
      </c>
      <c r="P1006" s="191">
        <f t="shared" si="124"/>
        <v>1575</v>
      </c>
      <c r="Q1006" s="192">
        <f t="shared" si="125"/>
        <v>1575</v>
      </c>
      <c r="R1006" s="193"/>
      <c r="S1006" s="194"/>
      <c r="T1006" s="195">
        <f t="shared" si="126"/>
        <v>0</v>
      </c>
      <c r="U1006" s="195">
        <f t="shared" si="127"/>
        <v>0</v>
      </c>
      <c r="V1006" s="195">
        <f t="shared" si="128"/>
        <v>0</v>
      </c>
      <c r="W1006" s="196">
        <f t="shared" si="129"/>
        <v>0</v>
      </c>
      <c r="X1006" s="197">
        <f t="shared" si="130"/>
        <v>0</v>
      </c>
      <c r="AG1006" s="219" t="s">
        <v>990</v>
      </c>
    </row>
    <row r="1007" ht="11.4" customHeight="1" spans="1:34">
      <c r="A1007" s="184" t="s">
        <v>2758</v>
      </c>
      <c r="B1007" s="184" t="s">
        <v>378</v>
      </c>
      <c r="C1007" s="184" t="s">
        <v>2763</v>
      </c>
      <c r="D1007" s="185" t="s">
        <v>522</v>
      </c>
      <c r="E1007" s="186" t="s">
        <v>2728</v>
      </c>
      <c r="F1007" s="186" t="s">
        <v>2729</v>
      </c>
      <c r="G1007" s="186" t="s">
        <v>2759</v>
      </c>
      <c r="H1007" s="186" t="s">
        <v>570</v>
      </c>
      <c r="I1007" s="187" t="s">
        <v>2766</v>
      </c>
      <c r="J1007" s="187" t="s">
        <v>2767</v>
      </c>
      <c r="K1007" s="188"/>
      <c r="L1007" s="188"/>
      <c r="M1007" s="189" t="s">
        <v>1018</v>
      </c>
      <c r="N1007" s="190">
        <v>220.5</v>
      </c>
      <c r="O1007" s="190">
        <f t="shared" si="123"/>
        <v>240.35</v>
      </c>
      <c r="P1007" s="191">
        <f t="shared" si="124"/>
        <v>0</v>
      </c>
      <c r="Q1007" s="192">
        <f t="shared" si="125"/>
        <v>0</v>
      </c>
      <c r="R1007" s="193"/>
      <c r="S1007" s="194"/>
      <c r="T1007" s="195">
        <f t="shared" si="126"/>
        <v>0</v>
      </c>
      <c r="U1007" s="195">
        <f t="shared" si="127"/>
        <v>0</v>
      </c>
      <c r="V1007" s="195">
        <f t="shared" si="128"/>
        <v>0</v>
      </c>
      <c r="W1007" s="196" t="e">
        <f t="shared" si="129"/>
        <v>#DIV/0!</v>
      </c>
      <c r="X1007" s="197" t="e">
        <f t="shared" si="130"/>
        <v>#DIV/0!</v>
      </c>
      <c r="AG1007" s="219" t="s">
        <v>990</v>
      </c>
    </row>
    <row r="1008" ht="11.4" customHeight="1" spans="1:34">
      <c r="A1008" s="184" t="s">
        <v>2768</v>
      </c>
      <c r="B1008" s="184" t="s">
        <v>394</v>
      </c>
      <c r="C1008" s="184" t="s">
        <v>393</v>
      </c>
      <c r="D1008" s="185" t="s">
        <v>522</v>
      </c>
      <c r="E1008" s="186" t="s">
        <v>2728</v>
      </c>
      <c r="F1008" s="186" t="s">
        <v>2769</v>
      </c>
      <c r="G1008" s="186" t="s">
        <v>582</v>
      </c>
      <c r="H1008" s="186" t="s">
        <v>582</v>
      </c>
      <c r="I1008" s="187" t="s">
        <v>2770</v>
      </c>
      <c r="J1008" s="187" t="s">
        <v>576</v>
      </c>
      <c r="K1008" s="188">
        <v>1</v>
      </c>
      <c r="L1008" s="188">
        <v>1</v>
      </c>
      <c r="M1008" s="189" t="s">
        <v>2308</v>
      </c>
      <c r="N1008" s="190">
        <v>402</v>
      </c>
      <c r="O1008" s="190">
        <f t="shared" si="123"/>
        <v>438.18</v>
      </c>
      <c r="P1008" s="191">
        <f t="shared" si="124"/>
        <v>402</v>
      </c>
      <c r="Q1008" s="192">
        <f t="shared" si="125"/>
        <v>402</v>
      </c>
      <c r="R1008" s="193"/>
      <c r="S1008" s="194"/>
      <c r="T1008" s="195">
        <f t="shared" si="126"/>
        <v>0</v>
      </c>
      <c r="U1008" s="195">
        <f t="shared" si="127"/>
        <v>0</v>
      </c>
      <c r="V1008" s="195">
        <f t="shared" si="128"/>
        <v>0</v>
      </c>
      <c r="W1008" s="196">
        <f t="shared" si="129"/>
        <v>0</v>
      </c>
      <c r="X1008" s="197">
        <f t="shared" si="130"/>
        <v>0</v>
      </c>
      <c r="AH1008" s="219" t="s">
        <v>794</v>
      </c>
    </row>
    <row r="1009" ht="11.4" customHeight="1" spans="1:34">
      <c r="A1009" s="184" t="s">
        <v>2771</v>
      </c>
      <c r="B1009" s="184" t="s">
        <v>401</v>
      </c>
      <c r="C1009" s="184" t="s">
        <v>400</v>
      </c>
      <c r="D1009" s="185" t="s">
        <v>522</v>
      </c>
      <c r="E1009" s="186" t="s">
        <v>2728</v>
      </c>
      <c r="F1009" s="186" t="s">
        <v>2772</v>
      </c>
      <c r="G1009" s="186" t="s">
        <v>2773</v>
      </c>
      <c r="H1009" s="186" t="s">
        <v>2773</v>
      </c>
      <c r="I1009" s="187" t="s">
        <v>2774</v>
      </c>
      <c r="J1009" s="187" t="s">
        <v>2775</v>
      </c>
      <c r="K1009" s="188">
        <v>3</v>
      </c>
      <c r="L1009" s="188">
        <v>3</v>
      </c>
      <c r="M1009" s="189" t="s">
        <v>2308</v>
      </c>
      <c r="N1009" s="190">
        <v>1413.32</v>
      </c>
      <c r="O1009" s="190">
        <f t="shared" si="123"/>
        <v>1540.52</v>
      </c>
      <c r="P1009" s="191">
        <f t="shared" si="124"/>
        <v>4239.96</v>
      </c>
      <c r="Q1009" s="192">
        <f t="shared" si="125"/>
        <v>4239.96</v>
      </c>
      <c r="R1009" s="193"/>
      <c r="S1009" s="194"/>
      <c r="T1009" s="195">
        <f t="shared" si="126"/>
        <v>0</v>
      </c>
      <c r="U1009" s="195">
        <f t="shared" si="127"/>
        <v>0</v>
      </c>
      <c r="V1009" s="195">
        <f t="shared" si="128"/>
        <v>0</v>
      </c>
      <c r="W1009" s="196">
        <f t="shared" si="129"/>
        <v>0</v>
      </c>
      <c r="X1009" s="197">
        <f t="shared" si="130"/>
        <v>0</v>
      </c>
      <c r="AG1009" s="219" t="s">
        <v>990</v>
      </c>
    </row>
    <row r="1010" ht="11.4" customHeight="1" spans="1:34">
      <c r="A1010" s="184" t="s">
        <v>2771</v>
      </c>
      <c r="B1010" s="184" t="s">
        <v>401</v>
      </c>
      <c r="C1010" s="184" t="s">
        <v>400</v>
      </c>
      <c r="D1010" s="185" t="s">
        <v>522</v>
      </c>
      <c r="E1010" s="186" t="s">
        <v>2728</v>
      </c>
      <c r="F1010" s="186" t="s">
        <v>2772</v>
      </c>
      <c r="G1010" s="186" t="s">
        <v>2773</v>
      </c>
      <c r="H1010" s="186" t="s">
        <v>2773</v>
      </c>
      <c r="I1010" s="187" t="s">
        <v>2776</v>
      </c>
      <c r="J1010" s="187" t="s">
        <v>2777</v>
      </c>
      <c r="K1010" s="188"/>
      <c r="L1010" s="188"/>
      <c r="M1010" s="189" t="s">
        <v>2308</v>
      </c>
      <c r="N1010" s="190">
        <v>1413.32</v>
      </c>
      <c r="O1010" s="190">
        <f t="shared" si="123"/>
        <v>1540.52</v>
      </c>
      <c r="P1010" s="191">
        <f t="shared" si="124"/>
        <v>0</v>
      </c>
      <c r="Q1010" s="192">
        <f t="shared" si="125"/>
        <v>0</v>
      </c>
      <c r="R1010" s="193"/>
      <c r="S1010" s="194"/>
      <c r="T1010" s="195">
        <f t="shared" si="126"/>
        <v>0</v>
      </c>
      <c r="U1010" s="195">
        <f t="shared" si="127"/>
        <v>0</v>
      </c>
      <c r="V1010" s="195">
        <f t="shared" si="128"/>
        <v>0</v>
      </c>
      <c r="W1010" s="196" t="e">
        <f t="shared" si="129"/>
        <v>#DIV/0!</v>
      </c>
      <c r="X1010" s="197" t="e">
        <f t="shared" si="130"/>
        <v>#DIV/0!</v>
      </c>
      <c r="AG1010" s="219" t="s">
        <v>990</v>
      </c>
    </row>
    <row r="1011" ht="11.4" customHeight="1" spans="1:34">
      <c r="A1011" s="184" t="s">
        <v>2771</v>
      </c>
      <c r="B1011" s="184" t="s">
        <v>401</v>
      </c>
      <c r="C1011" s="184" t="s">
        <v>400</v>
      </c>
      <c r="D1011" s="185" t="s">
        <v>522</v>
      </c>
      <c r="E1011" s="186" t="s">
        <v>2728</v>
      </c>
      <c r="F1011" s="186" t="s">
        <v>2772</v>
      </c>
      <c r="G1011" s="186" t="s">
        <v>2773</v>
      </c>
      <c r="H1011" s="186" t="s">
        <v>2773</v>
      </c>
      <c r="I1011" s="187" t="s">
        <v>2778</v>
      </c>
      <c r="J1011" s="187" t="s">
        <v>2779</v>
      </c>
      <c r="K1011" s="188"/>
      <c r="L1011" s="188"/>
      <c r="M1011" s="189" t="s">
        <v>2308</v>
      </c>
      <c r="N1011" s="190">
        <v>1600.08</v>
      </c>
      <c r="O1011" s="190">
        <f t="shared" si="123"/>
        <v>1744.09</v>
      </c>
      <c r="P1011" s="191">
        <f t="shared" si="124"/>
        <v>0</v>
      </c>
      <c r="Q1011" s="192">
        <f t="shared" si="125"/>
        <v>0</v>
      </c>
      <c r="R1011" s="193"/>
      <c r="S1011" s="194"/>
      <c r="T1011" s="195">
        <f t="shared" si="126"/>
        <v>0</v>
      </c>
      <c r="U1011" s="195">
        <f t="shared" si="127"/>
        <v>0</v>
      </c>
      <c r="V1011" s="195">
        <f t="shared" si="128"/>
        <v>0</v>
      </c>
      <c r="W1011" s="196" t="e">
        <f t="shared" si="129"/>
        <v>#DIV/0!</v>
      </c>
      <c r="X1011" s="197" t="e">
        <f t="shared" si="130"/>
        <v>#DIV/0!</v>
      </c>
      <c r="AG1011" s="219" t="s">
        <v>990</v>
      </c>
    </row>
    <row r="1012" ht="11.4" customHeight="1" spans="1:34">
      <c r="A1012" s="184" t="s">
        <v>2771</v>
      </c>
      <c r="B1012" s="184" t="s">
        <v>401</v>
      </c>
      <c r="C1012" s="184" t="s">
        <v>400</v>
      </c>
      <c r="D1012" s="185" t="s">
        <v>522</v>
      </c>
      <c r="E1012" s="186" t="s">
        <v>2728</v>
      </c>
      <c r="F1012" s="186" t="s">
        <v>2772</v>
      </c>
      <c r="G1012" s="186" t="s">
        <v>2773</v>
      </c>
      <c r="H1012" s="186" t="s">
        <v>2773</v>
      </c>
      <c r="I1012" s="187" t="s">
        <v>2780</v>
      </c>
      <c r="J1012" s="187" t="s">
        <v>2781</v>
      </c>
      <c r="K1012" s="188"/>
      <c r="L1012" s="188"/>
      <c r="M1012" s="189" t="s">
        <v>963</v>
      </c>
      <c r="N1012" s="190">
        <v>2295.13</v>
      </c>
      <c r="O1012" s="190">
        <f t="shared" si="123"/>
        <v>2501.69</v>
      </c>
      <c r="P1012" s="191">
        <f t="shared" si="124"/>
        <v>0</v>
      </c>
      <c r="Q1012" s="192">
        <f t="shared" si="125"/>
        <v>0</v>
      </c>
      <c r="R1012" s="193"/>
      <c r="S1012" s="194"/>
      <c r="T1012" s="195">
        <f t="shared" si="126"/>
        <v>0</v>
      </c>
      <c r="U1012" s="195">
        <f t="shared" si="127"/>
        <v>0</v>
      </c>
      <c r="V1012" s="195">
        <f t="shared" si="128"/>
        <v>0</v>
      </c>
      <c r="W1012" s="196" t="e">
        <f t="shared" si="129"/>
        <v>#DIV/0!</v>
      </c>
      <c r="X1012" s="197" t="e">
        <f t="shared" si="130"/>
        <v>#DIV/0!</v>
      </c>
      <c r="AG1012" s="219" t="s">
        <v>990</v>
      </c>
    </row>
    <row r="1013" ht="11.4" customHeight="1" spans="1:34">
      <c r="A1013" s="184" t="s">
        <v>2771</v>
      </c>
      <c r="B1013" s="184" t="s">
        <v>401</v>
      </c>
      <c r="C1013" s="184" t="s">
        <v>400</v>
      </c>
      <c r="D1013" s="185" t="s">
        <v>522</v>
      </c>
      <c r="E1013" s="186" t="s">
        <v>2728</v>
      </c>
      <c r="F1013" s="186" t="s">
        <v>2772</v>
      </c>
      <c r="G1013" s="186" t="s">
        <v>2773</v>
      </c>
      <c r="H1013" s="186" t="s">
        <v>2773</v>
      </c>
      <c r="I1013" s="187" t="s">
        <v>2782</v>
      </c>
      <c r="J1013" s="187" t="s">
        <v>2783</v>
      </c>
      <c r="K1013" s="188">
        <v>1</v>
      </c>
      <c r="L1013" s="188">
        <v>1</v>
      </c>
      <c r="M1013" s="189" t="s">
        <v>2308</v>
      </c>
      <c r="N1013" s="190">
        <v>2520</v>
      </c>
      <c r="O1013" s="190">
        <f t="shared" si="123"/>
        <v>2746.8</v>
      </c>
      <c r="P1013" s="191">
        <f t="shared" si="124"/>
        <v>2520</v>
      </c>
      <c r="Q1013" s="192">
        <f t="shared" si="125"/>
        <v>2520</v>
      </c>
      <c r="R1013" s="193"/>
      <c r="S1013" s="194"/>
      <c r="T1013" s="195">
        <f t="shared" si="126"/>
        <v>0</v>
      </c>
      <c r="U1013" s="195">
        <f t="shared" si="127"/>
        <v>0</v>
      </c>
      <c r="V1013" s="195">
        <f t="shared" si="128"/>
        <v>0</v>
      </c>
      <c r="W1013" s="196">
        <f t="shared" si="129"/>
        <v>0</v>
      </c>
      <c r="X1013" s="197">
        <f t="shared" si="130"/>
        <v>0</v>
      </c>
      <c r="AG1013" s="109" t="s">
        <v>2379</v>
      </c>
    </row>
    <row r="1014" ht="11.4" customHeight="1" spans="1:34">
      <c r="A1014" s="184" t="s">
        <v>2771</v>
      </c>
      <c r="B1014" s="184" t="s">
        <v>401</v>
      </c>
      <c r="C1014" s="184" t="s">
        <v>400</v>
      </c>
      <c r="D1014" s="185" t="s">
        <v>522</v>
      </c>
      <c r="E1014" s="186" t="s">
        <v>2728</v>
      </c>
      <c r="F1014" s="186" t="s">
        <v>2772</v>
      </c>
      <c r="G1014" s="186" t="s">
        <v>2773</v>
      </c>
      <c r="H1014" s="186" t="s">
        <v>2773</v>
      </c>
      <c r="I1014" s="187" t="s">
        <v>2784</v>
      </c>
      <c r="J1014" s="187" t="s">
        <v>2785</v>
      </c>
      <c r="K1014" s="188">
        <v>1</v>
      </c>
      <c r="L1014" s="188">
        <v>1</v>
      </c>
      <c r="M1014" s="189" t="s">
        <v>2308</v>
      </c>
      <c r="N1014" s="190">
        <v>1417.5</v>
      </c>
      <c r="O1014" s="190">
        <f t="shared" si="123"/>
        <v>1545.08</v>
      </c>
      <c r="P1014" s="191">
        <f t="shared" si="124"/>
        <v>1417.5</v>
      </c>
      <c r="Q1014" s="192">
        <f t="shared" si="125"/>
        <v>1417.5</v>
      </c>
      <c r="R1014" s="193"/>
      <c r="S1014" s="194"/>
      <c r="T1014" s="195">
        <f t="shared" si="126"/>
        <v>0</v>
      </c>
      <c r="U1014" s="195">
        <f t="shared" si="127"/>
        <v>0</v>
      </c>
      <c r="V1014" s="195">
        <f t="shared" si="128"/>
        <v>0</v>
      </c>
      <c r="W1014" s="196">
        <f t="shared" si="129"/>
        <v>0</v>
      </c>
      <c r="X1014" s="197">
        <f t="shared" si="130"/>
        <v>0</v>
      </c>
      <c r="AG1014" s="109" t="s">
        <v>2379</v>
      </c>
    </row>
    <row r="1015" ht="11.4" customHeight="1" spans="1:34">
      <c r="A1015" s="184" t="s">
        <v>2771</v>
      </c>
      <c r="B1015" s="184" t="s">
        <v>401</v>
      </c>
      <c r="C1015" s="184" t="s">
        <v>400</v>
      </c>
      <c r="D1015" s="185" t="s">
        <v>522</v>
      </c>
      <c r="E1015" s="186" t="s">
        <v>2728</v>
      </c>
      <c r="F1015" s="186" t="s">
        <v>2772</v>
      </c>
      <c r="G1015" s="186" t="s">
        <v>2773</v>
      </c>
      <c r="H1015" s="186" t="s">
        <v>2773</v>
      </c>
      <c r="I1015" s="187" t="s">
        <v>2786</v>
      </c>
      <c r="J1015" s="187" t="s">
        <v>2787</v>
      </c>
      <c r="K1015" s="188">
        <v>1</v>
      </c>
      <c r="L1015" s="188">
        <v>1</v>
      </c>
      <c r="M1015" s="189" t="s">
        <v>2308</v>
      </c>
      <c r="N1015" s="190">
        <v>761.25</v>
      </c>
      <c r="O1015" s="190">
        <f t="shared" si="123"/>
        <v>829.76</v>
      </c>
      <c r="P1015" s="191">
        <f t="shared" si="124"/>
        <v>761.25</v>
      </c>
      <c r="Q1015" s="192">
        <f t="shared" si="125"/>
        <v>761.25</v>
      </c>
      <c r="R1015" s="193"/>
      <c r="S1015" s="194"/>
      <c r="T1015" s="195">
        <f t="shared" si="126"/>
        <v>0</v>
      </c>
      <c r="U1015" s="195">
        <f t="shared" si="127"/>
        <v>0</v>
      </c>
      <c r="V1015" s="195">
        <f t="shared" si="128"/>
        <v>0</v>
      </c>
      <c r="W1015" s="196">
        <f t="shared" si="129"/>
        <v>0</v>
      </c>
      <c r="X1015" s="197">
        <f t="shared" si="130"/>
        <v>0</v>
      </c>
      <c r="AG1015" s="109" t="s">
        <v>2379</v>
      </c>
    </row>
    <row r="1016" ht="11.4" customHeight="1" spans="1:34">
      <c r="A1016" s="184" t="s">
        <v>2771</v>
      </c>
      <c r="B1016" s="184" t="s">
        <v>401</v>
      </c>
      <c r="C1016" s="184" t="s">
        <v>400</v>
      </c>
      <c r="D1016" s="185" t="s">
        <v>522</v>
      </c>
      <c r="E1016" s="186" t="s">
        <v>2728</v>
      </c>
      <c r="F1016" s="186" t="s">
        <v>2772</v>
      </c>
      <c r="G1016" s="186" t="s">
        <v>2788</v>
      </c>
      <c r="H1016" s="186" t="s">
        <v>2788</v>
      </c>
      <c r="I1016" s="187" t="s">
        <v>2789</v>
      </c>
      <c r="J1016" s="187" t="s">
        <v>2790</v>
      </c>
      <c r="K1016" s="188">
        <v>2</v>
      </c>
      <c r="L1016" s="188">
        <v>2</v>
      </c>
      <c r="M1016" s="189" t="s">
        <v>2308</v>
      </c>
      <c r="N1016" s="190">
        <v>670.89</v>
      </c>
      <c r="O1016" s="190">
        <f t="shared" si="123"/>
        <v>731.27</v>
      </c>
      <c r="P1016" s="191">
        <f t="shared" si="124"/>
        <v>1341.78</v>
      </c>
      <c r="Q1016" s="192">
        <f t="shared" si="125"/>
        <v>1341.78</v>
      </c>
      <c r="R1016" s="193"/>
      <c r="S1016" s="194"/>
      <c r="T1016" s="195">
        <f t="shared" si="126"/>
        <v>0</v>
      </c>
      <c r="U1016" s="195">
        <f t="shared" si="127"/>
        <v>0</v>
      </c>
      <c r="V1016" s="195">
        <f t="shared" si="128"/>
        <v>0</v>
      </c>
      <c r="W1016" s="196">
        <f t="shared" si="129"/>
        <v>0</v>
      </c>
      <c r="X1016" s="197">
        <f t="shared" si="130"/>
        <v>0</v>
      </c>
      <c r="AG1016" s="109" t="s">
        <v>990</v>
      </c>
    </row>
    <row r="1017" ht="11.4" customHeight="1" spans="1:34">
      <c r="A1017" s="184" t="s">
        <v>2791</v>
      </c>
      <c r="B1017" s="184" t="s">
        <v>405</v>
      </c>
      <c r="C1017" s="184" t="s">
        <v>404</v>
      </c>
      <c r="D1017" s="185" t="s">
        <v>522</v>
      </c>
      <c r="E1017" s="186" t="s">
        <v>2728</v>
      </c>
      <c r="F1017" s="186" t="s">
        <v>2772</v>
      </c>
      <c r="G1017" s="186" t="s">
        <v>2792</v>
      </c>
      <c r="H1017" s="186" t="s">
        <v>578</v>
      </c>
      <c r="I1017" s="187" t="s">
        <v>2793</v>
      </c>
      <c r="J1017" s="187" t="s">
        <v>2794</v>
      </c>
      <c r="K1017" s="188"/>
      <c r="L1017" s="188"/>
      <c r="M1017" s="189" t="s">
        <v>2308</v>
      </c>
      <c r="N1017" s="190">
        <v>7311.91</v>
      </c>
      <c r="O1017" s="190">
        <f t="shared" si="123"/>
        <v>7969.98</v>
      </c>
      <c r="P1017" s="191">
        <f t="shared" si="124"/>
        <v>0</v>
      </c>
      <c r="Q1017" s="192">
        <f t="shared" si="125"/>
        <v>0</v>
      </c>
      <c r="R1017" s="193"/>
      <c r="S1017" s="194"/>
      <c r="T1017" s="195">
        <f t="shared" si="126"/>
        <v>0</v>
      </c>
      <c r="U1017" s="195">
        <f t="shared" si="127"/>
        <v>0</v>
      </c>
      <c r="V1017" s="195">
        <f t="shared" si="128"/>
        <v>0</v>
      </c>
      <c r="W1017" s="196" t="e">
        <f t="shared" si="129"/>
        <v>#DIV/0!</v>
      </c>
      <c r="X1017" s="197" t="e">
        <f t="shared" si="130"/>
        <v>#DIV/0!</v>
      </c>
      <c r="AG1017" s="109" t="s">
        <v>990</v>
      </c>
    </row>
    <row r="1018" ht="11.4" customHeight="1" spans="1:34">
      <c r="A1018" s="184" t="s">
        <v>2791</v>
      </c>
      <c r="B1018" s="184" t="s">
        <v>405</v>
      </c>
      <c r="C1018" s="184" t="s">
        <v>404</v>
      </c>
      <c r="D1018" s="185" t="s">
        <v>522</v>
      </c>
      <c r="E1018" s="186" t="s">
        <v>2728</v>
      </c>
      <c r="F1018" s="186" t="s">
        <v>2772</v>
      </c>
      <c r="G1018" s="186" t="s">
        <v>2792</v>
      </c>
      <c r="H1018" s="186" t="s">
        <v>578</v>
      </c>
      <c r="I1018" s="187" t="s">
        <v>2795</v>
      </c>
      <c r="J1018" s="187" t="s">
        <v>2796</v>
      </c>
      <c r="K1018" s="188">
        <v>1</v>
      </c>
      <c r="L1018" s="188">
        <v>1</v>
      </c>
      <c r="M1018" s="189" t="s">
        <v>2308</v>
      </c>
      <c r="N1018" s="190">
        <v>6891.91</v>
      </c>
      <c r="O1018" s="190">
        <f t="shared" si="123"/>
        <v>7512.18</v>
      </c>
      <c r="P1018" s="191">
        <f t="shared" si="124"/>
        <v>6891.91</v>
      </c>
      <c r="Q1018" s="192">
        <f t="shared" si="125"/>
        <v>6891.91</v>
      </c>
      <c r="R1018" s="193"/>
      <c r="S1018" s="194"/>
      <c r="T1018" s="195">
        <f t="shared" si="126"/>
        <v>0</v>
      </c>
      <c r="U1018" s="195">
        <f t="shared" si="127"/>
        <v>0</v>
      </c>
      <c r="V1018" s="195">
        <f t="shared" si="128"/>
        <v>0</v>
      </c>
      <c r="W1018" s="196">
        <f t="shared" si="129"/>
        <v>0</v>
      </c>
      <c r="X1018" s="197">
        <f t="shared" si="130"/>
        <v>0</v>
      </c>
      <c r="AG1018" s="109" t="s">
        <v>990</v>
      </c>
    </row>
    <row r="1019" ht="11.4" customHeight="1" spans="1:34">
      <c r="A1019" s="184" t="s">
        <v>2791</v>
      </c>
      <c r="B1019" s="184" t="s">
        <v>405</v>
      </c>
      <c r="C1019" s="184" t="s">
        <v>404</v>
      </c>
      <c r="D1019" s="185" t="s">
        <v>522</v>
      </c>
      <c r="E1019" s="186" t="s">
        <v>2728</v>
      </c>
      <c r="F1019" s="186" t="s">
        <v>2772</v>
      </c>
      <c r="G1019" s="186" t="s">
        <v>2792</v>
      </c>
      <c r="H1019" s="186" t="s">
        <v>578</v>
      </c>
      <c r="I1019" s="187" t="s">
        <v>2797</v>
      </c>
      <c r="J1019" s="187" t="s">
        <v>2798</v>
      </c>
      <c r="K1019" s="188"/>
      <c r="L1019" s="188"/>
      <c r="M1019" s="189" t="s">
        <v>2308</v>
      </c>
      <c r="N1019" s="190">
        <v>1399.38</v>
      </c>
      <c r="O1019" s="190">
        <f t="shared" si="123"/>
        <v>1525.32</v>
      </c>
      <c r="P1019" s="191">
        <f t="shared" si="124"/>
        <v>0</v>
      </c>
      <c r="Q1019" s="192">
        <f t="shared" si="125"/>
        <v>0</v>
      </c>
      <c r="R1019" s="193"/>
      <c r="S1019" s="194"/>
      <c r="T1019" s="195">
        <f t="shared" si="126"/>
        <v>0</v>
      </c>
      <c r="U1019" s="195">
        <f t="shared" si="127"/>
        <v>0</v>
      </c>
      <c r="V1019" s="195">
        <f t="shared" si="128"/>
        <v>0</v>
      </c>
      <c r="W1019" s="196" t="e">
        <f t="shared" si="129"/>
        <v>#DIV/0!</v>
      </c>
      <c r="X1019" s="197" t="e">
        <f t="shared" si="130"/>
        <v>#DIV/0!</v>
      </c>
      <c r="AG1019" s="109" t="s">
        <v>990</v>
      </c>
    </row>
    <row r="1020" ht="11.4" customHeight="1" spans="1:34">
      <c r="A1020" s="184" t="s">
        <v>2791</v>
      </c>
      <c r="B1020" s="184" t="s">
        <v>405</v>
      </c>
      <c r="C1020" s="184" t="s">
        <v>404</v>
      </c>
      <c r="D1020" s="185" t="s">
        <v>522</v>
      </c>
      <c r="E1020" s="186" t="s">
        <v>2728</v>
      </c>
      <c r="F1020" s="186" t="s">
        <v>2772</v>
      </c>
      <c r="G1020" s="186" t="s">
        <v>2792</v>
      </c>
      <c r="H1020" s="186" t="s">
        <v>578</v>
      </c>
      <c r="I1020" s="187" t="s">
        <v>2799</v>
      </c>
      <c r="J1020" s="187" t="s">
        <v>2800</v>
      </c>
      <c r="K1020" s="188"/>
      <c r="L1020" s="188"/>
      <c r="M1020" s="189" t="s">
        <v>2308</v>
      </c>
      <c r="N1020" s="190">
        <v>7312.31</v>
      </c>
      <c r="O1020" s="190">
        <f t="shared" si="123"/>
        <v>7970.42</v>
      </c>
      <c r="P1020" s="191">
        <f t="shared" si="124"/>
        <v>0</v>
      </c>
      <c r="Q1020" s="192">
        <f t="shared" si="125"/>
        <v>0</v>
      </c>
      <c r="R1020" s="193"/>
      <c r="S1020" s="194"/>
      <c r="T1020" s="195">
        <f t="shared" si="126"/>
        <v>0</v>
      </c>
      <c r="U1020" s="195">
        <f t="shared" si="127"/>
        <v>0</v>
      </c>
      <c r="V1020" s="195">
        <f t="shared" si="128"/>
        <v>0</v>
      </c>
      <c r="W1020" s="196" t="e">
        <f t="shared" si="129"/>
        <v>#DIV/0!</v>
      </c>
      <c r="X1020" s="197" t="e">
        <f t="shared" si="130"/>
        <v>#DIV/0!</v>
      </c>
      <c r="AG1020" s="109" t="s">
        <v>990</v>
      </c>
    </row>
    <row r="1021" ht="11.4" customHeight="1" spans="1:34">
      <c r="A1021" s="184" t="s">
        <v>2791</v>
      </c>
      <c r="B1021" s="184" t="s">
        <v>405</v>
      </c>
      <c r="C1021" s="184" t="s">
        <v>404</v>
      </c>
      <c r="D1021" s="185" t="s">
        <v>522</v>
      </c>
      <c r="E1021" s="186" t="s">
        <v>2728</v>
      </c>
      <c r="F1021" s="186" t="s">
        <v>2772</v>
      </c>
      <c r="G1021" s="186" t="s">
        <v>2792</v>
      </c>
      <c r="H1021" s="186" t="s">
        <v>578</v>
      </c>
      <c r="I1021" s="187" t="s">
        <v>2801</v>
      </c>
      <c r="J1021" s="187" t="s">
        <v>2802</v>
      </c>
      <c r="K1021" s="188"/>
      <c r="L1021" s="188"/>
      <c r="M1021" s="189" t="s">
        <v>2308</v>
      </c>
      <c r="N1021" s="190">
        <v>6892.31</v>
      </c>
      <c r="O1021" s="190">
        <f t="shared" si="123"/>
        <v>7512.62</v>
      </c>
      <c r="P1021" s="191">
        <f t="shared" si="124"/>
        <v>0</v>
      </c>
      <c r="Q1021" s="192">
        <f t="shared" si="125"/>
        <v>0</v>
      </c>
      <c r="R1021" s="193"/>
      <c r="S1021" s="194"/>
      <c r="T1021" s="195">
        <f t="shared" si="126"/>
        <v>0</v>
      </c>
      <c r="U1021" s="195">
        <f t="shared" si="127"/>
        <v>0</v>
      </c>
      <c r="V1021" s="195">
        <f t="shared" si="128"/>
        <v>0</v>
      </c>
      <c r="W1021" s="196" t="e">
        <f t="shared" si="129"/>
        <v>#DIV/0!</v>
      </c>
      <c r="X1021" s="197" t="e">
        <f t="shared" si="130"/>
        <v>#DIV/0!</v>
      </c>
      <c r="AG1021" s="109" t="s">
        <v>990</v>
      </c>
    </row>
    <row r="1022" ht="11.4" customHeight="1" spans="1:34">
      <c r="A1022" s="184" t="s">
        <v>2791</v>
      </c>
      <c r="B1022" s="184" t="s">
        <v>405</v>
      </c>
      <c r="C1022" s="184" t="s">
        <v>404</v>
      </c>
      <c r="D1022" s="185" t="s">
        <v>522</v>
      </c>
      <c r="E1022" s="186" t="s">
        <v>2728</v>
      </c>
      <c r="F1022" s="186" t="s">
        <v>2772</v>
      </c>
      <c r="G1022" s="186" t="s">
        <v>2792</v>
      </c>
      <c r="H1022" s="186" t="s">
        <v>578</v>
      </c>
      <c r="I1022" s="187" t="s">
        <v>2803</v>
      </c>
      <c r="J1022" s="187" t="s">
        <v>2804</v>
      </c>
      <c r="K1022" s="188"/>
      <c r="L1022" s="188"/>
      <c r="M1022" s="189" t="s">
        <v>2308</v>
      </c>
      <c r="N1022" s="190">
        <v>1400</v>
      </c>
      <c r="O1022" s="190">
        <f t="shared" si="123"/>
        <v>1526</v>
      </c>
      <c r="P1022" s="191">
        <f t="shared" si="124"/>
        <v>0</v>
      </c>
      <c r="Q1022" s="192">
        <f t="shared" si="125"/>
        <v>0</v>
      </c>
      <c r="R1022" s="193"/>
      <c r="S1022" s="194"/>
      <c r="T1022" s="195">
        <f t="shared" si="126"/>
        <v>0</v>
      </c>
      <c r="U1022" s="195">
        <f t="shared" si="127"/>
        <v>0</v>
      </c>
      <c r="V1022" s="195">
        <f t="shared" si="128"/>
        <v>0</v>
      </c>
      <c r="W1022" s="196" t="e">
        <f t="shared" si="129"/>
        <v>#DIV/0!</v>
      </c>
      <c r="X1022" s="197" t="e">
        <f t="shared" si="130"/>
        <v>#DIV/0!</v>
      </c>
      <c r="AG1022" s="109" t="s">
        <v>990</v>
      </c>
    </row>
    <row r="1023" ht="11.4" customHeight="1" spans="1:34">
      <c r="A1023" s="184" t="s">
        <v>2805</v>
      </c>
      <c r="B1023" s="184" t="s">
        <v>421</v>
      </c>
      <c r="C1023" s="184" t="s">
        <v>420</v>
      </c>
      <c r="D1023" s="185" t="s">
        <v>522</v>
      </c>
      <c r="E1023" s="186" t="s">
        <v>2728</v>
      </c>
      <c r="F1023" s="186" t="s">
        <v>2772</v>
      </c>
      <c r="G1023" s="186" t="s">
        <v>2806</v>
      </c>
      <c r="H1023" s="186" t="s">
        <v>580</v>
      </c>
      <c r="I1023" s="187" t="s">
        <v>2807</v>
      </c>
      <c r="J1023" s="187" t="s">
        <v>2808</v>
      </c>
      <c r="K1023" s="188"/>
      <c r="L1023" s="188"/>
      <c r="M1023" s="189" t="s">
        <v>2308</v>
      </c>
      <c r="N1023" s="190">
        <v>3437.7</v>
      </c>
      <c r="O1023" s="190">
        <f t="shared" si="123"/>
        <v>3747.09</v>
      </c>
      <c r="P1023" s="191">
        <f t="shared" si="124"/>
        <v>0</v>
      </c>
      <c r="Q1023" s="192">
        <f t="shared" si="125"/>
        <v>0</v>
      </c>
      <c r="R1023" s="193"/>
      <c r="S1023" s="194"/>
      <c r="T1023" s="195">
        <f t="shared" si="126"/>
        <v>0</v>
      </c>
      <c r="U1023" s="195">
        <f t="shared" si="127"/>
        <v>0</v>
      </c>
      <c r="V1023" s="195">
        <f t="shared" si="128"/>
        <v>0</v>
      </c>
      <c r="W1023" s="196" t="e">
        <f t="shared" si="129"/>
        <v>#DIV/0!</v>
      </c>
      <c r="X1023" s="197" t="e">
        <f t="shared" si="130"/>
        <v>#DIV/0!</v>
      </c>
      <c r="AG1023" s="219"/>
      <c r="AH1023" s="219" t="s">
        <v>794</v>
      </c>
    </row>
    <row r="1024" ht="11.4" customHeight="1" spans="1:34">
      <c r="A1024" s="184" t="s">
        <v>2805</v>
      </c>
      <c r="B1024" s="184" t="s">
        <v>421</v>
      </c>
      <c r="C1024" s="184" t="s">
        <v>420</v>
      </c>
      <c r="D1024" s="185" t="s">
        <v>522</v>
      </c>
      <c r="E1024" s="186" t="s">
        <v>2728</v>
      </c>
      <c r="F1024" s="186" t="s">
        <v>2772</v>
      </c>
      <c r="G1024" s="186" t="s">
        <v>2806</v>
      </c>
      <c r="H1024" s="186" t="s">
        <v>580</v>
      </c>
      <c r="I1024" s="187" t="s">
        <v>2809</v>
      </c>
      <c r="J1024" s="187" t="s">
        <v>2810</v>
      </c>
      <c r="K1024" s="188"/>
      <c r="L1024" s="188"/>
      <c r="M1024" s="189" t="s">
        <v>2308</v>
      </c>
      <c r="N1024" s="190">
        <v>4340.7</v>
      </c>
      <c r="O1024" s="190">
        <f t="shared" si="123"/>
        <v>4731.36</v>
      </c>
      <c r="P1024" s="191">
        <f t="shared" si="124"/>
        <v>0</v>
      </c>
      <c r="Q1024" s="192">
        <f t="shared" si="125"/>
        <v>0</v>
      </c>
      <c r="R1024" s="193"/>
      <c r="S1024" s="194"/>
      <c r="T1024" s="195">
        <f t="shared" si="126"/>
        <v>0</v>
      </c>
      <c r="U1024" s="195">
        <f t="shared" si="127"/>
        <v>0</v>
      </c>
      <c r="V1024" s="195">
        <f t="shared" si="128"/>
        <v>0</v>
      </c>
      <c r="W1024" s="196" t="e">
        <f t="shared" si="129"/>
        <v>#DIV/0!</v>
      </c>
      <c r="X1024" s="197" t="e">
        <f t="shared" si="130"/>
        <v>#DIV/0!</v>
      </c>
      <c r="AG1024" s="219"/>
      <c r="AH1024" s="219" t="s">
        <v>794</v>
      </c>
    </row>
    <row r="1025" ht="11.4" customHeight="1" spans="1:34">
      <c r="A1025" s="184" t="s">
        <v>2811</v>
      </c>
      <c r="B1025" s="184" t="s">
        <v>425</v>
      </c>
      <c r="C1025" s="184" t="s">
        <v>424</v>
      </c>
      <c r="D1025" s="185" t="s">
        <v>522</v>
      </c>
      <c r="E1025" s="186" t="s">
        <v>2728</v>
      </c>
      <c r="F1025" s="186" t="s">
        <v>2772</v>
      </c>
      <c r="G1025" s="186" t="s">
        <v>2812</v>
      </c>
      <c r="H1025" s="186" t="s">
        <v>2813</v>
      </c>
      <c r="I1025" s="187" t="s">
        <v>2814</v>
      </c>
      <c r="J1025" s="187" t="s">
        <v>2815</v>
      </c>
      <c r="K1025" s="188"/>
      <c r="L1025" s="188"/>
      <c r="M1025" s="189" t="s">
        <v>847</v>
      </c>
      <c r="N1025" s="190">
        <v>298</v>
      </c>
      <c r="O1025" s="190">
        <f t="shared" si="123"/>
        <v>324.82</v>
      </c>
      <c r="P1025" s="191">
        <f t="shared" si="124"/>
        <v>0</v>
      </c>
      <c r="Q1025" s="192">
        <f t="shared" si="125"/>
        <v>0</v>
      </c>
      <c r="R1025" s="193"/>
      <c r="S1025" s="194"/>
      <c r="T1025" s="195">
        <f t="shared" si="126"/>
        <v>0</v>
      </c>
      <c r="U1025" s="195">
        <f t="shared" si="127"/>
        <v>0</v>
      </c>
      <c r="V1025" s="195">
        <f t="shared" si="128"/>
        <v>0</v>
      </c>
      <c r="W1025" s="196" t="e">
        <f t="shared" si="129"/>
        <v>#DIV/0!</v>
      </c>
      <c r="X1025" s="197" t="e">
        <f t="shared" si="130"/>
        <v>#DIV/0!</v>
      </c>
      <c r="AG1025" s="219" t="s">
        <v>865</v>
      </c>
    </row>
    <row r="1026" ht="11.4" customHeight="1" spans="1:34">
      <c r="A1026" s="184" t="s">
        <v>2811</v>
      </c>
      <c r="B1026" s="184" t="s">
        <v>425</v>
      </c>
      <c r="C1026" s="184" t="s">
        <v>424</v>
      </c>
      <c r="D1026" s="185" t="s">
        <v>522</v>
      </c>
      <c r="E1026" s="186" t="s">
        <v>2728</v>
      </c>
      <c r="F1026" s="186" t="s">
        <v>2772</v>
      </c>
      <c r="G1026" s="186" t="s">
        <v>2812</v>
      </c>
      <c r="H1026" s="186" t="s">
        <v>2813</v>
      </c>
      <c r="I1026" s="187" t="s">
        <v>2816</v>
      </c>
      <c r="J1026" s="187" t="s">
        <v>2817</v>
      </c>
      <c r="K1026" s="188"/>
      <c r="L1026" s="188"/>
      <c r="M1026" s="189" t="s">
        <v>2308</v>
      </c>
      <c r="N1026" s="190">
        <v>2330</v>
      </c>
      <c r="O1026" s="190">
        <f t="shared" si="123"/>
        <v>2539.7</v>
      </c>
      <c r="P1026" s="191">
        <f t="shared" si="124"/>
        <v>0</v>
      </c>
      <c r="Q1026" s="192">
        <f t="shared" si="125"/>
        <v>0</v>
      </c>
      <c r="R1026" s="193"/>
      <c r="S1026" s="194"/>
      <c r="T1026" s="195">
        <f t="shared" si="126"/>
        <v>0</v>
      </c>
      <c r="U1026" s="195">
        <f t="shared" si="127"/>
        <v>0</v>
      </c>
      <c r="V1026" s="195">
        <f t="shared" si="128"/>
        <v>0</v>
      </c>
      <c r="W1026" s="196" t="e">
        <f t="shared" si="129"/>
        <v>#DIV/0!</v>
      </c>
      <c r="X1026" s="197" t="e">
        <f t="shared" si="130"/>
        <v>#DIV/0!</v>
      </c>
      <c r="AG1026" s="219" t="s">
        <v>990</v>
      </c>
    </row>
    <row r="1027" ht="11.4" customHeight="1" spans="1:34">
      <c r="A1027" s="184" t="s">
        <v>2818</v>
      </c>
      <c r="B1027" s="184" t="s">
        <v>323</v>
      </c>
      <c r="C1027" s="184" t="s">
        <v>2819</v>
      </c>
      <c r="D1027" s="185" t="s">
        <v>522</v>
      </c>
      <c r="E1027" s="186" t="s">
        <v>2728</v>
      </c>
      <c r="F1027" s="186" t="s">
        <v>2769</v>
      </c>
      <c r="G1027" s="186" t="s">
        <v>582</v>
      </c>
      <c r="H1027" s="186" t="s">
        <v>582</v>
      </c>
      <c r="I1027" s="187" t="s">
        <v>2820</v>
      </c>
      <c r="J1027" s="187" t="s">
        <v>2821</v>
      </c>
      <c r="K1027" s="188">
        <v>1</v>
      </c>
      <c r="L1027" s="188">
        <v>1</v>
      </c>
      <c r="M1027" s="189" t="s">
        <v>2308</v>
      </c>
      <c r="N1027" s="190">
        <v>881</v>
      </c>
      <c r="O1027" s="190">
        <f t="shared" si="123"/>
        <v>960.29</v>
      </c>
      <c r="P1027" s="191">
        <f t="shared" si="124"/>
        <v>881</v>
      </c>
      <c r="Q1027" s="192">
        <f t="shared" si="125"/>
        <v>881</v>
      </c>
      <c r="R1027" s="193"/>
      <c r="S1027" s="194"/>
      <c r="T1027" s="195">
        <f t="shared" si="126"/>
        <v>0</v>
      </c>
      <c r="U1027" s="195">
        <f t="shared" si="127"/>
        <v>0</v>
      </c>
      <c r="V1027" s="195">
        <f t="shared" si="128"/>
        <v>0</v>
      </c>
      <c r="W1027" s="196">
        <f t="shared" si="129"/>
        <v>0</v>
      </c>
      <c r="X1027" s="197">
        <f t="shared" si="130"/>
        <v>0</v>
      </c>
      <c r="AH1027" s="219" t="s">
        <v>794</v>
      </c>
    </row>
    <row r="1028" ht="11.4" customHeight="1" spans="1:34">
      <c r="A1028" s="184" t="s">
        <v>2822</v>
      </c>
      <c r="B1028" s="184" t="s">
        <v>430</v>
      </c>
      <c r="C1028" s="184" t="s">
        <v>2823</v>
      </c>
      <c r="D1028" s="185" t="s">
        <v>522</v>
      </c>
      <c r="E1028" s="186" t="s">
        <v>2728</v>
      </c>
      <c r="F1028" s="186" t="s">
        <v>2769</v>
      </c>
      <c r="G1028" s="186" t="s">
        <v>582</v>
      </c>
      <c r="H1028" s="186" t="s">
        <v>582</v>
      </c>
      <c r="I1028" s="187" t="s">
        <v>2824</v>
      </c>
      <c r="J1028" s="187" t="s">
        <v>2825</v>
      </c>
      <c r="K1028" s="188"/>
      <c r="L1028" s="188"/>
      <c r="M1028" s="189" t="s">
        <v>2308</v>
      </c>
      <c r="N1028" s="190">
        <v>258</v>
      </c>
      <c r="O1028" s="190">
        <f t="shared" si="123"/>
        <v>281.22</v>
      </c>
      <c r="P1028" s="191">
        <f t="shared" si="124"/>
        <v>0</v>
      </c>
      <c r="Q1028" s="192">
        <f t="shared" si="125"/>
        <v>0</v>
      </c>
      <c r="R1028" s="193"/>
      <c r="S1028" s="194"/>
      <c r="T1028" s="195">
        <f t="shared" si="126"/>
        <v>0</v>
      </c>
      <c r="U1028" s="195">
        <f t="shared" si="127"/>
        <v>0</v>
      </c>
      <c r="V1028" s="195">
        <f t="shared" si="128"/>
        <v>0</v>
      </c>
      <c r="W1028" s="196" t="e">
        <f t="shared" si="129"/>
        <v>#DIV/0!</v>
      </c>
      <c r="X1028" s="197" t="e">
        <f t="shared" si="130"/>
        <v>#DIV/0!</v>
      </c>
      <c r="AH1028" s="219" t="s">
        <v>794</v>
      </c>
    </row>
    <row r="1029" ht="11.4" customHeight="1" spans="1:34">
      <c r="A1029" s="184" t="s">
        <v>2758</v>
      </c>
      <c r="B1029" s="184" t="s">
        <v>378</v>
      </c>
      <c r="C1029" s="184" t="s">
        <v>2826</v>
      </c>
      <c r="D1029" s="185" t="s">
        <v>522</v>
      </c>
      <c r="E1029" s="186" t="s">
        <v>2728</v>
      </c>
      <c r="F1029" s="186" t="s">
        <v>2769</v>
      </c>
      <c r="G1029" s="186" t="s">
        <v>582</v>
      </c>
      <c r="H1029" s="186" t="s">
        <v>582</v>
      </c>
      <c r="I1029" s="187" t="s">
        <v>2827</v>
      </c>
      <c r="J1029" s="187" t="s">
        <v>2828</v>
      </c>
      <c r="K1029" s="188"/>
      <c r="L1029" s="188"/>
      <c r="M1029" s="189" t="s">
        <v>2308</v>
      </c>
      <c r="N1029" s="190">
        <v>300</v>
      </c>
      <c r="O1029" s="190">
        <f t="shared" si="123"/>
        <v>327</v>
      </c>
      <c r="P1029" s="191">
        <f t="shared" si="124"/>
        <v>0</v>
      </c>
      <c r="Q1029" s="192">
        <f t="shared" si="125"/>
        <v>0</v>
      </c>
      <c r="R1029" s="193"/>
      <c r="S1029" s="194"/>
      <c r="T1029" s="195">
        <f t="shared" si="126"/>
        <v>0</v>
      </c>
      <c r="U1029" s="195">
        <f t="shared" si="127"/>
        <v>0</v>
      </c>
      <c r="V1029" s="195">
        <f t="shared" si="128"/>
        <v>0</v>
      </c>
      <c r="W1029" s="196" t="e">
        <f t="shared" si="129"/>
        <v>#DIV/0!</v>
      </c>
      <c r="X1029" s="197" t="e">
        <f t="shared" si="130"/>
        <v>#DIV/0!</v>
      </c>
      <c r="AH1029" s="219" t="s">
        <v>794</v>
      </c>
    </row>
    <row r="1030" ht="11.4" customHeight="1" spans="1:34">
      <c r="A1030" s="184" t="s">
        <v>2822</v>
      </c>
      <c r="B1030" s="184" t="s">
        <v>430</v>
      </c>
      <c r="C1030" s="184" t="s">
        <v>2823</v>
      </c>
      <c r="D1030" s="185" t="s">
        <v>522</v>
      </c>
      <c r="E1030" s="186" t="s">
        <v>2728</v>
      </c>
      <c r="F1030" s="186" t="s">
        <v>2769</v>
      </c>
      <c r="G1030" s="186" t="s">
        <v>582</v>
      </c>
      <c r="H1030" s="186" t="s">
        <v>582</v>
      </c>
      <c r="I1030" s="187" t="s">
        <v>2829</v>
      </c>
      <c r="J1030" s="187" t="s">
        <v>2830</v>
      </c>
      <c r="K1030" s="188"/>
      <c r="L1030" s="188"/>
      <c r="M1030" s="189" t="s">
        <v>807</v>
      </c>
      <c r="N1030" s="190">
        <v>99.32</v>
      </c>
      <c r="O1030" s="190">
        <f t="shared" si="123"/>
        <v>108.26</v>
      </c>
      <c r="P1030" s="191">
        <f t="shared" si="124"/>
        <v>0</v>
      </c>
      <c r="Q1030" s="192">
        <f t="shared" si="125"/>
        <v>0</v>
      </c>
      <c r="R1030" s="193"/>
      <c r="S1030" s="194"/>
      <c r="T1030" s="195">
        <f t="shared" si="126"/>
        <v>0</v>
      </c>
      <c r="U1030" s="195">
        <f t="shared" si="127"/>
        <v>0</v>
      </c>
      <c r="V1030" s="195">
        <f t="shared" si="128"/>
        <v>0</v>
      </c>
      <c r="W1030" s="196" t="e">
        <f t="shared" si="129"/>
        <v>#DIV/0!</v>
      </c>
      <c r="X1030" s="197" t="e">
        <f t="shared" si="130"/>
        <v>#DIV/0!</v>
      </c>
      <c r="AG1030" s="109" t="s">
        <v>1056</v>
      </c>
    </row>
    <row r="1031" ht="11.4" customHeight="1" spans="1:34">
      <c r="A1031" s="184" t="s">
        <v>2822</v>
      </c>
      <c r="B1031" s="184" t="s">
        <v>430</v>
      </c>
      <c r="C1031" s="184" t="s">
        <v>2823</v>
      </c>
      <c r="D1031" s="185" t="s">
        <v>522</v>
      </c>
      <c r="E1031" s="186" t="s">
        <v>2728</v>
      </c>
      <c r="F1031" s="186" t="s">
        <v>2769</v>
      </c>
      <c r="G1031" s="186" t="s">
        <v>582</v>
      </c>
      <c r="H1031" s="186" t="s">
        <v>582</v>
      </c>
      <c r="I1031" s="187" t="s">
        <v>2831</v>
      </c>
      <c r="J1031" s="187" t="s">
        <v>2832</v>
      </c>
      <c r="K1031" s="188"/>
      <c r="L1031" s="188"/>
      <c r="M1031" s="189" t="s">
        <v>807</v>
      </c>
      <c r="N1031" s="190">
        <v>99.32</v>
      </c>
      <c r="O1031" s="190">
        <f t="shared" si="123"/>
        <v>108.26</v>
      </c>
      <c r="P1031" s="191">
        <f t="shared" si="124"/>
        <v>0</v>
      </c>
      <c r="Q1031" s="192">
        <f t="shared" si="125"/>
        <v>0</v>
      </c>
      <c r="R1031" s="193"/>
      <c r="S1031" s="194"/>
      <c r="T1031" s="195">
        <f t="shared" si="126"/>
        <v>0</v>
      </c>
      <c r="U1031" s="195">
        <f t="shared" si="127"/>
        <v>0</v>
      </c>
      <c r="V1031" s="195">
        <f t="shared" si="128"/>
        <v>0</v>
      </c>
      <c r="W1031" s="196" t="e">
        <f t="shared" si="129"/>
        <v>#DIV/0!</v>
      </c>
      <c r="X1031" s="197" t="e">
        <f t="shared" si="130"/>
        <v>#DIV/0!</v>
      </c>
      <c r="AG1031" s="219" t="s">
        <v>1932</v>
      </c>
    </row>
    <row r="1032" ht="11.4" customHeight="1" spans="1:34">
      <c r="A1032" s="184" t="s">
        <v>2822</v>
      </c>
      <c r="B1032" s="184" t="s">
        <v>430</v>
      </c>
      <c r="C1032" s="184" t="s">
        <v>2823</v>
      </c>
      <c r="D1032" s="185" t="s">
        <v>522</v>
      </c>
      <c r="E1032" s="186" t="s">
        <v>2728</v>
      </c>
      <c r="F1032" s="186" t="s">
        <v>2769</v>
      </c>
      <c r="G1032" s="186" t="s">
        <v>582</v>
      </c>
      <c r="H1032" s="186" t="s">
        <v>582</v>
      </c>
      <c r="I1032" s="187" t="s">
        <v>2833</v>
      </c>
      <c r="J1032" s="187" t="s">
        <v>2834</v>
      </c>
      <c r="K1032" s="188">
        <v>1</v>
      </c>
      <c r="L1032" s="188">
        <v>1</v>
      </c>
      <c r="M1032" s="189" t="s">
        <v>1018</v>
      </c>
      <c r="N1032" s="190">
        <v>21</v>
      </c>
      <c r="O1032" s="190">
        <f t="shared" si="123"/>
        <v>22.89</v>
      </c>
      <c r="P1032" s="191">
        <f t="shared" si="124"/>
        <v>21</v>
      </c>
      <c r="Q1032" s="192">
        <f t="shared" si="125"/>
        <v>21</v>
      </c>
      <c r="R1032" s="193"/>
      <c r="S1032" s="194"/>
      <c r="T1032" s="195">
        <f t="shared" si="126"/>
        <v>0</v>
      </c>
      <c r="U1032" s="195">
        <f t="shared" si="127"/>
        <v>0</v>
      </c>
      <c r="V1032" s="195">
        <f t="shared" si="128"/>
        <v>0</v>
      </c>
      <c r="W1032" s="196">
        <f t="shared" si="129"/>
        <v>0</v>
      </c>
      <c r="X1032" s="197">
        <f t="shared" si="130"/>
        <v>0</v>
      </c>
      <c r="AH1032" s="109" t="s">
        <v>1773</v>
      </c>
    </row>
    <row r="1033" ht="11.4" customHeight="1" spans="1:34">
      <c r="A1033" s="184" t="s">
        <v>2835</v>
      </c>
      <c r="B1033" s="184" t="s">
        <v>439</v>
      </c>
      <c r="C1033" s="184" t="s">
        <v>2836</v>
      </c>
      <c r="D1033" s="185" t="s">
        <v>522</v>
      </c>
      <c r="E1033" s="186" t="s">
        <v>2837</v>
      </c>
      <c r="F1033" s="186" t="s">
        <v>2838</v>
      </c>
      <c r="G1033" s="186" t="s">
        <v>583</v>
      </c>
      <c r="H1033" s="186" t="s">
        <v>583</v>
      </c>
      <c r="I1033" s="187" t="s">
        <v>2839</v>
      </c>
      <c r="J1033" s="187" t="s">
        <v>2840</v>
      </c>
      <c r="K1033" s="188">
        <v>1</v>
      </c>
      <c r="L1033" s="188">
        <v>1</v>
      </c>
      <c r="M1033" s="189" t="s">
        <v>793</v>
      </c>
      <c r="N1033" s="190">
        <v>3735</v>
      </c>
      <c r="O1033" s="190">
        <f t="shared" si="123"/>
        <v>4071.15</v>
      </c>
      <c r="P1033" s="191">
        <f t="shared" si="124"/>
        <v>3735</v>
      </c>
      <c r="Q1033" s="192">
        <f t="shared" si="125"/>
        <v>3735</v>
      </c>
      <c r="R1033" s="193"/>
      <c r="S1033" s="194"/>
      <c r="T1033" s="195">
        <f t="shared" si="126"/>
        <v>0</v>
      </c>
      <c r="U1033" s="195">
        <f t="shared" si="127"/>
        <v>0</v>
      </c>
      <c r="V1033" s="195">
        <f t="shared" si="128"/>
        <v>0</v>
      </c>
      <c r="W1033" s="196">
        <f t="shared" si="129"/>
        <v>0</v>
      </c>
      <c r="X1033" s="197">
        <f t="shared" si="130"/>
        <v>0</v>
      </c>
      <c r="AH1033" s="109" t="s">
        <v>1773</v>
      </c>
    </row>
    <row r="1034" ht="11.4" customHeight="1" spans="1:34">
      <c r="A1034" s="184" t="s">
        <v>2841</v>
      </c>
      <c r="B1034" s="184" t="s">
        <v>459</v>
      </c>
      <c r="C1034" s="184" t="s">
        <v>2842</v>
      </c>
      <c r="D1034" s="185" t="s">
        <v>522</v>
      </c>
      <c r="E1034" s="186" t="s">
        <v>2843</v>
      </c>
      <c r="F1034" s="186" t="s">
        <v>2844</v>
      </c>
      <c r="G1034" s="186" t="s">
        <v>2845</v>
      </c>
      <c r="H1034" s="186" t="s">
        <v>2845</v>
      </c>
      <c r="I1034" s="187" t="s">
        <v>2846</v>
      </c>
      <c r="J1034" s="187" t="s">
        <v>2847</v>
      </c>
      <c r="K1034" s="188"/>
      <c r="L1034" s="188"/>
      <c r="M1034" s="189" t="s">
        <v>793</v>
      </c>
      <c r="N1034" s="190">
        <v>538.44</v>
      </c>
      <c r="O1034" s="190">
        <f t="shared" si="123"/>
        <v>586.9</v>
      </c>
      <c r="P1034" s="191">
        <f t="shared" si="124"/>
        <v>0</v>
      </c>
      <c r="Q1034" s="192">
        <f t="shared" si="125"/>
        <v>0</v>
      </c>
      <c r="R1034" s="193"/>
      <c r="S1034" s="194"/>
      <c r="T1034" s="195">
        <f t="shared" si="126"/>
        <v>0</v>
      </c>
      <c r="U1034" s="195">
        <f t="shared" si="127"/>
        <v>0</v>
      </c>
      <c r="V1034" s="195">
        <f t="shared" si="128"/>
        <v>0</v>
      </c>
      <c r="W1034" s="196" t="e">
        <f t="shared" si="129"/>
        <v>#DIV/0!</v>
      </c>
      <c r="X1034" s="197" t="e">
        <f t="shared" si="130"/>
        <v>#DIV/0!</v>
      </c>
      <c r="AH1034" s="109" t="s">
        <v>1773</v>
      </c>
    </row>
    <row r="1035" ht="11.4" customHeight="1" spans="1:34">
      <c r="A1035" s="184" t="s">
        <v>2841</v>
      </c>
      <c r="B1035" s="184" t="s">
        <v>459</v>
      </c>
      <c r="C1035" s="184" t="s">
        <v>2842</v>
      </c>
      <c r="D1035" s="185" t="s">
        <v>522</v>
      </c>
      <c r="E1035" s="186" t="s">
        <v>2843</v>
      </c>
      <c r="F1035" s="186" t="s">
        <v>2844</v>
      </c>
      <c r="G1035" s="186" t="s">
        <v>2845</v>
      </c>
      <c r="H1035" s="186" t="s">
        <v>2845</v>
      </c>
      <c r="I1035" s="187" t="s">
        <v>2848</v>
      </c>
      <c r="J1035" s="187" t="s">
        <v>2849</v>
      </c>
      <c r="K1035" s="221"/>
      <c r="L1035" s="188">
        <v>1</v>
      </c>
      <c r="M1035" s="189" t="s">
        <v>793</v>
      </c>
      <c r="N1035" s="190">
        <v>200.08</v>
      </c>
      <c r="O1035" s="190">
        <f t="shared" si="123"/>
        <v>218.09</v>
      </c>
      <c r="P1035" s="191">
        <f t="shared" si="124"/>
        <v>0</v>
      </c>
      <c r="Q1035" s="192">
        <f t="shared" si="125"/>
        <v>200.08</v>
      </c>
      <c r="R1035" s="193"/>
      <c r="S1035" s="194"/>
      <c r="T1035" s="195">
        <f t="shared" si="126"/>
        <v>-1</v>
      </c>
      <c r="U1035" s="195">
        <f t="shared" si="127"/>
        <v>-200.08</v>
      </c>
      <c r="V1035" s="195">
        <f t="shared" si="128"/>
        <v>200.08</v>
      </c>
      <c r="W1035" s="196">
        <f t="shared" si="129"/>
        <v>-1</v>
      </c>
      <c r="X1035" s="197">
        <f t="shared" si="130"/>
        <v>1</v>
      </c>
      <c r="AH1035" s="109" t="s">
        <v>1773</v>
      </c>
    </row>
    <row r="1036" ht="11.4" customHeight="1" spans="1:34">
      <c r="A1036" s="184" t="s">
        <v>2850</v>
      </c>
      <c r="B1036" s="184" t="s">
        <v>457</v>
      </c>
      <c r="C1036" s="184" t="s">
        <v>2851</v>
      </c>
      <c r="D1036" s="185" t="s">
        <v>522</v>
      </c>
      <c r="E1036" s="186" t="s">
        <v>2843</v>
      </c>
      <c r="F1036" s="186" t="s">
        <v>2852</v>
      </c>
      <c r="G1036" s="186" t="s">
        <v>2853</v>
      </c>
      <c r="H1036" s="186" t="s">
        <v>2853</v>
      </c>
      <c r="I1036" s="187" t="s">
        <v>2854</v>
      </c>
      <c r="J1036" s="187" t="s">
        <v>2855</v>
      </c>
      <c r="K1036" s="188"/>
      <c r="L1036" s="188"/>
      <c r="M1036" s="189" t="s">
        <v>793</v>
      </c>
      <c r="N1036" s="190"/>
      <c r="O1036" s="190">
        <f t="shared" si="123"/>
        <v>0</v>
      </c>
      <c r="P1036" s="191">
        <f t="shared" si="124"/>
        <v>0</v>
      </c>
      <c r="Q1036" s="192">
        <f t="shared" si="125"/>
        <v>0</v>
      </c>
      <c r="R1036" s="193"/>
      <c r="S1036" s="194"/>
      <c r="T1036" s="195">
        <f t="shared" si="126"/>
        <v>0</v>
      </c>
      <c r="U1036" s="195">
        <f t="shared" si="127"/>
        <v>0</v>
      </c>
      <c r="V1036" s="195">
        <f t="shared" si="128"/>
        <v>0</v>
      </c>
      <c r="W1036" s="196" t="e">
        <f t="shared" si="129"/>
        <v>#DIV/0!</v>
      </c>
      <c r="X1036" s="197" t="e">
        <f t="shared" si="130"/>
        <v>#DIV/0!</v>
      </c>
      <c r="AH1036" s="219" t="s">
        <v>1903</v>
      </c>
    </row>
    <row r="1037" ht="11.4" customHeight="1" spans="1:34">
      <c r="A1037" s="184" t="s">
        <v>2850</v>
      </c>
      <c r="B1037" s="184" t="s">
        <v>457</v>
      </c>
      <c r="C1037" s="184" t="s">
        <v>2851</v>
      </c>
      <c r="D1037" s="185" t="s">
        <v>522</v>
      </c>
      <c r="E1037" s="186" t="s">
        <v>2843</v>
      </c>
      <c r="F1037" s="186" t="s">
        <v>2852</v>
      </c>
      <c r="G1037" s="186" t="s">
        <v>2853</v>
      </c>
      <c r="H1037" s="186" t="s">
        <v>2853</v>
      </c>
      <c r="I1037" s="187" t="s">
        <v>2856</v>
      </c>
      <c r="J1037" s="187" t="s">
        <v>2857</v>
      </c>
      <c r="K1037" s="188"/>
      <c r="L1037" s="188"/>
      <c r="M1037" s="189" t="s">
        <v>1018</v>
      </c>
      <c r="N1037" s="190"/>
      <c r="O1037" s="190">
        <f t="shared" ref="O1037:O1100" si="131">ROUND(N1037*(1+$F$10),2)</f>
        <v>0</v>
      </c>
      <c r="P1037" s="191">
        <f t="shared" ref="P1037:P1100" si="132">ROUND(K1037*N1037,2)</f>
        <v>0</v>
      </c>
      <c r="Q1037" s="192">
        <f t="shared" si="125"/>
        <v>0</v>
      </c>
      <c r="R1037" s="193"/>
      <c r="S1037" s="194"/>
      <c r="T1037" s="195">
        <f t="shared" si="126"/>
        <v>0</v>
      </c>
      <c r="U1037" s="195">
        <f t="shared" si="127"/>
        <v>0</v>
      </c>
      <c r="V1037" s="195">
        <f t="shared" si="128"/>
        <v>0</v>
      </c>
      <c r="W1037" s="196" t="e">
        <f t="shared" si="129"/>
        <v>#DIV/0!</v>
      </c>
      <c r="X1037" s="197" t="e">
        <f t="shared" si="130"/>
        <v>#DIV/0!</v>
      </c>
      <c r="AH1037" s="219" t="s">
        <v>1903</v>
      </c>
    </row>
    <row r="1038" ht="11.4" customHeight="1" spans="1:34">
      <c r="A1038" s="184" t="s">
        <v>2850</v>
      </c>
      <c r="B1038" s="184" t="s">
        <v>457</v>
      </c>
      <c r="C1038" s="184" t="s">
        <v>2851</v>
      </c>
      <c r="D1038" s="185" t="s">
        <v>522</v>
      </c>
      <c r="E1038" s="186" t="s">
        <v>2843</v>
      </c>
      <c r="F1038" s="186" t="s">
        <v>2852</v>
      </c>
      <c r="G1038" s="186" t="s">
        <v>2853</v>
      </c>
      <c r="H1038" s="186" t="s">
        <v>2853</v>
      </c>
      <c r="I1038" s="187" t="s">
        <v>2858</v>
      </c>
      <c r="J1038" s="187" t="s">
        <v>2859</v>
      </c>
      <c r="K1038" s="188"/>
      <c r="L1038" s="188"/>
      <c r="M1038" s="189" t="s">
        <v>1018</v>
      </c>
      <c r="N1038" s="190"/>
      <c r="O1038" s="190">
        <f t="shared" si="131"/>
        <v>0</v>
      </c>
      <c r="P1038" s="191">
        <f t="shared" si="132"/>
        <v>0</v>
      </c>
      <c r="Q1038" s="192">
        <f t="shared" ref="Q1038:Q1101" si="133">ROUND(L1038*N1038,2)</f>
        <v>0</v>
      </c>
      <c r="R1038" s="193"/>
      <c r="S1038" s="194"/>
      <c r="T1038" s="195">
        <f t="shared" ref="T1038:T1101" si="134">K1038-L1038</f>
        <v>0</v>
      </c>
      <c r="U1038" s="195">
        <f t="shared" ref="U1038:U1101" si="135">P1038-Q1038</f>
        <v>0</v>
      </c>
      <c r="V1038" s="195">
        <f t="shared" ref="V1038:V1101" si="136">ABS(U1038)</f>
        <v>0</v>
      </c>
      <c r="W1038" s="196" t="e">
        <f t="shared" ref="W1038:W1101" si="137">T1038/L1038</f>
        <v>#DIV/0!</v>
      </c>
      <c r="X1038" s="197" t="e">
        <f t="shared" ref="X1038:X1101" si="138">ABS(W1038)</f>
        <v>#DIV/0!</v>
      </c>
      <c r="AH1038" s="219" t="s">
        <v>1903</v>
      </c>
    </row>
    <row r="1039" ht="11.4" customHeight="1" spans="1:34">
      <c r="A1039" s="184" t="s">
        <v>2850</v>
      </c>
      <c r="B1039" s="184" t="s">
        <v>457</v>
      </c>
      <c r="C1039" s="184" t="s">
        <v>2851</v>
      </c>
      <c r="D1039" s="185" t="s">
        <v>522</v>
      </c>
      <c r="E1039" s="186" t="s">
        <v>2843</v>
      </c>
      <c r="F1039" s="186" t="s">
        <v>2852</v>
      </c>
      <c r="G1039" s="186" t="s">
        <v>2853</v>
      </c>
      <c r="H1039" s="186" t="s">
        <v>2853</v>
      </c>
      <c r="I1039" s="187" t="s">
        <v>2860</v>
      </c>
      <c r="J1039" s="187" t="s">
        <v>2861</v>
      </c>
      <c r="K1039" s="188"/>
      <c r="L1039" s="188"/>
      <c r="M1039" s="189" t="s">
        <v>1018</v>
      </c>
      <c r="N1039" s="190">
        <v>495.5</v>
      </c>
      <c r="O1039" s="190">
        <f t="shared" si="131"/>
        <v>540.1</v>
      </c>
      <c r="P1039" s="191">
        <f t="shared" si="132"/>
        <v>0</v>
      </c>
      <c r="Q1039" s="192">
        <f t="shared" si="133"/>
        <v>0</v>
      </c>
      <c r="R1039" s="193"/>
      <c r="S1039" s="194"/>
      <c r="T1039" s="195">
        <f t="shared" si="134"/>
        <v>0</v>
      </c>
      <c r="U1039" s="195">
        <f t="shared" si="135"/>
        <v>0</v>
      </c>
      <c r="V1039" s="195">
        <f t="shared" si="136"/>
        <v>0</v>
      </c>
      <c r="W1039" s="196" t="e">
        <f t="shared" si="137"/>
        <v>#DIV/0!</v>
      </c>
      <c r="X1039" s="197" t="e">
        <f t="shared" si="138"/>
        <v>#DIV/0!</v>
      </c>
      <c r="AH1039" s="219" t="s">
        <v>1903</v>
      </c>
    </row>
    <row r="1040" ht="11.4" customHeight="1" spans="1:34">
      <c r="A1040" s="184" t="s">
        <v>2850</v>
      </c>
      <c r="B1040" s="184" t="s">
        <v>457</v>
      </c>
      <c r="C1040" s="184" t="s">
        <v>2851</v>
      </c>
      <c r="D1040" s="185" t="s">
        <v>522</v>
      </c>
      <c r="E1040" s="186" t="s">
        <v>2843</v>
      </c>
      <c r="F1040" s="186" t="s">
        <v>2852</v>
      </c>
      <c r="G1040" s="186" t="s">
        <v>2853</v>
      </c>
      <c r="H1040" s="186" t="s">
        <v>2853</v>
      </c>
      <c r="I1040" s="187" t="s">
        <v>2862</v>
      </c>
      <c r="J1040" s="187" t="s">
        <v>2863</v>
      </c>
      <c r="K1040" s="188"/>
      <c r="L1040" s="188"/>
      <c r="M1040" s="189" t="s">
        <v>1018</v>
      </c>
      <c r="N1040" s="190">
        <v>553.15</v>
      </c>
      <c r="O1040" s="190">
        <f t="shared" si="131"/>
        <v>602.93</v>
      </c>
      <c r="P1040" s="191">
        <f t="shared" si="132"/>
        <v>0</v>
      </c>
      <c r="Q1040" s="192">
        <f t="shared" si="133"/>
        <v>0</v>
      </c>
      <c r="R1040" s="193"/>
      <c r="S1040" s="194"/>
      <c r="T1040" s="195">
        <f t="shared" si="134"/>
        <v>0</v>
      </c>
      <c r="U1040" s="195">
        <f t="shared" si="135"/>
        <v>0</v>
      </c>
      <c r="V1040" s="195">
        <f t="shared" si="136"/>
        <v>0</v>
      </c>
      <c r="W1040" s="196" t="e">
        <f t="shared" si="137"/>
        <v>#DIV/0!</v>
      </c>
      <c r="X1040" s="197" t="e">
        <f t="shared" si="138"/>
        <v>#DIV/0!</v>
      </c>
      <c r="AH1040" s="219" t="s">
        <v>1903</v>
      </c>
    </row>
    <row r="1041" ht="11.4" customHeight="1" spans="1:34">
      <c r="A1041" s="184" t="s">
        <v>2864</v>
      </c>
      <c r="B1041" s="184" t="s">
        <v>461</v>
      </c>
      <c r="C1041" s="184" t="s">
        <v>2865</v>
      </c>
      <c r="D1041" s="185" t="s">
        <v>522</v>
      </c>
      <c r="E1041" s="186" t="s">
        <v>2843</v>
      </c>
      <c r="F1041" s="186" t="s">
        <v>2866</v>
      </c>
      <c r="G1041" s="186" t="s">
        <v>2867</v>
      </c>
      <c r="H1041" s="186" t="s">
        <v>2867</v>
      </c>
      <c r="I1041" s="187" t="s">
        <v>2868</v>
      </c>
      <c r="J1041" s="187" t="s">
        <v>2869</v>
      </c>
      <c r="K1041" s="188"/>
      <c r="L1041" s="188"/>
      <c r="M1041" s="189" t="s">
        <v>793</v>
      </c>
      <c r="N1041" s="190">
        <v>3715</v>
      </c>
      <c r="O1041" s="190">
        <f t="shared" si="131"/>
        <v>4049.35</v>
      </c>
      <c r="P1041" s="191">
        <f t="shared" si="132"/>
        <v>0</v>
      </c>
      <c r="Q1041" s="192">
        <f t="shared" si="133"/>
        <v>0</v>
      </c>
      <c r="R1041" s="193"/>
      <c r="S1041" s="194"/>
      <c r="T1041" s="195">
        <f t="shared" si="134"/>
        <v>0</v>
      </c>
      <c r="U1041" s="195">
        <f t="shared" si="135"/>
        <v>0</v>
      </c>
      <c r="V1041" s="195">
        <f t="shared" si="136"/>
        <v>0</v>
      </c>
      <c r="W1041" s="196" t="e">
        <f t="shared" si="137"/>
        <v>#DIV/0!</v>
      </c>
      <c r="X1041" s="197" t="e">
        <f t="shared" si="138"/>
        <v>#DIV/0!</v>
      </c>
      <c r="AH1041" s="219" t="s">
        <v>794</v>
      </c>
    </row>
    <row r="1042" ht="11.4" customHeight="1" spans="1:34">
      <c r="A1042" s="184" t="s">
        <v>2864</v>
      </c>
      <c r="B1042" s="184" t="s">
        <v>461</v>
      </c>
      <c r="C1042" s="184" t="s">
        <v>2865</v>
      </c>
      <c r="D1042" s="185" t="s">
        <v>522</v>
      </c>
      <c r="E1042" s="186" t="s">
        <v>2843</v>
      </c>
      <c r="F1042" s="186" t="s">
        <v>2866</v>
      </c>
      <c r="G1042" s="186" t="s">
        <v>2867</v>
      </c>
      <c r="H1042" s="186" t="s">
        <v>2867</v>
      </c>
      <c r="I1042" s="187" t="s">
        <v>2870</v>
      </c>
      <c r="J1042" s="187" t="s">
        <v>2871</v>
      </c>
      <c r="K1042" s="188"/>
      <c r="L1042" s="188"/>
      <c r="M1042" s="189" t="s">
        <v>1018</v>
      </c>
      <c r="N1042" s="190">
        <v>395.49</v>
      </c>
      <c r="O1042" s="190">
        <f t="shared" si="131"/>
        <v>431.08</v>
      </c>
      <c r="P1042" s="191">
        <f t="shared" si="132"/>
        <v>0</v>
      </c>
      <c r="Q1042" s="192">
        <f t="shared" si="133"/>
        <v>0</v>
      </c>
      <c r="R1042" s="193"/>
      <c r="S1042" s="194"/>
      <c r="T1042" s="195">
        <f t="shared" si="134"/>
        <v>0</v>
      </c>
      <c r="U1042" s="195">
        <f t="shared" si="135"/>
        <v>0</v>
      </c>
      <c r="V1042" s="195">
        <f t="shared" si="136"/>
        <v>0</v>
      </c>
      <c r="W1042" s="196" t="e">
        <f t="shared" si="137"/>
        <v>#DIV/0!</v>
      </c>
      <c r="X1042" s="197" t="e">
        <f t="shared" si="138"/>
        <v>#DIV/0!</v>
      </c>
      <c r="AG1042" s="219" t="s">
        <v>990</v>
      </c>
    </row>
    <row r="1043" ht="11.4" customHeight="1" spans="1:34">
      <c r="A1043" s="184" t="s">
        <v>2864</v>
      </c>
      <c r="B1043" s="184" t="s">
        <v>461</v>
      </c>
      <c r="C1043" s="184" t="s">
        <v>2865</v>
      </c>
      <c r="D1043" s="185" t="s">
        <v>522</v>
      </c>
      <c r="E1043" s="186" t="s">
        <v>2843</v>
      </c>
      <c r="F1043" s="186" t="s">
        <v>2866</v>
      </c>
      <c r="G1043" s="186" t="s">
        <v>2867</v>
      </c>
      <c r="H1043" s="186" t="s">
        <v>2867</v>
      </c>
      <c r="I1043" s="187" t="s">
        <v>2872</v>
      </c>
      <c r="J1043" s="187" t="s">
        <v>2873</v>
      </c>
      <c r="K1043" s="188"/>
      <c r="L1043" s="188"/>
      <c r="M1043" s="189" t="s">
        <v>807</v>
      </c>
      <c r="N1043" s="190">
        <v>103.83</v>
      </c>
      <c r="O1043" s="190">
        <f t="shared" si="131"/>
        <v>113.17</v>
      </c>
      <c r="P1043" s="191">
        <f t="shared" si="132"/>
        <v>0</v>
      </c>
      <c r="Q1043" s="192">
        <f t="shared" si="133"/>
        <v>0</v>
      </c>
      <c r="R1043" s="193"/>
      <c r="S1043" s="194"/>
      <c r="T1043" s="195">
        <f t="shared" si="134"/>
        <v>0</v>
      </c>
      <c r="U1043" s="195">
        <f t="shared" si="135"/>
        <v>0</v>
      </c>
      <c r="V1043" s="195">
        <f t="shared" si="136"/>
        <v>0</v>
      </c>
      <c r="W1043" s="196" t="e">
        <f t="shared" si="137"/>
        <v>#DIV/0!</v>
      </c>
      <c r="X1043" s="197" t="e">
        <f t="shared" si="138"/>
        <v>#DIV/0!</v>
      </c>
      <c r="AH1043" s="219" t="s">
        <v>1903</v>
      </c>
    </row>
    <row r="1044" ht="11.4" customHeight="1" spans="1:34">
      <c r="A1044" s="184" t="s">
        <v>2864</v>
      </c>
      <c r="B1044" s="184" t="s">
        <v>461</v>
      </c>
      <c r="C1044" s="184" t="s">
        <v>2865</v>
      </c>
      <c r="D1044" s="185" t="s">
        <v>522</v>
      </c>
      <c r="E1044" s="186" t="s">
        <v>2843</v>
      </c>
      <c r="F1044" s="186" t="s">
        <v>2866</v>
      </c>
      <c r="G1044" s="186" t="s">
        <v>2867</v>
      </c>
      <c r="H1044" s="186" t="s">
        <v>2867</v>
      </c>
      <c r="I1044" s="187" t="s">
        <v>2874</v>
      </c>
      <c r="J1044" s="187" t="s">
        <v>2875</v>
      </c>
      <c r="K1044" s="188">
        <v>12</v>
      </c>
      <c r="L1044" s="188">
        <v>12</v>
      </c>
      <c r="M1044" s="189" t="s">
        <v>1018</v>
      </c>
      <c r="N1044" s="190">
        <v>24.29</v>
      </c>
      <c r="O1044" s="190">
        <f t="shared" si="131"/>
        <v>26.48</v>
      </c>
      <c r="P1044" s="191">
        <f t="shared" si="132"/>
        <v>291.48</v>
      </c>
      <c r="Q1044" s="192">
        <f t="shared" si="133"/>
        <v>291.48</v>
      </c>
      <c r="R1044" s="193"/>
      <c r="S1044" s="194"/>
      <c r="T1044" s="195">
        <f t="shared" si="134"/>
        <v>0</v>
      </c>
      <c r="U1044" s="195">
        <f t="shared" si="135"/>
        <v>0</v>
      </c>
      <c r="V1044" s="195">
        <f t="shared" si="136"/>
        <v>0</v>
      </c>
      <c r="W1044" s="196">
        <f t="shared" si="137"/>
        <v>0</v>
      </c>
      <c r="X1044" s="197">
        <f t="shared" si="138"/>
        <v>0</v>
      </c>
      <c r="AG1044" s="219" t="s">
        <v>990</v>
      </c>
    </row>
    <row r="1045" ht="11.4" customHeight="1" spans="1:34">
      <c r="A1045" s="184" t="s">
        <v>2864</v>
      </c>
      <c r="B1045" s="184" t="s">
        <v>461</v>
      </c>
      <c r="C1045" s="184" t="s">
        <v>2865</v>
      </c>
      <c r="D1045" s="185" t="s">
        <v>522</v>
      </c>
      <c r="E1045" s="186" t="s">
        <v>2843</v>
      </c>
      <c r="F1045" s="186" t="s">
        <v>2866</v>
      </c>
      <c r="G1045" s="186" t="s">
        <v>2867</v>
      </c>
      <c r="H1045" s="186" t="s">
        <v>2867</v>
      </c>
      <c r="I1045" s="187" t="s">
        <v>2876</v>
      </c>
      <c r="J1045" s="187" t="s">
        <v>2877</v>
      </c>
      <c r="K1045" s="188"/>
      <c r="L1045" s="188"/>
      <c r="M1045" s="189" t="s">
        <v>793</v>
      </c>
      <c r="N1045" s="190">
        <v>784.55</v>
      </c>
      <c r="O1045" s="190">
        <f t="shared" si="131"/>
        <v>855.16</v>
      </c>
      <c r="P1045" s="191">
        <f t="shared" si="132"/>
        <v>0</v>
      </c>
      <c r="Q1045" s="192">
        <f t="shared" si="133"/>
        <v>0</v>
      </c>
      <c r="R1045" s="193"/>
      <c r="S1045" s="194"/>
      <c r="T1045" s="195">
        <f t="shared" si="134"/>
        <v>0</v>
      </c>
      <c r="U1045" s="195">
        <f t="shared" si="135"/>
        <v>0</v>
      </c>
      <c r="V1045" s="195">
        <f t="shared" si="136"/>
        <v>0</v>
      </c>
      <c r="W1045" s="196" t="e">
        <f t="shared" si="137"/>
        <v>#DIV/0!</v>
      </c>
      <c r="X1045" s="197" t="e">
        <f t="shared" si="138"/>
        <v>#DIV/0!</v>
      </c>
      <c r="AH1045" s="219" t="s">
        <v>1903</v>
      </c>
    </row>
    <row r="1046" ht="11.4" customHeight="1" spans="1:34">
      <c r="A1046" s="184" t="s">
        <v>2864</v>
      </c>
      <c r="B1046" s="184" t="s">
        <v>461</v>
      </c>
      <c r="C1046" s="184" t="s">
        <v>2865</v>
      </c>
      <c r="D1046" s="185" t="s">
        <v>522</v>
      </c>
      <c r="E1046" s="186" t="s">
        <v>2843</v>
      </c>
      <c r="F1046" s="186" t="s">
        <v>2866</v>
      </c>
      <c r="G1046" s="186" t="s">
        <v>2867</v>
      </c>
      <c r="H1046" s="186" t="s">
        <v>2867</v>
      </c>
      <c r="I1046" s="187" t="s">
        <v>2878</v>
      </c>
      <c r="J1046" s="187" t="s">
        <v>2879</v>
      </c>
      <c r="K1046" s="188"/>
      <c r="L1046" s="188"/>
      <c r="M1046" s="189" t="s">
        <v>793</v>
      </c>
      <c r="N1046" s="190">
        <v>80.33</v>
      </c>
      <c r="O1046" s="190">
        <f t="shared" si="131"/>
        <v>87.56</v>
      </c>
      <c r="P1046" s="191">
        <f t="shared" si="132"/>
        <v>0</v>
      </c>
      <c r="Q1046" s="192">
        <f t="shared" si="133"/>
        <v>0</v>
      </c>
      <c r="R1046" s="193"/>
      <c r="S1046" s="194"/>
      <c r="T1046" s="195">
        <f t="shared" si="134"/>
        <v>0</v>
      </c>
      <c r="U1046" s="195">
        <f t="shared" si="135"/>
        <v>0</v>
      </c>
      <c r="V1046" s="195">
        <f t="shared" si="136"/>
        <v>0</v>
      </c>
      <c r="W1046" s="196" t="e">
        <f t="shared" si="137"/>
        <v>#DIV/0!</v>
      </c>
      <c r="X1046" s="197" t="e">
        <f t="shared" si="138"/>
        <v>#DIV/0!</v>
      </c>
      <c r="AG1046" s="219" t="s">
        <v>990</v>
      </c>
    </row>
    <row r="1047" ht="11.4" customHeight="1" spans="1:34">
      <c r="A1047" s="184" t="s">
        <v>2864</v>
      </c>
      <c r="B1047" s="184" t="s">
        <v>461</v>
      </c>
      <c r="C1047" s="184" t="s">
        <v>2865</v>
      </c>
      <c r="D1047" s="185" t="s">
        <v>522</v>
      </c>
      <c r="E1047" s="186" t="s">
        <v>2843</v>
      </c>
      <c r="F1047" s="186" t="s">
        <v>2866</v>
      </c>
      <c r="G1047" s="186" t="s">
        <v>2867</v>
      </c>
      <c r="H1047" s="186" t="s">
        <v>2867</v>
      </c>
      <c r="I1047" s="187" t="s">
        <v>2880</v>
      </c>
      <c r="J1047" s="187" t="s">
        <v>2881</v>
      </c>
      <c r="K1047" s="188"/>
      <c r="L1047" s="188"/>
      <c r="M1047" s="189" t="s">
        <v>1018</v>
      </c>
      <c r="N1047" s="190">
        <v>23.74</v>
      </c>
      <c r="O1047" s="190">
        <f t="shared" si="131"/>
        <v>25.88</v>
      </c>
      <c r="P1047" s="191">
        <f t="shared" si="132"/>
        <v>0</v>
      </c>
      <c r="Q1047" s="192">
        <f t="shared" si="133"/>
        <v>0</v>
      </c>
      <c r="R1047" s="193"/>
      <c r="S1047" s="194"/>
      <c r="T1047" s="195">
        <f t="shared" si="134"/>
        <v>0</v>
      </c>
      <c r="U1047" s="195">
        <f t="shared" si="135"/>
        <v>0</v>
      </c>
      <c r="V1047" s="195">
        <f t="shared" si="136"/>
        <v>0</v>
      </c>
      <c r="W1047" s="196" t="e">
        <f t="shared" si="137"/>
        <v>#DIV/0!</v>
      </c>
      <c r="X1047" s="197" t="e">
        <f t="shared" si="138"/>
        <v>#DIV/0!</v>
      </c>
      <c r="AG1047" s="219" t="s">
        <v>990</v>
      </c>
    </row>
    <row r="1048" ht="11.4" customHeight="1" spans="1:34">
      <c r="A1048" s="184" t="s">
        <v>2864</v>
      </c>
      <c r="B1048" s="184" t="s">
        <v>461</v>
      </c>
      <c r="C1048" s="184" t="s">
        <v>2865</v>
      </c>
      <c r="D1048" s="185" t="s">
        <v>522</v>
      </c>
      <c r="E1048" s="186" t="s">
        <v>2843</v>
      </c>
      <c r="F1048" s="186" t="s">
        <v>2866</v>
      </c>
      <c r="G1048" s="186" t="s">
        <v>2867</v>
      </c>
      <c r="H1048" s="186" t="s">
        <v>2867</v>
      </c>
      <c r="I1048" s="187" t="s">
        <v>2882</v>
      </c>
      <c r="J1048" s="187" t="s">
        <v>2883</v>
      </c>
      <c r="K1048" s="188"/>
      <c r="L1048" s="188"/>
      <c r="M1048" s="189" t="s">
        <v>1778</v>
      </c>
      <c r="N1048" s="190">
        <v>917</v>
      </c>
      <c r="O1048" s="190">
        <f t="shared" si="131"/>
        <v>999.53</v>
      </c>
      <c r="P1048" s="191">
        <f t="shared" si="132"/>
        <v>0</v>
      </c>
      <c r="Q1048" s="192">
        <f t="shared" si="133"/>
        <v>0</v>
      </c>
      <c r="R1048" s="193"/>
      <c r="S1048" s="194"/>
      <c r="T1048" s="195">
        <f t="shared" si="134"/>
        <v>0</v>
      </c>
      <c r="U1048" s="195">
        <f t="shared" si="135"/>
        <v>0</v>
      </c>
      <c r="V1048" s="195">
        <f t="shared" si="136"/>
        <v>0</v>
      </c>
      <c r="W1048" s="196" t="e">
        <f t="shared" si="137"/>
        <v>#DIV/0!</v>
      </c>
      <c r="X1048" s="197" t="e">
        <f t="shared" si="138"/>
        <v>#DIV/0!</v>
      </c>
      <c r="AG1048" s="219" t="s">
        <v>990</v>
      </c>
    </row>
    <row r="1049" ht="11.4" customHeight="1" spans="1:34">
      <c r="A1049" s="184" t="s">
        <v>2864</v>
      </c>
      <c r="B1049" s="184" t="s">
        <v>461</v>
      </c>
      <c r="C1049" s="184" t="s">
        <v>2865</v>
      </c>
      <c r="D1049" s="185" t="s">
        <v>522</v>
      </c>
      <c r="E1049" s="186" t="s">
        <v>2843</v>
      </c>
      <c r="F1049" s="186" t="s">
        <v>2866</v>
      </c>
      <c r="G1049" s="186" t="s">
        <v>2867</v>
      </c>
      <c r="H1049" s="186" t="s">
        <v>2867</v>
      </c>
      <c r="I1049" s="187" t="s">
        <v>2884</v>
      </c>
      <c r="J1049" s="187" t="s">
        <v>2885</v>
      </c>
      <c r="K1049" s="188"/>
      <c r="L1049" s="188"/>
      <c r="M1049" s="189" t="s">
        <v>793</v>
      </c>
      <c r="N1049" s="190">
        <v>255</v>
      </c>
      <c r="O1049" s="190">
        <f t="shared" si="131"/>
        <v>277.95</v>
      </c>
      <c r="P1049" s="191">
        <f t="shared" si="132"/>
        <v>0</v>
      </c>
      <c r="Q1049" s="192">
        <f t="shared" si="133"/>
        <v>0</v>
      </c>
      <c r="R1049" s="193"/>
      <c r="S1049" s="194"/>
      <c r="T1049" s="195">
        <f t="shared" si="134"/>
        <v>0</v>
      </c>
      <c r="U1049" s="195">
        <f t="shared" si="135"/>
        <v>0</v>
      </c>
      <c r="V1049" s="195">
        <f t="shared" si="136"/>
        <v>0</v>
      </c>
      <c r="W1049" s="196" t="e">
        <f t="shared" si="137"/>
        <v>#DIV/0!</v>
      </c>
      <c r="X1049" s="197" t="e">
        <f t="shared" si="138"/>
        <v>#DIV/0!</v>
      </c>
      <c r="AH1049" s="219" t="s">
        <v>794</v>
      </c>
    </row>
    <row r="1050" ht="11.4" customHeight="1" spans="1:34">
      <c r="A1050" s="184" t="s">
        <v>2864</v>
      </c>
      <c r="B1050" s="184" t="s">
        <v>461</v>
      </c>
      <c r="C1050" s="184" t="s">
        <v>2865</v>
      </c>
      <c r="D1050" s="185" t="s">
        <v>522</v>
      </c>
      <c r="E1050" s="186" t="s">
        <v>2843</v>
      </c>
      <c r="F1050" s="186" t="s">
        <v>2866</v>
      </c>
      <c r="G1050" s="186" t="s">
        <v>2867</v>
      </c>
      <c r="H1050" s="186" t="s">
        <v>2867</v>
      </c>
      <c r="I1050" s="187" t="s">
        <v>2886</v>
      </c>
      <c r="J1050" s="187" t="s">
        <v>2887</v>
      </c>
      <c r="K1050" s="188"/>
      <c r="L1050" s="188"/>
      <c r="M1050" s="189" t="s">
        <v>793</v>
      </c>
      <c r="N1050" s="190">
        <v>255</v>
      </c>
      <c r="O1050" s="190">
        <f t="shared" si="131"/>
        <v>277.95</v>
      </c>
      <c r="P1050" s="191">
        <f t="shared" si="132"/>
        <v>0</v>
      </c>
      <c r="Q1050" s="192">
        <f t="shared" si="133"/>
        <v>0</v>
      </c>
      <c r="R1050" s="193"/>
      <c r="S1050" s="194"/>
      <c r="T1050" s="195">
        <f t="shared" si="134"/>
        <v>0</v>
      </c>
      <c r="U1050" s="195">
        <f t="shared" si="135"/>
        <v>0</v>
      </c>
      <c r="V1050" s="195">
        <f t="shared" si="136"/>
        <v>0</v>
      </c>
      <c r="W1050" s="196" t="e">
        <f t="shared" si="137"/>
        <v>#DIV/0!</v>
      </c>
      <c r="X1050" s="197" t="e">
        <f t="shared" si="138"/>
        <v>#DIV/0!</v>
      </c>
      <c r="AH1050" s="219" t="s">
        <v>794</v>
      </c>
    </row>
    <row r="1051" ht="11.4" customHeight="1" spans="1:34">
      <c r="A1051" s="184" t="s">
        <v>2864</v>
      </c>
      <c r="B1051" s="184" t="s">
        <v>461</v>
      </c>
      <c r="C1051" s="184" t="s">
        <v>2865</v>
      </c>
      <c r="D1051" s="185" t="s">
        <v>522</v>
      </c>
      <c r="E1051" s="186" t="s">
        <v>2843</v>
      </c>
      <c r="F1051" s="186" t="s">
        <v>2866</v>
      </c>
      <c r="G1051" s="186" t="s">
        <v>2867</v>
      </c>
      <c r="H1051" s="186" t="s">
        <v>2867</v>
      </c>
      <c r="I1051" s="187" t="s">
        <v>2888</v>
      </c>
      <c r="J1051" s="187" t="s">
        <v>2889</v>
      </c>
      <c r="K1051" s="188"/>
      <c r="L1051" s="188"/>
      <c r="M1051" s="189" t="s">
        <v>847</v>
      </c>
      <c r="N1051" s="190">
        <v>255</v>
      </c>
      <c r="O1051" s="190">
        <f t="shared" si="131"/>
        <v>277.95</v>
      </c>
      <c r="P1051" s="191">
        <f t="shared" si="132"/>
        <v>0</v>
      </c>
      <c r="Q1051" s="192">
        <f t="shared" si="133"/>
        <v>0</v>
      </c>
      <c r="R1051" s="193"/>
      <c r="S1051" s="194"/>
      <c r="T1051" s="195">
        <f t="shared" si="134"/>
        <v>0</v>
      </c>
      <c r="U1051" s="195">
        <f t="shared" si="135"/>
        <v>0</v>
      </c>
      <c r="V1051" s="195">
        <f t="shared" si="136"/>
        <v>0</v>
      </c>
      <c r="W1051" s="196" t="e">
        <f t="shared" si="137"/>
        <v>#DIV/0!</v>
      </c>
      <c r="X1051" s="197" t="e">
        <f t="shared" si="138"/>
        <v>#DIV/0!</v>
      </c>
      <c r="AG1051" s="219" t="s">
        <v>865</v>
      </c>
      <c r="AH1051" s="219" t="s">
        <v>1903</v>
      </c>
    </row>
    <row r="1052" ht="11.4" customHeight="1" spans="1:34">
      <c r="A1052" s="184" t="s">
        <v>2864</v>
      </c>
      <c r="B1052" s="184" t="s">
        <v>461</v>
      </c>
      <c r="C1052" s="184" t="s">
        <v>2865</v>
      </c>
      <c r="D1052" s="185" t="s">
        <v>522</v>
      </c>
      <c r="E1052" s="186" t="s">
        <v>2843</v>
      </c>
      <c r="F1052" s="186" t="s">
        <v>2866</v>
      </c>
      <c r="G1052" s="186" t="s">
        <v>2867</v>
      </c>
      <c r="H1052" s="186" t="s">
        <v>2867</v>
      </c>
      <c r="I1052" s="187" t="s">
        <v>2890</v>
      </c>
      <c r="J1052" s="187" t="s">
        <v>2891</v>
      </c>
      <c r="K1052" s="188"/>
      <c r="L1052" s="188"/>
      <c r="M1052" s="189" t="s">
        <v>1018</v>
      </c>
      <c r="N1052" s="190">
        <v>410.55</v>
      </c>
      <c r="O1052" s="190">
        <f t="shared" si="131"/>
        <v>447.5</v>
      </c>
      <c r="P1052" s="191">
        <f t="shared" si="132"/>
        <v>0</v>
      </c>
      <c r="Q1052" s="192">
        <f t="shared" si="133"/>
        <v>0</v>
      </c>
      <c r="R1052" s="193"/>
      <c r="S1052" s="194"/>
      <c r="T1052" s="195">
        <f t="shared" si="134"/>
        <v>0</v>
      </c>
      <c r="U1052" s="195">
        <f t="shared" si="135"/>
        <v>0</v>
      </c>
      <c r="V1052" s="195">
        <f t="shared" si="136"/>
        <v>0</v>
      </c>
      <c r="W1052" s="196" t="e">
        <f t="shared" si="137"/>
        <v>#DIV/0!</v>
      </c>
      <c r="X1052" s="197" t="e">
        <f t="shared" si="138"/>
        <v>#DIV/0!</v>
      </c>
      <c r="AG1052" s="219" t="s">
        <v>990</v>
      </c>
      <c r="AH1052" s="219" t="s">
        <v>1903</v>
      </c>
    </row>
    <row r="1053" ht="11.4" customHeight="1" spans="1:34">
      <c r="A1053" s="184" t="s">
        <v>2864</v>
      </c>
      <c r="B1053" s="184" t="s">
        <v>461</v>
      </c>
      <c r="C1053" s="184" t="s">
        <v>2865</v>
      </c>
      <c r="D1053" s="185" t="s">
        <v>522</v>
      </c>
      <c r="E1053" s="186" t="s">
        <v>2843</v>
      </c>
      <c r="F1053" s="186" t="s">
        <v>2866</v>
      </c>
      <c r="G1053" s="186" t="s">
        <v>2867</v>
      </c>
      <c r="H1053" s="186" t="s">
        <v>2867</v>
      </c>
      <c r="I1053" s="187" t="s">
        <v>2892</v>
      </c>
      <c r="J1053" s="187" t="s">
        <v>2893</v>
      </c>
      <c r="K1053" s="188"/>
      <c r="L1053" s="188"/>
      <c r="M1053" s="189" t="s">
        <v>963</v>
      </c>
      <c r="N1053" s="190">
        <v>1457.26</v>
      </c>
      <c r="O1053" s="190">
        <f t="shared" si="131"/>
        <v>1588.41</v>
      </c>
      <c r="P1053" s="191">
        <f t="shared" si="132"/>
        <v>0</v>
      </c>
      <c r="Q1053" s="192">
        <f t="shared" si="133"/>
        <v>0</v>
      </c>
      <c r="R1053" s="193"/>
      <c r="S1053" s="194"/>
      <c r="T1053" s="195">
        <f t="shared" si="134"/>
        <v>0</v>
      </c>
      <c r="U1053" s="195">
        <f t="shared" si="135"/>
        <v>0</v>
      </c>
      <c r="V1053" s="195">
        <f t="shared" si="136"/>
        <v>0</v>
      </c>
      <c r="W1053" s="196" t="e">
        <f t="shared" si="137"/>
        <v>#DIV/0!</v>
      </c>
      <c r="X1053" s="197" t="e">
        <f t="shared" si="138"/>
        <v>#DIV/0!</v>
      </c>
      <c r="AH1053" s="219" t="s">
        <v>1903</v>
      </c>
    </row>
    <row r="1054" ht="11.4" hidden="1" customHeight="1" spans="1:34">
      <c r="A1054" s="184" t="s">
        <v>2894</v>
      </c>
      <c r="B1054" s="184" t="s">
        <v>111</v>
      </c>
      <c r="C1054" s="184" t="s">
        <v>1101</v>
      </c>
      <c r="D1054" s="185" t="s">
        <v>702</v>
      </c>
      <c r="E1054" s="186" t="s">
        <v>2895</v>
      </c>
      <c r="F1054" s="186" t="s">
        <v>2896</v>
      </c>
      <c r="G1054" s="186" t="s">
        <v>2896</v>
      </c>
      <c r="H1054" s="186" t="s">
        <v>2897</v>
      </c>
      <c r="I1054" s="187" t="s">
        <v>1104</v>
      </c>
      <c r="J1054" s="187" t="s">
        <v>1105</v>
      </c>
      <c r="K1054" s="188"/>
      <c r="L1054" s="188"/>
      <c r="M1054" s="189" t="s">
        <v>847</v>
      </c>
      <c r="N1054" s="190">
        <v>180.78</v>
      </c>
      <c r="O1054" s="190">
        <f t="shared" si="131"/>
        <v>197.05</v>
      </c>
      <c r="P1054" s="191">
        <f t="shared" si="132"/>
        <v>0</v>
      </c>
      <c r="Q1054" s="192">
        <f t="shared" si="133"/>
        <v>0</v>
      </c>
      <c r="R1054" s="193"/>
      <c r="S1054" s="194"/>
      <c r="T1054" s="195">
        <f t="shared" si="134"/>
        <v>0</v>
      </c>
      <c r="U1054" s="195">
        <f t="shared" si="135"/>
        <v>0</v>
      </c>
      <c r="V1054" s="195">
        <f t="shared" si="136"/>
        <v>0</v>
      </c>
      <c r="W1054" s="196" t="e">
        <f t="shared" si="137"/>
        <v>#DIV/0!</v>
      </c>
      <c r="X1054" s="197" t="e">
        <f t="shared" si="138"/>
        <v>#DIV/0!</v>
      </c>
    </row>
    <row r="1055" ht="11.4" hidden="1" customHeight="1" spans="1:34">
      <c r="A1055" s="184" t="s">
        <v>2894</v>
      </c>
      <c r="B1055" s="184" t="s">
        <v>111</v>
      </c>
      <c r="C1055" s="184" t="s">
        <v>1101</v>
      </c>
      <c r="D1055" s="185" t="s">
        <v>702</v>
      </c>
      <c r="E1055" s="186" t="s">
        <v>2895</v>
      </c>
      <c r="F1055" s="186" t="s">
        <v>2896</v>
      </c>
      <c r="G1055" s="186" t="s">
        <v>2896</v>
      </c>
      <c r="H1055" s="186" t="s">
        <v>2897</v>
      </c>
      <c r="I1055" s="187" t="s">
        <v>1106</v>
      </c>
      <c r="J1055" s="187" t="s">
        <v>1107</v>
      </c>
      <c r="K1055" s="188"/>
      <c r="L1055" s="188"/>
      <c r="M1055" s="189" t="s">
        <v>807</v>
      </c>
      <c r="N1055" s="190">
        <v>41.36</v>
      </c>
      <c r="O1055" s="190">
        <f t="shared" si="131"/>
        <v>45.08</v>
      </c>
      <c r="P1055" s="191">
        <f t="shared" si="132"/>
        <v>0</v>
      </c>
      <c r="Q1055" s="192">
        <f t="shared" si="133"/>
        <v>0</v>
      </c>
      <c r="R1055" s="193"/>
      <c r="S1055" s="194"/>
      <c r="T1055" s="195">
        <f t="shared" si="134"/>
        <v>0</v>
      </c>
      <c r="U1055" s="195">
        <f t="shared" si="135"/>
        <v>0</v>
      </c>
      <c r="V1055" s="195">
        <f t="shared" si="136"/>
        <v>0</v>
      </c>
      <c r="W1055" s="196" t="e">
        <f t="shared" si="137"/>
        <v>#DIV/0!</v>
      </c>
      <c r="X1055" s="197" t="e">
        <f t="shared" si="138"/>
        <v>#DIV/0!</v>
      </c>
    </row>
    <row r="1056" ht="11.4" hidden="1" customHeight="1" spans="1:34">
      <c r="A1056" s="184" t="s">
        <v>2894</v>
      </c>
      <c r="B1056" s="184" t="s">
        <v>111</v>
      </c>
      <c r="C1056" s="184" t="s">
        <v>1101</v>
      </c>
      <c r="D1056" s="185" t="s">
        <v>702</v>
      </c>
      <c r="E1056" s="186" t="s">
        <v>2895</v>
      </c>
      <c r="F1056" s="186" t="s">
        <v>2896</v>
      </c>
      <c r="G1056" s="186" t="s">
        <v>2896</v>
      </c>
      <c r="H1056" s="186" t="s">
        <v>2897</v>
      </c>
      <c r="I1056" s="187" t="s">
        <v>1109</v>
      </c>
      <c r="J1056" s="187" t="s">
        <v>1110</v>
      </c>
      <c r="K1056" s="188"/>
      <c r="L1056" s="188"/>
      <c r="M1056" s="189" t="s">
        <v>847</v>
      </c>
      <c r="N1056" s="190">
        <v>160.21</v>
      </c>
      <c r="O1056" s="190">
        <f t="shared" si="131"/>
        <v>174.63</v>
      </c>
      <c r="P1056" s="191">
        <f t="shared" si="132"/>
        <v>0</v>
      </c>
      <c r="Q1056" s="192">
        <f t="shared" si="133"/>
        <v>0</v>
      </c>
      <c r="R1056" s="193"/>
      <c r="S1056" s="194"/>
      <c r="T1056" s="195">
        <f t="shared" si="134"/>
        <v>0</v>
      </c>
      <c r="U1056" s="195">
        <f t="shared" si="135"/>
        <v>0</v>
      </c>
      <c r="V1056" s="195">
        <f t="shared" si="136"/>
        <v>0</v>
      </c>
      <c r="W1056" s="196" t="e">
        <f t="shared" si="137"/>
        <v>#DIV/0!</v>
      </c>
      <c r="X1056" s="197" t="e">
        <f t="shared" si="138"/>
        <v>#DIV/0!</v>
      </c>
    </row>
    <row r="1057" ht="11.4" hidden="1" customHeight="1" spans="1:24">
      <c r="A1057" s="184" t="s">
        <v>2894</v>
      </c>
      <c r="B1057" s="184" t="s">
        <v>111</v>
      </c>
      <c r="C1057" s="184" t="s">
        <v>1101</v>
      </c>
      <c r="D1057" s="185" t="s">
        <v>702</v>
      </c>
      <c r="E1057" s="186" t="s">
        <v>2895</v>
      </c>
      <c r="F1057" s="186" t="s">
        <v>2896</v>
      </c>
      <c r="G1057" s="186" t="s">
        <v>2896</v>
      </c>
      <c r="H1057" s="186" t="s">
        <v>2897</v>
      </c>
      <c r="I1057" s="187" t="s">
        <v>1111</v>
      </c>
      <c r="J1057" s="187" t="s">
        <v>1112</v>
      </c>
      <c r="K1057" s="188"/>
      <c r="L1057" s="188"/>
      <c r="M1057" s="189" t="s">
        <v>807</v>
      </c>
      <c r="N1057" s="190">
        <v>38.94</v>
      </c>
      <c r="O1057" s="190">
        <f t="shared" si="131"/>
        <v>42.44</v>
      </c>
      <c r="P1057" s="191">
        <f t="shared" si="132"/>
        <v>0</v>
      </c>
      <c r="Q1057" s="192">
        <f t="shared" si="133"/>
        <v>0</v>
      </c>
      <c r="R1057" s="193"/>
      <c r="S1057" s="194"/>
      <c r="T1057" s="195">
        <f t="shared" si="134"/>
        <v>0</v>
      </c>
      <c r="U1057" s="195">
        <f t="shared" si="135"/>
        <v>0</v>
      </c>
      <c r="V1057" s="195">
        <f t="shared" si="136"/>
        <v>0</v>
      </c>
      <c r="W1057" s="196" t="e">
        <f t="shared" si="137"/>
        <v>#DIV/0!</v>
      </c>
      <c r="X1057" s="197" t="e">
        <f t="shared" si="138"/>
        <v>#DIV/0!</v>
      </c>
    </row>
    <row r="1058" ht="11.4" hidden="1" customHeight="1" spans="1:24">
      <c r="A1058" s="184" t="s">
        <v>2894</v>
      </c>
      <c r="B1058" s="184" t="s">
        <v>111</v>
      </c>
      <c r="C1058" s="184" t="s">
        <v>1101</v>
      </c>
      <c r="D1058" s="185" t="s">
        <v>702</v>
      </c>
      <c r="E1058" s="186" t="s">
        <v>2895</v>
      </c>
      <c r="F1058" s="186" t="s">
        <v>2896</v>
      </c>
      <c r="G1058" s="186" t="s">
        <v>2896</v>
      </c>
      <c r="H1058" s="186" t="s">
        <v>2897</v>
      </c>
      <c r="I1058" s="187" t="s">
        <v>1113</v>
      </c>
      <c r="J1058" s="187" t="s">
        <v>1114</v>
      </c>
      <c r="K1058" s="188"/>
      <c r="L1058" s="188"/>
      <c r="M1058" s="189" t="s">
        <v>847</v>
      </c>
      <c r="N1058" s="190">
        <v>181.99</v>
      </c>
      <c r="O1058" s="190">
        <f t="shared" si="131"/>
        <v>198.37</v>
      </c>
      <c r="P1058" s="191">
        <f t="shared" si="132"/>
        <v>0</v>
      </c>
      <c r="Q1058" s="192">
        <f t="shared" si="133"/>
        <v>0</v>
      </c>
      <c r="R1058" s="193"/>
      <c r="S1058" s="194"/>
      <c r="T1058" s="195">
        <f t="shared" si="134"/>
        <v>0</v>
      </c>
      <c r="U1058" s="195">
        <f t="shared" si="135"/>
        <v>0</v>
      </c>
      <c r="V1058" s="195">
        <f t="shared" si="136"/>
        <v>0</v>
      </c>
      <c r="W1058" s="196" t="e">
        <f t="shared" si="137"/>
        <v>#DIV/0!</v>
      </c>
      <c r="X1058" s="197" t="e">
        <f t="shared" si="138"/>
        <v>#DIV/0!</v>
      </c>
    </row>
    <row r="1059" ht="11.4" hidden="1" customHeight="1" spans="1:24">
      <c r="A1059" s="184" t="s">
        <v>2894</v>
      </c>
      <c r="B1059" s="184" t="s">
        <v>111</v>
      </c>
      <c r="C1059" s="184" t="s">
        <v>1101</v>
      </c>
      <c r="D1059" s="185" t="s">
        <v>702</v>
      </c>
      <c r="E1059" s="186" t="s">
        <v>2895</v>
      </c>
      <c r="F1059" s="186" t="s">
        <v>2896</v>
      </c>
      <c r="G1059" s="186" t="s">
        <v>2896</v>
      </c>
      <c r="H1059" s="186" t="s">
        <v>2897</v>
      </c>
      <c r="I1059" s="187" t="s">
        <v>1115</v>
      </c>
      <c r="J1059" s="187" t="s">
        <v>1116</v>
      </c>
      <c r="K1059" s="188"/>
      <c r="L1059" s="188"/>
      <c r="M1059" s="189" t="s">
        <v>807</v>
      </c>
      <c r="N1059" s="190">
        <v>42.57</v>
      </c>
      <c r="O1059" s="190">
        <f t="shared" si="131"/>
        <v>46.4</v>
      </c>
      <c r="P1059" s="191">
        <f t="shared" si="132"/>
        <v>0</v>
      </c>
      <c r="Q1059" s="192">
        <f t="shared" si="133"/>
        <v>0</v>
      </c>
      <c r="R1059" s="193"/>
      <c r="S1059" s="194"/>
      <c r="T1059" s="195">
        <f t="shared" si="134"/>
        <v>0</v>
      </c>
      <c r="U1059" s="195">
        <f t="shared" si="135"/>
        <v>0</v>
      </c>
      <c r="V1059" s="195">
        <f t="shared" si="136"/>
        <v>0</v>
      </c>
      <c r="W1059" s="196" t="e">
        <f t="shared" si="137"/>
        <v>#DIV/0!</v>
      </c>
      <c r="X1059" s="197" t="e">
        <f t="shared" si="138"/>
        <v>#DIV/0!</v>
      </c>
    </row>
    <row r="1060" ht="11.4" hidden="1" customHeight="1" spans="1:24">
      <c r="A1060" s="184" t="s">
        <v>2894</v>
      </c>
      <c r="B1060" s="184" t="s">
        <v>111</v>
      </c>
      <c r="C1060" s="184" t="s">
        <v>1101</v>
      </c>
      <c r="D1060" s="185" t="s">
        <v>702</v>
      </c>
      <c r="E1060" s="186" t="s">
        <v>2895</v>
      </c>
      <c r="F1060" s="186" t="s">
        <v>2896</v>
      </c>
      <c r="G1060" s="186" t="s">
        <v>2896</v>
      </c>
      <c r="H1060" s="186" t="s">
        <v>2897</v>
      </c>
      <c r="I1060" s="187" t="s">
        <v>1117</v>
      </c>
      <c r="J1060" s="187" t="s">
        <v>1118</v>
      </c>
      <c r="K1060" s="188"/>
      <c r="L1060" s="188"/>
      <c r="M1060" s="189" t="s">
        <v>847</v>
      </c>
      <c r="N1060" s="190">
        <v>187.98</v>
      </c>
      <c r="O1060" s="190">
        <f t="shared" si="131"/>
        <v>204.9</v>
      </c>
      <c r="P1060" s="191">
        <f t="shared" si="132"/>
        <v>0</v>
      </c>
      <c r="Q1060" s="192">
        <f t="shared" si="133"/>
        <v>0</v>
      </c>
      <c r="R1060" s="193"/>
      <c r="S1060" s="194"/>
      <c r="T1060" s="195">
        <f t="shared" si="134"/>
        <v>0</v>
      </c>
      <c r="U1060" s="195">
        <f t="shared" si="135"/>
        <v>0</v>
      </c>
      <c r="V1060" s="195">
        <f t="shared" si="136"/>
        <v>0</v>
      </c>
      <c r="W1060" s="196" t="e">
        <f t="shared" si="137"/>
        <v>#DIV/0!</v>
      </c>
      <c r="X1060" s="197" t="e">
        <f t="shared" si="138"/>
        <v>#DIV/0!</v>
      </c>
    </row>
    <row r="1061" ht="11.4" hidden="1" customHeight="1" spans="1:24">
      <c r="A1061" s="184" t="s">
        <v>2894</v>
      </c>
      <c r="B1061" s="184" t="s">
        <v>111</v>
      </c>
      <c r="C1061" s="184" t="s">
        <v>1101</v>
      </c>
      <c r="D1061" s="185" t="s">
        <v>702</v>
      </c>
      <c r="E1061" s="186" t="s">
        <v>2895</v>
      </c>
      <c r="F1061" s="186" t="s">
        <v>2896</v>
      </c>
      <c r="G1061" s="186" t="s">
        <v>2896</v>
      </c>
      <c r="H1061" s="186" t="s">
        <v>2897</v>
      </c>
      <c r="I1061" s="187" t="s">
        <v>1119</v>
      </c>
      <c r="J1061" s="187" t="s">
        <v>1120</v>
      </c>
      <c r="K1061" s="188"/>
      <c r="L1061" s="188"/>
      <c r="M1061" s="189" t="s">
        <v>847</v>
      </c>
      <c r="N1061" s="190">
        <v>171.66</v>
      </c>
      <c r="O1061" s="190">
        <f t="shared" si="131"/>
        <v>187.11</v>
      </c>
      <c r="P1061" s="191">
        <f t="shared" si="132"/>
        <v>0</v>
      </c>
      <c r="Q1061" s="192">
        <f t="shared" si="133"/>
        <v>0</v>
      </c>
      <c r="R1061" s="193"/>
      <c r="S1061" s="194"/>
      <c r="T1061" s="195">
        <f t="shared" si="134"/>
        <v>0</v>
      </c>
      <c r="U1061" s="195">
        <f t="shared" si="135"/>
        <v>0</v>
      </c>
      <c r="V1061" s="195">
        <f t="shared" si="136"/>
        <v>0</v>
      </c>
      <c r="W1061" s="196" t="e">
        <f t="shared" si="137"/>
        <v>#DIV/0!</v>
      </c>
      <c r="X1061" s="197" t="e">
        <f t="shared" si="138"/>
        <v>#DIV/0!</v>
      </c>
    </row>
    <row r="1062" ht="11.4" hidden="1" customHeight="1" spans="1:24">
      <c r="A1062" s="184" t="s">
        <v>2894</v>
      </c>
      <c r="B1062" s="184" t="s">
        <v>111</v>
      </c>
      <c r="C1062" s="184" t="s">
        <v>1101</v>
      </c>
      <c r="D1062" s="185" t="s">
        <v>702</v>
      </c>
      <c r="E1062" s="186" t="s">
        <v>2895</v>
      </c>
      <c r="F1062" s="186" t="s">
        <v>2896</v>
      </c>
      <c r="G1062" s="186" t="s">
        <v>2896</v>
      </c>
      <c r="H1062" s="186" t="s">
        <v>2897</v>
      </c>
      <c r="I1062" s="187" t="s">
        <v>1121</v>
      </c>
      <c r="J1062" s="187" t="s">
        <v>1122</v>
      </c>
      <c r="K1062" s="188"/>
      <c r="L1062" s="188"/>
      <c r="M1062" s="189" t="s">
        <v>847</v>
      </c>
      <c r="N1062" s="190">
        <v>189.15</v>
      </c>
      <c r="O1062" s="190">
        <f t="shared" si="131"/>
        <v>206.17</v>
      </c>
      <c r="P1062" s="191">
        <f t="shared" si="132"/>
        <v>0</v>
      </c>
      <c r="Q1062" s="192">
        <f t="shared" si="133"/>
        <v>0</v>
      </c>
      <c r="R1062" s="193"/>
      <c r="S1062" s="194"/>
      <c r="T1062" s="195">
        <f t="shared" si="134"/>
        <v>0</v>
      </c>
      <c r="U1062" s="195">
        <f t="shared" si="135"/>
        <v>0</v>
      </c>
      <c r="V1062" s="195">
        <f t="shared" si="136"/>
        <v>0</v>
      </c>
      <c r="W1062" s="196" t="e">
        <f t="shared" si="137"/>
        <v>#DIV/0!</v>
      </c>
      <c r="X1062" s="197" t="e">
        <f t="shared" si="138"/>
        <v>#DIV/0!</v>
      </c>
    </row>
    <row r="1063" ht="11.4" hidden="1" customHeight="1" spans="1:24">
      <c r="A1063" s="184" t="s">
        <v>2894</v>
      </c>
      <c r="B1063" s="184" t="s">
        <v>111</v>
      </c>
      <c r="C1063" s="184" t="s">
        <v>1101</v>
      </c>
      <c r="D1063" s="185" t="s">
        <v>702</v>
      </c>
      <c r="E1063" s="186" t="s">
        <v>2895</v>
      </c>
      <c r="F1063" s="186" t="s">
        <v>2896</v>
      </c>
      <c r="G1063" s="186" t="s">
        <v>2896</v>
      </c>
      <c r="H1063" s="186" t="s">
        <v>2897</v>
      </c>
      <c r="I1063" s="187" t="s">
        <v>1123</v>
      </c>
      <c r="J1063" s="187" t="s">
        <v>1124</v>
      </c>
      <c r="K1063" s="188"/>
      <c r="L1063" s="188"/>
      <c r="M1063" s="189" t="s">
        <v>807</v>
      </c>
      <c r="N1063" s="190">
        <v>41.36</v>
      </c>
      <c r="O1063" s="190">
        <f t="shared" si="131"/>
        <v>45.08</v>
      </c>
      <c r="P1063" s="191">
        <f t="shared" si="132"/>
        <v>0</v>
      </c>
      <c r="Q1063" s="192">
        <f t="shared" si="133"/>
        <v>0</v>
      </c>
      <c r="R1063" s="193"/>
      <c r="S1063" s="194"/>
      <c r="T1063" s="195">
        <f t="shared" si="134"/>
        <v>0</v>
      </c>
      <c r="U1063" s="195">
        <f t="shared" si="135"/>
        <v>0</v>
      </c>
      <c r="V1063" s="195">
        <f t="shared" si="136"/>
        <v>0</v>
      </c>
      <c r="W1063" s="196" t="e">
        <f t="shared" si="137"/>
        <v>#DIV/0!</v>
      </c>
      <c r="X1063" s="197" t="e">
        <f t="shared" si="138"/>
        <v>#DIV/0!</v>
      </c>
    </row>
    <row r="1064" ht="11.4" hidden="1" customHeight="1" spans="1:24">
      <c r="A1064" s="184" t="s">
        <v>2894</v>
      </c>
      <c r="B1064" s="184" t="s">
        <v>111</v>
      </c>
      <c r="C1064" s="184" t="s">
        <v>1101</v>
      </c>
      <c r="D1064" s="185" t="s">
        <v>702</v>
      </c>
      <c r="E1064" s="186" t="s">
        <v>2895</v>
      </c>
      <c r="F1064" s="186" t="s">
        <v>2896</v>
      </c>
      <c r="G1064" s="186" t="s">
        <v>2896</v>
      </c>
      <c r="H1064" s="186" t="s">
        <v>2897</v>
      </c>
      <c r="I1064" s="187" t="s">
        <v>1125</v>
      </c>
      <c r="J1064" s="187" t="s">
        <v>1126</v>
      </c>
      <c r="K1064" s="188"/>
      <c r="L1064" s="188"/>
      <c r="M1064" s="189" t="s">
        <v>807</v>
      </c>
      <c r="N1064" s="190">
        <v>38.94</v>
      </c>
      <c r="O1064" s="190">
        <f t="shared" si="131"/>
        <v>42.44</v>
      </c>
      <c r="P1064" s="191">
        <f t="shared" si="132"/>
        <v>0</v>
      </c>
      <c r="Q1064" s="192">
        <f t="shared" si="133"/>
        <v>0</v>
      </c>
      <c r="R1064" s="193"/>
      <c r="S1064" s="194"/>
      <c r="T1064" s="195">
        <f t="shared" si="134"/>
        <v>0</v>
      </c>
      <c r="U1064" s="195">
        <f t="shared" si="135"/>
        <v>0</v>
      </c>
      <c r="V1064" s="195">
        <f t="shared" si="136"/>
        <v>0</v>
      </c>
      <c r="W1064" s="196" t="e">
        <f t="shared" si="137"/>
        <v>#DIV/0!</v>
      </c>
      <c r="X1064" s="197" t="e">
        <f t="shared" si="138"/>
        <v>#DIV/0!</v>
      </c>
    </row>
    <row r="1065" ht="11.4" hidden="1" customHeight="1" spans="1:24">
      <c r="A1065" s="184" t="s">
        <v>2894</v>
      </c>
      <c r="B1065" s="184" t="s">
        <v>111</v>
      </c>
      <c r="C1065" s="184" t="s">
        <v>1101</v>
      </c>
      <c r="D1065" s="185" t="s">
        <v>702</v>
      </c>
      <c r="E1065" s="186" t="s">
        <v>2895</v>
      </c>
      <c r="F1065" s="186" t="s">
        <v>2896</v>
      </c>
      <c r="G1065" s="186" t="s">
        <v>2896</v>
      </c>
      <c r="H1065" s="186" t="s">
        <v>2897</v>
      </c>
      <c r="I1065" s="187" t="s">
        <v>1127</v>
      </c>
      <c r="J1065" s="187" t="s">
        <v>1128</v>
      </c>
      <c r="K1065" s="188"/>
      <c r="L1065" s="188"/>
      <c r="M1065" s="189" t="s">
        <v>807</v>
      </c>
      <c r="N1065" s="190">
        <v>40.15</v>
      </c>
      <c r="O1065" s="190">
        <f t="shared" si="131"/>
        <v>43.76</v>
      </c>
      <c r="P1065" s="191">
        <f t="shared" si="132"/>
        <v>0</v>
      </c>
      <c r="Q1065" s="192">
        <f t="shared" si="133"/>
        <v>0</v>
      </c>
      <c r="R1065" s="193"/>
      <c r="S1065" s="194"/>
      <c r="T1065" s="195">
        <f t="shared" si="134"/>
        <v>0</v>
      </c>
      <c r="U1065" s="195">
        <f t="shared" si="135"/>
        <v>0</v>
      </c>
      <c r="V1065" s="195">
        <f t="shared" si="136"/>
        <v>0</v>
      </c>
      <c r="W1065" s="196" t="e">
        <f t="shared" si="137"/>
        <v>#DIV/0!</v>
      </c>
      <c r="X1065" s="197" t="e">
        <f t="shared" si="138"/>
        <v>#DIV/0!</v>
      </c>
    </row>
    <row r="1066" ht="11.4" hidden="1" customHeight="1" spans="1:24">
      <c r="A1066" s="184" t="s">
        <v>2894</v>
      </c>
      <c r="B1066" s="184" t="s">
        <v>111</v>
      </c>
      <c r="C1066" s="184" t="s">
        <v>1101</v>
      </c>
      <c r="D1066" s="185" t="s">
        <v>702</v>
      </c>
      <c r="E1066" s="186" t="s">
        <v>2895</v>
      </c>
      <c r="F1066" s="186" t="s">
        <v>2896</v>
      </c>
      <c r="G1066" s="186" t="s">
        <v>2896</v>
      </c>
      <c r="H1066" s="186" t="s">
        <v>2897</v>
      </c>
      <c r="I1066" s="187" t="s">
        <v>1129</v>
      </c>
      <c r="J1066" s="187" t="s">
        <v>1130</v>
      </c>
      <c r="K1066" s="188"/>
      <c r="L1066" s="188"/>
      <c r="M1066" s="189" t="s">
        <v>847</v>
      </c>
      <c r="N1066" s="190">
        <v>219.86</v>
      </c>
      <c r="O1066" s="190">
        <f t="shared" si="131"/>
        <v>239.65</v>
      </c>
      <c r="P1066" s="191">
        <f t="shared" si="132"/>
        <v>0</v>
      </c>
      <c r="Q1066" s="192">
        <f t="shared" si="133"/>
        <v>0</v>
      </c>
      <c r="R1066" s="193"/>
      <c r="S1066" s="194"/>
      <c r="T1066" s="195">
        <f t="shared" si="134"/>
        <v>0</v>
      </c>
      <c r="U1066" s="195">
        <f t="shared" si="135"/>
        <v>0</v>
      </c>
      <c r="V1066" s="195">
        <f t="shared" si="136"/>
        <v>0</v>
      </c>
      <c r="W1066" s="196" t="e">
        <f t="shared" si="137"/>
        <v>#DIV/0!</v>
      </c>
      <c r="X1066" s="197" t="e">
        <f t="shared" si="138"/>
        <v>#DIV/0!</v>
      </c>
    </row>
    <row r="1067" ht="11.4" hidden="1" customHeight="1" spans="1:24">
      <c r="A1067" s="184" t="s">
        <v>2894</v>
      </c>
      <c r="B1067" s="184" t="s">
        <v>111</v>
      </c>
      <c r="C1067" s="184" t="s">
        <v>1101</v>
      </c>
      <c r="D1067" s="185" t="s">
        <v>702</v>
      </c>
      <c r="E1067" s="186" t="s">
        <v>2895</v>
      </c>
      <c r="F1067" s="186" t="s">
        <v>2896</v>
      </c>
      <c r="G1067" s="186" t="s">
        <v>2896</v>
      </c>
      <c r="H1067" s="186" t="s">
        <v>2897</v>
      </c>
      <c r="I1067" s="187" t="s">
        <v>1131</v>
      </c>
      <c r="J1067" s="187" t="s">
        <v>1132</v>
      </c>
      <c r="K1067" s="188"/>
      <c r="L1067" s="188"/>
      <c r="M1067" s="189" t="s">
        <v>847</v>
      </c>
      <c r="N1067" s="190">
        <v>203.42</v>
      </c>
      <c r="O1067" s="190">
        <f t="shared" si="131"/>
        <v>221.73</v>
      </c>
      <c r="P1067" s="191">
        <f t="shared" si="132"/>
        <v>0</v>
      </c>
      <c r="Q1067" s="192">
        <f t="shared" si="133"/>
        <v>0</v>
      </c>
      <c r="R1067" s="193"/>
      <c r="S1067" s="194"/>
      <c r="T1067" s="195">
        <f t="shared" si="134"/>
        <v>0</v>
      </c>
      <c r="U1067" s="195">
        <f t="shared" si="135"/>
        <v>0</v>
      </c>
      <c r="V1067" s="195">
        <f t="shared" si="136"/>
        <v>0</v>
      </c>
      <c r="W1067" s="196" t="e">
        <f t="shared" si="137"/>
        <v>#DIV/0!</v>
      </c>
      <c r="X1067" s="197" t="e">
        <f t="shared" si="138"/>
        <v>#DIV/0!</v>
      </c>
    </row>
    <row r="1068" ht="11.4" hidden="1" customHeight="1" spans="1:24">
      <c r="A1068" s="184" t="s">
        <v>2894</v>
      </c>
      <c r="B1068" s="184" t="s">
        <v>111</v>
      </c>
      <c r="C1068" s="184" t="s">
        <v>1101</v>
      </c>
      <c r="D1068" s="185" t="s">
        <v>702</v>
      </c>
      <c r="E1068" s="186" t="s">
        <v>2895</v>
      </c>
      <c r="F1068" s="186" t="s">
        <v>2896</v>
      </c>
      <c r="G1068" s="186" t="s">
        <v>2896</v>
      </c>
      <c r="H1068" s="186" t="s">
        <v>2897</v>
      </c>
      <c r="I1068" s="187" t="s">
        <v>1133</v>
      </c>
      <c r="J1068" s="187" t="s">
        <v>1134</v>
      </c>
      <c r="K1068" s="188">
        <v>2.53</v>
      </c>
      <c r="L1068" s="188">
        <v>2.44</v>
      </c>
      <c r="M1068" s="189" t="s">
        <v>847</v>
      </c>
      <c r="N1068" s="190">
        <v>222.39</v>
      </c>
      <c r="O1068" s="190">
        <f t="shared" si="131"/>
        <v>242.41</v>
      </c>
      <c r="P1068" s="191">
        <f t="shared" si="132"/>
        <v>562.65</v>
      </c>
      <c r="Q1068" s="192">
        <f t="shared" si="133"/>
        <v>542.63</v>
      </c>
      <c r="R1068" s="193"/>
      <c r="S1068" s="194"/>
      <c r="T1068" s="195">
        <f t="shared" si="134"/>
        <v>0.0899999999999999</v>
      </c>
      <c r="U1068" s="195">
        <f t="shared" si="135"/>
        <v>20.02</v>
      </c>
      <c r="V1068" s="195">
        <f t="shared" si="136"/>
        <v>20.02</v>
      </c>
      <c r="W1068" s="196">
        <f t="shared" si="137"/>
        <v>0.0368852459016393</v>
      </c>
      <c r="X1068" s="197">
        <f t="shared" si="138"/>
        <v>0.0368852459016393</v>
      </c>
    </row>
    <row r="1069" ht="11.4" hidden="1" customHeight="1" spans="1:24">
      <c r="A1069" s="184" t="s">
        <v>2894</v>
      </c>
      <c r="B1069" s="184" t="s">
        <v>111</v>
      </c>
      <c r="C1069" s="184" t="s">
        <v>1101</v>
      </c>
      <c r="D1069" s="185" t="s">
        <v>702</v>
      </c>
      <c r="E1069" s="186" t="s">
        <v>2895</v>
      </c>
      <c r="F1069" s="186" t="s">
        <v>2896</v>
      </c>
      <c r="G1069" s="186" t="s">
        <v>2896</v>
      </c>
      <c r="H1069" s="186" t="s">
        <v>2897</v>
      </c>
      <c r="I1069" s="187" t="s">
        <v>1135</v>
      </c>
      <c r="J1069" s="187" t="s">
        <v>1136</v>
      </c>
      <c r="K1069" s="188"/>
      <c r="L1069" s="188"/>
      <c r="M1069" s="189" t="s">
        <v>807</v>
      </c>
      <c r="N1069" s="190">
        <v>41.36</v>
      </c>
      <c r="O1069" s="190">
        <f t="shared" si="131"/>
        <v>45.08</v>
      </c>
      <c r="P1069" s="191">
        <f t="shared" si="132"/>
        <v>0</v>
      </c>
      <c r="Q1069" s="192">
        <f t="shared" si="133"/>
        <v>0</v>
      </c>
      <c r="R1069" s="193"/>
      <c r="S1069" s="194"/>
      <c r="T1069" s="195">
        <f t="shared" si="134"/>
        <v>0</v>
      </c>
      <c r="U1069" s="195">
        <f t="shared" si="135"/>
        <v>0</v>
      </c>
      <c r="V1069" s="195">
        <f t="shared" si="136"/>
        <v>0</v>
      </c>
      <c r="W1069" s="196" t="e">
        <f t="shared" si="137"/>
        <v>#DIV/0!</v>
      </c>
      <c r="X1069" s="197" t="e">
        <f t="shared" si="138"/>
        <v>#DIV/0!</v>
      </c>
    </row>
    <row r="1070" ht="11.4" hidden="1" customHeight="1" spans="1:24">
      <c r="A1070" s="184" t="s">
        <v>2894</v>
      </c>
      <c r="B1070" s="184" t="s">
        <v>111</v>
      </c>
      <c r="C1070" s="184" t="s">
        <v>1101</v>
      </c>
      <c r="D1070" s="185" t="s">
        <v>702</v>
      </c>
      <c r="E1070" s="186" t="s">
        <v>2895</v>
      </c>
      <c r="F1070" s="186" t="s">
        <v>2896</v>
      </c>
      <c r="G1070" s="186" t="s">
        <v>2896</v>
      </c>
      <c r="H1070" s="186" t="s">
        <v>2897</v>
      </c>
      <c r="I1070" s="187" t="s">
        <v>1137</v>
      </c>
      <c r="J1070" s="187" t="s">
        <v>1138</v>
      </c>
      <c r="K1070" s="188"/>
      <c r="L1070" s="188"/>
      <c r="M1070" s="189" t="s">
        <v>807</v>
      </c>
      <c r="N1070" s="190">
        <v>40.15</v>
      </c>
      <c r="O1070" s="190">
        <f t="shared" si="131"/>
        <v>43.76</v>
      </c>
      <c r="P1070" s="191">
        <f t="shared" si="132"/>
        <v>0</v>
      </c>
      <c r="Q1070" s="192">
        <f t="shared" si="133"/>
        <v>0</v>
      </c>
      <c r="R1070" s="193"/>
      <c r="S1070" s="194"/>
      <c r="T1070" s="195">
        <f t="shared" si="134"/>
        <v>0</v>
      </c>
      <c r="U1070" s="195">
        <f t="shared" si="135"/>
        <v>0</v>
      </c>
      <c r="V1070" s="195">
        <f t="shared" si="136"/>
        <v>0</v>
      </c>
      <c r="W1070" s="196" t="e">
        <f t="shared" si="137"/>
        <v>#DIV/0!</v>
      </c>
      <c r="X1070" s="197" t="e">
        <f t="shared" si="138"/>
        <v>#DIV/0!</v>
      </c>
    </row>
    <row r="1071" ht="11.4" hidden="1" customHeight="1" spans="1:24">
      <c r="A1071" s="184" t="s">
        <v>2894</v>
      </c>
      <c r="B1071" s="184" t="s">
        <v>111</v>
      </c>
      <c r="C1071" s="184" t="s">
        <v>1101</v>
      </c>
      <c r="D1071" s="185" t="s">
        <v>702</v>
      </c>
      <c r="E1071" s="186" t="s">
        <v>2895</v>
      </c>
      <c r="F1071" s="186" t="s">
        <v>2896</v>
      </c>
      <c r="G1071" s="186" t="s">
        <v>2896</v>
      </c>
      <c r="H1071" s="186" t="s">
        <v>2897</v>
      </c>
      <c r="I1071" s="187" t="s">
        <v>1139</v>
      </c>
      <c r="J1071" s="187" t="s">
        <v>2898</v>
      </c>
      <c r="K1071" s="221">
        <v>0.36</v>
      </c>
      <c r="L1071" s="188">
        <v>0.31</v>
      </c>
      <c r="M1071" s="189" t="s">
        <v>807</v>
      </c>
      <c r="N1071" s="190">
        <v>41.36</v>
      </c>
      <c r="O1071" s="190">
        <f t="shared" si="131"/>
        <v>45.08</v>
      </c>
      <c r="P1071" s="191">
        <f t="shared" si="132"/>
        <v>14.89</v>
      </c>
      <c r="Q1071" s="192">
        <f t="shared" si="133"/>
        <v>12.82</v>
      </c>
      <c r="R1071" s="193"/>
      <c r="S1071" s="194"/>
      <c r="T1071" s="195">
        <f t="shared" si="134"/>
        <v>0.05</v>
      </c>
      <c r="U1071" s="195">
        <f t="shared" si="135"/>
        <v>2.07</v>
      </c>
      <c r="V1071" s="195">
        <f t="shared" si="136"/>
        <v>2.07</v>
      </c>
      <c r="W1071" s="196">
        <f t="shared" si="137"/>
        <v>0.161290322580645</v>
      </c>
      <c r="X1071" s="197">
        <f t="shared" si="138"/>
        <v>0.161290322580645</v>
      </c>
    </row>
    <row r="1072" ht="11.4" hidden="1" customHeight="1" spans="1:24">
      <c r="A1072" s="184" t="s">
        <v>2894</v>
      </c>
      <c r="B1072" s="184" t="s">
        <v>111</v>
      </c>
      <c r="C1072" s="184" t="s">
        <v>1101</v>
      </c>
      <c r="D1072" s="185" t="s">
        <v>702</v>
      </c>
      <c r="E1072" s="186" t="s">
        <v>2895</v>
      </c>
      <c r="F1072" s="186" t="s">
        <v>2896</v>
      </c>
      <c r="G1072" s="186" t="s">
        <v>2896</v>
      </c>
      <c r="H1072" s="186" t="s">
        <v>2897</v>
      </c>
      <c r="I1072" s="187" t="s">
        <v>1141</v>
      </c>
      <c r="J1072" s="187" t="s">
        <v>1142</v>
      </c>
      <c r="K1072" s="188"/>
      <c r="L1072" s="188"/>
      <c r="M1072" s="189" t="s">
        <v>847</v>
      </c>
      <c r="N1072" s="190">
        <v>196.14</v>
      </c>
      <c r="O1072" s="190">
        <f t="shared" si="131"/>
        <v>213.79</v>
      </c>
      <c r="P1072" s="191">
        <f t="shared" si="132"/>
        <v>0</v>
      </c>
      <c r="Q1072" s="192">
        <f t="shared" si="133"/>
        <v>0</v>
      </c>
      <c r="R1072" s="193"/>
      <c r="S1072" s="194"/>
      <c r="T1072" s="195">
        <f t="shared" si="134"/>
        <v>0</v>
      </c>
      <c r="U1072" s="195">
        <f t="shared" si="135"/>
        <v>0</v>
      </c>
      <c r="V1072" s="195">
        <f t="shared" si="136"/>
        <v>0</v>
      </c>
      <c r="W1072" s="196" t="e">
        <f t="shared" si="137"/>
        <v>#DIV/0!</v>
      </c>
      <c r="X1072" s="197" t="e">
        <f t="shared" si="138"/>
        <v>#DIV/0!</v>
      </c>
    </row>
    <row r="1073" ht="11.4" hidden="1" customHeight="1" spans="1:24">
      <c r="A1073" s="184" t="s">
        <v>2894</v>
      </c>
      <c r="B1073" s="184" t="s">
        <v>111</v>
      </c>
      <c r="C1073" s="184" t="s">
        <v>1101</v>
      </c>
      <c r="D1073" s="185" t="s">
        <v>702</v>
      </c>
      <c r="E1073" s="186" t="s">
        <v>2895</v>
      </c>
      <c r="F1073" s="186" t="s">
        <v>2896</v>
      </c>
      <c r="G1073" s="186" t="s">
        <v>2896</v>
      </c>
      <c r="H1073" s="186" t="s">
        <v>2897</v>
      </c>
      <c r="I1073" s="187" t="s">
        <v>1143</v>
      </c>
      <c r="J1073" s="187" t="s">
        <v>1144</v>
      </c>
      <c r="K1073" s="188"/>
      <c r="L1073" s="188"/>
      <c r="M1073" s="189" t="s">
        <v>807</v>
      </c>
      <c r="N1073" s="190">
        <v>41.47</v>
      </c>
      <c r="O1073" s="190">
        <f t="shared" si="131"/>
        <v>45.2</v>
      </c>
      <c r="P1073" s="191">
        <f t="shared" si="132"/>
        <v>0</v>
      </c>
      <c r="Q1073" s="192">
        <f t="shared" si="133"/>
        <v>0</v>
      </c>
      <c r="R1073" s="193"/>
      <c r="S1073" s="194"/>
      <c r="T1073" s="195">
        <f t="shared" si="134"/>
        <v>0</v>
      </c>
      <c r="U1073" s="195">
        <f t="shared" si="135"/>
        <v>0</v>
      </c>
      <c r="V1073" s="195">
        <f t="shared" si="136"/>
        <v>0</v>
      </c>
      <c r="W1073" s="196" t="e">
        <f t="shared" si="137"/>
        <v>#DIV/0!</v>
      </c>
      <c r="X1073" s="197" t="e">
        <f t="shared" si="138"/>
        <v>#DIV/0!</v>
      </c>
    </row>
    <row r="1074" ht="11.4" hidden="1" customHeight="1" spans="1:24">
      <c r="A1074" s="184" t="s">
        <v>2894</v>
      </c>
      <c r="B1074" s="184" t="s">
        <v>111</v>
      </c>
      <c r="C1074" s="184" t="s">
        <v>1101</v>
      </c>
      <c r="D1074" s="185" t="s">
        <v>702</v>
      </c>
      <c r="E1074" s="186" t="s">
        <v>2895</v>
      </c>
      <c r="F1074" s="186" t="s">
        <v>2896</v>
      </c>
      <c r="G1074" s="186" t="s">
        <v>2896</v>
      </c>
      <c r="H1074" s="186" t="s">
        <v>2897</v>
      </c>
      <c r="I1074" s="187" t="s">
        <v>1145</v>
      </c>
      <c r="J1074" s="187" t="s">
        <v>1146</v>
      </c>
      <c r="K1074" s="188"/>
      <c r="L1074" s="188"/>
      <c r="M1074" s="189" t="s">
        <v>847</v>
      </c>
      <c r="N1074" s="190">
        <v>179.82</v>
      </c>
      <c r="O1074" s="190">
        <f t="shared" si="131"/>
        <v>196</v>
      </c>
      <c r="P1074" s="191">
        <f t="shared" si="132"/>
        <v>0</v>
      </c>
      <c r="Q1074" s="192">
        <f t="shared" si="133"/>
        <v>0</v>
      </c>
      <c r="R1074" s="193"/>
      <c r="S1074" s="194"/>
      <c r="T1074" s="195">
        <f t="shared" si="134"/>
        <v>0</v>
      </c>
      <c r="U1074" s="195">
        <f t="shared" si="135"/>
        <v>0</v>
      </c>
      <c r="V1074" s="195">
        <f t="shared" si="136"/>
        <v>0</v>
      </c>
      <c r="W1074" s="196" t="e">
        <f t="shared" si="137"/>
        <v>#DIV/0!</v>
      </c>
      <c r="X1074" s="197" t="e">
        <f t="shared" si="138"/>
        <v>#DIV/0!</v>
      </c>
    </row>
    <row r="1075" ht="11.4" hidden="1" customHeight="1" spans="1:24">
      <c r="A1075" s="184" t="s">
        <v>2894</v>
      </c>
      <c r="B1075" s="184" t="s">
        <v>111</v>
      </c>
      <c r="C1075" s="184" t="s">
        <v>1101</v>
      </c>
      <c r="D1075" s="185" t="s">
        <v>702</v>
      </c>
      <c r="E1075" s="186" t="s">
        <v>2895</v>
      </c>
      <c r="F1075" s="186" t="s">
        <v>2896</v>
      </c>
      <c r="G1075" s="186" t="s">
        <v>2896</v>
      </c>
      <c r="H1075" s="186" t="s">
        <v>2897</v>
      </c>
      <c r="I1075" s="187" t="s">
        <v>1147</v>
      </c>
      <c r="J1075" s="187" t="s">
        <v>1148</v>
      </c>
      <c r="K1075" s="188"/>
      <c r="L1075" s="188"/>
      <c r="M1075" s="189" t="s">
        <v>807</v>
      </c>
      <c r="N1075" s="190">
        <v>37.84</v>
      </c>
      <c r="O1075" s="190">
        <f t="shared" si="131"/>
        <v>41.25</v>
      </c>
      <c r="P1075" s="191">
        <f t="shared" si="132"/>
        <v>0</v>
      </c>
      <c r="Q1075" s="192">
        <f t="shared" si="133"/>
        <v>0</v>
      </c>
      <c r="R1075" s="193"/>
      <c r="S1075" s="194"/>
      <c r="T1075" s="195">
        <f t="shared" si="134"/>
        <v>0</v>
      </c>
      <c r="U1075" s="195">
        <f t="shared" si="135"/>
        <v>0</v>
      </c>
      <c r="V1075" s="195">
        <f t="shared" si="136"/>
        <v>0</v>
      </c>
      <c r="W1075" s="196" t="e">
        <f t="shared" si="137"/>
        <v>#DIV/0!</v>
      </c>
      <c r="X1075" s="197" t="e">
        <f t="shared" si="138"/>
        <v>#DIV/0!</v>
      </c>
    </row>
    <row r="1076" ht="11.4" hidden="1" customHeight="1" spans="1:24">
      <c r="A1076" s="184" t="s">
        <v>2894</v>
      </c>
      <c r="B1076" s="184" t="s">
        <v>111</v>
      </c>
      <c r="C1076" s="184" t="s">
        <v>1101</v>
      </c>
      <c r="D1076" s="185" t="s">
        <v>702</v>
      </c>
      <c r="E1076" s="186" t="s">
        <v>2895</v>
      </c>
      <c r="F1076" s="186" t="s">
        <v>2896</v>
      </c>
      <c r="G1076" s="186" t="s">
        <v>2896</v>
      </c>
      <c r="H1076" s="186" t="s">
        <v>2897</v>
      </c>
      <c r="I1076" s="187" t="s">
        <v>1149</v>
      </c>
      <c r="J1076" s="187" t="s">
        <v>1150</v>
      </c>
      <c r="K1076" s="188"/>
      <c r="L1076" s="188"/>
      <c r="M1076" s="189" t="s">
        <v>847</v>
      </c>
      <c r="N1076" s="190">
        <v>193.81</v>
      </c>
      <c r="O1076" s="190">
        <f t="shared" si="131"/>
        <v>211.25</v>
      </c>
      <c r="P1076" s="191">
        <f t="shared" si="132"/>
        <v>0</v>
      </c>
      <c r="Q1076" s="192">
        <f t="shared" si="133"/>
        <v>0</v>
      </c>
      <c r="R1076" s="193"/>
      <c r="S1076" s="194"/>
      <c r="T1076" s="195">
        <f t="shared" si="134"/>
        <v>0</v>
      </c>
      <c r="U1076" s="195">
        <f t="shared" si="135"/>
        <v>0</v>
      </c>
      <c r="V1076" s="195">
        <f t="shared" si="136"/>
        <v>0</v>
      </c>
      <c r="W1076" s="196" t="e">
        <f t="shared" si="137"/>
        <v>#DIV/0!</v>
      </c>
      <c r="X1076" s="197" t="e">
        <f t="shared" si="138"/>
        <v>#DIV/0!</v>
      </c>
    </row>
    <row r="1077" ht="11.4" hidden="1" customHeight="1" spans="1:24">
      <c r="A1077" s="184" t="s">
        <v>2894</v>
      </c>
      <c r="B1077" s="184" t="s">
        <v>111</v>
      </c>
      <c r="C1077" s="184" t="s">
        <v>1101</v>
      </c>
      <c r="D1077" s="185" t="s">
        <v>702</v>
      </c>
      <c r="E1077" s="186" t="s">
        <v>2895</v>
      </c>
      <c r="F1077" s="186" t="s">
        <v>2896</v>
      </c>
      <c r="G1077" s="186" t="s">
        <v>2896</v>
      </c>
      <c r="H1077" s="186" t="s">
        <v>2897</v>
      </c>
      <c r="I1077" s="187" t="s">
        <v>1151</v>
      </c>
      <c r="J1077" s="187" t="s">
        <v>1152</v>
      </c>
      <c r="K1077" s="188"/>
      <c r="L1077" s="188"/>
      <c r="M1077" s="189" t="s">
        <v>807</v>
      </c>
      <c r="N1077" s="190">
        <v>39.05</v>
      </c>
      <c r="O1077" s="190">
        <f t="shared" si="131"/>
        <v>42.56</v>
      </c>
      <c r="P1077" s="191">
        <f t="shared" si="132"/>
        <v>0</v>
      </c>
      <c r="Q1077" s="192">
        <f t="shared" si="133"/>
        <v>0</v>
      </c>
      <c r="R1077" s="193"/>
      <c r="S1077" s="194"/>
      <c r="T1077" s="195">
        <f t="shared" si="134"/>
        <v>0</v>
      </c>
      <c r="U1077" s="195">
        <f t="shared" si="135"/>
        <v>0</v>
      </c>
      <c r="V1077" s="195">
        <f t="shared" si="136"/>
        <v>0</v>
      </c>
      <c r="W1077" s="196" t="e">
        <f t="shared" si="137"/>
        <v>#DIV/0!</v>
      </c>
      <c r="X1077" s="197" t="e">
        <f t="shared" si="138"/>
        <v>#DIV/0!</v>
      </c>
    </row>
    <row r="1078" ht="11.4" hidden="1" customHeight="1" spans="1:24">
      <c r="A1078" s="184" t="s">
        <v>2894</v>
      </c>
      <c r="B1078" s="184" t="s">
        <v>111</v>
      </c>
      <c r="C1078" s="184" t="s">
        <v>1101</v>
      </c>
      <c r="D1078" s="185" t="s">
        <v>702</v>
      </c>
      <c r="E1078" s="186" t="s">
        <v>2895</v>
      </c>
      <c r="F1078" s="186" t="s">
        <v>2896</v>
      </c>
      <c r="G1078" s="186" t="s">
        <v>2896</v>
      </c>
      <c r="H1078" s="186" t="s">
        <v>2897</v>
      </c>
      <c r="I1078" s="187" t="s">
        <v>1153</v>
      </c>
      <c r="J1078" s="187" t="s">
        <v>1154</v>
      </c>
      <c r="K1078" s="188"/>
      <c r="L1078" s="188"/>
      <c r="M1078" s="189" t="s">
        <v>847</v>
      </c>
      <c r="N1078" s="190">
        <v>178.2</v>
      </c>
      <c r="O1078" s="190">
        <f t="shared" si="131"/>
        <v>194.24</v>
      </c>
      <c r="P1078" s="191">
        <f t="shared" si="132"/>
        <v>0</v>
      </c>
      <c r="Q1078" s="192">
        <f t="shared" si="133"/>
        <v>0</v>
      </c>
      <c r="R1078" s="193"/>
      <c r="S1078" s="194"/>
      <c r="T1078" s="195">
        <f t="shared" si="134"/>
        <v>0</v>
      </c>
      <c r="U1078" s="195">
        <f t="shared" si="135"/>
        <v>0</v>
      </c>
      <c r="V1078" s="195">
        <f t="shared" si="136"/>
        <v>0</v>
      </c>
      <c r="W1078" s="196" t="e">
        <f t="shared" si="137"/>
        <v>#DIV/0!</v>
      </c>
      <c r="X1078" s="197" t="e">
        <f t="shared" si="138"/>
        <v>#DIV/0!</v>
      </c>
    </row>
    <row r="1079" ht="11.4" hidden="1" customHeight="1" spans="1:24">
      <c r="A1079" s="184" t="s">
        <v>2894</v>
      </c>
      <c r="B1079" s="184" t="s">
        <v>111</v>
      </c>
      <c r="C1079" s="184" t="s">
        <v>1101</v>
      </c>
      <c r="D1079" s="185" t="s">
        <v>702</v>
      </c>
      <c r="E1079" s="186" t="s">
        <v>2895</v>
      </c>
      <c r="F1079" s="186" t="s">
        <v>2896</v>
      </c>
      <c r="G1079" s="186" t="s">
        <v>2896</v>
      </c>
      <c r="H1079" s="186" t="s">
        <v>2897</v>
      </c>
      <c r="I1079" s="187" t="s">
        <v>1155</v>
      </c>
      <c r="J1079" s="187" t="s">
        <v>1156</v>
      </c>
      <c r="K1079" s="188"/>
      <c r="L1079" s="188"/>
      <c r="M1079" s="189" t="s">
        <v>847</v>
      </c>
      <c r="N1079" s="190">
        <v>170.67</v>
      </c>
      <c r="O1079" s="190">
        <f t="shared" si="131"/>
        <v>186.03</v>
      </c>
      <c r="P1079" s="191">
        <f t="shared" si="132"/>
        <v>0</v>
      </c>
      <c r="Q1079" s="192">
        <f t="shared" si="133"/>
        <v>0</v>
      </c>
      <c r="R1079" s="193"/>
      <c r="S1079" s="194"/>
      <c r="T1079" s="195">
        <f t="shared" si="134"/>
        <v>0</v>
      </c>
      <c r="U1079" s="195">
        <f t="shared" si="135"/>
        <v>0</v>
      </c>
      <c r="V1079" s="195">
        <f t="shared" si="136"/>
        <v>0</v>
      </c>
      <c r="W1079" s="196" t="e">
        <f t="shared" si="137"/>
        <v>#DIV/0!</v>
      </c>
      <c r="X1079" s="197" t="e">
        <f t="shared" si="138"/>
        <v>#DIV/0!</v>
      </c>
    </row>
    <row r="1080" ht="11.4" hidden="1" customHeight="1" spans="1:24">
      <c r="A1080" s="184" t="s">
        <v>2894</v>
      </c>
      <c r="B1080" s="184" t="s">
        <v>111</v>
      </c>
      <c r="C1080" s="184" t="s">
        <v>1101</v>
      </c>
      <c r="D1080" s="185" t="s">
        <v>702</v>
      </c>
      <c r="E1080" s="186" t="s">
        <v>2895</v>
      </c>
      <c r="F1080" s="186" t="s">
        <v>2896</v>
      </c>
      <c r="G1080" s="186" t="s">
        <v>2896</v>
      </c>
      <c r="H1080" s="186" t="s">
        <v>2897</v>
      </c>
      <c r="I1080" s="187" t="s">
        <v>1157</v>
      </c>
      <c r="J1080" s="187" t="s">
        <v>1158</v>
      </c>
      <c r="K1080" s="188"/>
      <c r="L1080" s="188"/>
      <c r="M1080" s="189" t="s">
        <v>847</v>
      </c>
      <c r="N1080" s="190">
        <v>181.7</v>
      </c>
      <c r="O1080" s="190">
        <f t="shared" si="131"/>
        <v>198.05</v>
      </c>
      <c r="P1080" s="191">
        <f t="shared" si="132"/>
        <v>0</v>
      </c>
      <c r="Q1080" s="192">
        <f t="shared" si="133"/>
        <v>0</v>
      </c>
      <c r="R1080" s="193"/>
      <c r="S1080" s="194"/>
      <c r="T1080" s="195">
        <f t="shared" si="134"/>
        <v>0</v>
      </c>
      <c r="U1080" s="195">
        <f t="shared" si="135"/>
        <v>0</v>
      </c>
      <c r="V1080" s="195">
        <f t="shared" si="136"/>
        <v>0</v>
      </c>
      <c r="W1080" s="196" t="e">
        <f t="shared" si="137"/>
        <v>#DIV/0!</v>
      </c>
      <c r="X1080" s="197" t="e">
        <f t="shared" si="138"/>
        <v>#DIV/0!</v>
      </c>
    </row>
    <row r="1081" ht="11.4" hidden="1" customHeight="1" spans="1:24">
      <c r="A1081" s="184" t="s">
        <v>2894</v>
      </c>
      <c r="B1081" s="184" t="s">
        <v>111</v>
      </c>
      <c r="C1081" s="184" t="s">
        <v>1101</v>
      </c>
      <c r="D1081" s="185" t="s">
        <v>702</v>
      </c>
      <c r="E1081" s="186" t="s">
        <v>2895</v>
      </c>
      <c r="F1081" s="186" t="s">
        <v>2896</v>
      </c>
      <c r="G1081" s="186" t="s">
        <v>2896</v>
      </c>
      <c r="H1081" s="186" t="s">
        <v>2897</v>
      </c>
      <c r="I1081" s="187" t="s">
        <v>1159</v>
      </c>
      <c r="J1081" s="187" t="s">
        <v>1160</v>
      </c>
      <c r="K1081" s="188"/>
      <c r="L1081" s="188"/>
      <c r="M1081" s="189" t="s">
        <v>847</v>
      </c>
      <c r="N1081" s="190">
        <v>180.78</v>
      </c>
      <c r="O1081" s="190">
        <f t="shared" si="131"/>
        <v>197.05</v>
      </c>
      <c r="P1081" s="191">
        <f t="shared" si="132"/>
        <v>0</v>
      </c>
      <c r="Q1081" s="192">
        <f t="shared" si="133"/>
        <v>0</v>
      </c>
      <c r="R1081" s="193"/>
      <c r="S1081" s="194"/>
      <c r="T1081" s="195">
        <f t="shared" si="134"/>
        <v>0</v>
      </c>
      <c r="U1081" s="195">
        <f t="shared" si="135"/>
        <v>0</v>
      </c>
      <c r="V1081" s="195">
        <f t="shared" si="136"/>
        <v>0</v>
      </c>
      <c r="W1081" s="196" t="e">
        <f t="shared" si="137"/>
        <v>#DIV/0!</v>
      </c>
      <c r="X1081" s="197" t="e">
        <f t="shared" si="138"/>
        <v>#DIV/0!</v>
      </c>
    </row>
    <row r="1082" ht="11.4" hidden="1" customHeight="1" spans="1:24">
      <c r="A1082" s="184" t="s">
        <v>2894</v>
      </c>
      <c r="B1082" s="184" t="s">
        <v>111</v>
      </c>
      <c r="C1082" s="184" t="s">
        <v>1101</v>
      </c>
      <c r="D1082" s="185" t="s">
        <v>702</v>
      </c>
      <c r="E1082" s="186" t="s">
        <v>2895</v>
      </c>
      <c r="F1082" s="186" t="s">
        <v>2896</v>
      </c>
      <c r="G1082" s="186" t="s">
        <v>2896</v>
      </c>
      <c r="H1082" s="186" t="s">
        <v>2897</v>
      </c>
      <c r="I1082" s="187" t="s">
        <v>1161</v>
      </c>
      <c r="J1082" s="187" t="s">
        <v>1162</v>
      </c>
      <c r="K1082" s="188"/>
      <c r="L1082" s="188"/>
      <c r="M1082" s="189" t="s">
        <v>847</v>
      </c>
      <c r="N1082" s="190">
        <v>162.63</v>
      </c>
      <c r="O1082" s="190">
        <f t="shared" si="131"/>
        <v>177.27</v>
      </c>
      <c r="P1082" s="191">
        <f t="shared" si="132"/>
        <v>0</v>
      </c>
      <c r="Q1082" s="192">
        <f t="shared" si="133"/>
        <v>0</v>
      </c>
      <c r="R1082" s="193"/>
      <c r="S1082" s="194"/>
      <c r="T1082" s="195">
        <f t="shared" si="134"/>
        <v>0</v>
      </c>
      <c r="U1082" s="195">
        <f t="shared" si="135"/>
        <v>0</v>
      </c>
      <c r="V1082" s="195">
        <f t="shared" si="136"/>
        <v>0</v>
      </c>
      <c r="W1082" s="196" t="e">
        <f t="shared" si="137"/>
        <v>#DIV/0!</v>
      </c>
      <c r="X1082" s="197" t="e">
        <f t="shared" si="138"/>
        <v>#DIV/0!</v>
      </c>
    </row>
    <row r="1083" ht="11.4" hidden="1" customHeight="1" spans="1:24">
      <c r="A1083" s="184" t="s">
        <v>2894</v>
      </c>
      <c r="B1083" s="184" t="s">
        <v>111</v>
      </c>
      <c r="C1083" s="184" t="s">
        <v>1101</v>
      </c>
      <c r="D1083" s="185" t="s">
        <v>702</v>
      </c>
      <c r="E1083" s="186" t="s">
        <v>2895</v>
      </c>
      <c r="F1083" s="186" t="s">
        <v>2896</v>
      </c>
      <c r="G1083" s="186" t="s">
        <v>2896</v>
      </c>
      <c r="H1083" s="186" t="s">
        <v>2897</v>
      </c>
      <c r="I1083" s="187" t="s">
        <v>1163</v>
      </c>
      <c r="J1083" s="187" t="s">
        <v>1164</v>
      </c>
      <c r="K1083" s="188"/>
      <c r="L1083" s="188"/>
      <c r="M1083" s="189" t="s">
        <v>847</v>
      </c>
      <c r="N1083" s="190">
        <v>183.2</v>
      </c>
      <c r="O1083" s="190">
        <f t="shared" si="131"/>
        <v>199.69</v>
      </c>
      <c r="P1083" s="191">
        <f t="shared" si="132"/>
        <v>0</v>
      </c>
      <c r="Q1083" s="192">
        <f t="shared" si="133"/>
        <v>0</v>
      </c>
      <c r="R1083" s="193"/>
      <c r="S1083" s="194"/>
      <c r="T1083" s="195">
        <f t="shared" si="134"/>
        <v>0</v>
      </c>
      <c r="U1083" s="195">
        <f t="shared" si="135"/>
        <v>0</v>
      </c>
      <c r="V1083" s="195">
        <f t="shared" si="136"/>
        <v>0</v>
      </c>
      <c r="W1083" s="196" t="e">
        <f t="shared" si="137"/>
        <v>#DIV/0!</v>
      </c>
      <c r="X1083" s="197" t="e">
        <f t="shared" si="138"/>
        <v>#DIV/0!</v>
      </c>
    </row>
    <row r="1084" ht="11.4" hidden="1" customHeight="1" spans="1:24">
      <c r="A1084" s="184" t="s">
        <v>2894</v>
      </c>
      <c r="B1084" s="184" t="s">
        <v>111</v>
      </c>
      <c r="C1084" s="184" t="s">
        <v>1101</v>
      </c>
      <c r="D1084" s="185" t="s">
        <v>702</v>
      </c>
      <c r="E1084" s="186" t="s">
        <v>2895</v>
      </c>
      <c r="F1084" s="186" t="s">
        <v>2896</v>
      </c>
      <c r="G1084" s="186" t="s">
        <v>2896</v>
      </c>
      <c r="H1084" s="186" t="s">
        <v>2897</v>
      </c>
      <c r="I1084" s="187" t="s">
        <v>1708</v>
      </c>
      <c r="J1084" s="187" t="s">
        <v>1709</v>
      </c>
      <c r="K1084" s="188"/>
      <c r="L1084" s="188"/>
      <c r="M1084" s="189" t="s">
        <v>847</v>
      </c>
      <c r="N1084" s="190">
        <v>203.87</v>
      </c>
      <c r="O1084" s="190">
        <f t="shared" si="131"/>
        <v>222.22</v>
      </c>
      <c r="P1084" s="191">
        <f t="shared" si="132"/>
        <v>0</v>
      </c>
      <c r="Q1084" s="192">
        <f t="shared" si="133"/>
        <v>0</v>
      </c>
      <c r="R1084" s="193"/>
      <c r="S1084" s="194"/>
      <c r="T1084" s="195">
        <f t="shared" si="134"/>
        <v>0</v>
      </c>
      <c r="U1084" s="195">
        <f t="shared" si="135"/>
        <v>0</v>
      </c>
      <c r="V1084" s="195">
        <f t="shared" si="136"/>
        <v>0</v>
      </c>
      <c r="W1084" s="196" t="e">
        <f t="shared" si="137"/>
        <v>#DIV/0!</v>
      </c>
      <c r="X1084" s="197" t="e">
        <f t="shared" si="138"/>
        <v>#DIV/0!</v>
      </c>
    </row>
    <row r="1085" ht="11.4" hidden="1" customHeight="1" spans="1:24">
      <c r="A1085" s="184" t="s">
        <v>2894</v>
      </c>
      <c r="B1085" s="184" t="s">
        <v>111</v>
      </c>
      <c r="C1085" s="184" t="s">
        <v>1101</v>
      </c>
      <c r="D1085" s="185" t="s">
        <v>702</v>
      </c>
      <c r="E1085" s="186" t="s">
        <v>2895</v>
      </c>
      <c r="F1085" s="186" t="s">
        <v>2896</v>
      </c>
      <c r="G1085" s="186" t="s">
        <v>2896</v>
      </c>
      <c r="H1085" s="186" t="s">
        <v>2897</v>
      </c>
      <c r="I1085" s="187" t="s">
        <v>1710</v>
      </c>
      <c r="J1085" s="187" t="s">
        <v>1711</v>
      </c>
      <c r="K1085" s="188"/>
      <c r="L1085" s="188"/>
      <c r="M1085" s="189" t="s">
        <v>807</v>
      </c>
      <c r="N1085" s="190">
        <v>101.27</v>
      </c>
      <c r="O1085" s="190">
        <f t="shared" si="131"/>
        <v>110.38</v>
      </c>
      <c r="P1085" s="191">
        <f t="shared" si="132"/>
        <v>0</v>
      </c>
      <c r="Q1085" s="192">
        <f t="shared" si="133"/>
        <v>0</v>
      </c>
      <c r="R1085" s="193"/>
      <c r="S1085" s="194"/>
      <c r="T1085" s="195">
        <f t="shared" si="134"/>
        <v>0</v>
      </c>
      <c r="U1085" s="195">
        <f t="shared" si="135"/>
        <v>0</v>
      </c>
      <c r="V1085" s="195">
        <f t="shared" si="136"/>
        <v>0</v>
      </c>
      <c r="W1085" s="196" t="e">
        <f t="shared" si="137"/>
        <v>#DIV/0!</v>
      </c>
      <c r="X1085" s="197" t="e">
        <f t="shared" si="138"/>
        <v>#DIV/0!</v>
      </c>
    </row>
    <row r="1086" ht="11.4" hidden="1" customHeight="1" spans="1:24">
      <c r="A1086" s="184" t="s">
        <v>2894</v>
      </c>
      <c r="B1086" s="184" t="s">
        <v>111</v>
      </c>
      <c r="C1086" s="184" t="s">
        <v>1101</v>
      </c>
      <c r="D1086" s="185" t="s">
        <v>702</v>
      </c>
      <c r="E1086" s="186" t="s">
        <v>2895</v>
      </c>
      <c r="F1086" s="186" t="s">
        <v>2896</v>
      </c>
      <c r="G1086" s="186" t="s">
        <v>2896</v>
      </c>
      <c r="H1086" s="186" t="s">
        <v>2897</v>
      </c>
      <c r="I1086" s="187" t="s">
        <v>1712</v>
      </c>
      <c r="J1086" s="187" t="s">
        <v>1713</v>
      </c>
      <c r="K1086" s="188"/>
      <c r="L1086" s="188"/>
      <c r="M1086" s="189" t="s">
        <v>847</v>
      </c>
      <c r="N1086" s="190">
        <v>194.19</v>
      </c>
      <c r="O1086" s="190">
        <f t="shared" si="131"/>
        <v>211.67</v>
      </c>
      <c r="P1086" s="191">
        <f t="shared" si="132"/>
        <v>0</v>
      </c>
      <c r="Q1086" s="192">
        <f t="shared" si="133"/>
        <v>0</v>
      </c>
      <c r="R1086" s="193"/>
      <c r="S1086" s="194"/>
      <c r="T1086" s="195">
        <f t="shared" si="134"/>
        <v>0</v>
      </c>
      <c r="U1086" s="195">
        <f t="shared" si="135"/>
        <v>0</v>
      </c>
      <c r="V1086" s="195">
        <f t="shared" si="136"/>
        <v>0</v>
      </c>
      <c r="W1086" s="196" t="e">
        <f t="shared" si="137"/>
        <v>#DIV/0!</v>
      </c>
      <c r="X1086" s="197" t="e">
        <f t="shared" si="138"/>
        <v>#DIV/0!</v>
      </c>
    </row>
    <row r="1087" ht="11.4" hidden="1" customHeight="1" spans="1:24">
      <c r="A1087" s="184" t="s">
        <v>2894</v>
      </c>
      <c r="B1087" s="184" t="s">
        <v>111</v>
      </c>
      <c r="C1087" s="184" t="s">
        <v>1101</v>
      </c>
      <c r="D1087" s="185" t="s">
        <v>702</v>
      </c>
      <c r="E1087" s="186" t="s">
        <v>2895</v>
      </c>
      <c r="F1087" s="186" t="s">
        <v>2896</v>
      </c>
      <c r="G1087" s="186" t="s">
        <v>2896</v>
      </c>
      <c r="H1087" s="186" t="s">
        <v>2897</v>
      </c>
      <c r="I1087" s="187" t="s">
        <v>1714</v>
      </c>
      <c r="J1087" s="187" t="s">
        <v>1715</v>
      </c>
      <c r="K1087" s="188"/>
      <c r="L1087" s="188"/>
      <c r="M1087" s="189" t="s">
        <v>807</v>
      </c>
      <c r="N1087" s="190">
        <v>83.12</v>
      </c>
      <c r="O1087" s="190">
        <f t="shared" si="131"/>
        <v>90.6</v>
      </c>
      <c r="P1087" s="191">
        <f t="shared" si="132"/>
        <v>0</v>
      </c>
      <c r="Q1087" s="192">
        <f t="shared" si="133"/>
        <v>0</v>
      </c>
      <c r="R1087" s="193"/>
      <c r="S1087" s="194"/>
      <c r="T1087" s="195">
        <f t="shared" si="134"/>
        <v>0</v>
      </c>
      <c r="U1087" s="195">
        <f t="shared" si="135"/>
        <v>0</v>
      </c>
      <c r="V1087" s="195">
        <f t="shared" si="136"/>
        <v>0</v>
      </c>
      <c r="W1087" s="196" t="e">
        <f t="shared" si="137"/>
        <v>#DIV/0!</v>
      </c>
      <c r="X1087" s="197" t="e">
        <f t="shared" si="138"/>
        <v>#DIV/0!</v>
      </c>
    </row>
    <row r="1088" ht="11.4" hidden="1" customHeight="1" spans="1:24">
      <c r="A1088" s="184" t="s">
        <v>2894</v>
      </c>
      <c r="B1088" s="184" t="s">
        <v>111</v>
      </c>
      <c r="C1088" s="184" t="s">
        <v>1101</v>
      </c>
      <c r="D1088" s="185" t="s">
        <v>702</v>
      </c>
      <c r="E1088" s="186" t="s">
        <v>2895</v>
      </c>
      <c r="F1088" s="186" t="s">
        <v>2896</v>
      </c>
      <c r="G1088" s="186" t="s">
        <v>2896</v>
      </c>
      <c r="H1088" s="186" t="s">
        <v>2897</v>
      </c>
      <c r="I1088" s="187" t="s">
        <v>1716</v>
      </c>
      <c r="J1088" s="187" t="s">
        <v>1717</v>
      </c>
      <c r="K1088" s="188"/>
      <c r="L1088" s="188"/>
      <c r="M1088" s="189" t="s">
        <v>847</v>
      </c>
      <c r="N1088" s="190">
        <v>202.66</v>
      </c>
      <c r="O1088" s="190">
        <f t="shared" si="131"/>
        <v>220.9</v>
      </c>
      <c r="P1088" s="191">
        <f t="shared" si="132"/>
        <v>0</v>
      </c>
      <c r="Q1088" s="192">
        <f t="shared" si="133"/>
        <v>0</v>
      </c>
      <c r="R1088" s="193"/>
      <c r="S1088" s="194"/>
      <c r="T1088" s="195">
        <f t="shared" si="134"/>
        <v>0</v>
      </c>
      <c r="U1088" s="195">
        <f t="shared" si="135"/>
        <v>0</v>
      </c>
      <c r="V1088" s="195">
        <f t="shared" si="136"/>
        <v>0</v>
      </c>
      <c r="W1088" s="196" t="e">
        <f t="shared" si="137"/>
        <v>#DIV/0!</v>
      </c>
      <c r="X1088" s="197" t="e">
        <f t="shared" si="138"/>
        <v>#DIV/0!</v>
      </c>
    </row>
    <row r="1089" ht="11.4" hidden="1" customHeight="1" spans="1:24">
      <c r="A1089" s="184" t="s">
        <v>2894</v>
      </c>
      <c r="B1089" s="184" t="s">
        <v>111</v>
      </c>
      <c r="C1089" s="184" t="s">
        <v>1101</v>
      </c>
      <c r="D1089" s="185" t="s">
        <v>702</v>
      </c>
      <c r="E1089" s="186" t="s">
        <v>2895</v>
      </c>
      <c r="F1089" s="186" t="s">
        <v>2896</v>
      </c>
      <c r="G1089" s="186" t="s">
        <v>2896</v>
      </c>
      <c r="H1089" s="186" t="s">
        <v>2897</v>
      </c>
      <c r="I1089" s="187" t="s">
        <v>1718</v>
      </c>
      <c r="J1089" s="187" t="s">
        <v>1719</v>
      </c>
      <c r="K1089" s="188"/>
      <c r="L1089" s="188"/>
      <c r="M1089" s="189" t="s">
        <v>807</v>
      </c>
      <c r="N1089" s="190">
        <v>101.27</v>
      </c>
      <c r="O1089" s="190">
        <f t="shared" si="131"/>
        <v>110.38</v>
      </c>
      <c r="P1089" s="191">
        <f t="shared" si="132"/>
        <v>0</v>
      </c>
      <c r="Q1089" s="192">
        <f t="shared" si="133"/>
        <v>0</v>
      </c>
      <c r="R1089" s="193"/>
      <c r="S1089" s="194"/>
      <c r="T1089" s="195">
        <f t="shared" si="134"/>
        <v>0</v>
      </c>
      <c r="U1089" s="195">
        <f t="shared" si="135"/>
        <v>0</v>
      </c>
      <c r="V1089" s="195">
        <f t="shared" si="136"/>
        <v>0</v>
      </c>
      <c r="W1089" s="196" t="e">
        <f t="shared" si="137"/>
        <v>#DIV/0!</v>
      </c>
      <c r="X1089" s="197" t="e">
        <f t="shared" si="138"/>
        <v>#DIV/0!</v>
      </c>
    </row>
    <row r="1090" ht="11.4" hidden="1" customHeight="1" spans="1:24">
      <c r="A1090" s="184" t="s">
        <v>2899</v>
      </c>
      <c r="B1090" s="184" t="s">
        <v>113</v>
      </c>
      <c r="C1090" s="184" t="s">
        <v>1101</v>
      </c>
      <c r="D1090" s="185" t="s">
        <v>702</v>
      </c>
      <c r="E1090" s="186" t="s">
        <v>2895</v>
      </c>
      <c r="F1090" s="186" t="s">
        <v>2896</v>
      </c>
      <c r="G1090" s="186" t="s">
        <v>2896</v>
      </c>
      <c r="H1090" s="186" t="s">
        <v>2900</v>
      </c>
      <c r="I1090" s="187" t="s">
        <v>1314</v>
      </c>
      <c r="J1090" s="187" t="s">
        <v>1315</v>
      </c>
      <c r="K1090" s="188"/>
      <c r="L1090" s="188"/>
      <c r="M1090" s="189" t="s">
        <v>847</v>
      </c>
      <c r="N1090" s="190">
        <v>179.53</v>
      </c>
      <c r="O1090" s="190">
        <f t="shared" si="131"/>
        <v>195.69</v>
      </c>
      <c r="P1090" s="191">
        <f t="shared" si="132"/>
        <v>0</v>
      </c>
      <c r="Q1090" s="192">
        <f t="shared" si="133"/>
        <v>0</v>
      </c>
      <c r="R1090" s="193"/>
      <c r="S1090" s="194"/>
      <c r="T1090" s="195">
        <f t="shared" si="134"/>
        <v>0</v>
      </c>
      <c r="U1090" s="195">
        <f t="shared" si="135"/>
        <v>0</v>
      </c>
      <c r="V1090" s="195">
        <f t="shared" si="136"/>
        <v>0</v>
      </c>
      <c r="W1090" s="196" t="e">
        <f t="shared" si="137"/>
        <v>#DIV/0!</v>
      </c>
      <c r="X1090" s="197" t="e">
        <f t="shared" si="138"/>
        <v>#DIV/0!</v>
      </c>
    </row>
    <row r="1091" ht="11.4" hidden="1" customHeight="1" spans="1:24">
      <c r="A1091" s="184" t="s">
        <v>2899</v>
      </c>
      <c r="B1091" s="184" t="s">
        <v>113</v>
      </c>
      <c r="C1091" s="184" t="s">
        <v>1101</v>
      </c>
      <c r="D1091" s="185" t="s">
        <v>702</v>
      </c>
      <c r="E1091" s="186" t="s">
        <v>2895</v>
      </c>
      <c r="F1091" s="186" t="s">
        <v>2896</v>
      </c>
      <c r="G1091" s="186" t="s">
        <v>2896</v>
      </c>
      <c r="H1091" s="186" t="s">
        <v>2900</v>
      </c>
      <c r="I1091" s="187" t="s">
        <v>1316</v>
      </c>
      <c r="J1091" s="187" t="s">
        <v>1317</v>
      </c>
      <c r="K1091" s="188"/>
      <c r="L1091" s="188"/>
      <c r="M1091" s="189" t="s">
        <v>847</v>
      </c>
      <c r="N1091" s="190">
        <v>168.64</v>
      </c>
      <c r="O1091" s="190">
        <f t="shared" si="131"/>
        <v>183.82</v>
      </c>
      <c r="P1091" s="191">
        <f t="shared" si="132"/>
        <v>0</v>
      </c>
      <c r="Q1091" s="192">
        <f t="shared" si="133"/>
        <v>0</v>
      </c>
      <c r="R1091" s="193"/>
      <c r="S1091" s="194"/>
      <c r="T1091" s="195">
        <f t="shared" si="134"/>
        <v>0</v>
      </c>
      <c r="U1091" s="195">
        <f t="shared" si="135"/>
        <v>0</v>
      </c>
      <c r="V1091" s="195">
        <f t="shared" si="136"/>
        <v>0</v>
      </c>
      <c r="W1091" s="196" t="e">
        <f t="shared" si="137"/>
        <v>#DIV/0!</v>
      </c>
      <c r="X1091" s="197" t="e">
        <f t="shared" si="138"/>
        <v>#DIV/0!</v>
      </c>
    </row>
    <row r="1092" ht="11.4" hidden="1" customHeight="1" spans="1:24">
      <c r="A1092" s="184" t="s">
        <v>2899</v>
      </c>
      <c r="B1092" s="184" t="s">
        <v>113</v>
      </c>
      <c r="C1092" s="184" t="s">
        <v>1101</v>
      </c>
      <c r="D1092" s="185" t="s">
        <v>702</v>
      </c>
      <c r="E1092" s="186" t="s">
        <v>2895</v>
      </c>
      <c r="F1092" s="186" t="s">
        <v>2896</v>
      </c>
      <c r="G1092" s="186" t="s">
        <v>2896</v>
      </c>
      <c r="H1092" s="186" t="s">
        <v>2900</v>
      </c>
      <c r="I1092" s="187" t="s">
        <v>1318</v>
      </c>
      <c r="J1092" s="187" t="s">
        <v>1319</v>
      </c>
      <c r="K1092" s="188"/>
      <c r="L1092" s="188"/>
      <c r="M1092" s="189" t="s">
        <v>847</v>
      </c>
      <c r="N1092" s="190">
        <v>179.53</v>
      </c>
      <c r="O1092" s="190">
        <f t="shared" si="131"/>
        <v>195.69</v>
      </c>
      <c r="P1092" s="191">
        <f t="shared" si="132"/>
        <v>0</v>
      </c>
      <c r="Q1092" s="192">
        <f t="shared" si="133"/>
        <v>0</v>
      </c>
      <c r="R1092" s="193"/>
      <c r="S1092" s="194"/>
      <c r="T1092" s="195">
        <f t="shared" si="134"/>
        <v>0</v>
      </c>
      <c r="U1092" s="195">
        <f t="shared" si="135"/>
        <v>0</v>
      </c>
      <c r="V1092" s="195">
        <f t="shared" si="136"/>
        <v>0</v>
      </c>
      <c r="W1092" s="196" t="e">
        <f t="shared" si="137"/>
        <v>#DIV/0!</v>
      </c>
      <c r="X1092" s="197" t="e">
        <f t="shared" si="138"/>
        <v>#DIV/0!</v>
      </c>
    </row>
    <row r="1093" ht="11.4" hidden="1" customHeight="1" spans="1:24">
      <c r="A1093" s="184" t="s">
        <v>2899</v>
      </c>
      <c r="B1093" s="184" t="s">
        <v>113</v>
      </c>
      <c r="C1093" s="184" t="s">
        <v>1101</v>
      </c>
      <c r="D1093" s="185" t="s">
        <v>702</v>
      </c>
      <c r="E1093" s="186" t="s">
        <v>2895</v>
      </c>
      <c r="F1093" s="186" t="s">
        <v>2896</v>
      </c>
      <c r="G1093" s="186" t="s">
        <v>2896</v>
      </c>
      <c r="H1093" s="186" t="s">
        <v>2900</v>
      </c>
      <c r="I1093" s="187" t="s">
        <v>1320</v>
      </c>
      <c r="J1093" s="187" t="s">
        <v>1321</v>
      </c>
      <c r="K1093" s="188"/>
      <c r="L1093" s="188"/>
      <c r="M1093" s="189" t="s">
        <v>847</v>
      </c>
      <c r="N1093" s="190">
        <v>169.85</v>
      </c>
      <c r="O1093" s="190">
        <f t="shared" si="131"/>
        <v>185.14</v>
      </c>
      <c r="P1093" s="191">
        <f t="shared" si="132"/>
        <v>0</v>
      </c>
      <c r="Q1093" s="192">
        <f t="shared" si="133"/>
        <v>0</v>
      </c>
      <c r="R1093" s="193"/>
      <c r="S1093" s="194"/>
      <c r="T1093" s="195">
        <f t="shared" si="134"/>
        <v>0</v>
      </c>
      <c r="U1093" s="195">
        <f t="shared" si="135"/>
        <v>0</v>
      </c>
      <c r="V1093" s="195">
        <f t="shared" si="136"/>
        <v>0</v>
      </c>
      <c r="W1093" s="196" t="e">
        <f t="shared" si="137"/>
        <v>#DIV/0!</v>
      </c>
      <c r="X1093" s="197" t="e">
        <f t="shared" si="138"/>
        <v>#DIV/0!</v>
      </c>
    </row>
    <row r="1094" ht="11.4" hidden="1" customHeight="1" spans="1:24">
      <c r="A1094" s="184" t="s">
        <v>2899</v>
      </c>
      <c r="B1094" s="184" t="s">
        <v>113</v>
      </c>
      <c r="C1094" s="184" t="s">
        <v>1101</v>
      </c>
      <c r="D1094" s="185" t="s">
        <v>702</v>
      </c>
      <c r="E1094" s="186" t="s">
        <v>2895</v>
      </c>
      <c r="F1094" s="186" t="s">
        <v>2896</v>
      </c>
      <c r="G1094" s="186" t="s">
        <v>2896</v>
      </c>
      <c r="H1094" s="186" t="s">
        <v>2900</v>
      </c>
      <c r="I1094" s="187" t="s">
        <v>1322</v>
      </c>
      <c r="J1094" s="187" t="s">
        <v>1323</v>
      </c>
      <c r="K1094" s="188"/>
      <c r="L1094" s="188"/>
      <c r="M1094" s="189" t="s">
        <v>847</v>
      </c>
      <c r="N1094" s="190">
        <v>165.01</v>
      </c>
      <c r="O1094" s="190">
        <f t="shared" si="131"/>
        <v>179.86</v>
      </c>
      <c r="P1094" s="191">
        <f t="shared" si="132"/>
        <v>0</v>
      </c>
      <c r="Q1094" s="192">
        <f t="shared" si="133"/>
        <v>0</v>
      </c>
      <c r="R1094" s="193"/>
      <c r="S1094" s="194"/>
      <c r="T1094" s="195">
        <f t="shared" si="134"/>
        <v>0</v>
      </c>
      <c r="U1094" s="195">
        <f t="shared" si="135"/>
        <v>0</v>
      </c>
      <c r="V1094" s="195">
        <f t="shared" si="136"/>
        <v>0</v>
      </c>
      <c r="W1094" s="196" t="e">
        <f t="shared" si="137"/>
        <v>#DIV/0!</v>
      </c>
      <c r="X1094" s="197" t="e">
        <f t="shared" si="138"/>
        <v>#DIV/0!</v>
      </c>
    </row>
    <row r="1095" ht="11.4" hidden="1" customHeight="1" spans="1:24">
      <c r="A1095" s="184" t="s">
        <v>2899</v>
      </c>
      <c r="B1095" s="184" t="s">
        <v>113</v>
      </c>
      <c r="C1095" s="184" t="s">
        <v>1101</v>
      </c>
      <c r="D1095" s="185" t="s">
        <v>702</v>
      </c>
      <c r="E1095" s="186" t="s">
        <v>2895</v>
      </c>
      <c r="F1095" s="186" t="s">
        <v>2896</v>
      </c>
      <c r="G1095" s="186" t="s">
        <v>2896</v>
      </c>
      <c r="H1095" s="186" t="s">
        <v>2900</v>
      </c>
      <c r="I1095" s="187" t="s">
        <v>1324</v>
      </c>
      <c r="J1095" s="187" t="s">
        <v>1325</v>
      </c>
      <c r="K1095" s="221">
        <v>1.5</v>
      </c>
      <c r="L1095" s="188">
        <v>1.14</v>
      </c>
      <c r="M1095" s="189" t="s">
        <v>847</v>
      </c>
      <c r="N1095" s="190">
        <v>169.85</v>
      </c>
      <c r="O1095" s="190">
        <f t="shared" si="131"/>
        <v>185.14</v>
      </c>
      <c r="P1095" s="191">
        <f t="shared" si="132"/>
        <v>254.78</v>
      </c>
      <c r="Q1095" s="192">
        <f t="shared" si="133"/>
        <v>193.63</v>
      </c>
      <c r="R1095" s="193"/>
      <c r="S1095" s="194"/>
      <c r="T1095" s="195">
        <f t="shared" si="134"/>
        <v>0.36</v>
      </c>
      <c r="U1095" s="195">
        <f t="shared" si="135"/>
        <v>61.15</v>
      </c>
      <c r="V1095" s="195">
        <f t="shared" si="136"/>
        <v>61.15</v>
      </c>
      <c r="W1095" s="196">
        <f t="shared" si="137"/>
        <v>0.315789473684211</v>
      </c>
      <c r="X1095" s="197">
        <f t="shared" si="138"/>
        <v>0.315789473684211</v>
      </c>
    </row>
    <row r="1096" ht="11.4" hidden="1" customHeight="1" spans="1:24">
      <c r="A1096" s="184" t="s">
        <v>2901</v>
      </c>
      <c r="B1096" s="184" t="s">
        <v>115</v>
      </c>
      <c r="C1096" s="184" t="s">
        <v>1101</v>
      </c>
      <c r="D1096" s="185" t="s">
        <v>702</v>
      </c>
      <c r="E1096" s="186" t="s">
        <v>2895</v>
      </c>
      <c r="F1096" s="186" t="s">
        <v>2896</v>
      </c>
      <c r="G1096" s="186" t="s">
        <v>2896</v>
      </c>
      <c r="H1096" s="186" t="s">
        <v>2902</v>
      </c>
      <c r="I1096" s="187" t="s">
        <v>1381</v>
      </c>
      <c r="J1096" s="187" t="s">
        <v>1382</v>
      </c>
      <c r="K1096" s="188">
        <v>2.02</v>
      </c>
      <c r="L1096" s="188">
        <v>2.02</v>
      </c>
      <c r="M1096" s="189" t="s">
        <v>847</v>
      </c>
      <c r="N1096" s="190">
        <v>250.08</v>
      </c>
      <c r="O1096" s="190">
        <f t="shared" si="131"/>
        <v>272.59</v>
      </c>
      <c r="P1096" s="191">
        <f t="shared" si="132"/>
        <v>505.16</v>
      </c>
      <c r="Q1096" s="192">
        <f t="shared" si="133"/>
        <v>505.16</v>
      </c>
      <c r="R1096" s="193"/>
      <c r="S1096" s="194"/>
      <c r="T1096" s="195">
        <f t="shared" si="134"/>
        <v>0</v>
      </c>
      <c r="U1096" s="195">
        <f t="shared" si="135"/>
        <v>0</v>
      </c>
      <c r="V1096" s="195">
        <f t="shared" si="136"/>
        <v>0</v>
      </c>
      <c r="W1096" s="196">
        <f t="shared" si="137"/>
        <v>0</v>
      </c>
      <c r="X1096" s="197">
        <f t="shared" si="138"/>
        <v>0</v>
      </c>
    </row>
    <row r="1097" ht="11.4" hidden="1" customHeight="1" spans="1:24">
      <c r="A1097" s="184" t="s">
        <v>2901</v>
      </c>
      <c r="B1097" s="184" t="s">
        <v>115</v>
      </c>
      <c r="C1097" s="184" t="s">
        <v>1101</v>
      </c>
      <c r="D1097" s="185" t="s">
        <v>702</v>
      </c>
      <c r="E1097" s="186" t="s">
        <v>2895</v>
      </c>
      <c r="F1097" s="186" t="s">
        <v>2896</v>
      </c>
      <c r="G1097" s="186" t="s">
        <v>2896</v>
      </c>
      <c r="H1097" s="186" t="s">
        <v>2902</v>
      </c>
      <c r="I1097" s="187" t="s">
        <v>1384</v>
      </c>
      <c r="J1097" s="187" t="s">
        <v>1385</v>
      </c>
      <c r="K1097" s="188"/>
      <c r="L1097" s="188"/>
      <c r="M1097" s="189" t="s">
        <v>847</v>
      </c>
      <c r="N1097" s="190">
        <v>139.73</v>
      </c>
      <c r="O1097" s="190">
        <f t="shared" si="131"/>
        <v>152.31</v>
      </c>
      <c r="P1097" s="191">
        <f t="shared" si="132"/>
        <v>0</v>
      </c>
      <c r="Q1097" s="192">
        <f t="shared" si="133"/>
        <v>0</v>
      </c>
      <c r="R1097" s="193"/>
      <c r="S1097" s="194"/>
      <c r="T1097" s="195">
        <f t="shared" si="134"/>
        <v>0</v>
      </c>
      <c r="U1097" s="195">
        <f t="shared" si="135"/>
        <v>0</v>
      </c>
      <c r="V1097" s="195">
        <f t="shared" si="136"/>
        <v>0</v>
      </c>
      <c r="W1097" s="196" t="e">
        <f t="shared" si="137"/>
        <v>#DIV/0!</v>
      </c>
      <c r="X1097" s="197" t="e">
        <f t="shared" si="138"/>
        <v>#DIV/0!</v>
      </c>
    </row>
    <row r="1098" ht="11.4" hidden="1" customHeight="1" spans="1:24">
      <c r="A1098" s="184" t="s">
        <v>2901</v>
      </c>
      <c r="B1098" s="184" t="s">
        <v>115</v>
      </c>
      <c r="C1098" s="184" t="s">
        <v>1101</v>
      </c>
      <c r="D1098" s="185" t="s">
        <v>702</v>
      </c>
      <c r="E1098" s="186" t="s">
        <v>2895</v>
      </c>
      <c r="F1098" s="186" t="s">
        <v>2896</v>
      </c>
      <c r="G1098" s="186" t="s">
        <v>2896</v>
      </c>
      <c r="H1098" s="186" t="s">
        <v>2902</v>
      </c>
      <c r="I1098" s="187" t="s">
        <v>1336</v>
      </c>
      <c r="J1098" s="187" t="s">
        <v>1337</v>
      </c>
      <c r="K1098" s="188">
        <v>2.63</v>
      </c>
      <c r="L1098" s="188">
        <v>2.63</v>
      </c>
      <c r="M1098" s="189" t="s">
        <v>847</v>
      </c>
      <c r="N1098" s="190">
        <v>62.19</v>
      </c>
      <c r="O1098" s="190">
        <f t="shared" si="131"/>
        <v>67.79</v>
      </c>
      <c r="P1098" s="191">
        <f t="shared" si="132"/>
        <v>163.56</v>
      </c>
      <c r="Q1098" s="192">
        <f t="shared" si="133"/>
        <v>163.56</v>
      </c>
      <c r="R1098" s="193"/>
      <c r="S1098" s="194"/>
      <c r="T1098" s="195">
        <f t="shared" si="134"/>
        <v>0</v>
      </c>
      <c r="U1098" s="195">
        <f t="shared" si="135"/>
        <v>0</v>
      </c>
      <c r="V1098" s="195">
        <f t="shared" si="136"/>
        <v>0</v>
      </c>
      <c r="W1098" s="196">
        <f t="shared" si="137"/>
        <v>0</v>
      </c>
      <c r="X1098" s="197">
        <f t="shared" si="138"/>
        <v>0</v>
      </c>
    </row>
    <row r="1099" ht="11.4" hidden="1" customHeight="1" spans="1:24">
      <c r="A1099" s="184" t="s">
        <v>2903</v>
      </c>
      <c r="B1099" s="184" t="s">
        <v>119</v>
      </c>
      <c r="C1099" s="184" t="s">
        <v>1101</v>
      </c>
      <c r="D1099" s="185" t="s">
        <v>702</v>
      </c>
      <c r="E1099" s="186" t="s">
        <v>2895</v>
      </c>
      <c r="F1099" s="186" t="s">
        <v>2896</v>
      </c>
      <c r="G1099" s="186" t="s">
        <v>2896</v>
      </c>
      <c r="H1099" s="186" t="s">
        <v>2904</v>
      </c>
      <c r="I1099" s="187" t="s">
        <v>2905</v>
      </c>
      <c r="J1099" s="187" t="s">
        <v>2906</v>
      </c>
      <c r="K1099" s="188">
        <v>1</v>
      </c>
      <c r="L1099" s="188">
        <v>1</v>
      </c>
      <c r="M1099" s="189" t="s">
        <v>793</v>
      </c>
      <c r="N1099" s="190">
        <v>2739.8</v>
      </c>
      <c r="O1099" s="190">
        <f t="shared" si="131"/>
        <v>2986.38</v>
      </c>
      <c r="P1099" s="191">
        <f t="shared" si="132"/>
        <v>2739.8</v>
      </c>
      <c r="Q1099" s="192">
        <f t="shared" si="133"/>
        <v>2739.8</v>
      </c>
      <c r="R1099" s="193"/>
      <c r="S1099" s="194"/>
      <c r="T1099" s="195">
        <f t="shared" si="134"/>
        <v>0</v>
      </c>
      <c r="U1099" s="195">
        <f t="shared" si="135"/>
        <v>0</v>
      </c>
      <c r="V1099" s="195">
        <f t="shared" si="136"/>
        <v>0</v>
      </c>
      <c r="W1099" s="196">
        <f t="shared" si="137"/>
        <v>0</v>
      </c>
      <c r="X1099" s="197">
        <f t="shared" si="138"/>
        <v>0</v>
      </c>
    </row>
    <row r="1100" ht="11.4" hidden="1" customHeight="1" spans="1:24">
      <c r="A1100" s="184" t="s">
        <v>2907</v>
      </c>
      <c r="B1100" s="184" t="s">
        <v>127</v>
      </c>
      <c r="C1100" s="184" t="s">
        <v>1101</v>
      </c>
      <c r="D1100" s="185" t="s">
        <v>702</v>
      </c>
      <c r="E1100" s="186" t="s">
        <v>2895</v>
      </c>
      <c r="F1100" s="186" t="s">
        <v>2896</v>
      </c>
      <c r="G1100" s="186" t="s">
        <v>2896</v>
      </c>
      <c r="H1100" s="186" t="s">
        <v>2908</v>
      </c>
      <c r="I1100" s="187" t="s">
        <v>2909</v>
      </c>
      <c r="J1100" s="187" t="s">
        <v>2910</v>
      </c>
      <c r="K1100" s="188"/>
      <c r="L1100" s="188"/>
      <c r="M1100" s="189" t="s">
        <v>1500</v>
      </c>
      <c r="N1100" s="190">
        <v>747.45</v>
      </c>
      <c r="O1100" s="190">
        <f t="shared" si="131"/>
        <v>814.72</v>
      </c>
      <c r="P1100" s="191">
        <f t="shared" si="132"/>
        <v>0</v>
      </c>
      <c r="Q1100" s="192">
        <f t="shared" si="133"/>
        <v>0</v>
      </c>
      <c r="R1100" s="193"/>
      <c r="S1100" s="194"/>
      <c r="T1100" s="195">
        <f t="shared" si="134"/>
        <v>0</v>
      </c>
      <c r="U1100" s="195">
        <f t="shared" si="135"/>
        <v>0</v>
      </c>
      <c r="V1100" s="195">
        <f t="shared" si="136"/>
        <v>0</v>
      </c>
      <c r="W1100" s="196" t="e">
        <f t="shared" si="137"/>
        <v>#DIV/0!</v>
      </c>
      <c r="X1100" s="197" t="e">
        <f t="shared" si="138"/>
        <v>#DIV/0!</v>
      </c>
    </row>
    <row r="1101" ht="11.4" hidden="1" customHeight="1" spans="1:24">
      <c r="A1101" s="184" t="s">
        <v>2907</v>
      </c>
      <c r="B1101" s="184" t="s">
        <v>127</v>
      </c>
      <c r="C1101" s="184" t="s">
        <v>1101</v>
      </c>
      <c r="D1101" s="185" t="s">
        <v>702</v>
      </c>
      <c r="E1101" s="186" t="s">
        <v>2895</v>
      </c>
      <c r="F1101" s="186" t="s">
        <v>2896</v>
      </c>
      <c r="G1101" s="186" t="s">
        <v>2896</v>
      </c>
      <c r="H1101" s="186" t="s">
        <v>2911</v>
      </c>
      <c r="I1101" s="187" t="s">
        <v>2912</v>
      </c>
      <c r="J1101" s="187" t="s">
        <v>2913</v>
      </c>
      <c r="K1101" s="188"/>
      <c r="L1101" s="188"/>
      <c r="M1101" s="189" t="s">
        <v>807</v>
      </c>
      <c r="N1101" s="190">
        <v>75.86</v>
      </c>
      <c r="O1101" s="190">
        <f t="shared" ref="O1101:O1164" si="139">ROUND(N1101*(1+$F$10),2)</f>
        <v>82.69</v>
      </c>
      <c r="P1101" s="191">
        <f t="shared" ref="P1101:P1164" si="140">ROUND(K1101*N1101,2)</f>
        <v>0</v>
      </c>
      <c r="Q1101" s="192">
        <f t="shared" si="133"/>
        <v>0</v>
      </c>
      <c r="R1101" s="193"/>
      <c r="S1101" s="194"/>
      <c r="T1101" s="195">
        <f t="shared" si="134"/>
        <v>0</v>
      </c>
      <c r="U1101" s="195">
        <f t="shared" si="135"/>
        <v>0</v>
      </c>
      <c r="V1101" s="195">
        <f t="shared" si="136"/>
        <v>0</v>
      </c>
      <c r="W1101" s="196" t="e">
        <f t="shared" si="137"/>
        <v>#DIV/0!</v>
      </c>
      <c r="X1101" s="197" t="e">
        <f t="shared" si="138"/>
        <v>#DIV/0!</v>
      </c>
    </row>
    <row r="1102" ht="11.4" hidden="1" customHeight="1" spans="1:24">
      <c r="A1102" s="184" t="s">
        <v>2907</v>
      </c>
      <c r="B1102" s="184" t="s">
        <v>127</v>
      </c>
      <c r="C1102" s="184" t="s">
        <v>1101</v>
      </c>
      <c r="D1102" s="185" t="s">
        <v>702</v>
      </c>
      <c r="E1102" s="186" t="s">
        <v>2895</v>
      </c>
      <c r="F1102" s="186" t="s">
        <v>2896</v>
      </c>
      <c r="G1102" s="186" t="s">
        <v>2896</v>
      </c>
      <c r="H1102" s="186" t="s">
        <v>2911</v>
      </c>
      <c r="I1102" s="187" t="s">
        <v>2914</v>
      </c>
      <c r="J1102" s="187" t="s">
        <v>2915</v>
      </c>
      <c r="K1102" s="188"/>
      <c r="L1102" s="188"/>
      <c r="M1102" s="189" t="s">
        <v>807</v>
      </c>
      <c r="N1102" s="190">
        <v>112.38</v>
      </c>
      <c r="O1102" s="190">
        <f t="shared" si="139"/>
        <v>122.49</v>
      </c>
      <c r="P1102" s="191">
        <f t="shared" si="140"/>
        <v>0</v>
      </c>
      <c r="Q1102" s="192">
        <f t="shared" ref="Q1102:Q1165" si="141">ROUND(L1102*N1102,2)</f>
        <v>0</v>
      </c>
      <c r="R1102" s="193"/>
      <c r="S1102" s="194"/>
      <c r="T1102" s="195">
        <f t="shared" ref="T1102:T1165" si="142">K1102-L1102</f>
        <v>0</v>
      </c>
      <c r="U1102" s="195">
        <f t="shared" ref="U1102:U1165" si="143">P1102-Q1102</f>
        <v>0</v>
      </c>
      <c r="V1102" s="195">
        <f t="shared" ref="V1102:V1165" si="144">ABS(U1102)</f>
        <v>0</v>
      </c>
      <c r="W1102" s="196" t="e">
        <f t="shared" ref="W1102:W1165" si="145">T1102/L1102</f>
        <v>#DIV/0!</v>
      </c>
      <c r="X1102" s="197" t="e">
        <f t="shared" ref="X1102:X1165" si="146">ABS(W1102)</f>
        <v>#DIV/0!</v>
      </c>
    </row>
    <row r="1103" ht="11.4" hidden="1" customHeight="1" spans="1:24">
      <c r="A1103" s="184" t="s">
        <v>2916</v>
      </c>
      <c r="B1103" s="184" t="s">
        <v>139</v>
      </c>
      <c r="C1103" s="184" t="s">
        <v>1880</v>
      </c>
      <c r="D1103" s="185" t="s">
        <v>702</v>
      </c>
      <c r="E1103" s="186" t="s">
        <v>2895</v>
      </c>
      <c r="F1103" s="186" t="s">
        <v>2896</v>
      </c>
      <c r="G1103" s="186" t="s">
        <v>2896</v>
      </c>
      <c r="H1103" s="186" t="s">
        <v>2917</v>
      </c>
      <c r="I1103" s="187" t="s">
        <v>2918</v>
      </c>
      <c r="J1103" s="187" t="s">
        <v>2919</v>
      </c>
      <c r="K1103" s="188"/>
      <c r="L1103" s="188"/>
      <c r="M1103" s="189" t="s">
        <v>2308</v>
      </c>
      <c r="N1103" s="190">
        <v>3163.71</v>
      </c>
      <c r="O1103" s="190">
        <f t="shared" si="139"/>
        <v>3448.44</v>
      </c>
      <c r="P1103" s="191">
        <f t="shared" si="140"/>
        <v>0</v>
      </c>
      <c r="Q1103" s="192">
        <f t="shared" si="141"/>
        <v>0</v>
      </c>
      <c r="R1103" s="193"/>
      <c r="S1103" s="194"/>
      <c r="T1103" s="195">
        <f t="shared" si="142"/>
        <v>0</v>
      </c>
      <c r="U1103" s="195">
        <f t="shared" si="143"/>
        <v>0</v>
      </c>
      <c r="V1103" s="195">
        <f t="shared" si="144"/>
        <v>0</v>
      </c>
      <c r="W1103" s="196" t="e">
        <f t="shared" si="145"/>
        <v>#DIV/0!</v>
      </c>
      <c r="X1103" s="197" t="e">
        <f t="shared" si="146"/>
        <v>#DIV/0!</v>
      </c>
    </row>
    <row r="1104" ht="11.4" hidden="1" customHeight="1" spans="1:24">
      <c r="A1104" s="184" t="s">
        <v>2916</v>
      </c>
      <c r="B1104" s="184" t="s">
        <v>139</v>
      </c>
      <c r="C1104" s="184" t="s">
        <v>1880</v>
      </c>
      <c r="D1104" s="185" t="s">
        <v>702</v>
      </c>
      <c r="E1104" s="186" t="s">
        <v>2895</v>
      </c>
      <c r="F1104" s="186" t="s">
        <v>2896</v>
      </c>
      <c r="G1104" s="186" t="s">
        <v>2896</v>
      </c>
      <c r="H1104" s="186" t="s">
        <v>2917</v>
      </c>
      <c r="I1104" s="187" t="s">
        <v>1892</v>
      </c>
      <c r="J1104" s="187" t="s">
        <v>1893</v>
      </c>
      <c r="K1104" s="221">
        <v>4</v>
      </c>
      <c r="L1104" s="188">
        <v>3</v>
      </c>
      <c r="M1104" s="189" t="s">
        <v>1778</v>
      </c>
      <c r="N1104" s="190">
        <v>486.16</v>
      </c>
      <c r="O1104" s="190">
        <f t="shared" si="139"/>
        <v>529.91</v>
      </c>
      <c r="P1104" s="191">
        <f t="shared" si="140"/>
        <v>1944.64</v>
      </c>
      <c r="Q1104" s="192">
        <f t="shared" si="141"/>
        <v>1458.48</v>
      </c>
      <c r="R1104" s="193"/>
      <c r="S1104" s="194"/>
      <c r="T1104" s="195">
        <f t="shared" si="142"/>
        <v>1</v>
      </c>
      <c r="U1104" s="195">
        <f t="shared" si="143"/>
        <v>486.16</v>
      </c>
      <c r="V1104" s="195">
        <f t="shared" si="144"/>
        <v>486.16</v>
      </c>
      <c r="W1104" s="196">
        <f t="shared" si="145"/>
        <v>0.333333333333333</v>
      </c>
      <c r="X1104" s="197">
        <f t="shared" si="146"/>
        <v>0.333333333333333</v>
      </c>
    </row>
    <row r="1105" ht="11.4" hidden="1" customHeight="1" spans="1:24">
      <c r="A1105" s="184" t="s">
        <v>2916</v>
      </c>
      <c r="B1105" s="184" t="s">
        <v>139</v>
      </c>
      <c r="C1105" s="184" t="s">
        <v>1880</v>
      </c>
      <c r="D1105" s="185" t="s">
        <v>702</v>
      </c>
      <c r="E1105" s="186" t="s">
        <v>2895</v>
      </c>
      <c r="F1105" s="186" t="s">
        <v>2896</v>
      </c>
      <c r="G1105" s="186" t="s">
        <v>2896</v>
      </c>
      <c r="H1105" s="186" t="s">
        <v>2917</v>
      </c>
      <c r="I1105" s="187" t="s">
        <v>1895</v>
      </c>
      <c r="J1105" s="187" t="s">
        <v>1896</v>
      </c>
      <c r="K1105" s="188">
        <v>6</v>
      </c>
      <c r="L1105" s="188">
        <v>6</v>
      </c>
      <c r="M1105" s="189" t="s">
        <v>1018</v>
      </c>
      <c r="N1105" s="190">
        <v>105.21</v>
      </c>
      <c r="O1105" s="190">
        <f t="shared" si="139"/>
        <v>114.68</v>
      </c>
      <c r="P1105" s="191">
        <f t="shared" si="140"/>
        <v>631.26</v>
      </c>
      <c r="Q1105" s="192">
        <f t="shared" si="141"/>
        <v>631.26</v>
      </c>
      <c r="R1105" s="193"/>
      <c r="S1105" s="194"/>
      <c r="T1105" s="195">
        <f t="shared" si="142"/>
        <v>0</v>
      </c>
      <c r="U1105" s="195">
        <f t="shared" si="143"/>
        <v>0</v>
      </c>
      <c r="V1105" s="195">
        <f t="shared" si="144"/>
        <v>0</v>
      </c>
      <c r="W1105" s="196">
        <f t="shared" si="145"/>
        <v>0</v>
      </c>
      <c r="X1105" s="197">
        <f t="shared" si="146"/>
        <v>0</v>
      </c>
    </row>
    <row r="1106" ht="11.4" hidden="1" customHeight="1" spans="1:24">
      <c r="A1106" s="184" t="s">
        <v>2916</v>
      </c>
      <c r="B1106" s="184" t="s">
        <v>139</v>
      </c>
      <c r="C1106" s="184" t="s">
        <v>1880</v>
      </c>
      <c r="D1106" s="185" t="s">
        <v>702</v>
      </c>
      <c r="E1106" s="186" t="s">
        <v>2895</v>
      </c>
      <c r="F1106" s="186" t="s">
        <v>2896</v>
      </c>
      <c r="G1106" s="186" t="s">
        <v>2896</v>
      </c>
      <c r="H1106" s="186" t="s">
        <v>2917</v>
      </c>
      <c r="I1106" s="187" t="s">
        <v>1897</v>
      </c>
      <c r="J1106" s="187" t="s">
        <v>1898</v>
      </c>
      <c r="K1106" s="188"/>
      <c r="L1106" s="188"/>
      <c r="M1106" s="189" t="s">
        <v>1778</v>
      </c>
      <c r="N1106" s="190">
        <v>511.41</v>
      </c>
      <c r="O1106" s="190">
        <f t="shared" si="139"/>
        <v>557.44</v>
      </c>
      <c r="P1106" s="191">
        <f t="shared" si="140"/>
        <v>0</v>
      </c>
      <c r="Q1106" s="192">
        <f t="shared" si="141"/>
        <v>0</v>
      </c>
      <c r="R1106" s="193"/>
      <c r="S1106" s="194"/>
      <c r="T1106" s="195">
        <f t="shared" si="142"/>
        <v>0</v>
      </c>
      <c r="U1106" s="195">
        <f t="shared" si="143"/>
        <v>0</v>
      </c>
      <c r="V1106" s="195">
        <f t="shared" si="144"/>
        <v>0</v>
      </c>
      <c r="W1106" s="196" t="e">
        <f t="shared" si="145"/>
        <v>#DIV/0!</v>
      </c>
      <c r="X1106" s="197" t="e">
        <f t="shared" si="146"/>
        <v>#DIV/0!</v>
      </c>
    </row>
    <row r="1107" ht="11.4" hidden="1" customHeight="1" spans="1:24">
      <c r="A1107" s="184" t="s">
        <v>2916</v>
      </c>
      <c r="B1107" s="184" t="s">
        <v>139</v>
      </c>
      <c r="C1107" s="184" t="s">
        <v>1880</v>
      </c>
      <c r="D1107" s="185" t="s">
        <v>702</v>
      </c>
      <c r="E1107" s="186" t="s">
        <v>2895</v>
      </c>
      <c r="F1107" s="186" t="s">
        <v>2896</v>
      </c>
      <c r="G1107" s="186" t="s">
        <v>2896</v>
      </c>
      <c r="H1107" s="186" t="s">
        <v>2917</v>
      </c>
      <c r="I1107" s="187" t="s">
        <v>1899</v>
      </c>
      <c r="J1107" s="187" t="s">
        <v>1900</v>
      </c>
      <c r="K1107" s="188"/>
      <c r="L1107" s="188"/>
      <c r="M1107" s="189" t="s">
        <v>1018</v>
      </c>
      <c r="N1107" s="190">
        <v>105.85</v>
      </c>
      <c r="O1107" s="190">
        <f t="shared" si="139"/>
        <v>115.38</v>
      </c>
      <c r="P1107" s="191">
        <f t="shared" si="140"/>
        <v>0</v>
      </c>
      <c r="Q1107" s="192">
        <f t="shared" si="141"/>
        <v>0</v>
      </c>
      <c r="R1107" s="193"/>
      <c r="S1107" s="194"/>
      <c r="T1107" s="195">
        <f t="shared" si="142"/>
        <v>0</v>
      </c>
      <c r="U1107" s="195">
        <f t="shared" si="143"/>
        <v>0</v>
      </c>
      <c r="V1107" s="195">
        <f t="shared" si="144"/>
        <v>0</v>
      </c>
      <c r="W1107" s="196" t="e">
        <f t="shared" si="145"/>
        <v>#DIV/0!</v>
      </c>
      <c r="X1107" s="197" t="e">
        <f t="shared" si="146"/>
        <v>#DIV/0!</v>
      </c>
    </row>
    <row r="1108" ht="11.4" hidden="1" customHeight="1" spans="1:24">
      <c r="A1108" s="184" t="s">
        <v>2916</v>
      </c>
      <c r="B1108" s="184" t="s">
        <v>139</v>
      </c>
      <c r="C1108" s="184" t="s">
        <v>1880</v>
      </c>
      <c r="D1108" s="185" t="s">
        <v>702</v>
      </c>
      <c r="E1108" s="186" t="s">
        <v>2895</v>
      </c>
      <c r="F1108" s="186" t="s">
        <v>2896</v>
      </c>
      <c r="G1108" s="186" t="s">
        <v>2896</v>
      </c>
      <c r="H1108" s="186" t="s">
        <v>2917</v>
      </c>
      <c r="I1108" s="187" t="s">
        <v>1940</v>
      </c>
      <c r="J1108" s="187" t="s">
        <v>1941</v>
      </c>
      <c r="K1108" s="188">
        <v>1</v>
      </c>
      <c r="L1108" s="188">
        <v>1</v>
      </c>
      <c r="M1108" s="189" t="s">
        <v>989</v>
      </c>
      <c r="N1108" s="190">
        <v>1330.45</v>
      </c>
      <c r="O1108" s="190">
        <f t="shared" si="139"/>
        <v>1450.19</v>
      </c>
      <c r="P1108" s="191">
        <f t="shared" si="140"/>
        <v>1330.45</v>
      </c>
      <c r="Q1108" s="192">
        <f t="shared" si="141"/>
        <v>1330.45</v>
      </c>
      <c r="R1108" s="193"/>
      <c r="S1108" s="194"/>
      <c r="T1108" s="195">
        <f t="shared" si="142"/>
        <v>0</v>
      </c>
      <c r="U1108" s="195">
        <f t="shared" si="143"/>
        <v>0</v>
      </c>
      <c r="V1108" s="195">
        <f t="shared" si="144"/>
        <v>0</v>
      </c>
      <c r="W1108" s="196">
        <f t="shared" si="145"/>
        <v>0</v>
      </c>
      <c r="X1108" s="197">
        <f t="shared" si="146"/>
        <v>0</v>
      </c>
    </row>
    <row r="1109" ht="11.4" hidden="1" customHeight="1" spans="1:24">
      <c r="A1109" s="184" t="s">
        <v>2916</v>
      </c>
      <c r="B1109" s="184" t="s">
        <v>139</v>
      </c>
      <c r="C1109" s="184" t="s">
        <v>1880</v>
      </c>
      <c r="D1109" s="185" t="s">
        <v>702</v>
      </c>
      <c r="E1109" s="186" t="s">
        <v>2895</v>
      </c>
      <c r="F1109" s="186" t="s">
        <v>2896</v>
      </c>
      <c r="G1109" s="186" t="s">
        <v>2896</v>
      </c>
      <c r="H1109" s="186" t="s">
        <v>2917</v>
      </c>
      <c r="I1109" s="187" t="s">
        <v>2920</v>
      </c>
      <c r="J1109" s="187" t="s">
        <v>2921</v>
      </c>
      <c r="K1109" s="188"/>
      <c r="L1109" s="188"/>
      <c r="M1109" s="189" t="s">
        <v>807</v>
      </c>
      <c r="N1109" s="190">
        <v>38.5</v>
      </c>
      <c r="O1109" s="190">
        <f t="shared" si="139"/>
        <v>41.97</v>
      </c>
      <c r="P1109" s="191">
        <f t="shared" si="140"/>
        <v>0</v>
      </c>
      <c r="Q1109" s="192">
        <f t="shared" si="141"/>
        <v>0</v>
      </c>
      <c r="R1109" s="193"/>
      <c r="S1109" s="194"/>
      <c r="T1109" s="195">
        <f t="shared" si="142"/>
        <v>0</v>
      </c>
      <c r="U1109" s="195">
        <f t="shared" si="143"/>
        <v>0</v>
      </c>
      <c r="V1109" s="195">
        <f t="shared" si="144"/>
        <v>0</v>
      </c>
      <c r="W1109" s="196" t="e">
        <f t="shared" si="145"/>
        <v>#DIV/0!</v>
      </c>
      <c r="X1109" s="197" t="e">
        <f t="shared" si="146"/>
        <v>#DIV/0!</v>
      </c>
    </row>
    <row r="1110" ht="11.4" hidden="1" customHeight="1" spans="1:24">
      <c r="A1110" s="184" t="s">
        <v>2916</v>
      </c>
      <c r="B1110" s="184" t="s">
        <v>139</v>
      </c>
      <c r="C1110" s="184" t="s">
        <v>1880</v>
      </c>
      <c r="D1110" s="185" t="s">
        <v>702</v>
      </c>
      <c r="E1110" s="186" t="s">
        <v>2895</v>
      </c>
      <c r="F1110" s="186" t="s">
        <v>2896</v>
      </c>
      <c r="G1110" s="186" t="s">
        <v>2896</v>
      </c>
      <c r="H1110" s="186" t="s">
        <v>2917</v>
      </c>
      <c r="I1110" s="187" t="s">
        <v>2922</v>
      </c>
      <c r="J1110" s="187" t="s">
        <v>2923</v>
      </c>
      <c r="K1110" s="188"/>
      <c r="L1110" s="188"/>
      <c r="M1110" s="189" t="s">
        <v>793</v>
      </c>
      <c r="N1110" s="190">
        <v>1637.1</v>
      </c>
      <c r="O1110" s="190">
        <f t="shared" si="139"/>
        <v>1784.44</v>
      </c>
      <c r="P1110" s="191">
        <f t="shared" si="140"/>
        <v>0</v>
      </c>
      <c r="Q1110" s="192">
        <f t="shared" si="141"/>
        <v>0</v>
      </c>
      <c r="R1110" s="193"/>
      <c r="S1110" s="194"/>
      <c r="T1110" s="195">
        <f t="shared" si="142"/>
        <v>0</v>
      </c>
      <c r="U1110" s="195">
        <f t="shared" si="143"/>
        <v>0</v>
      </c>
      <c r="V1110" s="195">
        <f t="shared" si="144"/>
        <v>0</v>
      </c>
      <c r="W1110" s="196" t="e">
        <f t="shared" si="145"/>
        <v>#DIV/0!</v>
      </c>
      <c r="X1110" s="197" t="e">
        <f t="shared" si="146"/>
        <v>#DIV/0!</v>
      </c>
    </row>
    <row r="1111" ht="11.4" hidden="1" customHeight="1" spans="1:24">
      <c r="A1111" s="184" t="s">
        <v>2916</v>
      </c>
      <c r="B1111" s="184" t="s">
        <v>139</v>
      </c>
      <c r="C1111" s="184" t="s">
        <v>1880</v>
      </c>
      <c r="D1111" s="185" t="s">
        <v>702</v>
      </c>
      <c r="E1111" s="186" t="s">
        <v>2895</v>
      </c>
      <c r="F1111" s="186" t="s">
        <v>2896</v>
      </c>
      <c r="G1111" s="186" t="s">
        <v>2896</v>
      </c>
      <c r="H1111" s="186" t="s">
        <v>2917</v>
      </c>
      <c r="I1111" s="187" t="s">
        <v>2924</v>
      </c>
      <c r="J1111" s="187" t="s">
        <v>2925</v>
      </c>
      <c r="K1111" s="188">
        <v>1</v>
      </c>
      <c r="L1111" s="188">
        <v>1</v>
      </c>
      <c r="M1111" s="189" t="s">
        <v>793</v>
      </c>
      <c r="N1111" s="190">
        <v>666.36</v>
      </c>
      <c r="O1111" s="190">
        <f t="shared" si="139"/>
        <v>726.33</v>
      </c>
      <c r="P1111" s="191">
        <f t="shared" si="140"/>
        <v>666.36</v>
      </c>
      <c r="Q1111" s="192">
        <f t="shared" si="141"/>
        <v>666.36</v>
      </c>
      <c r="R1111" s="193"/>
      <c r="S1111" s="194"/>
      <c r="T1111" s="195">
        <f t="shared" si="142"/>
        <v>0</v>
      </c>
      <c r="U1111" s="195">
        <f t="shared" si="143"/>
        <v>0</v>
      </c>
      <c r="V1111" s="195">
        <f t="shared" si="144"/>
        <v>0</v>
      </c>
      <c r="W1111" s="196">
        <f t="shared" si="145"/>
        <v>0</v>
      </c>
      <c r="X1111" s="197">
        <f t="shared" si="146"/>
        <v>0</v>
      </c>
    </row>
    <row r="1112" ht="11.4" hidden="1" customHeight="1" spans="1:24">
      <c r="A1112" s="184" t="s">
        <v>2916</v>
      </c>
      <c r="B1112" s="184" t="s">
        <v>139</v>
      </c>
      <c r="C1112" s="184" t="s">
        <v>1880</v>
      </c>
      <c r="D1112" s="185" t="s">
        <v>702</v>
      </c>
      <c r="E1112" s="186" t="s">
        <v>2895</v>
      </c>
      <c r="F1112" s="186" t="s">
        <v>2896</v>
      </c>
      <c r="G1112" s="186" t="s">
        <v>2896</v>
      </c>
      <c r="H1112" s="186" t="s">
        <v>2917</v>
      </c>
      <c r="I1112" s="187" t="s">
        <v>2926</v>
      </c>
      <c r="J1112" s="187" t="s">
        <v>2927</v>
      </c>
      <c r="K1112" s="188"/>
      <c r="L1112" s="188"/>
      <c r="M1112" s="189" t="s">
        <v>793</v>
      </c>
      <c r="N1112" s="190">
        <v>2615.56</v>
      </c>
      <c r="O1112" s="190">
        <f t="shared" si="139"/>
        <v>2850.96</v>
      </c>
      <c r="P1112" s="191">
        <f t="shared" si="140"/>
        <v>0</v>
      </c>
      <c r="Q1112" s="192">
        <f t="shared" si="141"/>
        <v>0</v>
      </c>
      <c r="R1112" s="193"/>
      <c r="S1112" s="194"/>
      <c r="T1112" s="195">
        <f t="shared" si="142"/>
        <v>0</v>
      </c>
      <c r="U1112" s="195">
        <f t="shared" si="143"/>
        <v>0</v>
      </c>
      <c r="V1112" s="195">
        <f t="shared" si="144"/>
        <v>0</v>
      </c>
      <c r="W1112" s="196" t="e">
        <f t="shared" si="145"/>
        <v>#DIV/0!</v>
      </c>
      <c r="X1112" s="197" t="e">
        <f t="shared" si="146"/>
        <v>#DIV/0!</v>
      </c>
    </row>
    <row r="1113" ht="11.4" hidden="1" customHeight="1" spans="1:24">
      <c r="A1113" s="184" t="s">
        <v>2916</v>
      </c>
      <c r="B1113" s="184" t="s">
        <v>139</v>
      </c>
      <c r="C1113" s="184" t="s">
        <v>1880</v>
      </c>
      <c r="D1113" s="185" t="s">
        <v>702</v>
      </c>
      <c r="E1113" s="186" t="s">
        <v>2895</v>
      </c>
      <c r="F1113" s="186" t="s">
        <v>2896</v>
      </c>
      <c r="G1113" s="186" t="s">
        <v>2896</v>
      </c>
      <c r="H1113" s="186" t="s">
        <v>2917</v>
      </c>
      <c r="I1113" s="187" t="s">
        <v>2928</v>
      </c>
      <c r="J1113" s="187" t="s">
        <v>2929</v>
      </c>
      <c r="K1113" s="188"/>
      <c r="L1113" s="188"/>
      <c r="M1113" s="189" t="s">
        <v>793</v>
      </c>
      <c r="N1113" s="190">
        <v>261.79</v>
      </c>
      <c r="O1113" s="190">
        <f t="shared" si="139"/>
        <v>285.35</v>
      </c>
      <c r="P1113" s="191">
        <f t="shared" si="140"/>
        <v>0</v>
      </c>
      <c r="Q1113" s="192">
        <f t="shared" si="141"/>
        <v>0</v>
      </c>
      <c r="R1113" s="193"/>
      <c r="S1113" s="194"/>
      <c r="T1113" s="195">
        <f t="shared" si="142"/>
        <v>0</v>
      </c>
      <c r="U1113" s="195">
        <f t="shared" si="143"/>
        <v>0</v>
      </c>
      <c r="V1113" s="195">
        <f t="shared" si="144"/>
        <v>0</v>
      </c>
      <c r="W1113" s="196" t="e">
        <f t="shared" si="145"/>
        <v>#DIV/0!</v>
      </c>
      <c r="X1113" s="197" t="e">
        <f t="shared" si="146"/>
        <v>#DIV/0!</v>
      </c>
    </row>
    <row r="1114" ht="11.4" hidden="1" customHeight="1" spans="1:24">
      <c r="A1114" s="184" t="s">
        <v>2916</v>
      </c>
      <c r="B1114" s="184" t="s">
        <v>139</v>
      </c>
      <c r="C1114" s="184" t="s">
        <v>1880</v>
      </c>
      <c r="D1114" s="185" t="s">
        <v>702</v>
      </c>
      <c r="E1114" s="186" t="s">
        <v>2895</v>
      </c>
      <c r="F1114" s="186" t="s">
        <v>2896</v>
      </c>
      <c r="G1114" s="186" t="s">
        <v>2896</v>
      </c>
      <c r="H1114" s="186" t="s">
        <v>2917</v>
      </c>
      <c r="I1114" s="187" t="s">
        <v>2930</v>
      </c>
      <c r="J1114" s="187" t="s">
        <v>2931</v>
      </c>
      <c r="K1114" s="188"/>
      <c r="L1114" s="188"/>
      <c r="M1114" s="189" t="s">
        <v>1018</v>
      </c>
      <c r="N1114" s="190">
        <v>857.45</v>
      </c>
      <c r="O1114" s="190">
        <f t="shared" si="139"/>
        <v>934.62</v>
      </c>
      <c r="P1114" s="191">
        <f t="shared" si="140"/>
        <v>0</v>
      </c>
      <c r="Q1114" s="192">
        <f t="shared" si="141"/>
        <v>0</v>
      </c>
      <c r="R1114" s="193"/>
      <c r="S1114" s="194"/>
      <c r="T1114" s="195">
        <f t="shared" si="142"/>
        <v>0</v>
      </c>
      <c r="U1114" s="195">
        <f t="shared" si="143"/>
        <v>0</v>
      </c>
      <c r="V1114" s="195">
        <f t="shared" si="144"/>
        <v>0</v>
      </c>
      <c r="W1114" s="196" t="e">
        <f t="shared" si="145"/>
        <v>#DIV/0!</v>
      </c>
      <c r="X1114" s="197" t="e">
        <f t="shared" si="146"/>
        <v>#DIV/0!</v>
      </c>
    </row>
    <row r="1115" ht="11.4" hidden="1" customHeight="1" spans="1:24">
      <c r="A1115" s="184" t="s">
        <v>2932</v>
      </c>
      <c r="B1115" s="184" t="s">
        <v>188</v>
      </c>
      <c r="C1115" s="184" t="s">
        <v>2644</v>
      </c>
      <c r="D1115" s="185" t="s">
        <v>702</v>
      </c>
      <c r="E1115" s="186" t="s">
        <v>2933</v>
      </c>
      <c r="F1115" s="186" t="s">
        <v>2934</v>
      </c>
      <c r="G1115" s="186" t="s">
        <v>2934</v>
      </c>
      <c r="H1115" s="186" t="s">
        <v>2935</v>
      </c>
      <c r="I1115" s="187" t="s">
        <v>2936</v>
      </c>
      <c r="J1115" s="187" t="s">
        <v>2935</v>
      </c>
      <c r="K1115" s="188"/>
      <c r="L1115" s="188"/>
      <c r="M1115" s="189" t="s">
        <v>793</v>
      </c>
      <c r="N1115" s="190">
        <v>153.45</v>
      </c>
      <c r="O1115" s="190">
        <f t="shared" si="139"/>
        <v>167.26</v>
      </c>
      <c r="P1115" s="191">
        <f t="shared" si="140"/>
        <v>0</v>
      </c>
      <c r="Q1115" s="192">
        <f t="shared" si="141"/>
        <v>0</v>
      </c>
      <c r="R1115" s="193"/>
      <c r="S1115" s="194"/>
      <c r="T1115" s="195">
        <f t="shared" si="142"/>
        <v>0</v>
      </c>
      <c r="U1115" s="195">
        <f t="shared" si="143"/>
        <v>0</v>
      </c>
      <c r="V1115" s="195">
        <f t="shared" si="144"/>
        <v>0</v>
      </c>
      <c r="W1115" s="196" t="e">
        <f t="shared" si="145"/>
        <v>#DIV/0!</v>
      </c>
      <c r="X1115" s="197" t="e">
        <f t="shared" si="146"/>
        <v>#DIV/0!</v>
      </c>
    </row>
    <row r="1116" ht="11.4" hidden="1" customHeight="1" spans="1:24">
      <c r="A1116" s="184" t="s">
        <v>2932</v>
      </c>
      <c r="B1116" s="184" t="s">
        <v>188</v>
      </c>
      <c r="C1116" s="184" t="s">
        <v>2644</v>
      </c>
      <c r="D1116" s="185" t="s">
        <v>702</v>
      </c>
      <c r="E1116" s="186" t="s">
        <v>2933</v>
      </c>
      <c r="F1116" s="186" t="s">
        <v>2934</v>
      </c>
      <c r="G1116" s="186" t="s">
        <v>2934</v>
      </c>
      <c r="H1116" s="186" t="s">
        <v>2937</v>
      </c>
      <c r="I1116" s="187" t="s">
        <v>2938</v>
      </c>
      <c r="J1116" s="187" t="s">
        <v>2937</v>
      </c>
      <c r="K1116" s="188"/>
      <c r="L1116" s="188"/>
      <c r="M1116" s="189" t="s">
        <v>793</v>
      </c>
      <c r="N1116" s="190">
        <v>188.65</v>
      </c>
      <c r="O1116" s="190">
        <f t="shared" si="139"/>
        <v>205.63</v>
      </c>
      <c r="P1116" s="191">
        <f t="shared" si="140"/>
        <v>0</v>
      </c>
      <c r="Q1116" s="192">
        <f t="shared" si="141"/>
        <v>0</v>
      </c>
      <c r="R1116" s="193"/>
      <c r="S1116" s="194"/>
      <c r="T1116" s="195">
        <f t="shared" si="142"/>
        <v>0</v>
      </c>
      <c r="U1116" s="195">
        <f t="shared" si="143"/>
        <v>0</v>
      </c>
      <c r="V1116" s="195">
        <f t="shared" si="144"/>
        <v>0</v>
      </c>
      <c r="W1116" s="196" t="e">
        <f t="shared" si="145"/>
        <v>#DIV/0!</v>
      </c>
      <c r="X1116" s="197" t="e">
        <f t="shared" si="146"/>
        <v>#DIV/0!</v>
      </c>
    </row>
    <row r="1117" ht="11.4" hidden="1" customHeight="1" spans="1:24">
      <c r="A1117" s="184" t="s">
        <v>2932</v>
      </c>
      <c r="B1117" s="184" t="s">
        <v>188</v>
      </c>
      <c r="C1117" s="184" t="s">
        <v>2644</v>
      </c>
      <c r="D1117" s="185" t="s">
        <v>702</v>
      </c>
      <c r="E1117" s="186" t="s">
        <v>2933</v>
      </c>
      <c r="F1117" s="186" t="s">
        <v>2934</v>
      </c>
      <c r="G1117" s="186" t="s">
        <v>2934</v>
      </c>
      <c r="H1117" s="186" t="s">
        <v>2939</v>
      </c>
      <c r="I1117" s="187" t="s">
        <v>2940</v>
      </c>
      <c r="J1117" s="187" t="s">
        <v>2939</v>
      </c>
      <c r="K1117" s="188">
        <v>1</v>
      </c>
      <c r="L1117" s="188">
        <v>1</v>
      </c>
      <c r="M1117" s="189" t="s">
        <v>793</v>
      </c>
      <c r="N1117" s="190">
        <v>450.45</v>
      </c>
      <c r="O1117" s="190">
        <f t="shared" si="139"/>
        <v>490.99</v>
      </c>
      <c r="P1117" s="191">
        <f t="shared" si="140"/>
        <v>450.45</v>
      </c>
      <c r="Q1117" s="192">
        <f t="shared" si="141"/>
        <v>450.45</v>
      </c>
      <c r="R1117" s="193"/>
      <c r="S1117" s="194"/>
      <c r="T1117" s="195">
        <f t="shared" si="142"/>
        <v>0</v>
      </c>
      <c r="U1117" s="195">
        <f t="shared" si="143"/>
        <v>0</v>
      </c>
      <c r="V1117" s="195">
        <f t="shared" si="144"/>
        <v>0</v>
      </c>
      <c r="W1117" s="196">
        <f t="shared" si="145"/>
        <v>0</v>
      </c>
      <c r="X1117" s="197">
        <f t="shared" si="146"/>
        <v>0</v>
      </c>
    </row>
    <row r="1118" ht="11.4" hidden="1" customHeight="1" spans="1:24">
      <c r="A1118" s="184" t="s">
        <v>2941</v>
      </c>
      <c r="B1118" s="184" t="s">
        <v>119</v>
      </c>
      <c r="C1118" s="184" t="s">
        <v>1101</v>
      </c>
      <c r="D1118" s="185" t="s">
        <v>705</v>
      </c>
      <c r="E1118" s="186" t="s">
        <v>2942</v>
      </c>
      <c r="F1118" s="186" t="s">
        <v>2943</v>
      </c>
      <c r="G1118" s="186" t="s">
        <v>2943</v>
      </c>
      <c r="H1118" s="186" t="s">
        <v>2944</v>
      </c>
      <c r="I1118" s="187" t="s">
        <v>2945</v>
      </c>
      <c r="J1118" s="187" t="s">
        <v>2946</v>
      </c>
      <c r="K1118" s="188"/>
      <c r="L1118" s="188"/>
      <c r="M1118" s="189" t="s">
        <v>793</v>
      </c>
      <c r="N1118" s="190">
        <v>31781.08</v>
      </c>
      <c r="O1118" s="190">
        <f t="shared" si="139"/>
        <v>34641.38</v>
      </c>
      <c r="P1118" s="191">
        <f t="shared" si="140"/>
        <v>0</v>
      </c>
      <c r="Q1118" s="192">
        <f t="shared" si="141"/>
        <v>0</v>
      </c>
      <c r="R1118" s="193"/>
      <c r="S1118" s="194"/>
      <c r="T1118" s="195">
        <f t="shared" si="142"/>
        <v>0</v>
      </c>
      <c r="U1118" s="195">
        <f t="shared" si="143"/>
        <v>0</v>
      </c>
      <c r="V1118" s="195">
        <f t="shared" si="144"/>
        <v>0</v>
      </c>
      <c r="W1118" s="196" t="e">
        <f t="shared" si="145"/>
        <v>#DIV/0!</v>
      </c>
      <c r="X1118" s="197" t="e">
        <f t="shared" si="146"/>
        <v>#DIV/0!</v>
      </c>
    </row>
    <row r="1119" ht="11.4" hidden="1" customHeight="1" spans="1:24">
      <c r="A1119" s="184" t="s">
        <v>2941</v>
      </c>
      <c r="B1119" s="184" t="s">
        <v>119</v>
      </c>
      <c r="C1119" s="184" t="s">
        <v>1101</v>
      </c>
      <c r="D1119" s="185" t="s">
        <v>705</v>
      </c>
      <c r="E1119" s="186" t="s">
        <v>2942</v>
      </c>
      <c r="F1119" s="186" t="s">
        <v>2943</v>
      </c>
      <c r="G1119" s="186" t="s">
        <v>2943</v>
      </c>
      <c r="H1119" s="186" t="s">
        <v>2944</v>
      </c>
      <c r="I1119" s="187" t="s">
        <v>2947</v>
      </c>
      <c r="J1119" s="187" t="s">
        <v>2948</v>
      </c>
      <c r="K1119" s="188"/>
      <c r="L1119" s="188"/>
      <c r="M1119" s="189" t="s">
        <v>793</v>
      </c>
      <c r="N1119" s="190">
        <v>2941.44</v>
      </c>
      <c r="O1119" s="190">
        <f t="shared" si="139"/>
        <v>3206.17</v>
      </c>
      <c r="P1119" s="191">
        <f t="shared" si="140"/>
        <v>0</v>
      </c>
      <c r="Q1119" s="192">
        <f t="shared" si="141"/>
        <v>0</v>
      </c>
      <c r="R1119" s="193"/>
      <c r="S1119" s="194"/>
      <c r="T1119" s="195">
        <f t="shared" si="142"/>
        <v>0</v>
      </c>
      <c r="U1119" s="195">
        <f t="shared" si="143"/>
        <v>0</v>
      </c>
      <c r="V1119" s="195">
        <f t="shared" si="144"/>
        <v>0</v>
      </c>
      <c r="W1119" s="196" t="e">
        <f t="shared" si="145"/>
        <v>#DIV/0!</v>
      </c>
      <c r="X1119" s="197" t="e">
        <f t="shared" si="146"/>
        <v>#DIV/0!</v>
      </c>
    </row>
    <row r="1120" ht="11.4" hidden="1" customHeight="1" spans="1:24">
      <c r="A1120" s="184" t="s">
        <v>2949</v>
      </c>
      <c r="B1120" s="184" t="s">
        <v>127</v>
      </c>
      <c r="C1120" s="184" t="s">
        <v>1101</v>
      </c>
      <c r="D1120" s="185" t="s">
        <v>705</v>
      </c>
      <c r="E1120" s="186" t="s">
        <v>2942</v>
      </c>
      <c r="F1120" s="186" t="s">
        <v>2943</v>
      </c>
      <c r="G1120" s="186" t="s">
        <v>2943</v>
      </c>
      <c r="H1120" s="186" t="s">
        <v>2950</v>
      </c>
      <c r="I1120" s="187" t="s">
        <v>2909</v>
      </c>
      <c r="J1120" s="187" t="s">
        <v>2910</v>
      </c>
      <c r="K1120" s="188"/>
      <c r="L1120" s="188"/>
      <c r="M1120" s="189" t="s">
        <v>1500</v>
      </c>
      <c r="N1120" s="190">
        <v>747.45</v>
      </c>
      <c r="O1120" s="190">
        <f t="shared" si="139"/>
        <v>814.72</v>
      </c>
      <c r="P1120" s="191">
        <f t="shared" si="140"/>
        <v>0</v>
      </c>
      <c r="Q1120" s="192">
        <f t="shared" si="141"/>
        <v>0</v>
      </c>
      <c r="R1120" s="193"/>
      <c r="S1120" s="194"/>
      <c r="T1120" s="195">
        <f t="shared" si="142"/>
        <v>0</v>
      </c>
      <c r="U1120" s="195">
        <f t="shared" si="143"/>
        <v>0</v>
      </c>
      <c r="V1120" s="195">
        <f t="shared" si="144"/>
        <v>0</v>
      </c>
      <c r="W1120" s="196" t="e">
        <f t="shared" si="145"/>
        <v>#DIV/0!</v>
      </c>
      <c r="X1120" s="197" t="e">
        <f t="shared" si="146"/>
        <v>#DIV/0!</v>
      </c>
    </row>
    <row r="1121" ht="11.4" hidden="1" customHeight="1" spans="1:24">
      <c r="A1121" s="184" t="s">
        <v>2951</v>
      </c>
      <c r="B1121" s="184" t="s">
        <v>139</v>
      </c>
      <c r="C1121" s="184" t="s">
        <v>1880</v>
      </c>
      <c r="D1121" s="185" t="s">
        <v>705</v>
      </c>
      <c r="E1121" s="186" t="s">
        <v>2942</v>
      </c>
      <c r="F1121" s="186" t="s">
        <v>2943</v>
      </c>
      <c r="G1121" s="186" t="s">
        <v>2943</v>
      </c>
      <c r="H1121" s="186" t="s">
        <v>2952</v>
      </c>
      <c r="I1121" s="187" t="s">
        <v>2953</v>
      </c>
      <c r="J1121" s="187" t="s">
        <v>2954</v>
      </c>
      <c r="K1121" s="188"/>
      <c r="L1121" s="188"/>
      <c r="M1121" s="189" t="s">
        <v>807</v>
      </c>
      <c r="N1121" s="190">
        <v>45.05</v>
      </c>
      <c r="O1121" s="190">
        <f t="shared" si="139"/>
        <v>49.1</v>
      </c>
      <c r="P1121" s="191">
        <f t="shared" si="140"/>
        <v>0</v>
      </c>
      <c r="Q1121" s="192">
        <f t="shared" si="141"/>
        <v>0</v>
      </c>
      <c r="R1121" s="193"/>
      <c r="S1121" s="194"/>
      <c r="T1121" s="195">
        <f t="shared" si="142"/>
        <v>0</v>
      </c>
      <c r="U1121" s="195">
        <f t="shared" si="143"/>
        <v>0</v>
      </c>
      <c r="V1121" s="195">
        <f t="shared" si="144"/>
        <v>0</v>
      </c>
      <c r="W1121" s="196" t="e">
        <f t="shared" si="145"/>
        <v>#DIV/0!</v>
      </c>
      <c r="X1121" s="197" t="e">
        <f t="shared" si="146"/>
        <v>#DIV/0!</v>
      </c>
    </row>
    <row r="1122" ht="11.4" hidden="1" customHeight="1" spans="1:24">
      <c r="A1122" s="184" t="s">
        <v>2951</v>
      </c>
      <c r="B1122" s="184" t="s">
        <v>139</v>
      </c>
      <c r="C1122" s="184" t="s">
        <v>1880</v>
      </c>
      <c r="D1122" s="185" t="s">
        <v>705</v>
      </c>
      <c r="E1122" s="186" t="s">
        <v>2942</v>
      </c>
      <c r="F1122" s="186" t="s">
        <v>2943</v>
      </c>
      <c r="G1122" s="186" t="s">
        <v>2943</v>
      </c>
      <c r="H1122" s="186" t="s">
        <v>2952</v>
      </c>
      <c r="I1122" s="187" t="s">
        <v>2922</v>
      </c>
      <c r="J1122" s="187" t="s">
        <v>2923</v>
      </c>
      <c r="K1122" s="188"/>
      <c r="L1122" s="188"/>
      <c r="M1122" s="189" t="s">
        <v>793</v>
      </c>
      <c r="N1122" s="190">
        <v>1637.1</v>
      </c>
      <c r="O1122" s="190">
        <f t="shared" si="139"/>
        <v>1784.44</v>
      </c>
      <c r="P1122" s="191">
        <f t="shared" si="140"/>
        <v>0</v>
      </c>
      <c r="Q1122" s="192">
        <f t="shared" si="141"/>
        <v>0</v>
      </c>
      <c r="R1122" s="193"/>
      <c r="S1122" s="194"/>
      <c r="T1122" s="195">
        <f t="shared" si="142"/>
        <v>0</v>
      </c>
      <c r="U1122" s="195">
        <f t="shared" si="143"/>
        <v>0</v>
      </c>
      <c r="V1122" s="195">
        <f t="shared" si="144"/>
        <v>0</v>
      </c>
      <c r="W1122" s="196" t="e">
        <f t="shared" si="145"/>
        <v>#DIV/0!</v>
      </c>
      <c r="X1122" s="197" t="e">
        <f t="shared" si="146"/>
        <v>#DIV/0!</v>
      </c>
    </row>
    <row r="1123" ht="11.4" hidden="1" customHeight="1" spans="1:24">
      <c r="A1123" s="184" t="s">
        <v>2951</v>
      </c>
      <c r="B1123" s="184" t="s">
        <v>139</v>
      </c>
      <c r="C1123" s="184" t="s">
        <v>1880</v>
      </c>
      <c r="D1123" s="185" t="s">
        <v>705</v>
      </c>
      <c r="E1123" s="186" t="s">
        <v>2942</v>
      </c>
      <c r="F1123" s="186" t="s">
        <v>2943</v>
      </c>
      <c r="G1123" s="186" t="s">
        <v>2943</v>
      </c>
      <c r="H1123" s="186" t="s">
        <v>2952</v>
      </c>
      <c r="I1123" s="187" t="s">
        <v>2924</v>
      </c>
      <c r="J1123" s="187" t="s">
        <v>2925</v>
      </c>
      <c r="K1123" s="188"/>
      <c r="L1123" s="188"/>
      <c r="M1123" s="189" t="s">
        <v>793</v>
      </c>
      <c r="N1123" s="190">
        <v>666.36</v>
      </c>
      <c r="O1123" s="190">
        <f t="shared" si="139"/>
        <v>726.33</v>
      </c>
      <c r="P1123" s="191">
        <f t="shared" si="140"/>
        <v>0</v>
      </c>
      <c r="Q1123" s="192">
        <f t="shared" si="141"/>
        <v>0</v>
      </c>
      <c r="R1123" s="193"/>
      <c r="S1123" s="194"/>
      <c r="T1123" s="195">
        <f t="shared" si="142"/>
        <v>0</v>
      </c>
      <c r="U1123" s="195">
        <f t="shared" si="143"/>
        <v>0</v>
      </c>
      <c r="V1123" s="195">
        <f t="shared" si="144"/>
        <v>0</v>
      </c>
      <c r="W1123" s="196" t="e">
        <f t="shared" si="145"/>
        <v>#DIV/0!</v>
      </c>
      <c r="X1123" s="197" t="e">
        <f t="shared" si="146"/>
        <v>#DIV/0!</v>
      </c>
    </row>
    <row r="1124" ht="11.4" hidden="1" customHeight="1" spans="1:24">
      <c r="A1124" s="184" t="s">
        <v>2951</v>
      </c>
      <c r="B1124" s="184" t="s">
        <v>139</v>
      </c>
      <c r="C1124" s="184" t="s">
        <v>1880</v>
      </c>
      <c r="D1124" s="185" t="s">
        <v>705</v>
      </c>
      <c r="E1124" s="186" t="s">
        <v>2942</v>
      </c>
      <c r="F1124" s="186" t="s">
        <v>2943</v>
      </c>
      <c r="G1124" s="186" t="s">
        <v>2943</v>
      </c>
      <c r="H1124" s="186" t="s">
        <v>2952</v>
      </c>
      <c r="I1124" s="187" t="s">
        <v>2926</v>
      </c>
      <c r="J1124" s="187" t="s">
        <v>2927</v>
      </c>
      <c r="K1124" s="188"/>
      <c r="L1124" s="188"/>
      <c r="M1124" s="189" t="s">
        <v>793</v>
      </c>
      <c r="N1124" s="190">
        <v>2615.56</v>
      </c>
      <c r="O1124" s="190">
        <f t="shared" si="139"/>
        <v>2850.96</v>
      </c>
      <c r="P1124" s="191">
        <f t="shared" si="140"/>
        <v>0</v>
      </c>
      <c r="Q1124" s="192">
        <f t="shared" si="141"/>
        <v>0</v>
      </c>
      <c r="R1124" s="193"/>
      <c r="S1124" s="194"/>
      <c r="T1124" s="195">
        <f t="shared" si="142"/>
        <v>0</v>
      </c>
      <c r="U1124" s="195">
        <f t="shared" si="143"/>
        <v>0</v>
      </c>
      <c r="V1124" s="195">
        <f t="shared" si="144"/>
        <v>0</v>
      </c>
      <c r="W1124" s="196" t="e">
        <f t="shared" si="145"/>
        <v>#DIV/0!</v>
      </c>
      <c r="X1124" s="197" t="e">
        <f t="shared" si="146"/>
        <v>#DIV/0!</v>
      </c>
    </row>
    <row r="1125" ht="11.4" hidden="1" customHeight="1" spans="1:24">
      <c r="A1125" s="184" t="s">
        <v>2955</v>
      </c>
      <c r="B1125" s="184" t="s">
        <v>111</v>
      </c>
      <c r="C1125" s="184" t="s">
        <v>1101</v>
      </c>
      <c r="D1125" s="185" t="s">
        <v>701</v>
      </c>
      <c r="E1125" s="186" t="s">
        <v>2956</v>
      </c>
      <c r="F1125" s="186" t="s">
        <v>2957</v>
      </c>
      <c r="G1125" s="186" t="s">
        <v>2957</v>
      </c>
      <c r="H1125" s="186" t="s">
        <v>2958</v>
      </c>
      <c r="I1125" s="187" t="s">
        <v>1104</v>
      </c>
      <c r="J1125" s="187" t="s">
        <v>1105</v>
      </c>
      <c r="K1125" s="188"/>
      <c r="L1125" s="188"/>
      <c r="M1125" s="189" t="s">
        <v>847</v>
      </c>
      <c r="N1125" s="190">
        <v>180.78</v>
      </c>
      <c r="O1125" s="190">
        <f t="shared" si="139"/>
        <v>197.05</v>
      </c>
      <c r="P1125" s="191">
        <f t="shared" si="140"/>
        <v>0</v>
      </c>
      <c r="Q1125" s="192">
        <f t="shared" si="141"/>
        <v>0</v>
      </c>
      <c r="R1125" s="193"/>
      <c r="S1125" s="194"/>
      <c r="T1125" s="195">
        <f t="shared" si="142"/>
        <v>0</v>
      </c>
      <c r="U1125" s="195">
        <f t="shared" si="143"/>
        <v>0</v>
      </c>
      <c r="V1125" s="195">
        <f t="shared" si="144"/>
        <v>0</v>
      </c>
      <c r="W1125" s="196" t="e">
        <f t="shared" si="145"/>
        <v>#DIV/0!</v>
      </c>
      <c r="X1125" s="197" t="e">
        <f t="shared" si="146"/>
        <v>#DIV/0!</v>
      </c>
    </row>
    <row r="1126" ht="11.4" hidden="1" customHeight="1" spans="1:24">
      <c r="A1126" s="184" t="s">
        <v>2955</v>
      </c>
      <c r="B1126" s="184" t="s">
        <v>111</v>
      </c>
      <c r="C1126" s="184" t="s">
        <v>1101</v>
      </c>
      <c r="D1126" s="185" t="s">
        <v>701</v>
      </c>
      <c r="E1126" s="186" t="s">
        <v>2956</v>
      </c>
      <c r="F1126" s="186" t="s">
        <v>2957</v>
      </c>
      <c r="G1126" s="186" t="s">
        <v>2957</v>
      </c>
      <c r="H1126" s="186" t="s">
        <v>2958</v>
      </c>
      <c r="I1126" s="187" t="s">
        <v>1106</v>
      </c>
      <c r="J1126" s="187" t="s">
        <v>1107</v>
      </c>
      <c r="K1126" s="188"/>
      <c r="L1126" s="188"/>
      <c r="M1126" s="189" t="s">
        <v>807</v>
      </c>
      <c r="N1126" s="190">
        <v>41.36</v>
      </c>
      <c r="O1126" s="190">
        <f t="shared" si="139"/>
        <v>45.08</v>
      </c>
      <c r="P1126" s="191">
        <f t="shared" si="140"/>
        <v>0</v>
      </c>
      <c r="Q1126" s="192">
        <f t="shared" si="141"/>
        <v>0</v>
      </c>
      <c r="R1126" s="193"/>
      <c r="S1126" s="194"/>
      <c r="T1126" s="195">
        <f t="shared" si="142"/>
        <v>0</v>
      </c>
      <c r="U1126" s="195">
        <f t="shared" si="143"/>
        <v>0</v>
      </c>
      <c r="V1126" s="195">
        <f t="shared" si="144"/>
        <v>0</v>
      </c>
      <c r="W1126" s="196" t="e">
        <f t="shared" si="145"/>
        <v>#DIV/0!</v>
      </c>
      <c r="X1126" s="197" t="e">
        <f t="shared" si="146"/>
        <v>#DIV/0!</v>
      </c>
    </row>
    <row r="1127" ht="11.4" hidden="1" customHeight="1" spans="1:24">
      <c r="A1127" s="184" t="s">
        <v>2955</v>
      </c>
      <c r="B1127" s="184" t="s">
        <v>111</v>
      </c>
      <c r="C1127" s="184" t="s">
        <v>1101</v>
      </c>
      <c r="D1127" s="185" t="s">
        <v>701</v>
      </c>
      <c r="E1127" s="186" t="s">
        <v>2956</v>
      </c>
      <c r="F1127" s="186" t="s">
        <v>2957</v>
      </c>
      <c r="G1127" s="186" t="s">
        <v>2957</v>
      </c>
      <c r="H1127" s="186" t="s">
        <v>2958</v>
      </c>
      <c r="I1127" s="187" t="s">
        <v>1109</v>
      </c>
      <c r="J1127" s="187" t="s">
        <v>1110</v>
      </c>
      <c r="K1127" s="188"/>
      <c r="L1127" s="188"/>
      <c r="M1127" s="189" t="s">
        <v>847</v>
      </c>
      <c r="N1127" s="190">
        <v>160.21</v>
      </c>
      <c r="O1127" s="190">
        <f t="shared" si="139"/>
        <v>174.63</v>
      </c>
      <c r="P1127" s="191">
        <f t="shared" si="140"/>
        <v>0</v>
      </c>
      <c r="Q1127" s="192">
        <f t="shared" si="141"/>
        <v>0</v>
      </c>
      <c r="R1127" s="193"/>
      <c r="S1127" s="194"/>
      <c r="T1127" s="195">
        <f t="shared" si="142"/>
        <v>0</v>
      </c>
      <c r="U1127" s="195">
        <f t="shared" si="143"/>
        <v>0</v>
      </c>
      <c r="V1127" s="195">
        <f t="shared" si="144"/>
        <v>0</v>
      </c>
      <c r="W1127" s="196" t="e">
        <f t="shared" si="145"/>
        <v>#DIV/0!</v>
      </c>
      <c r="X1127" s="197" t="e">
        <f t="shared" si="146"/>
        <v>#DIV/0!</v>
      </c>
    </row>
    <row r="1128" ht="11.4" hidden="1" customHeight="1" spans="1:24">
      <c r="A1128" s="184" t="s">
        <v>2955</v>
      </c>
      <c r="B1128" s="184" t="s">
        <v>111</v>
      </c>
      <c r="C1128" s="184" t="s">
        <v>1101</v>
      </c>
      <c r="D1128" s="185" t="s">
        <v>701</v>
      </c>
      <c r="E1128" s="186" t="s">
        <v>2956</v>
      </c>
      <c r="F1128" s="186" t="s">
        <v>2957</v>
      </c>
      <c r="G1128" s="186" t="s">
        <v>2957</v>
      </c>
      <c r="H1128" s="186" t="s">
        <v>2958</v>
      </c>
      <c r="I1128" s="187" t="s">
        <v>1111</v>
      </c>
      <c r="J1128" s="187" t="s">
        <v>1112</v>
      </c>
      <c r="K1128" s="188"/>
      <c r="L1128" s="188"/>
      <c r="M1128" s="189" t="s">
        <v>807</v>
      </c>
      <c r="N1128" s="190">
        <v>38.94</v>
      </c>
      <c r="O1128" s="190">
        <f t="shared" si="139"/>
        <v>42.44</v>
      </c>
      <c r="P1128" s="191">
        <f t="shared" si="140"/>
        <v>0</v>
      </c>
      <c r="Q1128" s="192">
        <f t="shared" si="141"/>
        <v>0</v>
      </c>
      <c r="R1128" s="193"/>
      <c r="S1128" s="194"/>
      <c r="T1128" s="195">
        <f t="shared" si="142"/>
        <v>0</v>
      </c>
      <c r="U1128" s="195">
        <f t="shared" si="143"/>
        <v>0</v>
      </c>
      <c r="V1128" s="195">
        <f t="shared" si="144"/>
        <v>0</v>
      </c>
      <c r="W1128" s="196" t="e">
        <f t="shared" si="145"/>
        <v>#DIV/0!</v>
      </c>
      <c r="X1128" s="197" t="e">
        <f t="shared" si="146"/>
        <v>#DIV/0!</v>
      </c>
    </row>
    <row r="1129" ht="11.4" hidden="1" customHeight="1" spans="1:24">
      <c r="A1129" s="184" t="s">
        <v>2955</v>
      </c>
      <c r="B1129" s="184" t="s">
        <v>111</v>
      </c>
      <c r="C1129" s="184" t="s">
        <v>1101</v>
      </c>
      <c r="D1129" s="185" t="s">
        <v>701</v>
      </c>
      <c r="E1129" s="186" t="s">
        <v>2956</v>
      </c>
      <c r="F1129" s="186" t="s">
        <v>2957</v>
      </c>
      <c r="G1129" s="186" t="s">
        <v>2957</v>
      </c>
      <c r="H1129" s="186" t="s">
        <v>2958</v>
      </c>
      <c r="I1129" s="187" t="s">
        <v>1113</v>
      </c>
      <c r="J1129" s="187" t="s">
        <v>1114</v>
      </c>
      <c r="K1129" s="188"/>
      <c r="L1129" s="188"/>
      <c r="M1129" s="189" t="s">
        <v>847</v>
      </c>
      <c r="N1129" s="190">
        <v>181.99</v>
      </c>
      <c r="O1129" s="190">
        <f t="shared" si="139"/>
        <v>198.37</v>
      </c>
      <c r="P1129" s="191">
        <f t="shared" si="140"/>
        <v>0</v>
      </c>
      <c r="Q1129" s="192">
        <f t="shared" si="141"/>
        <v>0</v>
      </c>
      <c r="R1129" s="193"/>
      <c r="S1129" s="194"/>
      <c r="T1129" s="195">
        <f t="shared" si="142"/>
        <v>0</v>
      </c>
      <c r="U1129" s="195">
        <f t="shared" si="143"/>
        <v>0</v>
      </c>
      <c r="V1129" s="195">
        <f t="shared" si="144"/>
        <v>0</v>
      </c>
      <c r="W1129" s="196" t="e">
        <f t="shared" si="145"/>
        <v>#DIV/0!</v>
      </c>
      <c r="X1129" s="197" t="e">
        <f t="shared" si="146"/>
        <v>#DIV/0!</v>
      </c>
    </row>
    <row r="1130" ht="11.4" hidden="1" customHeight="1" spans="1:24">
      <c r="A1130" s="184" t="s">
        <v>2955</v>
      </c>
      <c r="B1130" s="184" t="s">
        <v>111</v>
      </c>
      <c r="C1130" s="184" t="s">
        <v>1101</v>
      </c>
      <c r="D1130" s="185" t="s">
        <v>701</v>
      </c>
      <c r="E1130" s="186" t="s">
        <v>2956</v>
      </c>
      <c r="F1130" s="186" t="s">
        <v>2957</v>
      </c>
      <c r="G1130" s="186" t="s">
        <v>2957</v>
      </c>
      <c r="H1130" s="186" t="s">
        <v>2958</v>
      </c>
      <c r="I1130" s="187" t="s">
        <v>1115</v>
      </c>
      <c r="J1130" s="187" t="s">
        <v>1116</v>
      </c>
      <c r="K1130" s="188"/>
      <c r="L1130" s="188"/>
      <c r="M1130" s="189" t="s">
        <v>807</v>
      </c>
      <c r="N1130" s="190">
        <v>42.57</v>
      </c>
      <c r="O1130" s="190">
        <f t="shared" si="139"/>
        <v>46.4</v>
      </c>
      <c r="P1130" s="191">
        <f t="shared" si="140"/>
        <v>0</v>
      </c>
      <c r="Q1130" s="192">
        <f t="shared" si="141"/>
        <v>0</v>
      </c>
      <c r="R1130" s="193"/>
      <c r="S1130" s="194"/>
      <c r="T1130" s="195">
        <f t="shared" si="142"/>
        <v>0</v>
      </c>
      <c r="U1130" s="195">
        <f t="shared" si="143"/>
        <v>0</v>
      </c>
      <c r="V1130" s="195">
        <f t="shared" si="144"/>
        <v>0</v>
      </c>
      <c r="W1130" s="196" t="e">
        <f t="shared" si="145"/>
        <v>#DIV/0!</v>
      </c>
      <c r="X1130" s="197" t="e">
        <f t="shared" si="146"/>
        <v>#DIV/0!</v>
      </c>
    </row>
    <row r="1131" ht="11.4" hidden="1" customHeight="1" spans="1:24">
      <c r="A1131" s="184" t="s">
        <v>2959</v>
      </c>
      <c r="B1131" s="184" t="s">
        <v>113</v>
      </c>
      <c r="C1131" s="184" t="s">
        <v>1101</v>
      </c>
      <c r="D1131" s="185" t="s">
        <v>701</v>
      </c>
      <c r="E1131" s="186" t="s">
        <v>2956</v>
      </c>
      <c r="F1131" s="186" t="s">
        <v>2957</v>
      </c>
      <c r="G1131" s="186" t="s">
        <v>2957</v>
      </c>
      <c r="H1131" s="186" t="s">
        <v>2960</v>
      </c>
      <c r="I1131" s="187" t="s">
        <v>1175</v>
      </c>
      <c r="J1131" s="187" t="s">
        <v>1176</v>
      </c>
      <c r="K1131" s="188"/>
      <c r="L1131" s="188"/>
      <c r="M1131" s="189" t="s">
        <v>847</v>
      </c>
      <c r="N1131" s="190">
        <v>114.06</v>
      </c>
      <c r="O1131" s="190">
        <f t="shared" si="139"/>
        <v>124.33</v>
      </c>
      <c r="P1131" s="191">
        <f t="shared" si="140"/>
        <v>0</v>
      </c>
      <c r="Q1131" s="192">
        <f t="shared" si="141"/>
        <v>0</v>
      </c>
      <c r="R1131" s="193"/>
      <c r="S1131" s="194"/>
      <c r="T1131" s="195">
        <f t="shared" si="142"/>
        <v>0</v>
      </c>
      <c r="U1131" s="195">
        <f t="shared" si="143"/>
        <v>0</v>
      </c>
      <c r="V1131" s="195">
        <f t="shared" si="144"/>
        <v>0</v>
      </c>
      <c r="W1131" s="196" t="e">
        <f t="shared" si="145"/>
        <v>#DIV/0!</v>
      </c>
      <c r="X1131" s="197" t="e">
        <f t="shared" si="146"/>
        <v>#DIV/0!</v>
      </c>
    </row>
    <row r="1132" ht="11.4" hidden="1" customHeight="1" spans="1:24">
      <c r="A1132" s="184" t="s">
        <v>2959</v>
      </c>
      <c r="B1132" s="184" t="s">
        <v>113</v>
      </c>
      <c r="C1132" s="184" t="s">
        <v>1101</v>
      </c>
      <c r="D1132" s="185" t="s">
        <v>701</v>
      </c>
      <c r="E1132" s="186" t="s">
        <v>2956</v>
      </c>
      <c r="F1132" s="186" t="s">
        <v>2957</v>
      </c>
      <c r="G1132" s="186" t="s">
        <v>2957</v>
      </c>
      <c r="H1132" s="186" t="s">
        <v>2960</v>
      </c>
      <c r="I1132" s="187" t="s">
        <v>1178</v>
      </c>
      <c r="J1132" s="187" t="s">
        <v>1179</v>
      </c>
      <c r="K1132" s="188"/>
      <c r="L1132" s="188"/>
      <c r="M1132" s="189" t="s">
        <v>847</v>
      </c>
      <c r="N1132" s="190">
        <v>197.83</v>
      </c>
      <c r="O1132" s="190">
        <f t="shared" si="139"/>
        <v>215.63</v>
      </c>
      <c r="P1132" s="191">
        <f t="shared" si="140"/>
        <v>0</v>
      </c>
      <c r="Q1132" s="192">
        <f t="shared" si="141"/>
        <v>0</v>
      </c>
      <c r="R1132" s="193"/>
      <c r="S1132" s="194"/>
      <c r="T1132" s="195">
        <f t="shared" si="142"/>
        <v>0</v>
      </c>
      <c r="U1132" s="195">
        <f t="shared" si="143"/>
        <v>0</v>
      </c>
      <c r="V1132" s="195">
        <f t="shared" si="144"/>
        <v>0</v>
      </c>
      <c r="W1132" s="196" t="e">
        <f t="shared" si="145"/>
        <v>#DIV/0!</v>
      </c>
      <c r="X1132" s="197" t="e">
        <f t="shared" si="146"/>
        <v>#DIV/0!</v>
      </c>
    </row>
    <row r="1133" ht="11.4" hidden="1" customHeight="1" spans="1:24">
      <c r="A1133" s="184" t="s">
        <v>2959</v>
      </c>
      <c r="B1133" s="184" t="s">
        <v>113</v>
      </c>
      <c r="C1133" s="184" t="s">
        <v>1101</v>
      </c>
      <c r="D1133" s="185" t="s">
        <v>701</v>
      </c>
      <c r="E1133" s="186" t="s">
        <v>2956</v>
      </c>
      <c r="F1133" s="186" t="s">
        <v>2957</v>
      </c>
      <c r="G1133" s="186" t="s">
        <v>2957</v>
      </c>
      <c r="H1133" s="186" t="s">
        <v>2960</v>
      </c>
      <c r="I1133" s="187" t="s">
        <v>1181</v>
      </c>
      <c r="J1133" s="187" t="s">
        <v>1182</v>
      </c>
      <c r="K1133" s="188"/>
      <c r="L1133" s="188"/>
      <c r="M1133" s="189" t="s">
        <v>847</v>
      </c>
      <c r="N1133" s="190">
        <v>182.9</v>
      </c>
      <c r="O1133" s="190">
        <f t="shared" si="139"/>
        <v>199.36</v>
      </c>
      <c r="P1133" s="191">
        <f t="shared" si="140"/>
        <v>0</v>
      </c>
      <c r="Q1133" s="192">
        <f t="shared" si="141"/>
        <v>0</v>
      </c>
      <c r="R1133" s="193"/>
      <c r="S1133" s="194"/>
      <c r="T1133" s="195">
        <f t="shared" si="142"/>
        <v>0</v>
      </c>
      <c r="U1133" s="195">
        <f t="shared" si="143"/>
        <v>0</v>
      </c>
      <c r="V1133" s="195">
        <f t="shared" si="144"/>
        <v>0</v>
      </c>
      <c r="W1133" s="196" t="e">
        <f t="shared" si="145"/>
        <v>#DIV/0!</v>
      </c>
      <c r="X1133" s="197" t="e">
        <f t="shared" si="146"/>
        <v>#DIV/0!</v>
      </c>
    </row>
    <row r="1134" ht="11.4" hidden="1" customHeight="1" spans="1:24">
      <c r="A1134" s="184" t="s">
        <v>2959</v>
      </c>
      <c r="B1134" s="184" t="s">
        <v>113</v>
      </c>
      <c r="C1134" s="184" t="s">
        <v>1101</v>
      </c>
      <c r="D1134" s="185" t="s">
        <v>701</v>
      </c>
      <c r="E1134" s="186" t="s">
        <v>2956</v>
      </c>
      <c r="F1134" s="186" t="s">
        <v>2957</v>
      </c>
      <c r="G1134" s="186" t="s">
        <v>2957</v>
      </c>
      <c r="H1134" s="186" t="s">
        <v>2960</v>
      </c>
      <c r="I1134" s="187" t="s">
        <v>1183</v>
      </c>
      <c r="J1134" s="187" t="s">
        <v>1184</v>
      </c>
      <c r="K1134" s="188"/>
      <c r="L1134" s="188"/>
      <c r="M1134" s="189" t="s">
        <v>847</v>
      </c>
      <c r="N1134" s="190">
        <v>186.66</v>
      </c>
      <c r="O1134" s="190">
        <f t="shared" si="139"/>
        <v>203.46</v>
      </c>
      <c r="P1134" s="191">
        <f t="shared" si="140"/>
        <v>0</v>
      </c>
      <c r="Q1134" s="192">
        <f t="shared" si="141"/>
        <v>0</v>
      </c>
      <c r="R1134" s="193"/>
      <c r="S1134" s="194"/>
      <c r="T1134" s="195">
        <f t="shared" si="142"/>
        <v>0</v>
      </c>
      <c r="U1134" s="195">
        <f t="shared" si="143"/>
        <v>0</v>
      </c>
      <c r="V1134" s="195">
        <f t="shared" si="144"/>
        <v>0</v>
      </c>
      <c r="W1134" s="196" t="e">
        <f t="shared" si="145"/>
        <v>#DIV/0!</v>
      </c>
      <c r="X1134" s="197" t="e">
        <f t="shared" si="146"/>
        <v>#DIV/0!</v>
      </c>
    </row>
    <row r="1135" ht="11.4" hidden="1" customHeight="1" spans="1:24">
      <c r="A1135" s="184" t="s">
        <v>2959</v>
      </c>
      <c r="B1135" s="184" t="s">
        <v>113</v>
      </c>
      <c r="C1135" s="184" t="s">
        <v>1101</v>
      </c>
      <c r="D1135" s="185" t="s">
        <v>701</v>
      </c>
      <c r="E1135" s="186" t="s">
        <v>2956</v>
      </c>
      <c r="F1135" s="186" t="s">
        <v>2957</v>
      </c>
      <c r="G1135" s="186" t="s">
        <v>2957</v>
      </c>
      <c r="H1135" s="186" t="s">
        <v>2960</v>
      </c>
      <c r="I1135" s="187" t="s">
        <v>1185</v>
      </c>
      <c r="J1135" s="187" t="s">
        <v>1186</v>
      </c>
      <c r="K1135" s="188"/>
      <c r="L1135" s="188"/>
      <c r="M1135" s="189" t="s">
        <v>847</v>
      </c>
      <c r="N1135" s="190">
        <v>174.35</v>
      </c>
      <c r="O1135" s="190">
        <f t="shared" si="139"/>
        <v>190.04</v>
      </c>
      <c r="P1135" s="191">
        <f t="shared" si="140"/>
        <v>0</v>
      </c>
      <c r="Q1135" s="192">
        <f t="shared" si="141"/>
        <v>0</v>
      </c>
      <c r="R1135" s="193"/>
      <c r="S1135" s="194"/>
      <c r="T1135" s="195">
        <f t="shared" si="142"/>
        <v>0</v>
      </c>
      <c r="U1135" s="195">
        <f t="shared" si="143"/>
        <v>0</v>
      </c>
      <c r="V1135" s="195">
        <f t="shared" si="144"/>
        <v>0</v>
      </c>
      <c r="W1135" s="196" t="e">
        <f t="shared" si="145"/>
        <v>#DIV/0!</v>
      </c>
      <c r="X1135" s="197" t="e">
        <f t="shared" si="146"/>
        <v>#DIV/0!</v>
      </c>
    </row>
    <row r="1136" ht="11.4" hidden="1" customHeight="1" spans="1:24">
      <c r="A1136" s="184" t="s">
        <v>2959</v>
      </c>
      <c r="B1136" s="184" t="s">
        <v>109</v>
      </c>
      <c r="C1136" s="184" t="s">
        <v>1101</v>
      </c>
      <c r="D1136" s="185" t="s">
        <v>701</v>
      </c>
      <c r="E1136" s="186" t="s">
        <v>2956</v>
      </c>
      <c r="F1136" s="186" t="s">
        <v>2957</v>
      </c>
      <c r="G1136" s="186" t="s">
        <v>2957</v>
      </c>
      <c r="H1136" s="186" t="s">
        <v>2960</v>
      </c>
      <c r="I1136" s="187" t="s">
        <v>1745</v>
      </c>
      <c r="J1136" s="187" t="s">
        <v>1746</v>
      </c>
      <c r="K1136" s="188"/>
      <c r="L1136" s="188"/>
      <c r="M1136" s="189" t="s">
        <v>847</v>
      </c>
      <c r="N1136" s="190">
        <v>118.11</v>
      </c>
      <c r="O1136" s="190">
        <f t="shared" si="139"/>
        <v>128.74</v>
      </c>
      <c r="P1136" s="191">
        <f t="shared" si="140"/>
        <v>0</v>
      </c>
      <c r="Q1136" s="192">
        <f t="shared" si="141"/>
        <v>0</v>
      </c>
      <c r="R1136" s="193"/>
      <c r="S1136" s="194"/>
      <c r="T1136" s="195">
        <f t="shared" si="142"/>
        <v>0</v>
      </c>
      <c r="U1136" s="195">
        <f t="shared" si="143"/>
        <v>0</v>
      </c>
      <c r="V1136" s="195">
        <f t="shared" si="144"/>
        <v>0</v>
      </c>
      <c r="W1136" s="196" t="e">
        <f t="shared" si="145"/>
        <v>#DIV/0!</v>
      </c>
      <c r="X1136" s="197" t="e">
        <f t="shared" si="146"/>
        <v>#DIV/0!</v>
      </c>
    </row>
    <row r="1137" ht="11.4" hidden="1" customHeight="1" spans="1:24">
      <c r="A1137" s="184" t="s">
        <v>2959</v>
      </c>
      <c r="B1137" s="184" t="s">
        <v>109</v>
      </c>
      <c r="C1137" s="184" t="s">
        <v>1101</v>
      </c>
      <c r="D1137" s="185" t="s">
        <v>701</v>
      </c>
      <c r="E1137" s="186" t="s">
        <v>2956</v>
      </c>
      <c r="F1137" s="186" t="s">
        <v>2957</v>
      </c>
      <c r="G1137" s="186" t="s">
        <v>2957</v>
      </c>
      <c r="H1137" s="186" t="s">
        <v>2960</v>
      </c>
      <c r="I1137" s="187" t="s">
        <v>1747</v>
      </c>
      <c r="J1137" s="187" t="s">
        <v>1748</v>
      </c>
      <c r="K1137" s="188"/>
      <c r="L1137" s="188"/>
      <c r="M1137" s="189" t="s">
        <v>847</v>
      </c>
      <c r="N1137" s="190">
        <v>113.49</v>
      </c>
      <c r="O1137" s="190">
        <f t="shared" si="139"/>
        <v>123.7</v>
      </c>
      <c r="P1137" s="191">
        <f t="shared" si="140"/>
        <v>0</v>
      </c>
      <c r="Q1137" s="192">
        <f t="shared" si="141"/>
        <v>0</v>
      </c>
      <c r="R1137" s="193"/>
      <c r="S1137" s="194"/>
      <c r="T1137" s="195">
        <f t="shared" si="142"/>
        <v>0</v>
      </c>
      <c r="U1137" s="195">
        <f t="shared" si="143"/>
        <v>0</v>
      </c>
      <c r="V1137" s="195">
        <f t="shared" si="144"/>
        <v>0</v>
      </c>
      <c r="W1137" s="196" t="e">
        <f t="shared" si="145"/>
        <v>#DIV/0!</v>
      </c>
      <c r="X1137" s="197" t="e">
        <f t="shared" si="146"/>
        <v>#DIV/0!</v>
      </c>
    </row>
    <row r="1138" ht="11.4" hidden="1" customHeight="1" spans="1:24">
      <c r="A1138" s="184" t="s">
        <v>2959</v>
      </c>
      <c r="B1138" s="184" t="s">
        <v>109</v>
      </c>
      <c r="C1138" s="184" t="s">
        <v>1101</v>
      </c>
      <c r="D1138" s="185" t="s">
        <v>701</v>
      </c>
      <c r="E1138" s="186" t="s">
        <v>2956</v>
      </c>
      <c r="F1138" s="186" t="s">
        <v>2957</v>
      </c>
      <c r="G1138" s="186" t="s">
        <v>2957</v>
      </c>
      <c r="H1138" s="186" t="s">
        <v>2960</v>
      </c>
      <c r="I1138" s="187" t="s">
        <v>1749</v>
      </c>
      <c r="J1138" s="187" t="s">
        <v>1750</v>
      </c>
      <c r="K1138" s="188"/>
      <c r="L1138" s="188"/>
      <c r="M1138" s="189" t="s">
        <v>847</v>
      </c>
      <c r="N1138" s="190">
        <v>118.11</v>
      </c>
      <c r="O1138" s="190">
        <f t="shared" si="139"/>
        <v>128.74</v>
      </c>
      <c r="P1138" s="191">
        <f t="shared" si="140"/>
        <v>0</v>
      </c>
      <c r="Q1138" s="192">
        <f t="shared" si="141"/>
        <v>0</v>
      </c>
      <c r="R1138" s="193"/>
      <c r="S1138" s="194"/>
      <c r="T1138" s="195">
        <f t="shared" si="142"/>
        <v>0</v>
      </c>
      <c r="U1138" s="195">
        <f t="shared" si="143"/>
        <v>0</v>
      </c>
      <c r="V1138" s="195">
        <f t="shared" si="144"/>
        <v>0</v>
      </c>
      <c r="W1138" s="196" t="e">
        <f t="shared" si="145"/>
        <v>#DIV/0!</v>
      </c>
      <c r="X1138" s="197" t="e">
        <f t="shared" si="146"/>
        <v>#DIV/0!</v>
      </c>
    </row>
    <row r="1139" ht="11.4" hidden="1" customHeight="1" spans="1:24">
      <c r="A1139" s="184" t="s">
        <v>2959</v>
      </c>
      <c r="B1139" s="184" t="s">
        <v>113</v>
      </c>
      <c r="C1139" s="184" t="s">
        <v>1101</v>
      </c>
      <c r="D1139" s="185" t="s">
        <v>701</v>
      </c>
      <c r="E1139" s="186" t="s">
        <v>2956</v>
      </c>
      <c r="F1139" s="186" t="s">
        <v>2957</v>
      </c>
      <c r="G1139" s="186" t="s">
        <v>2957</v>
      </c>
      <c r="H1139" s="186" t="s">
        <v>2960</v>
      </c>
      <c r="I1139" s="187" t="s">
        <v>2961</v>
      </c>
      <c r="J1139" s="187" t="s">
        <v>2962</v>
      </c>
      <c r="K1139" s="188"/>
      <c r="L1139" s="188"/>
      <c r="M1139" s="189" t="s">
        <v>847</v>
      </c>
      <c r="N1139" s="190">
        <v>192.47</v>
      </c>
      <c r="O1139" s="190">
        <f t="shared" si="139"/>
        <v>209.79</v>
      </c>
      <c r="P1139" s="191">
        <f t="shared" si="140"/>
        <v>0</v>
      </c>
      <c r="Q1139" s="192">
        <f t="shared" si="141"/>
        <v>0</v>
      </c>
      <c r="R1139" s="193"/>
      <c r="S1139" s="194"/>
      <c r="T1139" s="195">
        <f t="shared" si="142"/>
        <v>0</v>
      </c>
      <c r="U1139" s="195">
        <f t="shared" si="143"/>
        <v>0</v>
      </c>
      <c r="V1139" s="195">
        <f t="shared" si="144"/>
        <v>0</v>
      </c>
      <c r="W1139" s="196" t="e">
        <f t="shared" si="145"/>
        <v>#DIV/0!</v>
      </c>
      <c r="X1139" s="197" t="e">
        <f t="shared" si="146"/>
        <v>#DIV/0!</v>
      </c>
    </row>
    <row r="1140" ht="11.4" hidden="1" customHeight="1" spans="1:24">
      <c r="A1140" s="184" t="s">
        <v>2959</v>
      </c>
      <c r="B1140" s="184" t="s">
        <v>113</v>
      </c>
      <c r="C1140" s="184" t="s">
        <v>1101</v>
      </c>
      <c r="D1140" s="185" t="s">
        <v>701</v>
      </c>
      <c r="E1140" s="186" t="s">
        <v>2956</v>
      </c>
      <c r="F1140" s="186" t="s">
        <v>2957</v>
      </c>
      <c r="G1140" s="186" t="s">
        <v>2957</v>
      </c>
      <c r="H1140" s="186" t="s">
        <v>2960</v>
      </c>
      <c r="I1140" s="187" t="s">
        <v>2963</v>
      </c>
      <c r="J1140" s="187" t="s">
        <v>2964</v>
      </c>
      <c r="K1140" s="188"/>
      <c r="L1140" s="188"/>
      <c r="M1140" s="189" t="s">
        <v>847</v>
      </c>
      <c r="N1140" s="190">
        <v>172.83</v>
      </c>
      <c r="O1140" s="190">
        <f t="shared" si="139"/>
        <v>188.38</v>
      </c>
      <c r="P1140" s="191">
        <f t="shared" si="140"/>
        <v>0</v>
      </c>
      <c r="Q1140" s="192">
        <f t="shared" si="141"/>
        <v>0</v>
      </c>
      <c r="R1140" s="193"/>
      <c r="S1140" s="194"/>
      <c r="T1140" s="195">
        <f t="shared" si="142"/>
        <v>0</v>
      </c>
      <c r="U1140" s="195">
        <f t="shared" si="143"/>
        <v>0</v>
      </c>
      <c r="V1140" s="195">
        <f t="shared" si="144"/>
        <v>0</v>
      </c>
      <c r="W1140" s="196" t="e">
        <f t="shared" si="145"/>
        <v>#DIV/0!</v>
      </c>
      <c r="X1140" s="197" t="e">
        <f t="shared" si="146"/>
        <v>#DIV/0!</v>
      </c>
    </row>
    <row r="1141" ht="11.4" hidden="1" customHeight="1" spans="1:24">
      <c r="A1141" s="184" t="s">
        <v>2959</v>
      </c>
      <c r="B1141" s="184" t="s">
        <v>113</v>
      </c>
      <c r="C1141" s="184" t="s">
        <v>1101</v>
      </c>
      <c r="D1141" s="185" t="s">
        <v>701</v>
      </c>
      <c r="E1141" s="186" t="s">
        <v>2956</v>
      </c>
      <c r="F1141" s="186" t="s">
        <v>2957</v>
      </c>
      <c r="G1141" s="186" t="s">
        <v>2957</v>
      </c>
      <c r="H1141" s="186" t="s">
        <v>2960</v>
      </c>
      <c r="I1141" s="187" t="s">
        <v>2965</v>
      </c>
      <c r="J1141" s="187" t="s">
        <v>2966</v>
      </c>
      <c r="K1141" s="188"/>
      <c r="L1141" s="188"/>
      <c r="M1141" s="189" t="s">
        <v>847</v>
      </c>
      <c r="N1141" s="190">
        <v>192.47</v>
      </c>
      <c r="O1141" s="190">
        <f t="shared" si="139"/>
        <v>209.79</v>
      </c>
      <c r="P1141" s="191">
        <f t="shared" si="140"/>
        <v>0</v>
      </c>
      <c r="Q1141" s="192">
        <f t="shared" si="141"/>
        <v>0</v>
      </c>
      <c r="R1141" s="193"/>
      <c r="S1141" s="194"/>
      <c r="T1141" s="195">
        <f t="shared" si="142"/>
        <v>0</v>
      </c>
      <c r="U1141" s="195">
        <f t="shared" si="143"/>
        <v>0</v>
      </c>
      <c r="V1141" s="195">
        <f t="shared" si="144"/>
        <v>0</v>
      </c>
      <c r="W1141" s="196" t="e">
        <f t="shared" si="145"/>
        <v>#DIV/0!</v>
      </c>
      <c r="X1141" s="197" t="e">
        <f t="shared" si="146"/>
        <v>#DIV/0!</v>
      </c>
    </row>
    <row r="1142" ht="11.4" hidden="1" customHeight="1" spans="1:24">
      <c r="A1142" s="184" t="s">
        <v>2959</v>
      </c>
      <c r="B1142" s="184" t="s">
        <v>109</v>
      </c>
      <c r="C1142" s="184" t="s">
        <v>1101</v>
      </c>
      <c r="D1142" s="185" t="s">
        <v>701</v>
      </c>
      <c r="E1142" s="186" t="s">
        <v>2956</v>
      </c>
      <c r="F1142" s="186" t="s">
        <v>2957</v>
      </c>
      <c r="G1142" s="186" t="s">
        <v>2957</v>
      </c>
      <c r="H1142" s="186" t="s">
        <v>2960</v>
      </c>
      <c r="I1142" s="187" t="s">
        <v>1751</v>
      </c>
      <c r="J1142" s="187" t="s">
        <v>1752</v>
      </c>
      <c r="K1142" s="188"/>
      <c r="L1142" s="188"/>
      <c r="M1142" s="189" t="s">
        <v>847</v>
      </c>
      <c r="N1142" s="190">
        <v>467.36</v>
      </c>
      <c r="O1142" s="190">
        <f t="shared" si="139"/>
        <v>509.42</v>
      </c>
      <c r="P1142" s="191">
        <f t="shared" si="140"/>
        <v>0</v>
      </c>
      <c r="Q1142" s="192">
        <f t="shared" si="141"/>
        <v>0</v>
      </c>
      <c r="R1142" s="193"/>
      <c r="S1142" s="194"/>
      <c r="T1142" s="195">
        <f t="shared" si="142"/>
        <v>0</v>
      </c>
      <c r="U1142" s="195">
        <f t="shared" si="143"/>
        <v>0</v>
      </c>
      <c r="V1142" s="195">
        <f t="shared" si="144"/>
        <v>0</v>
      </c>
      <c r="W1142" s="196" t="e">
        <f t="shared" si="145"/>
        <v>#DIV/0!</v>
      </c>
      <c r="X1142" s="197" t="e">
        <f t="shared" si="146"/>
        <v>#DIV/0!</v>
      </c>
    </row>
    <row r="1143" ht="11.4" hidden="1" customHeight="1" spans="1:24">
      <c r="A1143" s="184" t="s">
        <v>2959</v>
      </c>
      <c r="B1143" s="184" t="s">
        <v>109</v>
      </c>
      <c r="C1143" s="184" t="s">
        <v>1101</v>
      </c>
      <c r="D1143" s="185" t="s">
        <v>701</v>
      </c>
      <c r="E1143" s="186" t="s">
        <v>2956</v>
      </c>
      <c r="F1143" s="186" t="s">
        <v>2957</v>
      </c>
      <c r="G1143" s="186" t="s">
        <v>2957</v>
      </c>
      <c r="H1143" s="186" t="s">
        <v>2960</v>
      </c>
      <c r="I1143" s="187" t="s">
        <v>1753</v>
      </c>
      <c r="J1143" s="187" t="s">
        <v>1754</v>
      </c>
      <c r="K1143" s="188"/>
      <c r="L1143" s="188"/>
      <c r="M1143" s="189" t="s">
        <v>1755</v>
      </c>
      <c r="N1143" s="190">
        <v>184.69</v>
      </c>
      <c r="O1143" s="190">
        <f t="shared" si="139"/>
        <v>201.31</v>
      </c>
      <c r="P1143" s="191">
        <f t="shared" si="140"/>
        <v>0</v>
      </c>
      <c r="Q1143" s="192">
        <f t="shared" si="141"/>
        <v>0</v>
      </c>
      <c r="R1143" s="193"/>
      <c r="S1143" s="194"/>
      <c r="T1143" s="195">
        <f t="shared" si="142"/>
        <v>0</v>
      </c>
      <c r="U1143" s="195">
        <f t="shared" si="143"/>
        <v>0</v>
      </c>
      <c r="V1143" s="195">
        <f t="shared" si="144"/>
        <v>0</v>
      </c>
      <c r="W1143" s="196" t="e">
        <f t="shared" si="145"/>
        <v>#DIV/0!</v>
      </c>
      <c r="X1143" s="197" t="e">
        <f t="shared" si="146"/>
        <v>#DIV/0!</v>
      </c>
    </row>
    <row r="1144" ht="11.4" hidden="1" customHeight="1" spans="1:24">
      <c r="A1144" s="184" t="s">
        <v>2959</v>
      </c>
      <c r="B1144" s="184" t="s">
        <v>109</v>
      </c>
      <c r="C1144" s="184" t="s">
        <v>1101</v>
      </c>
      <c r="D1144" s="185" t="s">
        <v>701</v>
      </c>
      <c r="E1144" s="186" t="s">
        <v>2956</v>
      </c>
      <c r="F1144" s="186" t="s">
        <v>2957</v>
      </c>
      <c r="G1144" s="186" t="s">
        <v>2957</v>
      </c>
      <c r="H1144" s="186" t="s">
        <v>2960</v>
      </c>
      <c r="I1144" s="187" t="s">
        <v>1756</v>
      </c>
      <c r="J1144" s="187" t="s">
        <v>1757</v>
      </c>
      <c r="K1144" s="188"/>
      <c r="L1144" s="188"/>
      <c r="M1144" s="189" t="s">
        <v>1755</v>
      </c>
      <c r="N1144" s="190">
        <v>374.99</v>
      </c>
      <c r="O1144" s="190">
        <f t="shared" si="139"/>
        <v>408.74</v>
      </c>
      <c r="P1144" s="191">
        <f t="shared" si="140"/>
        <v>0</v>
      </c>
      <c r="Q1144" s="192">
        <f t="shared" si="141"/>
        <v>0</v>
      </c>
      <c r="R1144" s="193"/>
      <c r="S1144" s="194"/>
      <c r="T1144" s="195">
        <f t="shared" si="142"/>
        <v>0</v>
      </c>
      <c r="U1144" s="195">
        <f t="shared" si="143"/>
        <v>0</v>
      </c>
      <c r="V1144" s="195">
        <f t="shared" si="144"/>
        <v>0</v>
      </c>
      <c r="W1144" s="196" t="e">
        <f t="shared" si="145"/>
        <v>#DIV/0!</v>
      </c>
      <c r="X1144" s="197" t="e">
        <f t="shared" si="146"/>
        <v>#DIV/0!</v>
      </c>
    </row>
    <row r="1145" ht="11.4" hidden="1" customHeight="1" spans="1:24">
      <c r="A1145" s="184" t="s">
        <v>2967</v>
      </c>
      <c r="B1145" s="184" t="s">
        <v>115</v>
      </c>
      <c r="C1145" s="184" t="s">
        <v>1101</v>
      </c>
      <c r="D1145" s="185" t="s">
        <v>701</v>
      </c>
      <c r="E1145" s="186" t="s">
        <v>2956</v>
      </c>
      <c r="F1145" s="186" t="s">
        <v>2957</v>
      </c>
      <c r="G1145" s="186" t="s">
        <v>2957</v>
      </c>
      <c r="H1145" s="186" t="s">
        <v>2968</v>
      </c>
      <c r="I1145" s="187" t="s">
        <v>1359</v>
      </c>
      <c r="J1145" s="187" t="s">
        <v>1360</v>
      </c>
      <c r="K1145" s="188"/>
      <c r="L1145" s="188"/>
      <c r="M1145" s="189" t="s">
        <v>847</v>
      </c>
      <c r="N1145" s="190">
        <v>127.36</v>
      </c>
      <c r="O1145" s="190">
        <f t="shared" si="139"/>
        <v>138.82</v>
      </c>
      <c r="P1145" s="191">
        <f t="shared" si="140"/>
        <v>0</v>
      </c>
      <c r="Q1145" s="192">
        <f t="shared" si="141"/>
        <v>0</v>
      </c>
      <c r="R1145" s="193"/>
      <c r="S1145" s="194"/>
      <c r="T1145" s="195">
        <f t="shared" si="142"/>
        <v>0</v>
      </c>
      <c r="U1145" s="195">
        <f t="shared" si="143"/>
        <v>0</v>
      </c>
      <c r="V1145" s="195">
        <f t="shared" si="144"/>
        <v>0</v>
      </c>
      <c r="W1145" s="196" t="e">
        <f t="shared" si="145"/>
        <v>#DIV/0!</v>
      </c>
      <c r="X1145" s="197" t="e">
        <f t="shared" si="146"/>
        <v>#DIV/0!</v>
      </c>
    </row>
    <row r="1146" ht="11.4" hidden="1" customHeight="1" spans="1:24">
      <c r="A1146" s="184" t="s">
        <v>2967</v>
      </c>
      <c r="B1146" s="184" t="s">
        <v>115</v>
      </c>
      <c r="C1146" s="184" t="s">
        <v>1101</v>
      </c>
      <c r="D1146" s="185" t="s">
        <v>701</v>
      </c>
      <c r="E1146" s="186" t="s">
        <v>2956</v>
      </c>
      <c r="F1146" s="186" t="s">
        <v>2957</v>
      </c>
      <c r="G1146" s="186" t="s">
        <v>2957</v>
      </c>
      <c r="H1146" s="186" t="s">
        <v>2968</v>
      </c>
      <c r="I1146" s="187" t="s">
        <v>1362</v>
      </c>
      <c r="J1146" s="187" t="s">
        <v>1363</v>
      </c>
      <c r="K1146" s="188"/>
      <c r="L1146" s="188"/>
      <c r="M1146" s="189" t="s">
        <v>847</v>
      </c>
      <c r="N1146" s="190">
        <v>138.36</v>
      </c>
      <c r="O1146" s="190">
        <f t="shared" si="139"/>
        <v>150.81</v>
      </c>
      <c r="P1146" s="191">
        <f t="shared" si="140"/>
        <v>0</v>
      </c>
      <c r="Q1146" s="192">
        <f t="shared" si="141"/>
        <v>0</v>
      </c>
      <c r="R1146" s="193"/>
      <c r="S1146" s="194"/>
      <c r="T1146" s="195">
        <f t="shared" si="142"/>
        <v>0</v>
      </c>
      <c r="U1146" s="195">
        <f t="shared" si="143"/>
        <v>0</v>
      </c>
      <c r="V1146" s="195">
        <f t="shared" si="144"/>
        <v>0</v>
      </c>
      <c r="W1146" s="196" t="e">
        <f t="shared" si="145"/>
        <v>#DIV/0!</v>
      </c>
      <c r="X1146" s="197" t="e">
        <f t="shared" si="146"/>
        <v>#DIV/0!</v>
      </c>
    </row>
    <row r="1147" ht="11.4" hidden="1" customHeight="1" spans="1:24">
      <c r="A1147" s="184" t="s">
        <v>2967</v>
      </c>
      <c r="B1147" s="184" t="s">
        <v>115</v>
      </c>
      <c r="C1147" s="184" t="s">
        <v>1101</v>
      </c>
      <c r="D1147" s="185" t="s">
        <v>701</v>
      </c>
      <c r="E1147" s="186" t="s">
        <v>2956</v>
      </c>
      <c r="F1147" s="186" t="s">
        <v>2957</v>
      </c>
      <c r="G1147" s="186" t="s">
        <v>2957</v>
      </c>
      <c r="H1147" s="186" t="s">
        <v>2968</v>
      </c>
      <c r="I1147" s="187" t="s">
        <v>1381</v>
      </c>
      <c r="J1147" s="187" t="s">
        <v>1382</v>
      </c>
      <c r="K1147" s="188"/>
      <c r="L1147" s="188"/>
      <c r="M1147" s="189" t="s">
        <v>847</v>
      </c>
      <c r="N1147" s="190">
        <v>250.08</v>
      </c>
      <c r="O1147" s="190">
        <f t="shared" si="139"/>
        <v>272.59</v>
      </c>
      <c r="P1147" s="191">
        <f t="shared" si="140"/>
        <v>0</v>
      </c>
      <c r="Q1147" s="192">
        <f t="shared" si="141"/>
        <v>0</v>
      </c>
      <c r="R1147" s="193"/>
      <c r="S1147" s="194"/>
      <c r="T1147" s="195">
        <f t="shared" si="142"/>
        <v>0</v>
      </c>
      <c r="U1147" s="195">
        <f t="shared" si="143"/>
        <v>0</v>
      </c>
      <c r="V1147" s="195">
        <f t="shared" si="144"/>
        <v>0</v>
      </c>
      <c r="W1147" s="196" t="e">
        <f t="shared" si="145"/>
        <v>#DIV/0!</v>
      </c>
      <c r="X1147" s="197" t="e">
        <f t="shared" si="146"/>
        <v>#DIV/0!</v>
      </c>
    </row>
    <row r="1148" ht="11.4" hidden="1" customHeight="1" spans="1:24">
      <c r="A1148" s="184" t="s">
        <v>2967</v>
      </c>
      <c r="B1148" s="184" t="s">
        <v>115</v>
      </c>
      <c r="C1148" s="184" t="s">
        <v>1101</v>
      </c>
      <c r="D1148" s="185" t="s">
        <v>701</v>
      </c>
      <c r="E1148" s="186" t="s">
        <v>2956</v>
      </c>
      <c r="F1148" s="186" t="s">
        <v>2957</v>
      </c>
      <c r="G1148" s="186" t="s">
        <v>2957</v>
      </c>
      <c r="H1148" s="186" t="s">
        <v>2968</v>
      </c>
      <c r="I1148" s="187" t="s">
        <v>1384</v>
      </c>
      <c r="J1148" s="187" t="s">
        <v>1385</v>
      </c>
      <c r="K1148" s="188"/>
      <c r="L1148" s="188"/>
      <c r="M1148" s="189" t="s">
        <v>847</v>
      </c>
      <c r="N1148" s="190">
        <v>139.73</v>
      </c>
      <c r="O1148" s="190">
        <f t="shared" si="139"/>
        <v>152.31</v>
      </c>
      <c r="P1148" s="191">
        <f t="shared" si="140"/>
        <v>0</v>
      </c>
      <c r="Q1148" s="192">
        <f t="shared" si="141"/>
        <v>0</v>
      </c>
      <c r="R1148" s="193"/>
      <c r="S1148" s="194"/>
      <c r="T1148" s="195">
        <f t="shared" si="142"/>
        <v>0</v>
      </c>
      <c r="U1148" s="195">
        <f t="shared" si="143"/>
        <v>0</v>
      </c>
      <c r="V1148" s="195">
        <f t="shared" si="144"/>
        <v>0</v>
      </c>
      <c r="W1148" s="196" t="e">
        <f t="shared" si="145"/>
        <v>#DIV/0!</v>
      </c>
      <c r="X1148" s="197" t="e">
        <f t="shared" si="146"/>
        <v>#DIV/0!</v>
      </c>
    </row>
    <row r="1149" ht="11.4" hidden="1" customHeight="1" spans="1:24">
      <c r="A1149" s="184" t="s">
        <v>2967</v>
      </c>
      <c r="B1149" s="184" t="s">
        <v>115</v>
      </c>
      <c r="C1149" s="184" t="s">
        <v>1101</v>
      </c>
      <c r="D1149" s="185" t="s">
        <v>701</v>
      </c>
      <c r="E1149" s="186" t="s">
        <v>2956</v>
      </c>
      <c r="F1149" s="186" t="s">
        <v>2957</v>
      </c>
      <c r="G1149" s="186" t="s">
        <v>2957</v>
      </c>
      <c r="H1149" s="186" t="s">
        <v>2968</v>
      </c>
      <c r="I1149" s="187" t="s">
        <v>1336</v>
      </c>
      <c r="J1149" s="187" t="s">
        <v>1337</v>
      </c>
      <c r="K1149" s="188"/>
      <c r="L1149" s="188"/>
      <c r="M1149" s="189" t="s">
        <v>847</v>
      </c>
      <c r="N1149" s="190">
        <v>62.19</v>
      </c>
      <c r="O1149" s="190">
        <f t="shared" si="139"/>
        <v>67.79</v>
      </c>
      <c r="P1149" s="191">
        <f t="shared" si="140"/>
        <v>0</v>
      </c>
      <c r="Q1149" s="192">
        <f t="shared" si="141"/>
        <v>0</v>
      </c>
      <c r="R1149" s="193"/>
      <c r="S1149" s="194"/>
      <c r="T1149" s="195">
        <f t="shared" si="142"/>
        <v>0</v>
      </c>
      <c r="U1149" s="195">
        <f t="shared" si="143"/>
        <v>0</v>
      </c>
      <c r="V1149" s="195">
        <f t="shared" si="144"/>
        <v>0</v>
      </c>
      <c r="W1149" s="196" t="e">
        <f t="shared" si="145"/>
        <v>#DIV/0!</v>
      </c>
      <c r="X1149" s="197" t="e">
        <f t="shared" si="146"/>
        <v>#DIV/0!</v>
      </c>
    </row>
    <row r="1150" ht="11.4" hidden="1" customHeight="1" spans="1:24">
      <c r="A1150" s="184" t="s">
        <v>2969</v>
      </c>
      <c r="B1150" s="184" t="s">
        <v>117</v>
      </c>
      <c r="C1150" s="184" t="s">
        <v>1101</v>
      </c>
      <c r="D1150" s="185" t="s">
        <v>701</v>
      </c>
      <c r="E1150" s="186" t="s">
        <v>2956</v>
      </c>
      <c r="F1150" s="186" t="s">
        <v>2957</v>
      </c>
      <c r="G1150" s="186" t="s">
        <v>2957</v>
      </c>
      <c r="H1150" s="186" t="s">
        <v>2970</v>
      </c>
      <c r="I1150" s="187" t="s">
        <v>1473</v>
      </c>
      <c r="J1150" s="187" t="s">
        <v>1474</v>
      </c>
      <c r="K1150" s="188"/>
      <c r="L1150" s="188"/>
      <c r="M1150" s="189" t="s">
        <v>847</v>
      </c>
      <c r="N1150" s="190">
        <v>167.98</v>
      </c>
      <c r="O1150" s="190">
        <f t="shared" si="139"/>
        <v>183.1</v>
      </c>
      <c r="P1150" s="191">
        <f t="shared" si="140"/>
        <v>0</v>
      </c>
      <c r="Q1150" s="192">
        <f t="shared" si="141"/>
        <v>0</v>
      </c>
      <c r="R1150" s="193"/>
      <c r="S1150" s="194"/>
      <c r="T1150" s="195">
        <f t="shared" si="142"/>
        <v>0</v>
      </c>
      <c r="U1150" s="195">
        <f t="shared" si="143"/>
        <v>0</v>
      </c>
      <c r="V1150" s="195">
        <f t="shared" si="144"/>
        <v>0</v>
      </c>
      <c r="W1150" s="196" t="e">
        <f t="shared" si="145"/>
        <v>#DIV/0!</v>
      </c>
      <c r="X1150" s="197" t="e">
        <f t="shared" si="146"/>
        <v>#DIV/0!</v>
      </c>
    </row>
    <row r="1151" ht="11.4" hidden="1" customHeight="1" spans="1:24">
      <c r="A1151" s="184" t="s">
        <v>2969</v>
      </c>
      <c r="B1151" s="184" t="s">
        <v>117</v>
      </c>
      <c r="C1151" s="184" t="s">
        <v>1101</v>
      </c>
      <c r="D1151" s="185" t="s">
        <v>701</v>
      </c>
      <c r="E1151" s="186" t="s">
        <v>2956</v>
      </c>
      <c r="F1151" s="186" t="s">
        <v>2957</v>
      </c>
      <c r="G1151" s="186" t="s">
        <v>2957</v>
      </c>
      <c r="H1151" s="186" t="s">
        <v>2970</v>
      </c>
      <c r="I1151" s="187" t="s">
        <v>1475</v>
      </c>
      <c r="J1151" s="187" t="s">
        <v>1476</v>
      </c>
      <c r="K1151" s="188"/>
      <c r="L1151" s="188"/>
      <c r="M1151" s="189" t="s">
        <v>847</v>
      </c>
      <c r="N1151" s="190">
        <v>147.41</v>
      </c>
      <c r="O1151" s="190">
        <f t="shared" si="139"/>
        <v>160.68</v>
      </c>
      <c r="P1151" s="191">
        <f t="shared" si="140"/>
        <v>0</v>
      </c>
      <c r="Q1151" s="192">
        <f t="shared" si="141"/>
        <v>0</v>
      </c>
      <c r="R1151" s="193"/>
      <c r="S1151" s="194"/>
      <c r="T1151" s="195">
        <f t="shared" si="142"/>
        <v>0</v>
      </c>
      <c r="U1151" s="195">
        <f t="shared" si="143"/>
        <v>0</v>
      </c>
      <c r="V1151" s="195">
        <f t="shared" si="144"/>
        <v>0</v>
      </c>
      <c r="W1151" s="196" t="e">
        <f t="shared" si="145"/>
        <v>#DIV/0!</v>
      </c>
      <c r="X1151" s="197" t="e">
        <f t="shared" si="146"/>
        <v>#DIV/0!</v>
      </c>
    </row>
    <row r="1152" ht="11.4" hidden="1" customHeight="1" spans="1:24">
      <c r="A1152" s="184" t="s">
        <v>2969</v>
      </c>
      <c r="B1152" s="184" t="s">
        <v>117</v>
      </c>
      <c r="C1152" s="184" t="s">
        <v>1101</v>
      </c>
      <c r="D1152" s="185" t="s">
        <v>701</v>
      </c>
      <c r="E1152" s="186" t="s">
        <v>2956</v>
      </c>
      <c r="F1152" s="186" t="s">
        <v>2957</v>
      </c>
      <c r="G1152" s="186" t="s">
        <v>2957</v>
      </c>
      <c r="H1152" s="186" t="s">
        <v>2970</v>
      </c>
      <c r="I1152" s="187" t="s">
        <v>1477</v>
      </c>
      <c r="J1152" s="187" t="s">
        <v>1478</v>
      </c>
      <c r="K1152" s="188"/>
      <c r="L1152" s="188"/>
      <c r="M1152" s="189" t="s">
        <v>847</v>
      </c>
      <c r="N1152" s="190">
        <v>169.19</v>
      </c>
      <c r="O1152" s="190">
        <f t="shared" si="139"/>
        <v>184.42</v>
      </c>
      <c r="P1152" s="191">
        <f t="shared" si="140"/>
        <v>0</v>
      </c>
      <c r="Q1152" s="192">
        <f t="shared" si="141"/>
        <v>0</v>
      </c>
      <c r="R1152" s="193"/>
      <c r="S1152" s="194"/>
      <c r="T1152" s="195">
        <f t="shared" si="142"/>
        <v>0</v>
      </c>
      <c r="U1152" s="195">
        <f t="shared" si="143"/>
        <v>0</v>
      </c>
      <c r="V1152" s="195">
        <f t="shared" si="144"/>
        <v>0</v>
      </c>
      <c r="W1152" s="196" t="e">
        <f t="shared" si="145"/>
        <v>#DIV/0!</v>
      </c>
      <c r="X1152" s="197" t="e">
        <f t="shared" si="146"/>
        <v>#DIV/0!</v>
      </c>
    </row>
    <row r="1153" ht="11.4" hidden="1" customHeight="1" spans="1:24">
      <c r="A1153" s="184" t="s">
        <v>2969</v>
      </c>
      <c r="B1153" s="184" t="s">
        <v>117</v>
      </c>
      <c r="C1153" s="184" t="s">
        <v>1101</v>
      </c>
      <c r="D1153" s="185" t="s">
        <v>701</v>
      </c>
      <c r="E1153" s="186" t="s">
        <v>2956</v>
      </c>
      <c r="F1153" s="186" t="s">
        <v>2957</v>
      </c>
      <c r="G1153" s="186" t="s">
        <v>2957</v>
      </c>
      <c r="H1153" s="186" t="s">
        <v>2970</v>
      </c>
      <c r="I1153" s="187" t="s">
        <v>1445</v>
      </c>
      <c r="J1153" s="187" t="s">
        <v>1446</v>
      </c>
      <c r="K1153" s="188"/>
      <c r="L1153" s="188"/>
      <c r="M1153" s="189" t="s">
        <v>847</v>
      </c>
      <c r="N1153" s="190">
        <v>464.59</v>
      </c>
      <c r="O1153" s="190">
        <f t="shared" si="139"/>
        <v>506.4</v>
      </c>
      <c r="P1153" s="191">
        <f t="shared" si="140"/>
        <v>0</v>
      </c>
      <c r="Q1153" s="192">
        <f t="shared" si="141"/>
        <v>0</v>
      </c>
      <c r="R1153" s="193"/>
      <c r="S1153" s="194"/>
      <c r="T1153" s="195">
        <f t="shared" si="142"/>
        <v>0</v>
      </c>
      <c r="U1153" s="195">
        <f t="shared" si="143"/>
        <v>0</v>
      </c>
      <c r="V1153" s="195">
        <f t="shared" si="144"/>
        <v>0</v>
      </c>
      <c r="W1153" s="196" t="e">
        <f t="shared" si="145"/>
        <v>#DIV/0!</v>
      </c>
      <c r="X1153" s="197" t="e">
        <f t="shared" si="146"/>
        <v>#DIV/0!</v>
      </c>
    </row>
    <row r="1154" ht="11.4" hidden="1" customHeight="1" spans="1:24">
      <c r="A1154" s="184" t="s">
        <v>2969</v>
      </c>
      <c r="B1154" s="184" t="s">
        <v>117</v>
      </c>
      <c r="C1154" s="184" t="s">
        <v>1101</v>
      </c>
      <c r="D1154" s="185" t="s">
        <v>701</v>
      </c>
      <c r="E1154" s="186" t="s">
        <v>2956</v>
      </c>
      <c r="F1154" s="186" t="s">
        <v>2957</v>
      </c>
      <c r="G1154" s="186" t="s">
        <v>2957</v>
      </c>
      <c r="H1154" s="186" t="s">
        <v>2970</v>
      </c>
      <c r="I1154" s="187" t="s">
        <v>1448</v>
      </c>
      <c r="J1154" s="187" t="s">
        <v>1449</v>
      </c>
      <c r="K1154" s="188"/>
      <c r="L1154" s="188"/>
      <c r="M1154" s="189" t="s">
        <v>847</v>
      </c>
      <c r="N1154" s="190">
        <v>460.58</v>
      </c>
      <c r="O1154" s="190">
        <f t="shared" si="139"/>
        <v>502.03</v>
      </c>
      <c r="P1154" s="191">
        <f t="shared" si="140"/>
        <v>0</v>
      </c>
      <c r="Q1154" s="192">
        <f t="shared" si="141"/>
        <v>0</v>
      </c>
      <c r="R1154" s="193"/>
      <c r="S1154" s="194"/>
      <c r="T1154" s="195">
        <f t="shared" si="142"/>
        <v>0</v>
      </c>
      <c r="U1154" s="195">
        <f t="shared" si="143"/>
        <v>0</v>
      </c>
      <c r="V1154" s="195">
        <f t="shared" si="144"/>
        <v>0</v>
      </c>
      <c r="W1154" s="196" t="e">
        <f t="shared" si="145"/>
        <v>#DIV/0!</v>
      </c>
      <c r="X1154" s="197" t="e">
        <f t="shared" si="146"/>
        <v>#DIV/0!</v>
      </c>
    </row>
    <row r="1155" ht="11.4" hidden="1" customHeight="1" spans="1:24">
      <c r="A1155" s="184" t="s">
        <v>2969</v>
      </c>
      <c r="B1155" s="184" t="s">
        <v>117</v>
      </c>
      <c r="C1155" s="184" t="s">
        <v>1101</v>
      </c>
      <c r="D1155" s="185" t="s">
        <v>701</v>
      </c>
      <c r="E1155" s="186" t="s">
        <v>2956</v>
      </c>
      <c r="F1155" s="186" t="s">
        <v>2957</v>
      </c>
      <c r="G1155" s="186" t="s">
        <v>2957</v>
      </c>
      <c r="H1155" s="186" t="s">
        <v>2970</v>
      </c>
      <c r="I1155" s="187" t="s">
        <v>1450</v>
      </c>
      <c r="J1155" s="187" t="s">
        <v>1451</v>
      </c>
      <c r="K1155" s="188"/>
      <c r="L1155" s="188"/>
      <c r="M1155" s="189" t="s">
        <v>847</v>
      </c>
      <c r="N1155" s="190">
        <v>464.64</v>
      </c>
      <c r="O1155" s="190">
        <f t="shared" si="139"/>
        <v>506.46</v>
      </c>
      <c r="P1155" s="191">
        <f t="shared" si="140"/>
        <v>0</v>
      </c>
      <c r="Q1155" s="192">
        <f t="shared" si="141"/>
        <v>0</v>
      </c>
      <c r="R1155" s="193"/>
      <c r="S1155" s="194"/>
      <c r="T1155" s="195">
        <f t="shared" si="142"/>
        <v>0</v>
      </c>
      <c r="U1155" s="195">
        <f t="shared" si="143"/>
        <v>0</v>
      </c>
      <c r="V1155" s="195">
        <f t="shared" si="144"/>
        <v>0</v>
      </c>
      <c r="W1155" s="196" t="e">
        <f t="shared" si="145"/>
        <v>#DIV/0!</v>
      </c>
      <c r="X1155" s="197" t="e">
        <f t="shared" si="146"/>
        <v>#DIV/0!</v>
      </c>
    </row>
    <row r="1156" ht="11.4" hidden="1" customHeight="1" spans="1:24">
      <c r="A1156" s="184" t="s">
        <v>2969</v>
      </c>
      <c r="B1156" s="184" t="s">
        <v>117</v>
      </c>
      <c r="C1156" s="184" t="s">
        <v>1101</v>
      </c>
      <c r="D1156" s="185" t="s">
        <v>701</v>
      </c>
      <c r="E1156" s="186" t="s">
        <v>2956</v>
      </c>
      <c r="F1156" s="186" t="s">
        <v>2957</v>
      </c>
      <c r="G1156" s="186" t="s">
        <v>2957</v>
      </c>
      <c r="H1156" s="186" t="s">
        <v>2970</v>
      </c>
      <c r="I1156" s="187" t="s">
        <v>1463</v>
      </c>
      <c r="J1156" s="187" t="s">
        <v>1464</v>
      </c>
      <c r="K1156" s="188"/>
      <c r="L1156" s="188"/>
      <c r="M1156" s="189" t="s">
        <v>847</v>
      </c>
      <c r="N1156" s="190">
        <v>727.77</v>
      </c>
      <c r="O1156" s="190">
        <f t="shared" si="139"/>
        <v>793.27</v>
      </c>
      <c r="P1156" s="191">
        <f t="shared" si="140"/>
        <v>0</v>
      </c>
      <c r="Q1156" s="192">
        <f t="shared" si="141"/>
        <v>0</v>
      </c>
      <c r="R1156" s="193"/>
      <c r="S1156" s="194"/>
      <c r="T1156" s="195">
        <f t="shared" si="142"/>
        <v>0</v>
      </c>
      <c r="U1156" s="195">
        <f t="shared" si="143"/>
        <v>0</v>
      </c>
      <c r="V1156" s="195">
        <f t="shared" si="144"/>
        <v>0</v>
      </c>
      <c r="W1156" s="196" t="e">
        <f t="shared" si="145"/>
        <v>#DIV/0!</v>
      </c>
      <c r="X1156" s="197" t="e">
        <f t="shared" si="146"/>
        <v>#DIV/0!</v>
      </c>
    </row>
    <row r="1157" ht="11.4" hidden="1" customHeight="1" spans="1:24">
      <c r="A1157" s="184" t="s">
        <v>2969</v>
      </c>
      <c r="B1157" s="184" t="s">
        <v>117</v>
      </c>
      <c r="C1157" s="184" t="s">
        <v>1101</v>
      </c>
      <c r="D1157" s="185" t="s">
        <v>701</v>
      </c>
      <c r="E1157" s="186" t="s">
        <v>2956</v>
      </c>
      <c r="F1157" s="186" t="s">
        <v>2957</v>
      </c>
      <c r="G1157" s="186" t="s">
        <v>2957</v>
      </c>
      <c r="H1157" s="186" t="s">
        <v>2970</v>
      </c>
      <c r="I1157" s="187" t="s">
        <v>2971</v>
      </c>
      <c r="J1157" s="187" t="s">
        <v>2972</v>
      </c>
      <c r="K1157" s="188"/>
      <c r="L1157" s="188"/>
      <c r="M1157" s="189" t="s">
        <v>847</v>
      </c>
      <c r="N1157" s="190">
        <v>298.96</v>
      </c>
      <c r="O1157" s="190">
        <f t="shared" si="139"/>
        <v>325.87</v>
      </c>
      <c r="P1157" s="191">
        <f t="shared" si="140"/>
        <v>0</v>
      </c>
      <c r="Q1157" s="192">
        <f t="shared" si="141"/>
        <v>0</v>
      </c>
      <c r="R1157" s="193"/>
      <c r="S1157" s="194"/>
      <c r="T1157" s="195">
        <f t="shared" si="142"/>
        <v>0</v>
      </c>
      <c r="U1157" s="195">
        <f t="shared" si="143"/>
        <v>0</v>
      </c>
      <c r="V1157" s="195">
        <f t="shared" si="144"/>
        <v>0</v>
      </c>
      <c r="W1157" s="196" t="e">
        <f t="shared" si="145"/>
        <v>#DIV/0!</v>
      </c>
      <c r="X1157" s="197" t="e">
        <f t="shared" si="146"/>
        <v>#DIV/0!</v>
      </c>
    </row>
    <row r="1158" ht="11.4" hidden="1" customHeight="1" spans="1:24">
      <c r="A1158" s="184" t="s">
        <v>2969</v>
      </c>
      <c r="B1158" s="184" t="s">
        <v>117</v>
      </c>
      <c r="C1158" s="184" t="s">
        <v>1101</v>
      </c>
      <c r="D1158" s="185" t="s">
        <v>701</v>
      </c>
      <c r="E1158" s="186" t="s">
        <v>2956</v>
      </c>
      <c r="F1158" s="186" t="s">
        <v>2957</v>
      </c>
      <c r="G1158" s="186" t="s">
        <v>2957</v>
      </c>
      <c r="H1158" s="186" t="s">
        <v>2970</v>
      </c>
      <c r="I1158" s="187" t="s">
        <v>1486</v>
      </c>
      <c r="J1158" s="187" t="s">
        <v>1487</v>
      </c>
      <c r="K1158" s="188"/>
      <c r="L1158" s="188"/>
      <c r="M1158" s="189" t="s">
        <v>847</v>
      </c>
      <c r="N1158" s="190">
        <v>660.97</v>
      </c>
      <c r="O1158" s="190">
        <f t="shared" si="139"/>
        <v>720.46</v>
      </c>
      <c r="P1158" s="191">
        <f t="shared" si="140"/>
        <v>0</v>
      </c>
      <c r="Q1158" s="192">
        <f t="shared" si="141"/>
        <v>0</v>
      </c>
      <c r="R1158" s="193"/>
      <c r="S1158" s="194"/>
      <c r="T1158" s="195">
        <f t="shared" si="142"/>
        <v>0</v>
      </c>
      <c r="U1158" s="195">
        <f t="shared" si="143"/>
        <v>0</v>
      </c>
      <c r="V1158" s="195">
        <f t="shared" si="144"/>
        <v>0</v>
      </c>
      <c r="W1158" s="196" t="e">
        <f t="shared" si="145"/>
        <v>#DIV/0!</v>
      </c>
      <c r="X1158" s="197" t="e">
        <f t="shared" si="146"/>
        <v>#DIV/0!</v>
      </c>
    </row>
    <row r="1159" ht="11.4" hidden="1" customHeight="1" spans="1:24">
      <c r="A1159" s="184" t="s">
        <v>2969</v>
      </c>
      <c r="B1159" s="184" t="s">
        <v>117</v>
      </c>
      <c r="C1159" s="184" t="s">
        <v>1101</v>
      </c>
      <c r="D1159" s="185" t="s">
        <v>701</v>
      </c>
      <c r="E1159" s="186" t="s">
        <v>2956</v>
      </c>
      <c r="F1159" s="186" t="s">
        <v>2957</v>
      </c>
      <c r="G1159" s="186" t="s">
        <v>2957</v>
      </c>
      <c r="H1159" s="186" t="s">
        <v>2970</v>
      </c>
      <c r="I1159" s="187" t="s">
        <v>2973</v>
      </c>
      <c r="J1159" s="187" t="s">
        <v>2974</v>
      </c>
      <c r="K1159" s="188"/>
      <c r="L1159" s="188"/>
      <c r="M1159" s="189" t="s">
        <v>847</v>
      </c>
      <c r="N1159" s="190">
        <v>1134.73</v>
      </c>
      <c r="O1159" s="190">
        <f t="shared" si="139"/>
        <v>1236.86</v>
      </c>
      <c r="P1159" s="191">
        <f t="shared" si="140"/>
        <v>0</v>
      </c>
      <c r="Q1159" s="192">
        <f t="shared" si="141"/>
        <v>0</v>
      </c>
      <c r="R1159" s="193"/>
      <c r="S1159" s="194"/>
      <c r="T1159" s="195">
        <f t="shared" si="142"/>
        <v>0</v>
      </c>
      <c r="U1159" s="195">
        <f t="shared" si="143"/>
        <v>0</v>
      </c>
      <c r="V1159" s="195">
        <f t="shared" si="144"/>
        <v>0</v>
      </c>
      <c r="W1159" s="196" t="e">
        <f t="shared" si="145"/>
        <v>#DIV/0!</v>
      </c>
      <c r="X1159" s="197" t="e">
        <f t="shared" si="146"/>
        <v>#DIV/0!</v>
      </c>
    </row>
    <row r="1160" ht="11.4" hidden="1" customHeight="1" spans="1:24">
      <c r="A1160" s="184" t="s">
        <v>2969</v>
      </c>
      <c r="B1160" s="184" t="s">
        <v>117</v>
      </c>
      <c r="C1160" s="184" t="s">
        <v>1101</v>
      </c>
      <c r="D1160" s="185" t="s">
        <v>701</v>
      </c>
      <c r="E1160" s="186" t="s">
        <v>2956</v>
      </c>
      <c r="F1160" s="186" t="s">
        <v>2957</v>
      </c>
      <c r="G1160" s="186" t="s">
        <v>2957</v>
      </c>
      <c r="H1160" s="186" t="s">
        <v>2970</v>
      </c>
      <c r="I1160" s="187" t="s">
        <v>1106</v>
      </c>
      <c r="J1160" s="187" t="s">
        <v>1107</v>
      </c>
      <c r="K1160" s="188"/>
      <c r="L1160" s="188"/>
      <c r="M1160" s="189" t="s">
        <v>807</v>
      </c>
      <c r="N1160" s="190">
        <v>41.36</v>
      </c>
      <c r="O1160" s="190">
        <f t="shared" si="139"/>
        <v>45.08</v>
      </c>
      <c r="P1160" s="191">
        <f t="shared" si="140"/>
        <v>0</v>
      </c>
      <c r="Q1160" s="192">
        <f t="shared" si="141"/>
        <v>0</v>
      </c>
      <c r="R1160" s="193"/>
      <c r="S1160" s="194"/>
      <c r="T1160" s="195">
        <f t="shared" si="142"/>
        <v>0</v>
      </c>
      <c r="U1160" s="195">
        <f t="shared" si="143"/>
        <v>0</v>
      </c>
      <c r="V1160" s="195">
        <f t="shared" si="144"/>
        <v>0</v>
      </c>
      <c r="W1160" s="196" t="e">
        <f t="shared" si="145"/>
        <v>#DIV/0!</v>
      </c>
      <c r="X1160" s="197" t="e">
        <f t="shared" si="146"/>
        <v>#DIV/0!</v>
      </c>
    </row>
    <row r="1161" ht="11.4" hidden="1" customHeight="1" spans="1:24">
      <c r="A1161" s="184" t="s">
        <v>2969</v>
      </c>
      <c r="B1161" s="184" t="s">
        <v>117</v>
      </c>
      <c r="C1161" s="184" t="s">
        <v>1101</v>
      </c>
      <c r="D1161" s="185" t="s">
        <v>701</v>
      </c>
      <c r="E1161" s="186" t="s">
        <v>2956</v>
      </c>
      <c r="F1161" s="186" t="s">
        <v>2957</v>
      </c>
      <c r="G1161" s="186" t="s">
        <v>2957</v>
      </c>
      <c r="H1161" s="186" t="s">
        <v>2970</v>
      </c>
      <c r="I1161" s="187" t="s">
        <v>1115</v>
      </c>
      <c r="J1161" s="187" t="s">
        <v>1116</v>
      </c>
      <c r="K1161" s="188"/>
      <c r="L1161" s="188"/>
      <c r="M1161" s="189" t="s">
        <v>807</v>
      </c>
      <c r="N1161" s="190">
        <v>42.57</v>
      </c>
      <c r="O1161" s="190">
        <f t="shared" si="139"/>
        <v>46.4</v>
      </c>
      <c r="P1161" s="191">
        <f t="shared" si="140"/>
        <v>0</v>
      </c>
      <c r="Q1161" s="192">
        <f t="shared" si="141"/>
        <v>0</v>
      </c>
      <c r="R1161" s="193"/>
      <c r="S1161" s="194"/>
      <c r="T1161" s="195">
        <f t="shared" si="142"/>
        <v>0</v>
      </c>
      <c r="U1161" s="195">
        <f t="shared" si="143"/>
        <v>0</v>
      </c>
      <c r="V1161" s="195">
        <f t="shared" si="144"/>
        <v>0</v>
      </c>
      <c r="W1161" s="196" t="e">
        <f t="shared" si="145"/>
        <v>#DIV/0!</v>
      </c>
      <c r="X1161" s="197" t="e">
        <f t="shared" si="146"/>
        <v>#DIV/0!</v>
      </c>
    </row>
    <row r="1162" ht="11.4" hidden="1" customHeight="1" spans="1:24">
      <c r="A1162" s="184" t="s">
        <v>2969</v>
      </c>
      <c r="B1162" s="184" t="s">
        <v>117</v>
      </c>
      <c r="C1162" s="184" t="s">
        <v>1101</v>
      </c>
      <c r="D1162" s="185" t="s">
        <v>701</v>
      </c>
      <c r="E1162" s="186" t="s">
        <v>2956</v>
      </c>
      <c r="F1162" s="186" t="s">
        <v>2957</v>
      </c>
      <c r="G1162" s="186" t="s">
        <v>2957</v>
      </c>
      <c r="H1162" s="186" t="s">
        <v>2970</v>
      </c>
      <c r="I1162" s="187" t="s">
        <v>1111</v>
      </c>
      <c r="J1162" s="187" t="s">
        <v>1112</v>
      </c>
      <c r="K1162" s="188"/>
      <c r="L1162" s="188"/>
      <c r="M1162" s="189" t="s">
        <v>807</v>
      </c>
      <c r="N1162" s="190">
        <v>38.94</v>
      </c>
      <c r="O1162" s="190">
        <f t="shared" si="139"/>
        <v>42.44</v>
      </c>
      <c r="P1162" s="191">
        <f t="shared" si="140"/>
        <v>0</v>
      </c>
      <c r="Q1162" s="192">
        <f t="shared" si="141"/>
        <v>0</v>
      </c>
      <c r="R1162" s="193"/>
      <c r="S1162" s="194"/>
      <c r="T1162" s="195">
        <f t="shared" si="142"/>
        <v>0</v>
      </c>
      <c r="U1162" s="195">
        <f t="shared" si="143"/>
        <v>0</v>
      </c>
      <c r="V1162" s="195">
        <f t="shared" si="144"/>
        <v>0</v>
      </c>
      <c r="W1162" s="196" t="e">
        <f t="shared" si="145"/>
        <v>#DIV/0!</v>
      </c>
      <c r="X1162" s="197" t="e">
        <f t="shared" si="146"/>
        <v>#DIV/0!</v>
      </c>
    </row>
    <row r="1163" ht="11.4" hidden="1" customHeight="1" spans="1:24">
      <c r="A1163" s="184" t="s">
        <v>2969</v>
      </c>
      <c r="B1163" s="184" t="s">
        <v>117</v>
      </c>
      <c r="C1163" s="184" t="s">
        <v>1101</v>
      </c>
      <c r="D1163" s="185" t="s">
        <v>701</v>
      </c>
      <c r="E1163" s="186" t="s">
        <v>2956</v>
      </c>
      <c r="F1163" s="186" t="s">
        <v>2957</v>
      </c>
      <c r="G1163" s="186" t="s">
        <v>2957</v>
      </c>
      <c r="H1163" s="186" t="s">
        <v>2970</v>
      </c>
      <c r="I1163" s="187" t="s">
        <v>2914</v>
      </c>
      <c r="J1163" s="187" t="s">
        <v>2915</v>
      </c>
      <c r="K1163" s="188"/>
      <c r="L1163" s="188"/>
      <c r="M1163" s="189" t="s">
        <v>807</v>
      </c>
      <c r="N1163" s="190">
        <v>112.38</v>
      </c>
      <c r="O1163" s="190">
        <f t="shared" si="139"/>
        <v>122.49</v>
      </c>
      <c r="P1163" s="191">
        <f t="shared" si="140"/>
        <v>0</v>
      </c>
      <c r="Q1163" s="192">
        <f t="shared" si="141"/>
        <v>0</v>
      </c>
      <c r="R1163" s="193"/>
      <c r="S1163" s="194"/>
      <c r="T1163" s="195">
        <f t="shared" si="142"/>
        <v>0</v>
      </c>
      <c r="U1163" s="195">
        <f t="shared" si="143"/>
        <v>0</v>
      </c>
      <c r="V1163" s="195">
        <f t="shared" si="144"/>
        <v>0</v>
      </c>
      <c r="W1163" s="196" t="e">
        <f t="shared" si="145"/>
        <v>#DIV/0!</v>
      </c>
      <c r="X1163" s="197" t="e">
        <f t="shared" si="146"/>
        <v>#DIV/0!</v>
      </c>
    </row>
    <row r="1164" ht="11.4" hidden="1" customHeight="1" spans="1:24">
      <c r="A1164" s="184" t="s">
        <v>2969</v>
      </c>
      <c r="B1164" s="184" t="s">
        <v>117</v>
      </c>
      <c r="C1164" s="184" t="s">
        <v>1101</v>
      </c>
      <c r="D1164" s="185" t="s">
        <v>701</v>
      </c>
      <c r="E1164" s="186" t="s">
        <v>2956</v>
      </c>
      <c r="F1164" s="186" t="s">
        <v>2957</v>
      </c>
      <c r="G1164" s="186" t="s">
        <v>2957</v>
      </c>
      <c r="H1164" s="186" t="s">
        <v>2970</v>
      </c>
      <c r="I1164" s="187" t="s">
        <v>2975</v>
      </c>
      <c r="J1164" s="187" t="s">
        <v>2976</v>
      </c>
      <c r="K1164" s="188"/>
      <c r="L1164" s="188"/>
      <c r="M1164" s="189" t="s">
        <v>807</v>
      </c>
      <c r="N1164" s="190">
        <v>247.93</v>
      </c>
      <c r="O1164" s="190">
        <f t="shared" si="139"/>
        <v>270.24</v>
      </c>
      <c r="P1164" s="191">
        <f t="shared" si="140"/>
        <v>0</v>
      </c>
      <c r="Q1164" s="192">
        <f t="shared" si="141"/>
        <v>0</v>
      </c>
      <c r="R1164" s="193"/>
      <c r="S1164" s="194"/>
      <c r="T1164" s="195">
        <f t="shared" si="142"/>
        <v>0</v>
      </c>
      <c r="U1164" s="195">
        <f t="shared" si="143"/>
        <v>0</v>
      </c>
      <c r="V1164" s="195">
        <f t="shared" si="144"/>
        <v>0</v>
      </c>
      <c r="W1164" s="196" t="e">
        <f t="shared" si="145"/>
        <v>#DIV/0!</v>
      </c>
      <c r="X1164" s="197" t="e">
        <f t="shared" si="146"/>
        <v>#DIV/0!</v>
      </c>
    </row>
    <row r="1165" ht="11.4" hidden="1" customHeight="1" spans="1:24">
      <c r="A1165" s="184" t="s">
        <v>2969</v>
      </c>
      <c r="B1165" s="184" t="s">
        <v>117</v>
      </c>
      <c r="C1165" s="184" t="s">
        <v>1101</v>
      </c>
      <c r="D1165" s="185" t="s">
        <v>701</v>
      </c>
      <c r="E1165" s="186" t="s">
        <v>2956</v>
      </c>
      <c r="F1165" s="186" t="s">
        <v>2957</v>
      </c>
      <c r="G1165" s="186" t="s">
        <v>2957</v>
      </c>
      <c r="H1165" s="186" t="s">
        <v>2970</v>
      </c>
      <c r="I1165" s="187" t="s">
        <v>2977</v>
      </c>
      <c r="J1165" s="187" t="s">
        <v>2978</v>
      </c>
      <c r="K1165" s="188"/>
      <c r="L1165" s="188"/>
      <c r="M1165" s="189" t="s">
        <v>963</v>
      </c>
      <c r="N1165" s="190">
        <v>2257.86</v>
      </c>
      <c r="O1165" s="190">
        <f t="shared" ref="O1165:O1228" si="147">ROUND(N1165*(1+$F$10),2)</f>
        <v>2461.07</v>
      </c>
      <c r="P1165" s="191">
        <f t="shared" ref="P1165:P1228" si="148">ROUND(K1165*N1165,2)</f>
        <v>0</v>
      </c>
      <c r="Q1165" s="192">
        <f t="shared" si="141"/>
        <v>0</v>
      </c>
      <c r="R1165" s="193"/>
      <c r="S1165" s="194"/>
      <c r="T1165" s="195">
        <f t="shared" si="142"/>
        <v>0</v>
      </c>
      <c r="U1165" s="195">
        <f t="shared" si="143"/>
        <v>0</v>
      </c>
      <c r="V1165" s="195">
        <f t="shared" si="144"/>
        <v>0</v>
      </c>
      <c r="W1165" s="196" t="e">
        <f t="shared" si="145"/>
        <v>#DIV/0!</v>
      </c>
      <c r="X1165" s="197" t="e">
        <f t="shared" si="146"/>
        <v>#DIV/0!</v>
      </c>
    </row>
    <row r="1166" ht="11.4" hidden="1" customHeight="1" spans="1:24">
      <c r="A1166" s="184" t="s">
        <v>2979</v>
      </c>
      <c r="B1166" s="184" t="s">
        <v>119</v>
      </c>
      <c r="C1166" s="184" t="s">
        <v>1101</v>
      </c>
      <c r="D1166" s="185" t="s">
        <v>701</v>
      </c>
      <c r="E1166" s="186" t="s">
        <v>2956</v>
      </c>
      <c r="F1166" s="186" t="s">
        <v>2957</v>
      </c>
      <c r="G1166" s="186" t="s">
        <v>2957</v>
      </c>
      <c r="H1166" s="186" t="s">
        <v>2980</v>
      </c>
      <c r="I1166" s="187" t="s">
        <v>2981</v>
      </c>
      <c r="J1166" s="187" t="s">
        <v>2982</v>
      </c>
      <c r="K1166" s="188"/>
      <c r="L1166" s="188"/>
      <c r="M1166" s="189" t="s">
        <v>807</v>
      </c>
      <c r="N1166" s="190">
        <v>3386.65</v>
      </c>
      <c r="O1166" s="190">
        <f t="shared" si="147"/>
        <v>3691.45</v>
      </c>
      <c r="P1166" s="191">
        <f t="shared" si="148"/>
        <v>0</v>
      </c>
      <c r="Q1166" s="192">
        <f t="shared" ref="Q1166:Q1229" si="149">ROUND(L1166*N1166,2)</f>
        <v>0</v>
      </c>
      <c r="R1166" s="193"/>
      <c r="S1166" s="194"/>
      <c r="T1166" s="195">
        <f t="shared" ref="T1166:T1229" si="150">K1166-L1166</f>
        <v>0</v>
      </c>
      <c r="U1166" s="195">
        <f t="shared" ref="U1166:U1229" si="151">P1166-Q1166</f>
        <v>0</v>
      </c>
      <c r="V1166" s="195">
        <f t="shared" ref="V1166:V1229" si="152">ABS(U1166)</f>
        <v>0</v>
      </c>
      <c r="W1166" s="196" t="e">
        <f t="shared" ref="W1166:W1229" si="153">T1166/L1166</f>
        <v>#DIV/0!</v>
      </c>
      <c r="X1166" s="197" t="e">
        <f t="shared" ref="X1166:X1229" si="154">ABS(W1166)</f>
        <v>#DIV/0!</v>
      </c>
    </row>
    <row r="1167" ht="11.4" hidden="1" customHeight="1" spans="1:24">
      <c r="A1167" s="184" t="s">
        <v>2979</v>
      </c>
      <c r="B1167" s="184" t="s">
        <v>119</v>
      </c>
      <c r="C1167" s="184" t="s">
        <v>1101</v>
      </c>
      <c r="D1167" s="185" t="s">
        <v>701</v>
      </c>
      <c r="E1167" s="186" t="s">
        <v>2956</v>
      </c>
      <c r="F1167" s="186" t="s">
        <v>2957</v>
      </c>
      <c r="G1167" s="186" t="s">
        <v>2957</v>
      </c>
      <c r="H1167" s="186" t="s">
        <v>2980</v>
      </c>
      <c r="I1167" s="187" t="s">
        <v>2983</v>
      </c>
      <c r="J1167" s="187" t="s">
        <v>2984</v>
      </c>
      <c r="K1167" s="188"/>
      <c r="L1167" s="188"/>
      <c r="M1167" s="189" t="s">
        <v>847</v>
      </c>
      <c r="N1167" s="190">
        <v>275.43</v>
      </c>
      <c r="O1167" s="190">
        <f t="shared" si="147"/>
        <v>300.22</v>
      </c>
      <c r="P1167" s="191">
        <f t="shared" si="148"/>
        <v>0</v>
      </c>
      <c r="Q1167" s="192">
        <f t="shared" si="149"/>
        <v>0</v>
      </c>
      <c r="R1167" s="193"/>
      <c r="S1167" s="194"/>
      <c r="T1167" s="195">
        <f t="shared" si="150"/>
        <v>0</v>
      </c>
      <c r="U1167" s="195">
        <f t="shared" si="151"/>
        <v>0</v>
      </c>
      <c r="V1167" s="195">
        <f t="shared" si="152"/>
        <v>0</v>
      </c>
      <c r="W1167" s="196" t="e">
        <f t="shared" si="153"/>
        <v>#DIV/0!</v>
      </c>
      <c r="X1167" s="197" t="e">
        <f t="shared" si="154"/>
        <v>#DIV/0!</v>
      </c>
    </row>
    <row r="1168" ht="11.4" hidden="1" customHeight="1" spans="1:24">
      <c r="A1168" s="184" t="s">
        <v>2985</v>
      </c>
      <c r="B1168" s="184" t="s">
        <v>127</v>
      </c>
      <c r="C1168" s="184" t="s">
        <v>1101</v>
      </c>
      <c r="D1168" s="185" t="s">
        <v>701</v>
      </c>
      <c r="E1168" s="186" t="s">
        <v>2956</v>
      </c>
      <c r="F1168" s="186" t="s">
        <v>2957</v>
      </c>
      <c r="G1168" s="186" t="s">
        <v>2957</v>
      </c>
      <c r="H1168" s="186" t="s">
        <v>2986</v>
      </c>
      <c r="I1168" s="187" t="s">
        <v>2987</v>
      </c>
      <c r="J1168" s="187" t="s">
        <v>2988</v>
      </c>
      <c r="K1168" s="188"/>
      <c r="L1168" s="188"/>
      <c r="M1168" s="189" t="s">
        <v>847</v>
      </c>
      <c r="N1168" s="190">
        <v>617.2</v>
      </c>
      <c r="O1168" s="190">
        <f t="shared" si="147"/>
        <v>672.75</v>
      </c>
      <c r="P1168" s="191">
        <f t="shared" si="148"/>
        <v>0</v>
      </c>
      <c r="Q1168" s="192">
        <f t="shared" si="149"/>
        <v>0</v>
      </c>
      <c r="R1168" s="193"/>
      <c r="S1168" s="194"/>
      <c r="T1168" s="195">
        <f t="shared" si="150"/>
        <v>0</v>
      </c>
      <c r="U1168" s="195">
        <f t="shared" si="151"/>
        <v>0</v>
      </c>
      <c r="V1168" s="195">
        <f t="shared" si="152"/>
        <v>0</v>
      </c>
      <c r="W1168" s="196" t="e">
        <f t="shared" si="153"/>
        <v>#DIV/0!</v>
      </c>
      <c r="X1168" s="197" t="e">
        <f t="shared" si="154"/>
        <v>#DIV/0!</v>
      </c>
    </row>
    <row r="1169" ht="11.4" hidden="1" customHeight="1" spans="1:24">
      <c r="A1169" s="184" t="s">
        <v>2985</v>
      </c>
      <c r="B1169" s="184" t="s">
        <v>127</v>
      </c>
      <c r="C1169" s="184" t="s">
        <v>1101</v>
      </c>
      <c r="D1169" s="185" t="s">
        <v>701</v>
      </c>
      <c r="E1169" s="186" t="s">
        <v>2956</v>
      </c>
      <c r="F1169" s="186" t="s">
        <v>2957</v>
      </c>
      <c r="G1169" s="186" t="s">
        <v>2957</v>
      </c>
      <c r="H1169" s="186" t="s">
        <v>2986</v>
      </c>
      <c r="I1169" s="187" t="s">
        <v>2989</v>
      </c>
      <c r="J1169" s="187" t="s">
        <v>2990</v>
      </c>
      <c r="K1169" s="188"/>
      <c r="L1169" s="188"/>
      <c r="M1169" s="189" t="s">
        <v>989</v>
      </c>
      <c r="N1169" s="190">
        <v>432.3</v>
      </c>
      <c r="O1169" s="190">
        <f t="shared" si="147"/>
        <v>471.21</v>
      </c>
      <c r="P1169" s="191">
        <f t="shared" si="148"/>
        <v>0</v>
      </c>
      <c r="Q1169" s="192">
        <f t="shared" si="149"/>
        <v>0</v>
      </c>
      <c r="R1169" s="193"/>
      <c r="S1169" s="194"/>
      <c r="T1169" s="195">
        <f t="shared" si="150"/>
        <v>0</v>
      </c>
      <c r="U1169" s="195">
        <f t="shared" si="151"/>
        <v>0</v>
      </c>
      <c r="V1169" s="195">
        <f t="shared" si="152"/>
        <v>0</v>
      </c>
      <c r="W1169" s="196" t="e">
        <f t="shared" si="153"/>
        <v>#DIV/0!</v>
      </c>
      <c r="X1169" s="197" t="e">
        <f t="shared" si="154"/>
        <v>#DIV/0!</v>
      </c>
    </row>
    <row r="1170" ht="11.4" hidden="1" customHeight="1" spans="1:24">
      <c r="A1170" s="184" t="s">
        <v>2985</v>
      </c>
      <c r="B1170" s="184" t="s">
        <v>127</v>
      </c>
      <c r="C1170" s="184" t="s">
        <v>1101</v>
      </c>
      <c r="D1170" s="185" t="s">
        <v>701</v>
      </c>
      <c r="E1170" s="186" t="s">
        <v>2956</v>
      </c>
      <c r="F1170" s="186" t="s">
        <v>2957</v>
      </c>
      <c r="G1170" s="186" t="s">
        <v>2957</v>
      </c>
      <c r="H1170" s="186" t="s">
        <v>2986</v>
      </c>
      <c r="I1170" s="187" t="s">
        <v>2991</v>
      </c>
      <c r="J1170" s="187" t="s">
        <v>2992</v>
      </c>
      <c r="K1170" s="188"/>
      <c r="L1170" s="188"/>
      <c r="M1170" s="189" t="s">
        <v>807</v>
      </c>
      <c r="N1170" s="190">
        <v>552.08</v>
      </c>
      <c r="O1170" s="190">
        <f t="shared" si="147"/>
        <v>601.77</v>
      </c>
      <c r="P1170" s="191">
        <f t="shared" si="148"/>
        <v>0</v>
      </c>
      <c r="Q1170" s="192">
        <f t="shared" si="149"/>
        <v>0</v>
      </c>
      <c r="R1170" s="193"/>
      <c r="S1170" s="194"/>
      <c r="T1170" s="195">
        <f t="shared" si="150"/>
        <v>0</v>
      </c>
      <c r="U1170" s="195">
        <f t="shared" si="151"/>
        <v>0</v>
      </c>
      <c r="V1170" s="195">
        <f t="shared" si="152"/>
        <v>0</v>
      </c>
      <c r="W1170" s="196" t="e">
        <f t="shared" si="153"/>
        <v>#DIV/0!</v>
      </c>
      <c r="X1170" s="197" t="e">
        <f t="shared" si="154"/>
        <v>#DIV/0!</v>
      </c>
    </row>
    <row r="1171" ht="11.4" hidden="1" customHeight="1" spans="1:24">
      <c r="A1171" s="184" t="s">
        <v>2985</v>
      </c>
      <c r="B1171" s="184" t="s">
        <v>127</v>
      </c>
      <c r="C1171" s="184" t="s">
        <v>1101</v>
      </c>
      <c r="D1171" s="185" t="s">
        <v>701</v>
      </c>
      <c r="E1171" s="186" t="s">
        <v>2956</v>
      </c>
      <c r="F1171" s="186" t="s">
        <v>2957</v>
      </c>
      <c r="G1171" s="186" t="s">
        <v>2957</v>
      </c>
      <c r="H1171" s="186" t="s">
        <v>2986</v>
      </c>
      <c r="I1171" s="187" t="s">
        <v>2993</v>
      </c>
      <c r="J1171" s="187" t="s">
        <v>2994</v>
      </c>
      <c r="K1171" s="188"/>
      <c r="L1171" s="188"/>
      <c r="M1171" s="189" t="s">
        <v>847</v>
      </c>
      <c r="N1171" s="190">
        <v>338.6</v>
      </c>
      <c r="O1171" s="190">
        <f t="shared" si="147"/>
        <v>369.07</v>
      </c>
      <c r="P1171" s="191">
        <f t="shared" si="148"/>
        <v>0</v>
      </c>
      <c r="Q1171" s="192">
        <f t="shared" si="149"/>
        <v>0</v>
      </c>
      <c r="R1171" s="193"/>
      <c r="S1171" s="194"/>
      <c r="T1171" s="195">
        <f t="shared" si="150"/>
        <v>0</v>
      </c>
      <c r="U1171" s="195">
        <f t="shared" si="151"/>
        <v>0</v>
      </c>
      <c r="V1171" s="195">
        <f t="shared" si="152"/>
        <v>0</v>
      </c>
      <c r="W1171" s="196" t="e">
        <f t="shared" si="153"/>
        <v>#DIV/0!</v>
      </c>
      <c r="X1171" s="197" t="e">
        <f t="shared" si="154"/>
        <v>#DIV/0!</v>
      </c>
    </row>
    <row r="1172" ht="11.4" hidden="1" customHeight="1" spans="1:24">
      <c r="A1172" s="184" t="s">
        <v>2985</v>
      </c>
      <c r="B1172" s="184" t="s">
        <v>127</v>
      </c>
      <c r="C1172" s="184" t="s">
        <v>1101</v>
      </c>
      <c r="D1172" s="185" t="s">
        <v>701</v>
      </c>
      <c r="E1172" s="186" t="s">
        <v>2956</v>
      </c>
      <c r="F1172" s="186" t="s">
        <v>2957</v>
      </c>
      <c r="G1172" s="186" t="s">
        <v>2957</v>
      </c>
      <c r="H1172" s="186" t="s">
        <v>2995</v>
      </c>
      <c r="I1172" s="187" t="s">
        <v>2996</v>
      </c>
      <c r="J1172" s="187" t="s">
        <v>2997</v>
      </c>
      <c r="K1172" s="188"/>
      <c r="L1172" s="188"/>
      <c r="M1172" s="189" t="s">
        <v>1500</v>
      </c>
      <c r="N1172" s="190">
        <v>755.15</v>
      </c>
      <c r="O1172" s="190">
        <f t="shared" si="147"/>
        <v>823.11</v>
      </c>
      <c r="P1172" s="191">
        <f t="shared" si="148"/>
        <v>0</v>
      </c>
      <c r="Q1172" s="192">
        <f t="shared" si="149"/>
        <v>0</v>
      </c>
      <c r="R1172" s="193"/>
      <c r="S1172" s="194"/>
      <c r="T1172" s="195">
        <f t="shared" si="150"/>
        <v>0</v>
      </c>
      <c r="U1172" s="195">
        <f t="shared" si="151"/>
        <v>0</v>
      </c>
      <c r="V1172" s="195">
        <f t="shared" si="152"/>
        <v>0</v>
      </c>
      <c r="W1172" s="196" t="e">
        <f t="shared" si="153"/>
        <v>#DIV/0!</v>
      </c>
      <c r="X1172" s="197" t="e">
        <f t="shared" si="154"/>
        <v>#DIV/0!</v>
      </c>
    </row>
    <row r="1173" ht="11.4" hidden="1" customHeight="1" spans="1:24">
      <c r="A1173" s="184" t="s">
        <v>2985</v>
      </c>
      <c r="B1173" s="184" t="s">
        <v>127</v>
      </c>
      <c r="C1173" s="184" t="s">
        <v>1101</v>
      </c>
      <c r="D1173" s="185" t="s">
        <v>701</v>
      </c>
      <c r="E1173" s="186" t="s">
        <v>2956</v>
      </c>
      <c r="F1173" s="186" t="s">
        <v>2957</v>
      </c>
      <c r="G1173" s="186" t="s">
        <v>2957</v>
      </c>
      <c r="H1173" s="186" t="s">
        <v>2995</v>
      </c>
      <c r="I1173" s="187" t="s">
        <v>1807</v>
      </c>
      <c r="J1173" s="187" t="s">
        <v>1808</v>
      </c>
      <c r="K1173" s="188"/>
      <c r="L1173" s="188"/>
      <c r="M1173" s="189" t="s">
        <v>1500</v>
      </c>
      <c r="N1173" s="190">
        <v>2585.55</v>
      </c>
      <c r="O1173" s="190">
        <f t="shared" si="147"/>
        <v>2818.25</v>
      </c>
      <c r="P1173" s="191">
        <f t="shared" si="148"/>
        <v>0</v>
      </c>
      <c r="Q1173" s="192">
        <f t="shared" si="149"/>
        <v>0</v>
      </c>
      <c r="R1173" s="193"/>
      <c r="S1173" s="194"/>
      <c r="T1173" s="195">
        <f t="shared" si="150"/>
        <v>0</v>
      </c>
      <c r="U1173" s="195">
        <f t="shared" si="151"/>
        <v>0</v>
      </c>
      <c r="V1173" s="195">
        <f t="shared" si="152"/>
        <v>0</v>
      </c>
      <c r="W1173" s="196" t="e">
        <f t="shared" si="153"/>
        <v>#DIV/0!</v>
      </c>
      <c r="X1173" s="197" t="e">
        <f t="shared" si="154"/>
        <v>#DIV/0!</v>
      </c>
    </row>
    <row r="1174" ht="11.4" hidden="1" customHeight="1" spans="1:24">
      <c r="A1174" s="184" t="s">
        <v>2985</v>
      </c>
      <c r="B1174" s="184" t="s">
        <v>127</v>
      </c>
      <c r="C1174" s="184" t="s">
        <v>1101</v>
      </c>
      <c r="D1174" s="185" t="s">
        <v>701</v>
      </c>
      <c r="E1174" s="186" t="s">
        <v>2956</v>
      </c>
      <c r="F1174" s="186" t="s">
        <v>2957</v>
      </c>
      <c r="G1174" s="186" t="s">
        <v>2957</v>
      </c>
      <c r="H1174" s="186" t="s">
        <v>2995</v>
      </c>
      <c r="I1174" s="187" t="s">
        <v>1809</v>
      </c>
      <c r="J1174" s="187" t="s">
        <v>1810</v>
      </c>
      <c r="K1174" s="188"/>
      <c r="L1174" s="188"/>
      <c r="M1174" s="189" t="s">
        <v>1500</v>
      </c>
      <c r="N1174" s="190">
        <v>2585.55</v>
      </c>
      <c r="O1174" s="190">
        <f t="shared" si="147"/>
        <v>2818.25</v>
      </c>
      <c r="P1174" s="191">
        <f t="shared" si="148"/>
        <v>0</v>
      </c>
      <c r="Q1174" s="192">
        <f t="shared" si="149"/>
        <v>0</v>
      </c>
      <c r="R1174" s="193"/>
      <c r="S1174" s="194"/>
      <c r="T1174" s="195">
        <f t="shared" si="150"/>
        <v>0</v>
      </c>
      <c r="U1174" s="195">
        <f t="shared" si="151"/>
        <v>0</v>
      </c>
      <c r="V1174" s="195">
        <f t="shared" si="152"/>
        <v>0</v>
      </c>
      <c r="W1174" s="196" t="e">
        <f t="shared" si="153"/>
        <v>#DIV/0!</v>
      </c>
      <c r="X1174" s="197" t="e">
        <f t="shared" si="154"/>
        <v>#DIV/0!</v>
      </c>
    </row>
    <row r="1175" ht="11.4" hidden="1" customHeight="1" spans="1:24">
      <c r="A1175" s="184" t="s">
        <v>2985</v>
      </c>
      <c r="B1175" s="184" t="s">
        <v>127</v>
      </c>
      <c r="C1175" s="184" t="s">
        <v>1101</v>
      </c>
      <c r="D1175" s="185" t="s">
        <v>701</v>
      </c>
      <c r="E1175" s="186" t="s">
        <v>2956</v>
      </c>
      <c r="F1175" s="186" t="s">
        <v>2957</v>
      </c>
      <c r="G1175" s="186" t="s">
        <v>2957</v>
      </c>
      <c r="H1175" s="186" t="s">
        <v>2995</v>
      </c>
      <c r="I1175" s="187" t="s">
        <v>1811</v>
      </c>
      <c r="J1175" s="187" t="s">
        <v>1812</v>
      </c>
      <c r="K1175" s="188"/>
      <c r="L1175" s="188"/>
      <c r="M1175" s="189" t="s">
        <v>1500</v>
      </c>
      <c r="N1175" s="190">
        <v>2941.14</v>
      </c>
      <c r="O1175" s="190">
        <f t="shared" si="147"/>
        <v>3205.84</v>
      </c>
      <c r="P1175" s="191">
        <f t="shared" si="148"/>
        <v>0</v>
      </c>
      <c r="Q1175" s="192">
        <f t="shared" si="149"/>
        <v>0</v>
      </c>
      <c r="R1175" s="193"/>
      <c r="S1175" s="194"/>
      <c r="T1175" s="195">
        <f t="shared" si="150"/>
        <v>0</v>
      </c>
      <c r="U1175" s="195">
        <f t="shared" si="151"/>
        <v>0</v>
      </c>
      <c r="V1175" s="195">
        <f t="shared" si="152"/>
        <v>0</v>
      </c>
      <c r="W1175" s="196" t="e">
        <f t="shared" si="153"/>
        <v>#DIV/0!</v>
      </c>
      <c r="X1175" s="197" t="e">
        <f t="shared" si="154"/>
        <v>#DIV/0!</v>
      </c>
    </row>
    <row r="1176" ht="11.4" hidden="1" customHeight="1" spans="1:24">
      <c r="A1176" s="184" t="s">
        <v>2985</v>
      </c>
      <c r="B1176" s="184" t="s">
        <v>127</v>
      </c>
      <c r="C1176" s="184" t="s">
        <v>1101</v>
      </c>
      <c r="D1176" s="185" t="s">
        <v>701</v>
      </c>
      <c r="E1176" s="186" t="s">
        <v>2956</v>
      </c>
      <c r="F1176" s="186" t="s">
        <v>2957</v>
      </c>
      <c r="G1176" s="186" t="s">
        <v>2957</v>
      </c>
      <c r="H1176" s="186" t="s">
        <v>2995</v>
      </c>
      <c r="I1176" s="187" t="s">
        <v>2998</v>
      </c>
      <c r="J1176" s="187" t="s">
        <v>2999</v>
      </c>
      <c r="K1176" s="188"/>
      <c r="L1176" s="188"/>
      <c r="M1176" s="189" t="s">
        <v>1500</v>
      </c>
      <c r="N1176" s="190">
        <v>1496.64</v>
      </c>
      <c r="O1176" s="190">
        <f t="shared" si="147"/>
        <v>1631.34</v>
      </c>
      <c r="P1176" s="191">
        <f t="shared" si="148"/>
        <v>0</v>
      </c>
      <c r="Q1176" s="192">
        <f t="shared" si="149"/>
        <v>0</v>
      </c>
      <c r="R1176" s="193"/>
      <c r="S1176" s="194"/>
      <c r="T1176" s="195">
        <f t="shared" si="150"/>
        <v>0</v>
      </c>
      <c r="U1176" s="195">
        <f t="shared" si="151"/>
        <v>0</v>
      </c>
      <c r="V1176" s="195">
        <f t="shared" si="152"/>
        <v>0</v>
      </c>
      <c r="W1176" s="196" t="e">
        <f t="shared" si="153"/>
        <v>#DIV/0!</v>
      </c>
      <c r="X1176" s="197" t="e">
        <f t="shared" si="154"/>
        <v>#DIV/0!</v>
      </c>
    </row>
    <row r="1177" ht="11.4" hidden="1" customHeight="1" spans="1:24">
      <c r="A1177" s="184" t="s">
        <v>2985</v>
      </c>
      <c r="B1177" s="184" t="s">
        <v>127</v>
      </c>
      <c r="C1177" s="184" t="s">
        <v>1101</v>
      </c>
      <c r="D1177" s="185" t="s">
        <v>701</v>
      </c>
      <c r="E1177" s="186" t="s">
        <v>2956</v>
      </c>
      <c r="F1177" s="186" t="s">
        <v>2957</v>
      </c>
      <c r="G1177" s="186" t="s">
        <v>2957</v>
      </c>
      <c r="H1177" s="186" t="s">
        <v>3000</v>
      </c>
      <c r="I1177" s="187" t="s">
        <v>2912</v>
      </c>
      <c r="J1177" s="187" t="s">
        <v>2913</v>
      </c>
      <c r="K1177" s="188"/>
      <c r="L1177" s="188"/>
      <c r="M1177" s="189" t="s">
        <v>807</v>
      </c>
      <c r="N1177" s="190">
        <v>75.86</v>
      </c>
      <c r="O1177" s="190">
        <f t="shared" si="147"/>
        <v>82.69</v>
      </c>
      <c r="P1177" s="191">
        <f t="shared" si="148"/>
        <v>0</v>
      </c>
      <c r="Q1177" s="192">
        <f t="shared" si="149"/>
        <v>0</v>
      </c>
      <c r="R1177" s="193"/>
      <c r="S1177" s="194"/>
      <c r="T1177" s="195">
        <f t="shared" si="150"/>
        <v>0</v>
      </c>
      <c r="U1177" s="195">
        <f t="shared" si="151"/>
        <v>0</v>
      </c>
      <c r="V1177" s="195">
        <f t="shared" si="152"/>
        <v>0</v>
      </c>
      <c r="W1177" s="196" t="e">
        <f t="shared" si="153"/>
        <v>#DIV/0!</v>
      </c>
      <c r="X1177" s="197" t="e">
        <f t="shared" si="154"/>
        <v>#DIV/0!</v>
      </c>
    </row>
    <row r="1178" ht="11.4" hidden="1" customHeight="1" spans="1:24">
      <c r="A1178" s="184" t="s">
        <v>2985</v>
      </c>
      <c r="B1178" s="184" t="s">
        <v>127</v>
      </c>
      <c r="C1178" s="184" t="s">
        <v>1101</v>
      </c>
      <c r="D1178" s="185" t="s">
        <v>701</v>
      </c>
      <c r="E1178" s="186" t="s">
        <v>2956</v>
      </c>
      <c r="F1178" s="186" t="s">
        <v>2957</v>
      </c>
      <c r="G1178" s="186" t="s">
        <v>2957</v>
      </c>
      <c r="H1178" s="186" t="s">
        <v>3000</v>
      </c>
      <c r="I1178" s="187" t="s">
        <v>3001</v>
      </c>
      <c r="J1178" s="187" t="s">
        <v>3002</v>
      </c>
      <c r="K1178" s="188"/>
      <c r="L1178" s="188"/>
      <c r="M1178" s="189" t="s">
        <v>847</v>
      </c>
      <c r="N1178" s="190">
        <v>88.25</v>
      </c>
      <c r="O1178" s="190">
        <f t="shared" si="147"/>
        <v>96.19</v>
      </c>
      <c r="P1178" s="191">
        <f t="shared" si="148"/>
        <v>0</v>
      </c>
      <c r="Q1178" s="192">
        <f t="shared" si="149"/>
        <v>0</v>
      </c>
      <c r="R1178" s="193"/>
      <c r="S1178" s="194"/>
      <c r="T1178" s="195">
        <f t="shared" si="150"/>
        <v>0</v>
      </c>
      <c r="U1178" s="195">
        <f t="shared" si="151"/>
        <v>0</v>
      </c>
      <c r="V1178" s="195">
        <f t="shared" si="152"/>
        <v>0</v>
      </c>
      <c r="W1178" s="196" t="e">
        <f t="shared" si="153"/>
        <v>#DIV/0!</v>
      </c>
      <c r="X1178" s="197" t="e">
        <f t="shared" si="154"/>
        <v>#DIV/0!</v>
      </c>
    </row>
    <row r="1179" ht="11.4" hidden="1" customHeight="1" spans="1:24">
      <c r="A1179" s="184" t="s">
        <v>3003</v>
      </c>
      <c r="B1179" s="184" t="s">
        <v>139</v>
      </c>
      <c r="C1179" s="184" t="s">
        <v>1880</v>
      </c>
      <c r="D1179" s="185" t="s">
        <v>701</v>
      </c>
      <c r="E1179" s="186" t="s">
        <v>2956</v>
      </c>
      <c r="F1179" s="186" t="s">
        <v>2957</v>
      </c>
      <c r="G1179" s="186" t="s">
        <v>2957</v>
      </c>
      <c r="H1179" s="186" t="s">
        <v>3004</v>
      </c>
      <c r="I1179" s="187" t="s">
        <v>3005</v>
      </c>
      <c r="J1179" s="187" t="s">
        <v>3006</v>
      </c>
      <c r="K1179" s="188"/>
      <c r="L1179" s="188"/>
      <c r="M1179" s="189" t="s">
        <v>807</v>
      </c>
      <c r="N1179" s="190">
        <v>38.5</v>
      </c>
      <c r="O1179" s="190">
        <f t="shared" si="147"/>
        <v>41.97</v>
      </c>
      <c r="P1179" s="191">
        <f t="shared" si="148"/>
        <v>0</v>
      </c>
      <c r="Q1179" s="192">
        <f t="shared" si="149"/>
        <v>0</v>
      </c>
      <c r="R1179" s="193"/>
      <c r="S1179" s="194"/>
      <c r="T1179" s="195">
        <f t="shared" si="150"/>
        <v>0</v>
      </c>
      <c r="U1179" s="195">
        <f t="shared" si="151"/>
        <v>0</v>
      </c>
      <c r="V1179" s="195">
        <f t="shared" si="152"/>
        <v>0</v>
      </c>
      <c r="W1179" s="196" t="e">
        <f t="shared" si="153"/>
        <v>#DIV/0!</v>
      </c>
      <c r="X1179" s="197" t="e">
        <f t="shared" si="154"/>
        <v>#DIV/0!</v>
      </c>
    </row>
    <row r="1180" ht="11.4" hidden="1" customHeight="1" spans="1:24">
      <c r="A1180" s="184" t="s">
        <v>3003</v>
      </c>
      <c r="B1180" s="184" t="s">
        <v>139</v>
      </c>
      <c r="C1180" s="184" t="s">
        <v>1880</v>
      </c>
      <c r="D1180" s="185" t="s">
        <v>701</v>
      </c>
      <c r="E1180" s="186" t="s">
        <v>2956</v>
      </c>
      <c r="F1180" s="186" t="s">
        <v>2957</v>
      </c>
      <c r="G1180" s="186" t="s">
        <v>2957</v>
      </c>
      <c r="H1180" s="186" t="s">
        <v>3004</v>
      </c>
      <c r="I1180" s="187" t="s">
        <v>2922</v>
      </c>
      <c r="J1180" s="187" t="s">
        <v>2923</v>
      </c>
      <c r="K1180" s="188"/>
      <c r="L1180" s="188"/>
      <c r="M1180" s="189" t="s">
        <v>793</v>
      </c>
      <c r="N1180" s="190">
        <v>1637.1</v>
      </c>
      <c r="O1180" s="190">
        <f t="shared" si="147"/>
        <v>1784.44</v>
      </c>
      <c r="P1180" s="191">
        <f t="shared" si="148"/>
        <v>0</v>
      </c>
      <c r="Q1180" s="192">
        <f t="shared" si="149"/>
        <v>0</v>
      </c>
      <c r="R1180" s="193"/>
      <c r="S1180" s="194"/>
      <c r="T1180" s="195">
        <f t="shared" si="150"/>
        <v>0</v>
      </c>
      <c r="U1180" s="195">
        <f t="shared" si="151"/>
        <v>0</v>
      </c>
      <c r="V1180" s="195">
        <f t="shared" si="152"/>
        <v>0</v>
      </c>
      <c r="W1180" s="196" t="e">
        <f t="shared" si="153"/>
        <v>#DIV/0!</v>
      </c>
      <c r="X1180" s="197" t="e">
        <f t="shared" si="154"/>
        <v>#DIV/0!</v>
      </c>
    </row>
    <row r="1181" ht="11.4" hidden="1" customHeight="1" spans="1:24">
      <c r="A1181" s="184" t="s">
        <v>3003</v>
      </c>
      <c r="B1181" s="184" t="s">
        <v>139</v>
      </c>
      <c r="C1181" s="184" t="s">
        <v>1880</v>
      </c>
      <c r="D1181" s="185" t="s">
        <v>701</v>
      </c>
      <c r="E1181" s="186" t="s">
        <v>2956</v>
      </c>
      <c r="F1181" s="186" t="s">
        <v>2957</v>
      </c>
      <c r="G1181" s="186" t="s">
        <v>2957</v>
      </c>
      <c r="H1181" s="186" t="s">
        <v>3004</v>
      </c>
      <c r="I1181" s="187" t="s">
        <v>3007</v>
      </c>
      <c r="J1181" s="187" t="s">
        <v>3008</v>
      </c>
      <c r="K1181" s="188"/>
      <c r="L1181" s="188"/>
      <c r="M1181" s="189" t="s">
        <v>793</v>
      </c>
      <c r="N1181" s="190">
        <v>699.36</v>
      </c>
      <c r="O1181" s="190">
        <f t="shared" si="147"/>
        <v>762.3</v>
      </c>
      <c r="P1181" s="191">
        <f t="shared" si="148"/>
        <v>0</v>
      </c>
      <c r="Q1181" s="192">
        <f t="shared" si="149"/>
        <v>0</v>
      </c>
      <c r="R1181" s="193"/>
      <c r="S1181" s="194"/>
      <c r="T1181" s="195">
        <f t="shared" si="150"/>
        <v>0</v>
      </c>
      <c r="U1181" s="195">
        <f t="shared" si="151"/>
        <v>0</v>
      </c>
      <c r="V1181" s="195">
        <f t="shared" si="152"/>
        <v>0</v>
      </c>
      <c r="W1181" s="196" t="e">
        <f t="shared" si="153"/>
        <v>#DIV/0!</v>
      </c>
      <c r="X1181" s="197" t="e">
        <f t="shared" si="154"/>
        <v>#DIV/0!</v>
      </c>
    </row>
    <row r="1182" ht="11.4" hidden="1" customHeight="1" spans="1:24">
      <c r="A1182" s="184" t="s">
        <v>3009</v>
      </c>
      <c r="B1182" s="184" t="s">
        <v>355</v>
      </c>
      <c r="C1182" s="184" t="s">
        <v>2743</v>
      </c>
      <c r="D1182" s="185" t="s">
        <v>701</v>
      </c>
      <c r="E1182" s="186" t="s">
        <v>3010</v>
      </c>
      <c r="F1182" s="186" t="s">
        <v>3011</v>
      </c>
      <c r="G1182" s="186" t="s">
        <v>3012</v>
      </c>
      <c r="H1182" s="186" t="s">
        <v>3013</v>
      </c>
      <c r="I1182" s="187" t="s">
        <v>3014</v>
      </c>
      <c r="J1182" s="187" t="s">
        <v>3015</v>
      </c>
      <c r="K1182" s="188"/>
      <c r="L1182" s="188"/>
      <c r="M1182" s="189" t="s">
        <v>793</v>
      </c>
      <c r="N1182" s="190">
        <v>3741.96</v>
      </c>
      <c r="O1182" s="190">
        <f t="shared" si="147"/>
        <v>4078.74</v>
      </c>
      <c r="P1182" s="191">
        <f t="shared" si="148"/>
        <v>0</v>
      </c>
      <c r="Q1182" s="192">
        <f t="shared" si="149"/>
        <v>0</v>
      </c>
      <c r="R1182" s="193"/>
      <c r="S1182" s="194"/>
      <c r="T1182" s="195">
        <f t="shared" si="150"/>
        <v>0</v>
      </c>
      <c r="U1182" s="195">
        <f t="shared" si="151"/>
        <v>0</v>
      </c>
      <c r="V1182" s="195">
        <f t="shared" si="152"/>
        <v>0</v>
      </c>
      <c r="W1182" s="196" t="e">
        <f t="shared" si="153"/>
        <v>#DIV/0!</v>
      </c>
      <c r="X1182" s="197" t="e">
        <f t="shared" si="154"/>
        <v>#DIV/0!</v>
      </c>
    </row>
    <row r="1183" ht="11.4" hidden="1" customHeight="1" spans="1:24">
      <c r="A1183" s="184" t="s">
        <v>3009</v>
      </c>
      <c r="B1183" s="184" t="s">
        <v>355</v>
      </c>
      <c r="C1183" s="184" t="s">
        <v>2743</v>
      </c>
      <c r="D1183" s="185" t="s">
        <v>701</v>
      </c>
      <c r="E1183" s="186" t="s">
        <v>3010</v>
      </c>
      <c r="F1183" s="186" t="s">
        <v>3011</v>
      </c>
      <c r="G1183" s="186" t="s">
        <v>3012</v>
      </c>
      <c r="H1183" s="186" t="s">
        <v>3013</v>
      </c>
      <c r="I1183" s="187" t="s">
        <v>3016</v>
      </c>
      <c r="J1183" s="187" t="s">
        <v>3017</v>
      </c>
      <c r="K1183" s="188"/>
      <c r="L1183" s="188"/>
      <c r="M1183" s="189" t="s">
        <v>793</v>
      </c>
      <c r="N1183" s="190">
        <v>3867.36</v>
      </c>
      <c r="O1183" s="190">
        <f t="shared" si="147"/>
        <v>4215.42</v>
      </c>
      <c r="P1183" s="191">
        <f t="shared" si="148"/>
        <v>0</v>
      </c>
      <c r="Q1183" s="192">
        <f t="shared" si="149"/>
        <v>0</v>
      </c>
      <c r="R1183" s="193"/>
      <c r="S1183" s="194"/>
      <c r="T1183" s="195">
        <f t="shared" si="150"/>
        <v>0</v>
      </c>
      <c r="U1183" s="195">
        <f t="shared" si="151"/>
        <v>0</v>
      </c>
      <c r="V1183" s="195">
        <f t="shared" si="152"/>
        <v>0</v>
      </c>
      <c r="W1183" s="196" t="e">
        <f t="shared" si="153"/>
        <v>#DIV/0!</v>
      </c>
      <c r="X1183" s="197" t="e">
        <f t="shared" si="154"/>
        <v>#DIV/0!</v>
      </c>
    </row>
    <row r="1184" ht="11.4" hidden="1" customHeight="1" spans="1:24">
      <c r="A1184" s="184" t="s">
        <v>3009</v>
      </c>
      <c r="B1184" s="184" t="s">
        <v>355</v>
      </c>
      <c r="C1184" s="184" t="s">
        <v>2743</v>
      </c>
      <c r="D1184" s="185" t="s">
        <v>701</v>
      </c>
      <c r="E1184" s="186" t="s">
        <v>3010</v>
      </c>
      <c r="F1184" s="186" t="s">
        <v>3011</v>
      </c>
      <c r="G1184" s="186" t="s">
        <v>3012</v>
      </c>
      <c r="H1184" s="186" t="s">
        <v>3013</v>
      </c>
      <c r="I1184" s="187" t="s">
        <v>3018</v>
      </c>
      <c r="J1184" s="187" t="s">
        <v>3019</v>
      </c>
      <c r="K1184" s="188"/>
      <c r="L1184" s="188"/>
      <c r="M1184" s="189" t="s">
        <v>793</v>
      </c>
      <c r="N1184" s="190">
        <v>791.76</v>
      </c>
      <c r="O1184" s="190">
        <f t="shared" si="147"/>
        <v>863.02</v>
      </c>
      <c r="P1184" s="191">
        <f t="shared" si="148"/>
        <v>0</v>
      </c>
      <c r="Q1184" s="192">
        <f t="shared" si="149"/>
        <v>0</v>
      </c>
      <c r="R1184" s="193"/>
      <c r="S1184" s="194"/>
      <c r="T1184" s="195">
        <f t="shared" si="150"/>
        <v>0</v>
      </c>
      <c r="U1184" s="195">
        <f t="shared" si="151"/>
        <v>0</v>
      </c>
      <c r="V1184" s="195">
        <f t="shared" si="152"/>
        <v>0</v>
      </c>
      <c r="W1184" s="196" t="e">
        <f t="shared" si="153"/>
        <v>#DIV/0!</v>
      </c>
      <c r="X1184" s="197" t="e">
        <f t="shared" si="154"/>
        <v>#DIV/0!</v>
      </c>
    </row>
    <row r="1185" ht="11.4" hidden="1" customHeight="1" spans="1:24">
      <c r="A1185" s="184" t="s">
        <v>3020</v>
      </c>
      <c r="B1185" s="184" t="s">
        <v>188</v>
      </c>
      <c r="C1185" s="184" t="s">
        <v>2644</v>
      </c>
      <c r="D1185" s="185" t="s">
        <v>701</v>
      </c>
      <c r="E1185" s="186" t="s">
        <v>3010</v>
      </c>
      <c r="F1185" s="186" t="s">
        <v>3021</v>
      </c>
      <c r="G1185" s="186" t="s">
        <v>3021</v>
      </c>
      <c r="H1185" s="186" t="s">
        <v>3022</v>
      </c>
      <c r="I1185" s="187" t="s">
        <v>3023</v>
      </c>
      <c r="J1185" s="187" t="s">
        <v>3024</v>
      </c>
      <c r="K1185" s="188"/>
      <c r="L1185" s="188"/>
      <c r="M1185" s="189" t="s">
        <v>793</v>
      </c>
      <c r="N1185" s="190">
        <v>674.38</v>
      </c>
      <c r="O1185" s="190">
        <f t="shared" si="147"/>
        <v>735.07</v>
      </c>
      <c r="P1185" s="191">
        <f t="shared" si="148"/>
        <v>0</v>
      </c>
      <c r="Q1185" s="192">
        <f t="shared" si="149"/>
        <v>0</v>
      </c>
      <c r="R1185" s="193"/>
      <c r="S1185" s="194"/>
      <c r="T1185" s="195">
        <f t="shared" si="150"/>
        <v>0</v>
      </c>
      <c r="U1185" s="195">
        <f t="shared" si="151"/>
        <v>0</v>
      </c>
      <c r="V1185" s="195">
        <f t="shared" si="152"/>
        <v>0</v>
      </c>
      <c r="W1185" s="196" t="e">
        <f t="shared" si="153"/>
        <v>#DIV/0!</v>
      </c>
      <c r="X1185" s="197" t="e">
        <f t="shared" si="154"/>
        <v>#DIV/0!</v>
      </c>
    </row>
    <row r="1186" ht="11.4" hidden="1" customHeight="1" spans="1:24">
      <c r="A1186" s="184" t="s">
        <v>3020</v>
      </c>
      <c r="B1186" s="184" t="s">
        <v>188</v>
      </c>
      <c r="C1186" s="184" t="s">
        <v>2644</v>
      </c>
      <c r="D1186" s="185" t="s">
        <v>701</v>
      </c>
      <c r="E1186" s="186" t="s">
        <v>3010</v>
      </c>
      <c r="F1186" s="186" t="s">
        <v>3021</v>
      </c>
      <c r="G1186" s="186" t="s">
        <v>3021</v>
      </c>
      <c r="H1186" s="186" t="s">
        <v>3025</v>
      </c>
      <c r="I1186" s="187" t="s">
        <v>3026</v>
      </c>
      <c r="J1186" s="187" t="s">
        <v>3027</v>
      </c>
      <c r="K1186" s="188"/>
      <c r="L1186" s="188"/>
      <c r="M1186" s="189" t="s">
        <v>793</v>
      </c>
      <c r="N1186" s="190">
        <v>761.5</v>
      </c>
      <c r="O1186" s="190">
        <f t="shared" si="147"/>
        <v>830.04</v>
      </c>
      <c r="P1186" s="191">
        <f t="shared" si="148"/>
        <v>0</v>
      </c>
      <c r="Q1186" s="192">
        <f t="shared" si="149"/>
        <v>0</v>
      </c>
      <c r="R1186" s="193"/>
      <c r="S1186" s="194"/>
      <c r="T1186" s="195">
        <f t="shared" si="150"/>
        <v>0</v>
      </c>
      <c r="U1186" s="195">
        <f t="shared" si="151"/>
        <v>0</v>
      </c>
      <c r="V1186" s="195">
        <f t="shared" si="152"/>
        <v>0</v>
      </c>
      <c r="W1186" s="196" t="e">
        <f t="shared" si="153"/>
        <v>#DIV/0!</v>
      </c>
      <c r="X1186" s="197" t="e">
        <f t="shared" si="154"/>
        <v>#DIV/0!</v>
      </c>
    </row>
    <row r="1187" ht="11.4" hidden="1" customHeight="1" spans="1:24">
      <c r="A1187" s="184" t="s">
        <v>3020</v>
      </c>
      <c r="B1187" s="184" t="s">
        <v>188</v>
      </c>
      <c r="C1187" s="184" t="s">
        <v>2644</v>
      </c>
      <c r="D1187" s="185" t="s">
        <v>701</v>
      </c>
      <c r="E1187" s="186" t="s">
        <v>3010</v>
      </c>
      <c r="F1187" s="186" t="s">
        <v>3021</v>
      </c>
      <c r="G1187" s="186" t="s">
        <v>3021</v>
      </c>
      <c r="H1187" s="186" t="s">
        <v>3028</v>
      </c>
      <c r="I1187" s="187" t="s">
        <v>3029</v>
      </c>
      <c r="J1187" s="187" t="s">
        <v>3030</v>
      </c>
      <c r="K1187" s="188"/>
      <c r="L1187" s="188"/>
      <c r="M1187" s="189" t="s">
        <v>793</v>
      </c>
      <c r="N1187" s="190">
        <v>137.5</v>
      </c>
      <c r="O1187" s="190">
        <f t="shared" si="147"/>
        <v>149.88</v>
      </c>
      <c r="P1187" s="191">
        <f t="shared" si="148"/>
        <v>0</v>
      </c>
      <c r="Q1187" s="192">
        <f t="shared" si="149"/>
        <v>0</v>
      </c>
      <c r="R1187" s="193"/>
      <c r="S1187" s="194"/>
      <c r="T1187" s="195">
        <f t="shared" si="150"/>
        <v>0</v>
      </c>
      <c r="U1187" s="195">
        <f t="shared" si="151"/>
        <v>0</v>
      </c>
      <c r="V1187" s="195">
        <f t="shared" si="152"/>
        <v>0</v>
      </c>
      <c r="W1187" s="196" t="e">
        <f t="shared" si="153"/>
        <v>#DIV/0!</v>
      </c>
      <c r="X1187" s="197" t="e">
        <f t="shared" si="154"/>
        <v>#DIV/0!</v>
      </c>
    </row>
    <row r="1188" ht="11.4" hidden="1" customHeight="1" spans="1:24">
      <c r="A1188" s="184" t="s">
        <v>3020</v>
      </c>
      <c r="B1188" s="184" t="s">
        <v>188</v>
      </c>
      <c r="C1188" s="184" t="s">
        <v>2644</v>
      </c>
      <c r="D1188" s="185" t="s">
        <v>701</v>
      </c>
      <c r="E1188" s="186" t="s">
        <v>3010</v>
      </c>
      <c r="F1188" s="186" t="s">
        <v>3021</v>
      </c>
      <c r="G1188" s="186" t="s">
        <v>3021</v>
      </c>
      <c r="H1188" s="186" t="s">
        <v>3028</v>
      </c>
      <c r="I1188" s="187" t="s">
        <v>3031</v>
      </c>
      <c r="J1188" s="187" t="s">
        <v>3032</v>
      </c>
      <c r="K1188" s="188"/>
      <c r="L1188" s="188"/>
      <c r="M1188" s="189" t="s">
        <v>989</v>
      </c>
      <c r="N1188" s="190">
        <v>1197.5</v>
      </c>
      <c r="O1188" s="190">
        <f t="shared" si="147"/>
        <v>1305.28</v>
      </c>
      <c r="P1188" s="191">
        <f t="shared" si="148"/>
        <v>0</v>
      </c>
      <c r="Q1188" s="192">
        <f t="shared" si="149"/>
        <v>0</v>
      </c>
      <c r="R1188" s="193"/>
      <c r="S1188" s="194"/>
      <c r="T1188" s="195">
        <f t="shared" si="150"/>
        <v>0</v>
      </c>
      <c r="U1188" s="195">
        <f t="shared" si="151"/>
        <v>0</v>
      </c>
      <c r="V1188" s="195">
        <f t="shared" si="152"/>
        <v>0</v>
      </c>
      <c r="W1188" s="196" t="e">
        <f t="shared" si="153"/>
        <v>#DIV/0!</v>
      </c>
      <c r="X1188" s="197" t="e">
        <f t="shared" si="154"/>
        <v>#DIV/0!</v>
      </c>
    </row>
    <row r="1189" ht="11.4" hidden="1" customHeight="1" spans="1:24">
      <c r="A1189" s="184" t="s">
        <v>3020</v>
      </c>
      <c r="B1189" s="184" t="s">
        <v>188</v>
      </c>
      <c r="C1189" s="184" t="s">
        <v>2644</v>
      </c>
      <c r="D1189" s="185" t="s">
        <v>701</v>
      </c>
      <c r="E1189" s="186" t="s">
        <v>3010</v>
      </c>
      <c r="F1189" s="186" t="s">
        <v>3021</v>
      </c>
      <c r="G1189" s="186" t="s">
        <v>3021</v>
      </c>
      <c r="H1189" s="186" t="s">
        <v>3028</v>
      </c>
      <c r="I1189" s="187" t="s">
        <v>3033</v>
      </c>
      <c r="J1189" s="187" t="s">
        <v>3034</v>
      </c>
      <c r="K1189" s="188"/>
      <c r="L1189" s="188"/>
      <c r="M1189" s="189" t="s">
        <v>963</v>
      </c>
      <c r="N1189" s="190">
        <v>158.95</v>
      </c>
      <c r="O1189" s="190">
        <f t="shared" si="147"/>
        <v>173.26</v>
      </c>
      <c r="P1189" s="191">
        <f t="shared" si="148"/>
        <v>0</v>
      </c>
      <c r="Q1189" s="192">
        <f t="shared" si="149"/>
        <v>0</v>
      </c>
      <c r="R1189" s="193"/>
      <c r="S1189" s="194"/>
      <c r="T1189" s="195">
        <f t="shared" si="150"/>
        <v>0</v>
      </c>
      <c r="U1189" s="195">
        <f t="shared" si="151"/>
        <v>0</v>
      </c>
      <c r="V1189" s="195">
        <f t="shared" si="152"/>
        <v>0</v>
      </c>
      <c r="W1189" s="196" t="e">
        <f t="shared" si="153"/>
        <v>#DIV/0!</v>
      </c>
      <c r="X1189" s="197" t="e">
        <f t="shared" si="154"/>
        <v>#DIV/0!</v>
      </c>
    </row>
    <row r="1190" ht="11.4" hidden="1" customHeight="1" spans="1:24">
      <c r="A1190" s="184" t="s">
        <v>3035</v>
      </c>
      <c r="B1190" s="184" t="s">
        <v>111</v>
      </c>
      <c r="C1190" s="184" t="s">
        <v>1101</v>
      </c>
      <c r="D1190" s="185" t="s">
        <v>700</v>
      </c>
      <c r="E1190" s="186" t="s">
        <v>2956</v>
      </c>
      <c r="F1190" s="186" t="s">
        <v>3036</v>
      </c>
      <c r="G1190" s="186" t="s">
        <v>3036</v>
      </c>
      <c r="H1190" s="186" t="s">
        <v>3037</v>
      </c>
      <c r="I1190" s="187" t="s">
        <v>1104</v>
      </c>
      <c r="J1190" s="187" t="s">
        <v>1105</v>
      </c>
      <c r="K1190" s="188"/>
      <c r="L1190" s="188"/>
      <c r="M1190" s="189" t="s">
        <v>847</v>
      </c>
      <c r="N1190" s="190">
        <v>180.78</v>
      </c>
      <c r="O1190" s="190">
        <f t="shared" si="147"/>
        <v>197.05</v>
      </c>
      <c r="P1190" s="191">
        <f t="shared" si="148"/>
        <v>0</v>
      </c>
      <c r="Q1190" s="192">
        <f t="shared" si="149"/>
        <v>0</v>
      </c>
      <c r="R1190" s="193"/>
      <c r="S1190" s="194"/>
      <c r="T1190" s="195">
        <f t="shared" si="150"/>
        <v>0</v>
      </c>
      <c r="U1190" s="195">
        <f t="shared" si="151"/>
        <v>0</v>
      </c>
      <c r="V1190" s="195">
        <f t="shared" si="152"/>
        <v>0</v>
      </c>
      <c r="W1190" s="196" t="e">
        <f t="shared" si="153"/>
        <v>#DIV/0!</v>
      </c>
      <c r="X1190" s="197" t="e">
        <f t="shared" si="154"/>
        <v>#DIV/0!</v>
      </c>
    </row>
    <row r="1191" ht="11.4" hidden="1" customHeight="1" spans="1:24">
      <c r="A1191" s="184" t="s">
        <v>3035</v>
      </c>
      <c r="B1191" s="184" t="s">
        <v>111</v>
      </c>
      <c r="C1191" s="184" t="s">
        <v>1101</v>
      </c>
      <c r="D1191" s="185" t="s">
        <v>700</v>
      </c>
      <c r="E1191" s="186" t="s">
        <v>2956</v>
      </c>
      <c r="F1191" s="186" t="s">
        <v>3036</v>
      </c>
      <c r="G1191" s="186" t="s">
        <v>3036</v>
      </c>
      <c r="H1191" s="186" t="s">
        <v>3037</v>
      </c>
      <c r="I1191" s="187" t="s">
        <v>1106</v>
      </c>
      <c r="J1191" s="187" t="s">
        <v>1107</v>
      </c>
      <c r="K1191" s="188"/>
      <c r="L1191" s="188"/>
      <c r="M1191" s="189" t="s">
        <v>807</v>
      </c>
      <c r="N1191" s="190">
        <v>41.36</v>
      </c>
      <c r="O1191" s="190">
        <f t="shared" si="147"/>
        <v>45.08</v>
      </c>
      <c r="P1191" s="191">
        <f t="shared" si="148"/>
        <v>0</v>
      </c>
      <c r="Q1191" s="192">
        <f t="shared" si="149"/>
        <v>0</v>
      </c>
      <c r="R1191" s="193"/>
      <c r="S1191" s="194"/>
      <c r="T1191" s="195">
        <f t="shared" si="150"/>
        <v>0</v>
      </c>
      <c r="U1191" s="195">
        <f t="shared" si="151"/>
        <v>0</v>
      </c>
      <c r="V1191" s="195">
        <f t="shared" si="152"/>
        <v>0</v>
      </c>
      <c r="W1191" s="196" t="e">
        <f t="shared" si="153"/>
        <v>#DIV/0!</v>
      </c>
      <c r="X1191" s="197" t="e">
        <f t="shared" si="154"/>
        <v>#DIV/0!</v>
      </c>
    </row>
    <row r="1192" ht="11.4" hidden="1" customHeight="1" spans="1:24">
      <c r="A1192" s="184" t="s">
        <v>3035</v>
      </c>
      <c r="B1192" s="184" t="s">
        <v>111</v>
      </c>
      <c r="C1192" s="184" t="s">
        <v>1101</v>
      </c>
      <c r="D1192" s="185" t="s">
        <v>700</v>
      </c>
      <c r="E1192" s="186" t="s">
        <v>2956</v>
      </c>
      <c r="F1192" s="186" t="s">
        <v>3036</v>
      </c>
      <c r="G1192" s="186" t="s">
        <v>3036</v>
      </c>
      <c r="H1192" s="186" t="s">
        <v>3037</v>
      </c>
      <c r="I1192" s="187" t="s">
        <v>1109</v>
      </c>
      <c r="J1192" s="187" t="s">
        <v>1110</v>
      </c>
      <c r="K1192" s="188"/>
      <c r="L1192" s="188"/>
      <c r="M1192" s="189" t="s">
        <v>847</v>
      </c>
      <c r="N1192" s="190">
        <v>160.21</v>
      </c>
      <c r="O1192" s="190">
        <f t="shared" si="147"/>
        <v>174.63</v>
      </c>
      <c r="P1192" s="191">
        <f t="shared" si="148"/>
        <v>0</v>
      </c>
      <c r="Q1192" s="192">
        <f t="shared" si="149"/>
        <v>0</v>
      </c>
      <c r="R1192" s="193"/>
      <c r="S1192" s="194"/>
      <c r="T1192" s="195">
        <f t="shared" si="150"/>
        <v>0</v>
      </c>
      <c r="U1192" s="195">
        <f t="shared" si="151"/>
        <v>0</v>
      </c>
      <c r="V1192" s="195">
        <f t="shared" si="152"/>
        <v>0</v>
      </c>
      <c r="W1192" s="196" t="e">
        <f t="shared" si="153"/>
        <v>#DIV/0!</v>
      </c>
      <c r="X1192" s="197" t="e">
        <f t="shared" si="154"/>
        <v>#DIV/0!</v>
      </c>
    </row>
    <row r="1193" ht="11.4" hidden="1" customHeight="1" spans="1:24">
      <c r="A1193" s="184" t="s">
        <v>3035</v>
      </c>
      <c r="B1193" s="184" t="s">
        <v>111</v>
      </c>
      <c r="C1193" s="184" t="s">
        <v>1101</v>
      </c>
      <c r="D1193" s="185" t="s">
        <v>700</v>
      </c>
      <c r="E1193" s="186" t="s">
        <v>2956</v>
      </c>
      <c r="F1193" s="186" t="s">
        <v>3036</v>
      </c>
      <c r="G1193" s="186" t="s">
        <v>3036</v>
      </c>
      <c r="H1193" s="186" t="s">
        <v>3037</v>
      </c>
      <c r="I1193" s="187" t="s">
        <v>1111</v>
      </c>
      <c r="J1193" s="187" t="s">
        <v>1112</v>
      </c>
      <c r="K1193" s="188"/>
      <c r="L1193" s="188"/>
      <c r="M1193" s="189" t="s">
        <v>807</v>
      </c>
      <c r="N1193" s="190">
        <v>38.94</v>
      </c>
      <c r="O1193" s="190">
        <f t="shared" si="147"/>
        <v>42.44</v>
      </c>
      <c r="P1193" s="191">
        <f t="shared" si="148"/>
        <v>0</v>
      </c>
      <c r="Q1193" s="192">
        <f t="shared" si="149"/>
        <v>0</v>
      </c>
      <c r="R1193" s="193"/>
      <c r="S1193" s="194"/>
      <c r="T1193" s="195">
        <f t="shared" si="150"/>
        <v>0</v>
      </c>
      <c r="U1193" s="195">
        <f t="shared" si="151"/>
        <v>0</v>
      </c>
      <c r="V1193" s="195">
        <f t="shared" si="152"/>
        <v>0</v>
      </c>
      <c r="W1193" s="196" t="e">
        <f t="shared" si="153"/>
        <v>#DIV/0!</v>
      </c>
      <c r="X1193" s="197" t="e">
        <f t="shared" si="154"/>
        <v>#DIV/0!</v>
      </c>
    </row>
    <row r="1194" ht="11.4" hidden="1" customHeight="1" spans="1:24">
      <c r="A1194" s="184" t="s">
        <v>3035</v>
      </c>
      <c r="B1194" s="184" t="s">
        <v>111</v>
      </c>
      <c r="C1194" s="184" t="s">
        <v>1101</v>
      </c>
      <c r="D1194" s="185" t="s">
        <v>700</v>
      </c>
      <c r="E1194" s="186" t="s">
        <v>2956</v>
      </c>
      <c r="F1194" s="186" t="s">
        <v>3036</v>
      </c>
      <c r="G1194" s="186" t="s">
        <v>3036</v>
      </c>
      <c r="H1194" s="186" t="s">
        <v>3037</v>
      </c>
      <c r="I1194" s="187" t="s">
        <v>1113</v>
      </c>
      <c r="J1194" s="187" t="s">
        <v>1114</v>
      </c>
      <c r="K1194" s="188"/>
      <c r="L1194" s="188"/>
      <c r="M1194" s="189" t="s">
        <v>847</v>
      </c>
      <c r="N1194" s="190">
        <v>181.99</v>
      </c>
      <c r="O1194" s="190">
        <f t="shared" si="147"/>
        <v>198.37</v>
      </c>
      <c r="P1194" s="191">
        <f t="shared" si="148"/>
        <v>0</v>
      </c>
      <c r="Q1194" s="192">
        <f t="shared" si="149"/>
        <v>0</v>
      </c>
      <c r="R1194" s="193"/>
      <c r="S1194" s="194"/>
      <c r="T1194" s="195">
        <f t="shared" si="150"/>
        <v>0</v>
      </c>
      <c r="U1194" s="195">
        <f t="shared" si="151"/>
        <v>0</v>
      </c>
      <c r="V1194" s="195">
        <f t="shared" si="152"/>
        <v>0</v>
      </c>
      <c r="W1194" s="196" t="e">
        <f t="shared" si="153"/>
        <v>#DIV/0!</v>
      </c>
      <c r="X1194" s="197" t="e">
        <f t="shared" si="154"/>
        <v>#DIV/0!</v>
      </c>
    </row>
    <row r="1195" ht="11.4" hidden="1" customHeight="1" spans="1:24">
      <c r="A1195" s="184" t="s">
        <v>3035</v>
      </c>
      <c r="B1195" s="184" t="s">
        <v>111</v>
      </c>
      <c r="C1195" s="184" t="s">
        <v>1101</v>
      </c>
      <c r="D1195" s="185" t="s">
        <v>700</v>
      </c>
      <c r="E1195" s="186" t="s">
        <v>2956</v>
      </c>
      <c r="F1195" s="186" t="s">
        <v>3036</v>
      </c>
      <c r="G1195" s="186" t="s">
        <v>3036</v>
      </c>
      <c r="H1195" s="186" t="s">
        <v>3037</v>
      </c>
      <c r="I1195" s="187" t="s">
        <v>1115</v>
      </c>
      <c r="J1195" s="187" t="s">
        <v>1116</v>
      </c>
      <c r="K1195" s="188"/>
      <c r="L1195" s="188"/>
      <c r="M1195" s="189" t="s">
        <v>807</v>
      </c>
      <c r="N1195" s="190">
        <v>42.57</v>
      </c>
      <c r="O1195" s="190">
        <f t="shared" si="147"/>
        <v>46.4</v>
      </c>
      <c r="P1195" s="191">
        <f t="shared" si="148"/>
        <v>0</v>
      </c>
      <c r="Q1195" s="192">
        <f t="shared" si="149"/>
        <v>0</v>
      </c>
      <c r="R1195" s="193"/>
      <c r="S1195" s="194"/>
      <c r="T1195" s="195">
        <f t="shared" si="150"/>
        <v>0</v>
      </c>
      <c r="U1195" s="195">
        <f t="shared" si="151"/>
        <v>0</v>
      </c>
      <c r="V1195" s="195">
        <f t="shared" si="152"/>
        <v>0</v>
      </c>
      <c r="W1195" s="196" t="e">
        <f t="shared" si="153"/>
        <v>#DIV/0!</v>
      </c>
      <c r="X1195" s="197" t="e">
        <f t="shared" si="154"/>
        <v>#DIV/0!</v>
      </c>
    </row>
    <row r="1196" ht="11.4" hidden="1" customHeight="1" spans="1:24">
      <c r="A1196" s="184" t="s">
        <v>3038</v>
      </c>
      <c r="B1196" s="184" t="s">
        <v>113</v>
      </c>
      <c r="C1196" s="184" t="s">
        <v>1101</v>
      </c>
      <c r="D1196" s="185" t="s">
        <v>700</v>
      </c>
      <c r="E1196" s="186" t="s">
        <v>2956</v>
      </c>
      <c r="F1196" s="186" t="s">
        <v>3036</v>
      </c>
      <c r="G1196" s="186" t="s">
        <v>3036</v>
      </c>
      <c r="H1196" s="186" t="s">
        <v>3039</v>
      </c>
      <c r="I1196" s="187" t="s">
        <v>1175</v>
      </c>
      <c r="J1196" s="187" t="s">
        <v>1176</v>
      </c>
      <c r="K1196" s="188"/>
      <c r="L1196" s="188"/>
      <c r="M1196" s="189" t="s">
        <v>847</v>
      </c>
      <c r="N1196" s="190">
        <v>114.06</v>
      </c>
      <c r="O1196" s="190">
        <f t="shared" si="147"/>
        <v>124.33</v>
      </c>
      <c r="P1196" s="191">
        <f t="shared" si="148"/>
        <v>0</v>
      </c>
      <c r="Q1196" s="192">
        <f t="shared" si="149"/>
        <v>0</v>
      </c>
      <c r="R1196" s="193"/>
      <c r="S1196" s="194"/>
      <c r="T1196" s="195">
        <f t="shared" si="150"/>
        <v>0</v>
      </c>
      <c r="U1196" s="195">
        <f t="shared" si="151"/>
        <v>0</v>
      </c>
      <c r="V1196" s="195">
        <f t="shared" si="152"/>
        <v>0</v>
      </c>
      <c r="W1196" s="196" t="e">
        <f t="shared" si="153"/>
        <v>#DIV/0!</v>
      </c>
      <c r="X1196" s="197" t="e">
        <f t="shared" si="154"/>
        <v>#DIV/0!</v>
      </c>
    </row>
    <row r="1197" ht="11.4" hidden="1" customHeight="1" spans="1:24">
      <c r="A1197" s="184" t="s">
        <v>3038</v>
      </c>
      <c r="B1197" s="184" t="s">
        <v>113</v>
      </c>
      <c r="C1197" s="184" t="s">
        <v>1101</v>
      </c>
      <c r="D1197" s="185" t="s">
        <v>700</v>
      </c>
      <c r="E1197" s="186" t="s">
        <v>2956</v>
      </c>
      <c r="F1197" s="186" t="s">
        <v>3036</v>
      </c>
      <c r="G1197" s="186" t="s">
        <v>3036</v>
      </c>
      <c r="H1197" s="186" t="s">
        <v>3039</v>
      </c>
      <c r="I1197" s="187" t="s">
        <v>1178</v>
      </c>
      <c r="J1197" s="187" t="s">
        <v>1179</v>
      </c>
      <c r="K1197" s="188"/>
      <c r="L1197" s="188"/>
      <c r="M1197" s="189" t="s">
        <v>847</v>
      </c>
      <c r="N1197" s="190">
        <v>197.83</v>
      </c>
      <c r="O1197" s="190">
        <f t="shared" si="147"/>
        <v>215.63</v>
      </c>
      <c r="P1197" s="191">
        <f t="shared" si="148"/>
        <v>0</v>
      </c>
      <c r="Q1197" s="192">
        <f t="shared" si="149"/>
        <v>0</v>
      </c>
      <c r="R1197" s="193"/>
      <c r="S1197" s="194"/>
      <c r="T1197" s="195">
        <f t="shared" si="150"/>
        <v>0</v>
      </c>
      <c r="U1197" s="195">
        <f t="shared" si="151"/>
        <v>0</v>
      </c>
      <c r="V1197" s="195">
        <f t="shared" si="152"/>
        <v>0</v>
      </c>
      <c r="W1197" s="196" t="e">
        <f t="shared" si="153"/>
        <v>#DIV/0!</v>
      </c>
      <c r="X1197" s="197" t="e">
        <f t="shared" si="154"/>
        <v>#DIV/0!</v>
      </c>
    </row>
    <row r="1198" ht="11.4" hidden="1" customHeight="1" spans="1:24">
      <c r="A1198" s="184" t="s">
        <v>3038</v>
      </c>
      <c r="B1198" s="184" t="s">
        <v>113</v>
      </c>
      <c r="C1198" s="184" t="s">
        <v>1101</v>
      </c>
      <c r="D1198" s="185" t="s">
        <v>700</v>
      </c>
      <c r="E1198" s="186" t="s">
        <v>2956</v>
      </c>
      <c r="F1198" s="186" t="s">
        <v>3036</v>
      </c>
      <c r="G1198" s="186" t="s">
        <v>3036</v>
      </c>
      <c r="H1198" s="186" t="s">
        <v>3039</v>
      </c>
      <c r="I1198" s="187" t="s">
        <v>1181</v>
      </c>
      <c r="J1198" s="187" t="s">
        <v>1182</v>
      </c>
      <c r="K1198" s="188"/>
      <c r="L1198" s="188"/>
      <c r="M1198" s="189" t="s">
        <v>847</v>
      </c>
      <c r="N1198" s="190">
        <v>182.9</v>
      </c>
      <c r="O1198" s="190">
        <f t="shared" si="147"/>
        <v>199.36</v>
      </c>
      <c r="P1198" s="191">
        <f t="shared" si="148"/>
        <v>0</v>
      </c>
      <c r="Q1198" s="192">
        <f t="shared" si="149"/>
        <v>0</v>
      </c>
      <c r="R1198" s="193"/>
      <c r="S1198" s="194"/>
      <c r="T1198" s="195">
        <f t="shared" si="150"/>
        <v>0</v>
      </c>
      <c r="U1198" s="195">
        <f t="shared" si="151"/>
        <v>0</v>
      </c>
      <c r="V1198" s="195">
        <f t="shared" si="152"/>
        <v>0</v>
      </c>
      <c r="W1198" s="196" t="e">
        <f t="shared" si="153"/>
        <v>#DIV/0!</v>
      </c>
      <c r="X1198" s="197" t="e">
        <f t="shared" si="154"/>
        <v>#DIV/0!</v>
      </c>
    </row>
    <row r="1199" ht="11.4" hidden="1" customHeight="1" spans="1:24">
      <c r="A1199" s="184" t="s">
        <v>3038</v>
      </c>
      <c r="B1199" s="184" t="s">
        <v>113</v>
      </c>
      <c r="C1199" s="184" t="s">
        <v>1101</v>
      </c>
      <c r="D1199" s="185" t="s">
        <v>700</v>
      </c>
      <c r="E1199" s="186" t="s">
        <v>2956</v>
      </c>
      <c r="F1199" s="186" t="s">
        <v>3036</v>
      </c>
      <c r="G1199" s="186" t="s">
        <v>3036</v>
      </c>
      <c r="H1199" s="186" t="s">
        <v>3039</v>
      </c>
      <c r="I1199" s="187" t="s">
        <v>1183</v>
      </c>
      <c r="J1199" s="187" t="s">
        <v>1184</v>
      </c>
      <c r="K1199" s="188"/>
      <c r="L1199" s="188"/>
      <c r="M1199" s="189" t="s">
        <v>847</v>
      </c>
      <c r="N1199" s="190">
        <v>186.66</v>
      </c>
      <c r="O1199" s="190">
        <f t="shared" si="147"/>
        <v>203.46</v>
      </c>
      <c r="P1199" s="191">
        <f t="shared" si="148"/>
        <v>0</v>
      </c>
      <c r="Q1199" s="192">
        <f t="shared" si="149"/>
        <v>0</v>
      </c>
      <c r="R1199" s="193"/>
      <c r="S1199" s="194"/>
      <c r="T1199" s="195">
        <f t="shared" si="150"/>
        <v>0</v>
      </c>
      <c r="U1199" s="195">
        <f t="shared" si="151"/>
        <v>0</v>
      </c>
      <c r="V1199" s="195">
        <f t="shared" si="152"/>
        <v>0</v>
      </c>
      <c r="W1199" s="196" t="e">
        <f t="shared" si="153"/>
        <v>#DIV/0!</v>
      </c>
      <c r="X1199" s="197" t="e">
        <f t="shared" si="154"/>
        <v>#DIV/0!</v>
      </c>
    </row>
    <row r="1200" ht="11.4" hidden="1" customHeight="1" spans="1:24">
      <c r="A1200" s="184" t="s">
        <v>3038</v>
      </c>
      <c r="B1200" s="184" t="s">
        <v>113</v>
      </c>
      <c r="C1200" s="184" t="s">
        <v>1101</v>
      </c>
      <c r="D1200" s="185" t="s">
        <v>700</v>
      </c>
      <c r="E1200" s="186" t="s">
        <v>2956</v>
      </c>
      <c r="F1200" s="186" t="s">
        <v>3036</v>
      </c>
      <c r="G1200" s="186" t="s">
        <v>3036</v>
      </c>
      <c r="H1200" s="186" t="s">
        <v>3039</v>
      </c>
      <c r="I1200" s="187" t="s">
        <v>1185</v>
      </c>
      <c r="J1200" s="187" t="s">
        <v>1186</v>
      </c>
      <c r="K1200" s="188"/>
      <c r="L1200" s="188"/>
      <c r="M1200" s="189" t="s">
        <v>847</v>
      </c>
      <c r="N1200" s="190">
        <v>174.35</v>
      </c>
      <c r="O1200" s="190">
        <f t="shared" si="147"/>
        <v>190.04</v>
      </c>
      <c r="P1200" s="191">
        <f t="shared" si="148"/>
        <v>0</v>
      </c>
      <c r="Q1200" s="192">
        <f t="shared" si="149"/>
        <v>0</v>
      </c>
      <c r="R1200" s="193"/>
      <c r="S1200" s="194"/>
      <c r="T1200" s="195">
        <f t="shared" si="150"/>
        <v>0</v>
      </c>
      <c r="U1200" s="195">
        <f t="shared" si="151"/>
        <v>0</v>
      </c>
      <c r="V1200" s="195">
        <f t="shared" si="152"/>
        <v>0</v>
      </c>
      <c r="W1200" s="196" t="e">
        <f t="shared" si="153"/>
        <v>#DIV/0!</v>
      </c>
      <c r="X1200" s="197" t="e">
        <f t="shared" si="154"/>
        <v>#DIV/0!</v>
      </c>
    </row>
    <row r="1201" ht="11.4" hidden="1" customHeight="1" spans="1:24">
      <c r="A1201" s="184" t="s">
        <v>3038</v>
      </c>
      <c r="B1201" s="184" t="s">
        <v>113</v>
      </c>
      <c r="C1201" s="184" t="s">
        <v>1101</v>
      </c>
      <c r="D1201" s="185" t="s">
        <v>700</v>
      </c>
      <c r="E1201" s="186" t="s">
        <v>2956</v>
      </c>
      <c r="F1201" s="186" t="s">
        <v>3036</v>
      </c>
      <c r="G1201" s="186" t="s">
        <v>3036</v>
      </c>
      <c r="H1201" s="186" t="s">
        <v>3039</v>
      </c>
      <c r="I1201" s="187" t="s">
        <v>1193</v>
      </c>
      <c r="J1201" s="187" t="s">
        <v>1194</v>
      </c>
      <c r="K1201" s="188"/>
      <c r="L1201" s="188"/>
      <c r="M1201" s="189" t="s">
        <v>847</v>
      </c>
      <c r="N1201" s="190">
        <v>70.85</v>
      </c>
      <c r="O1201" s="190">
        <f t="shared" si="147"/>
        <v>77.23</v>
      </c>
      <c r="P1201" s="191">
        <f t="shared" si="148"/>
        <v>0</v>
      </c>
      <c r="Q1201" s="192">
        <f t="shared" si="149"/>
        <v>0</v>
      </c>
      <c r="R1201" s="193"/>
      <c r="S1201" s="194"/>
      <c r="T1201" s="195">
        <f t="shared" si="150"/>
        <v>0</v>
      </c>
      <c r="U1201" s="195">
        <f t="shared" si="151"/>
        <v>0</v>
      </c>
      <c r="V1201" s="195">
        <f t="shared" si="152"/>
        <v>0</v>
      </c>
      <c r="W1201" s="196" t="e">
        <f t="shared" si="153"/>
        <v>#DIV/0!</v>
      </c>
      <c r="X1201" s="197" t="e">
        <f t="shared" si="154"/>
        <v>#DIV/0!</v>
      </c>
    </row>
    <row r="1202" ht="11.4" hidden="1" customHeight="1" spans="1:24">
      <c r="A1202" s="184" t="s">
        <v>3038</v>
      </c>
      <c r="B1202" s="184" t="s">
        <v>113</v>
      </c>
      <c r="C1202" s="184" t="s">
        <v>1101</v>
      </c>
      <c r="D1202" s="185" t="s">
        <v>700</v>
      </c>
      <c r="E1202" s="186" t="s">
        <v>2956</v>
      </c>
      <c r="F1202" s="186" t="s">
        <v>3036</v>
      </c>
      <c r="G1202" s="186" t="s">
        <v>3036</v>
      </c>
      <c r="H1202" s="186" t="s">
        <v>3039</v>
      </c>
      <c r="I1202" s="187" t="s">
        <v>1195</v>
      </c>
      <c r="J1202" s="187" t="s">
        <v>1196</v>
      </c>
      <c r="K1202" s="188"/>
      <c r="L1202" s="188"/>
      <c r="M1202" s="189" t="s">
        <v>847</v>
      </c>
      <c r="N1202" s="190">
        <v>307.56</v>
      </c>
      <c r="O1202" s="190">
        <f t="shared" si="147"/>
        <v>335.24</v>
      </c>
      <c r="P1202" s="191">
        <f t="shared" si="148"/>
        <v>0</v>
      </c>
      <c r="Q1202" s="192">
        <f t="shared" si="149"/>
        <v>0</v>
      </c>
      <c r="R1202" s="193"/>
      <c r="S1202" s="194"/>
      <c r="T1202" s="195">
        <f t="shared" si="150"/>
        <v>0</v>
      </c>
      <c r="U1202" s="195">
        <f t="shared" si="151"/>
        <v>0</v>
      </c>
      <c r="V1202" s="195">
        <f t="shared" si="152"/>
        <v>0</v>
      </c>
      <c r="W1202" s="196" t="e">
        <f t="shared" si="153"/>
        <v>#DIV/0!</v>
      </c>
      <c r="X1202" s="197" t="e">
        <f t="shared" si="154"/>
        <v>#DIV/0!</v>
      </c>
    </row>
    <row r="1203" ht="11.4" hidden="1" customHeight="1" spans="1:24">
      <c r="A1203" s="184" t="s">
        <v>3038</v>
      </c>
      <c r="B1203" s="184" t="s">
        <v>113</v>
      </c>
      <c r="C1203" s="184" t="s">
        <v>1101</v>
      </c>
      <c r="D1203" s="185" t="s">
        <v>700</v>
      </c>
      <c r="E1203" s="186" t="s">
        <v>2956</v>
      </c>
      <c r="F1203" s="186" t="s">
        <v>3036</v>
      </c>
      <c r="G1203" s="186" t="s">
        <v>3036</v>
      </c>
      <c r="H1203" s="186" t="s">
        <v>3039</v>
      </c>
      <c r="I1203" s="187" t="s">
        <v>1197</v>
      </c>
      <c r="J1203" s="187" t="s">
        <v>1198</v>
      </c>
      <c r="K1203" s="188"/>
      <c r="L1203" s="188"/>
      <c r="M1203" s="189" t="s">
        <v>847</v>
      </c>
      <c r="N1203" s="190">
        <v>39.59</v>
      </c>
      <c r="O1203" s="190">
        <f t="shared" si="147"/>
        <v>43.15</v>
      </c>
      <c r="P1203" s="191">
        <f t="shared" si="148"/>
        <v>0</v>
      </c>
      <c r="Q1203" s="192">
        <f t="shared" si="149"/>
        <v>0</v>
      </c>
      <c r="R1203" s="193"/>
      <c r="S1203" s="194"/>
      <c r="T1203" s="195">
        <f t="shared" si="150"/>
        <v>0</v>
      </c>
      <c r="U1203" s="195">
        <f t="shared" si="151"/>
        <v>0</v>
      </c>
      <c r="V1203" s="195">
        <f t="shared" si="152"/>
        <v>0</v>
      </c>
      <c r="W1203" s="196" t="e">
        <f t="shared" si="153"/>
        <v>#DIV/0!</v>
      </c>
      <c r="X1203" s="197" t="e">
        <f t="shared" si="154"/>
        <v>#DIV/0!</v>
      </c>
    </row>
    <row r="1204" ht="11.4" hidden="1" customHeight="1" spans="1:24">
      <c r="A1204" s="184" t="s">
        <v>3038</v>
      </c>
      <c r="B1204" s="184" t="s">
        <v>113</v>
      </c>
      <c r="C1204" s="184" t="s">
        <v>1101</v>
      </c>
      <c r="D1204" s="185" t="s">
        <v>700</v>
      </c>
      <c r="E1204" s="186" t="s">
        <v>2956</v>
      </c>
      <c r="F1204" s="186" t="s">
        <v>3036</v>
      </c>
      <c r="G1204" s="186" t="s">
        <v>3036</v>
      </c>
      <c r="H1204" s="186" t="s">
        <v>3039</v>
      </c>
      <c r="I1204" s="187" t="s">
        <v>1338</v>
      </c>
      <c r="J1204" s="187" t="s">
        <v>1339</v>
      </c>
      <c r="K1204" s="188"/>
      <c r="L1204" s="188"/>
      <c r="M1204" s="189" t="s">
        <v>847</v>
      </c>
      <c r="N1204" s="190">
        <v>205.04</v>
      </c>
      <c r="O1204" s="190">
        <f t="shared" si="147"/>
        <v>223.49</v>
      </c>
      <c r="P1204" s="191">
        <f t="shared" si="148"/>
        <v>0</v>
      </c>
      <c r="Q1204" s="192">
        <f t="shared" si="149"/>
        <v>0</v>
      </c>
      <c r="R1204" s="193"/>
      <c r="S1204" s="194"/>
      <c r="T1204" s="195">
        <f t="shared" si="150"/>
        <v>0</v>
      </c>
      <c r="U1204" s="195">
        <f t="shared" si="151"/>
        <v>0</v>
      </c>
      <c r="V1204" s="195">
        <f t="shared" si="152"/>
        <v>0</v>
      </c>
      <c r="W1204" s="196" t="e">
        <f t="shared" si="153"/>
        <v>#DIV/0!</v>
      </c>
      <c r="X1204" s="197" t="e">
        <f t="shared" si="154"/>
        <v>#DIV/0!</v>
      </c>
    </row>
    <row r="1205" ht="11.4" hidden="1" customHeight="1" spans="1:24">
      <c r="A1205" s="184" t="s">
        <v>1340</v>
      </c>
      <c r="B1205" s="184" t="s">
        <v>133</v>
      </c>
      <c r="C1205" s="184" t="s">
        <v>1341</v>
      </c>
      <c r="D1205" s="185" t="s">
        <v>700</v>
      </c>
      <c r="E1205" s="186" t="s">
        <v>2956</v>
      </c>
      <c r="F1205" s="186" t="s">
        <v>3036</v>
      </c>
      <c r="G1205" s="186" t="s">
        <v>3036</v>
      </c>
      <c r="H1205" s="186" t="s">
        <v>3040</v>
      </c>
      <c r="I1205" s="187" t="s">
        <v>1343</v>
      </c>
      <c r="J1205" s="187" t="s">
        <v>1344</v>
      </c>
      <c r="K1205" s="188"/>
      <c r="L1205" s="188"/>
      <c r="M1205" s="189" t="s">
        <v>847</v>
      </c>
      <c r="N1205" s="190"/>
      <c r="O1205" s="190">
        <f t="shared" si="147"/>
        <v>0</v>
      </c>
      <c r="P1205" s="191">
        <f t="shared" si="148"/>
        <v>0</v>
      </c>
      <c r="Q1205" s="192">
        <f t="shared" si="149"/>
        <v>0</v>
      </c>
      <c r="R1205" s="193"/>
      <c r="S1205" s="194"/>
      <c r="T1205" s="195">
        <f t="shared" si="150"/>
        <v>0</v>
      </c>
      <c r="U1205" s="195">
        <f t="shared" si="151"/>
        <v>0</v>
      </c>
      <c r="V1205" s="195">
        <f t="shared" si="152"/>
        <v>0</v>
      </c>
      <c r="W1205" s="196" t="e">
        <f t="shared" si="153"/>
        <v>#DIV/0!</v>
      </c>
      <c r="X1205" s="197" t="e">
        <f t="shared" si="154"/>
        <v>#DIV/0!</v>
      </c>
    </row>
    <row r="1206" ht="11.4" hidden="1" customHeight="1" spans="1:24">
      <c r="A1206" s="184" t="s">
        <v>1340</v>
      </c>
      <c r="B1206" s="184" t="s">
        <v>133</v>
      </c>
      <c r="C1206" s="184" t="s">
        <v>1341</v>
      </c>
      <c r="D1206" s="185" t="s">
        <v>700</v>
      </c>
      <c r="E1206" s="186" t="s">
        <v>2956</v>
      </c>
      <c r="F1206" s="186" t="s">
        <v>3036</v>
      </c>
      <c r="G1206" s="186" t="s">
        <v>3036</v>
      </c>
      <c r="H1206" s="186" t="s">
        <v>3040</v>
      </c>
      <c r="I1206" s="187" t="s">
        <v>1345</v>
      </c>
      <c r="J1206" s="187" t="s">
        <v>1346</v>
      </c>
      <c r="K1206" s="188"/>
      <c r="L1206" s="188"/>
      <c r="M1206" s="189" t="s">
        <v>847</v>
      </c>
      <c r="N1206" s="190"/>
      <c r="O1206" s="190">
        <f t="shared" si="147"/>
        <v>0</v>
      </c>
      <c r="P1206" s="191">
        <f t="shared" si="148"/>
        <v>0</v>
      </c>
      <c r="Q1206" s="192">
        <f t="shared" si="149"/>
        <v>0</v>
      </c>
      <c r="R1206" s="193"/>
      <c r="S1206" s="194"/>
      <c r="T1206" s="195">
        <f t="shared" si="150"/>
        <v>0</v>
      </c>
      <c r="U1206" s="195">
        <f t="shared" si="151"/>
        <v>0</v>
      </c>
      <c r="V1206" s="195">
        <f t="shared" si="152"/>
        <v>0</v>
      </c>
      <c r="W1206" s="196" t="e">
        <f t="shared" si="153"/>
        <v>#DIV/0!</v>
      </c>
      <c r="X1206" s="197" t="e">
        <f t="shared" si="154"/>
        <v>#DIV/0!</v>
      </c>
    </row>
    <row r="1207" ht="11.4" hidden="1" customHeight="1" spans="1:24">
      <c r="A1207" s="184" t="s">
        <v>1340</v>
      </c>
      <c r="B1207" s="184" t="s">
        <v>133</v>
      </c>
      <c r="C1207" s="184" t="s">
        <v>1341</v>
      </c>
      <c r="D1207" s="185" t="s">
        <v>700</v>
      </c>
      <c r="E1207" s="186" t="s">
        <v>2956</v>
      </c>
      <c r="F1207" s="186" t="s">
        <v>3036</v>
      </c>
      <c r="G1207" s="186" t="s">
        <v>3036</v>
      </c>
      <c r="H1207" s="186" t="s">
        <v>3040</v>
      </c>
      <c r="I1207" s="187" t="s">
        <v>1347</v>
      </c>
      <c r="J1207" s="187" t="s">
        <v>1348</v>
      </c>
      <c r="K1207" s="188"/>
      <c r="L1207" s="188"/>
      <c r="M1207" s="189" t="s">
        <v>847</v>
      </c>
      <c r="N1207" s="190"/>
      <c r="O1207" s="190">
        <f t="shared" si="147"/>
        <v>0</v>
      </c>
      <c r="P1207" s="191">
        <f t="shared" si="148"/>
        <v>0</v>
      </c>
      <c r="Q1207" s="192">
        <f t="shared" si="149"/>
        <v>0</v>
      </c>
      <c r="R1207" s="193"/>
      <c r="S1207" s="194"/>
      <c r="T1207" s="195">
        <f t="shared" si="150"/>
        <v>0</v>
      </c>
      <c r="U1207" s="195">
        <f t="shared" si="151"/>
        <v>0</v>
      </c>
      <c r="V1207" s="195">
        <f t="shared" si="152"/>
        <v>0</v>
      </c>
      <c r="W1207" s="196" t="e">
        <f t="shared" si="153"/>
        <v>#DIV/0!</v>
      </c>
      <c r="X1207" s="197" t="e">
        <f t="shared" si="154"/>
        <v>#DIV/0!</v>
      </c>
    </row>
    <row r="1208" ht="11.4" hidden="1" customHeight="1" spans="1:24">
      <c r="A1208" s="184" t="s">
        <v>1340</v>
      </c>
      <c r="B1208" s="184" t="s">
        <v>133</v>
      </c>
      <c r="C1208" s="184" t="s">
        <v>1341</v>
      </c>
      <c r="D1208" s="185" t="s">
        <v>700</v>
      </c>
      <c r="E1208" s="186" t="s">
        <v>2956</v>
      </c>
      <c r="F1208" s="186" t="s">
        <v>3036</v>
      </c>
      <c r="G1208" s="186" t="s">
        <v>3036</v>
      </c>
      <c r="H1208" s="186" t="s">
        <v>3040</v>
      </c>
      <c r="I1208" s="187" t="s">
        <v>1349</v>
      </c>
      <c r="J1208" s="187" t="s">
        <v>1350</v>
      </c>
      <c r="K1208" s="188"/>
      <c r="L1208" s="188"/>
      <c r="M1208" s="189" t="s">
        <v>847</v>
      </c>
      <c r="N1208" s="190">
        <v>58</v>
      </c>
      <c r="O1208" s="190">
        <f t="shared" si="147"/>
        <v>63.22</v>
      </c>
      <c r="P1208" s="191">
        <f t="shared" si="148"/>
        <v>0</v>
      </c>
      <c r="Q1208" s="192">
        <f t="shared" si="149"/>
        <v>0</v>
      </c>
      <c r="R1208" s="193"/>
      <c r="S1208" s="194"/>
      <c r="T1208" s="195">
        <f t="shared" si="150"/>
        <v>0</v>
      </c>
      <c r="U1208" s="195">
        <f t="shared" si="151"/>
        <v>0</v>
      </c>
      <c r="V1208" s="195">
        <f t="shared" si="152"/>
        <v>0</v>
      </c>
      <c r="W1208" s="196" t="e">
        <f t="shared" si="153"/>
        <v>#DIV/0!</v>
      </c>
      <c r="X1208" s="197" t="e">
        <f t="shared" si="154"/>
        <v>#DIV/0!</v>
      </c>
    </row>
    <row r="1209" ht="11.4" hidden="1" customHeight="1" spans="1:24">
      <c r="A1209" s="184" t="s">
        <v>3038</v>
      </c>
      <c r="B1209" s="184" t="s">
        <v>109</v>
      </c>
      <c r="C1209" s="184" t="s">
        <v>1101</v>
      </c>
      <c r="D1209" s="185" t="s">
        <v>700</v>
      </c>
      <c r="E1209" s="186" t="s">
        <v>2956</v>
      </c>
      <c r="F1209" s="186" t="s">
        <v>3036</v>
      </c>
      <c r="G1209" s="186" t="s">
        <v>3036</v>
      </c>
      <c r="H1209" s="186" t="s">
        <v>3039</v>
      </c>
      <c r="I1209" s="187" t="s">
        <v>1745</v>
      </c>
      <c r="J1209" s="187" t="s">
        <v>1746</v>
      </c>
      <c r="K1209" s="188"/>
      <c r="L1209" s="188"/>
      <c r="M1209" s="189" t="s">
        <v>847</v>
      </c>
      <c r="N1209" s="190">
        <v>118.11</v>
      </c>
      <c r="O1209" s="190">
        <f t="shared" si="147"/>
        <v>128.74</v>
      </c>
      <c r="P1209" s="191">
        <f t="shared" si="148"/>
        <v>0</v>
      </c>
      <c r="Q1209" s="192">
        <f t="shared" si="149"/>
        <v>0</v>
      </c>
      <c r="R1209" s="193"/>
      <c r="S1209" s="194"/>
      <c r="T1209" s="195">
        <f t="shared" si="150"/>
        <v>0</v>
      </c>
      <c r="U1209" s="195">
        <f t="shared" si="151"/>
        <v>0</v>
      </c>
      <c r="V1209" s="195">
        <f t="shared" si="152"/>
        <v>0</v>
      </c>
      <c r="W1209" s="196" t="e">
        <f t="shared" si="153"/>
        <v>#DIV/0!</v>
      </c>
      <c r="X1209" s="197" t="e">
        <f t="shared" si="154"/>
        <v>#DIV/0!</v>
      </c>
    </row>
    <row r="1210" ht="11.4" hidden="1" customHeight="1" spans="1:24">
      <c r="A1210" s="184" t="s">
        <v>3038</v>
      </c>
      <c r="B1210" s="184" t="s">
        <v>109</v>
      </c>
      <c r="C1210" s="184" t="s">
        <v>1101</v>
      </c>
      <c r="D1210" s="185" t="s">
        <v>700</v>
      </c>
      <c r="E1210" s="186" t="s">
        <v>2956</v>
      </c>
      <c r="F1210" s="186" t="s">
        <v>3036</v>
      </c>
      <c r="G1210" s="186" t="s">
        <v>3036</v>
      </c>
      <c r="H1210" s="186" t="s">
        <v>3039</v>
      </c>
      <c r="I1210" s="187" t="s">
        <v>1747</v>
      </c>
      <c r="J1210" s="187" t="s">
        <v>1748</v>
      </c>
      <c r="K1210" s="188"/>
      <c r="L1210" s="188"/>
      <c r="M1210" s="189" t="s">
        <v>847</v>
      </c>
      <c r="N1210" s="190">
        <v>113.49</v>
      </c>
      <c r="O1210" s="190">
        <f t="shared" si="147"/>
        <v>123.7</v>
      </c>
      <c r="P1210" s="191">
        <f t="shared" si="148"/>
        <v>0</v>
      </c>
      <c r="Q1210" s="192">
        <f t="shared" si="149"/>
        <v>0</v>
      </c>
      <c r="R1210" s="193"/>
      <c r="S1210" s="194"/>
      <c r="T1210" s="195">
        <f t="shared" si="150"/>
        <v>0</v>
      </c>
      <c r="U1210" s="195">
        <f t="shared" si="151"/>
        <v>0</v>
      </c>
      <c r="V1210" s="195">
        <f t="shared" si="152"/>
        <v>0</v>
      </c>
      <c r="W1210" s="196" t="e">
        <f t="shared" si="153"/>
        <v>#DIV/0!</v>
      </c>
      <c r="X1210" s="197" t="e">
        <f t="shared" si="154"/>
        <v>#DIV/0!</v>
      </c>
    </row>
    <row r="1211" ht="11.4" hidden="1" customHeight="1" spans="1:24">
      <c r="A1211" s="184" t="s">
        <v>3038</v>
      </c>
      <c r="B1211" s="184" t="s">
        <v>109</v>
      </c>
      <c r="C1211" s="184" t="s">
        <v>1101</v>
      </c>
      <c r="D1211" s="185" t="s">
        <v>700</v>
      </c>
      <c r="E1211" s="186" t="s">
        <v>2956</v>
      </c>
      <c r="F1211" s="186" t="s">
        <v>3036</v>
      </c>
      <c r="G1211" s="186" t="s">
        <v>3036</v>
      </c>
      <c r="H1211" s="186" t="s">
        <v>3039</v>
      </c>
      <c r="I1211" s="187" t="s">
        <v>1749</v>
      </c>
      <c r="J1211" s="187" t="s">
        <v>1750</v>
      </c>
      <c r="K1211" s="188"/>
      <c r="L1211" s="188"/>
      <c r="M1211" s="189" t="s">
        <v>847</v>
      </c>
      <c r="N1211" s="190">
        <v>118.11</v>
      </c>
      <c r="O1211" s="190">
        <f t="shared" si="147"/>
        <v>128.74</v>
      </c>
      <c r="P1211" s="191">
        <f t="shared" si="148"/>
        <v>0</v>
      </c>
      <c r="Q1211" s="192">
        <f t="shared" si="149"/>
        <v>0</v>
      </c>
      <c r="R1211" s="193"/>
      <c r="S1211" s="194"/>
      <c r="T1211" s="195">
        <f t="shared" si="150"/>
        <v>0</v>
      </c>
      <c r="U1211" s="195">
        <f t="shared" si="151"/>
        <v>0</v>
      </c>
      <c r="V1211" s="195">
        <f t="shared" si="152"/>
        <v>0</v>
      </c>
      <c r="W1211" s="196" t="e">
        <f t="shared" si="153"/>
        <v>#DIV/0!</v>
      </c>
      <c r="X1211" s="197" t="e">
        <f t="shared" si="154"/>
        <v>#DIV/0!</v>
      </c>
    </row>
    <row r="1212" ht="11.4" hidden="1" customHeight="1" spans="1:24">
      <c r="A1212" s="184" t="s">
        <v>3038</v>
      </c>
      <c r="B1212" s="184" t="s">
        <v>113</v>
      </c>
      <c r="C1212" s="184" t="s">
        <v>1101</v>
      </c>
      <c r="D1212" s="185" t="s">
        <v>700</v>
      </c>
      <c r="E1212" s="186" t="s">
        <v>2956</v>
      </c>
      <c r="F1212" s="186" t="s">
        <v>3036</v>
      </c>
      <c r="G1212" s="186" t="s">
        <v>3036</v>
      </c>
      <c r="H1212" s="186" t="s">
        <v>3039</v>
      </c>
      <c r="I1212" s="187" t="s">
        <v>2961</v>
      </c>
      <c r="J1212" s="187" t="s">
        <v>2962</v>
      </c>
      <c r="K1212" s="188"/>
      <c r="L1212" s="188"/>
      <c r="M1212" s="189" t="s">
        <v>847</v>
      </c>
      <c r="N1212" s="190">
        <v>192.47</v>
      </c>
      <c r="O1212" s="190">
        <f t="shared" si="147"/>
        <v>209.79</v>
      </c>
      <c r="P1212" s="191">
        <f t="shared" si="148"/>
        <v>0</v>
      </c>
      <c r="Q1212" s="192">
        <f t="shared" si="149"/>
        <v>0</v>
      </c>
      <c r="R1212" s="193"/>
      <c r="S1212" s="194"/>
      <c r="T1212" s="195">
        <f t="shared" si="150"/>
        <v>0</v>
      </c>
      <c r="U1212" s="195">
        <f t="shared" si="151"/>
        <v>0</v>
      </c>
      <c r="V1212" s="195">
        <f t="shared" si="152"/>
        <v>0</v>
      </c>
      <c r="W1212" s="196" t="e">
        <f t="shared" si="153"/>
        <v>#DIV/0!</v>
      </c>
      <c r="X1212" s="197" t="e">
        <f t="shared" si="154"/>
        <v>#DIV/0!</v>
      </c>
    </row>
    <row r="1213" ht="11.4" hidden="1" customHeight="1" spans="1:24">
      <c r="A1213" s="184" t="s">
        <v>3038</v>
      </c>
      <c r="B1213" s="184" t="s">
        <v>113</v>
      </c>
      <c r="C1213" s="184" t="s">
        <v>1101</v>
      </c>
      <c r="D1213" s="185" t="s">
        <v>700</v>
      </c>
      <c r="E1213" s="186" t="s">
        <v>2956</v>
      </c>
      <c r="F1213" s="186" t="s">
        <v>3036</v>
      </c>
      <c r="G1213" s="186" t="s">
        <v>3036</v>
      </c>
      <c r="H1213" s="186" t="s">
        <v>3039</v>
      </c>
      <c r="I1213" s="187" t="s">
        <v>2963</v>
      </c>
      <c r="J1213" s="187" t="s">
        <v>2964</v>
      </c>
      <c r="K1213" s="188"/>
      <c r="L1213" s="188"/>
      <c r="M1213" s="189" t="s">
        <v>847</v>
      </c>
      <c r="N1213" s="190">
        <v>172.83</v>
      </c>
      <c r="O1213" s="190">
        <f t="shared" si="147"/>
        <v>188.38</v>
      </c>
      <c r="P1213" s="191">
        <f t="shared" si="148"/>
        <v>0</v>
      </c>
      <c r="Q1213" s="192">
        <f t="shared" si="149"/>
        <v>0</v>
      </c>
      <c r="R1213" s="193"/>
      <c r="S1213" s="194"/>
      <c r="T1213" s="195">
        <f t="shared" si="150"/>
        <v>0</v>
      </c>
      <c r="U1213" s="195">
        <f t="shared" si="151"/>
        <v>0</v>
      </c>
      <c r="V1213" s="195">
        <f t="shared" si="152"/>
        <v>0</v>
      </c>
      <c r="W1213" s="196" t="e">
        <f t="shared" si="153"/>
        <v>#DIV/0!</v>
      </c>
      <c r="X1213" s="197" t="e">
        <f t="shared" si="154"/>
        <v>#DIV/0!</v>
      </c>
    </row>
    <row r="1214" ht="11.4" hidden="1" customHeight="1" spans="1:24">
      <c r="A1214" s="184" t="s">
        <v>3038</v>
      </c>
      <c r="B1214" s="184" t="s">
        <v>113</v>
      </c>
      <c r="C1214" s="184" t="s">
        <v>1101</v>
      </c>
      <c r="D1214" s="185" t="s">
        <v>700</v>
      </c>
      <c r="E1214" s="186" t="s">
        <v>2956</v>
      </c>
      <c r="F1214" s="186" t="s">
        <v>3036</v>
      </c>
      <c r="G1214" s="186" t="s">
        <v>3036</v>
      </c>
      <c r="H1214" s="186" t="s">
        <v>3039</v>
      </c>
      <c r="I1214" s="187" t="s">
        <v>2965</v>
      </c>
      <c r="J1214" s="187" t="s">
        <v>2966</v>
      </c>
      <c r="K1214" s="188"/>
      <c r="L1214" s="188"/>
      <c r="M1214" s="189" t="s">
        <v>847</v>
      </c>
      <c r="N1214" s="190">
        <v>192.47</v>
      </c>
      <c r="O1214" s="190">
        <f t="shared" si="147"/>
        <v>209.79</v>
      </c>
      <c r="P1214" s="191">
        <f t="shared" si="148"/>
        <v>0</v>
      </c>
      <c r="Q1214" s="192">
        <f t="shared" si="149"/>
        <v>0</v>
      </c>
      <c r="R1214" s="193"/>
      <c r="S1214" s="194"/>
      <c r="T1214" s="195">
        <f t="shared" si="150"/>
        <v>0</v>
      </c>
      <c r="U1214" s="195">
        <f t="shared" si="151"/>
        <v>0</v>
      </c>
      <c r="V1214" s="195">
        <f t="shared" si="152"/>
        <v>0</v>
      </c>
      <c r="W1214" s="196" t="e">
        <f t="shared" si="153"/>
        <v>#DIV/0!</v>
      </c>
      <c r="X1214" s="197" t="e">
        <f t="shared" si="154"/>
        <v>#DIV/0!</v>
      </c>
    </row>
    <row r="1215" ht="11.4" hidden="1" customHeight="1" spans="1:24">
      <c r="A1215" s="184" t="s">
        <v>3038</v>
      </c>
      <c r="B1215" s="184" t="s">
        <v>127</v>
      </c>
      <c r="C1215" s="184" t="s">
        <v>1101</v>
      </c>
      <c r="D1215" s="185" t="s">
        <v>700</v>
      </c>
      <c r="E1215" s="186" t="s">
        <v>2956</v>
      </c>
      <c r="F1215" s="186" t="s">
        <v>3036</v>
      </c>
      <c r="G1215" s="186" t="s">
        <v>3036</v>
      </c>
      <c r="H1215" s="186" t="s">
        <v>3039</v>
      </c>
      <c r="I1215" s="187" t="s">
        <v>1854</v>
      </c>
      <c r="J1215" s="187" t="s">
        <v>1855</v>
      </c>
      <c r="K1215" s="188"/>
      <c r="L1215" s="188"/>
      <c r="M1215" s="189" t="s">
        <v>1018</v>
      </c>
      <c r="N1215" s="190">
        <v>658.89</v>
      </c>
      <c r="O1215" s="190">
        <f t="shared" si="147"/>
        <v>718.19</v>
      </c>
      <c r="P1215" s="191">
        <f t="shared" si="148"/>
        <v>0</v>
      </c>
      <c r="Q1215" s="192">
        <f t="shared" si="149"/>
        <v>0</v>
      </c>
      <c r="R1215" s="193"/>
      <c r="S1215" s="194"/>
      <c r="T1215" s="195">
        <f t="shared" si="150"/>
        <v>0</v>
      </c>
      <c r="U1215" s="195">
        <f t="shared" si="151"/>
        <v>0</v>
      </c>
      <c r="V1215" s="195">
        <f t="shared" si="152"/>
        <v>0</v>
      </c>
      <c r="W1215" s="196" t="e">
        <f t="shared" si="153"/>
        <v>#DIV/0!</v>
      </c>
      <c r="X1215" s="197" t="e">
        <f t="shared" si="154"/>
        <v>#DIV/0!</v>
      </c>
    </row>
    <row r="1216" ht="11.4" hidden="1" customHeight="1" spans="1:24">
      <c r="A1216" s="184" t="s">
        <v>3038</v>
      </c>
      <c r="B1216" s="184" t="s">
        <v>109</v>
      </c>
      <c r="C1216" s="184" t="s">
        <v>1101</v>
      </c>
      <c r="D1216" s="185" t="s">
        <v>700</v>
      </c>
      <c r="E1216" s="186" t="s">
        <v>2956</v>
      </c>
      <c r="F1216" s="186" t="s">
        <v>3036</v>
      </c>
      <c r="G1216" s="186" t="s">
        <v>3036</v>
      </c>
      <c r="H1216" s="186" t="s">
        <v>3039</v>
      </c>
      <c r="I1216" s="187" t="s">
        <v>1751</v>
      </c>
      <c r="J1216" s="187" t="s">
        <v>1752</v>
      </c>
      <c r="K1216" s="188"/>
      <c r="L1216" s="188"/>
      <c r="M1216" s="189" t="s">
        <v>847</v>
      </c>
      <c r="N1216" s="190">
        <v>467.36</v>
      </c>
      <c r="O1216" s="190">
        <f t="shared" si="147"/>
        <v>509.42</v>
      </c>
      <c r="P1216" s="191">
        <f t="shared" si="148"/>
        <v>0</v>
      </c>
      <c r="Q1216" s="192">
        <f t="shared" si="149"/>
        <v>0</v>
      </c>
      <c r="R1216" s="193"/>
      <c r="S1216" s="194"/>
      <c r="T1216" s="195">
        <f t="shared" si="150"/>
        <v>0</v>
      </c>
      <c r="U1216" s="195">
        <f t="shared" si="151"/>
        <v>0</v>
      </c>
      <c r="V1216" s="195">
        <f t="shared" si="152"/>
        <v>0</v>
      </c>
      <c r="W1216" s="196" t="e">
        <f t="shared" si="153"/>
        <v>#DIV/0!</v>
      </c>
      <c r="X1216" s="197" t="e">
        <f t="shared" si="154"/>
        <v>#DIV/0!</v>
      </c>
    </row>
    <row r="1217" ht="11.4" hidden="1" customHeight="1" spans="1:24">
      <c r="A1217" s="184" t="s">
        <v>3038</v>
      </c>
      <c r="B1217" s="184" t="s">
        <v>109</v>
      </c>
      <c r="C1217" s="184" t="s">
        <v>1101</v>
      </c>
      <c r="D1217" s="185" t="s">
        <v>700</v>
      </c>
      <c r="E1217" s="186" t="s">
        <v>2956</v>
      </c>
      <c r="F1217" s="186" t="s">
        <v>3036</v>
      </c>
      <c r="G1217" s="186" t="s">
        <v>3036</v>
      </c>
      <c r="H1217" s="186" t="s">
        <v>3039</v>
      </c>
      <c r="I1217" s="187" t="s">
        <v>1753</v>
      </c>
      <c r="J1217" s="187" t="s">
        <v>1754</v>
      </c>
      <c r="K1217" s="188"/>
      <c r="L1217" s="188"/>
      <c r="M1217" s="189" t="s">
        <v>1755</v>
      </c>
      <c r="N1217" s="190">
        <v>184.69</v>
      </c>
      <c r="O1217" s="190">
        <f t="shared" si="147"/>
        <v>201.31</v>
      </c>
      <c r="P1217" s="191">
        <f t="shared" si="148"/>
        <v>0</v>
      </c>
      <c r="Q1217" s="192">
        <f t="shared" si="149"/>
        <v>0</v>
      </c>
      <c r="R1217" s="193"/>
      <c r="S1217" s="194"/>
      <c r="T1217" s="195">
        <f t="shared" si="150"/>
        <v>0</v>
      </c>
      <c r="U1217" s="195">
        <f t="shared" si="151"/>
        <v>0</v>
      </c>
      <c r="V1217" s="195">
        <f t="shared" si="152"/>
        <v>0</v>
      </c>
      <c r="W1217" s="196" t="e">
        <f t="shared" si="153"/>
        <v>#DIV/0!</v>
      </c>
      <c r="X1217" s="197" t="e">
        <f t="shared" si="154"/>
        <v>#DIV/0!</v>
      </c>
    </row>
    <row r="1218" ht="11.4" hidden="1" customHeight="1" spans="1:24">
      <c r="A1218" s="184" t="s">
        <v>3038</v>
      </c>
      <c r="B1218" s="184" t="s">
        <v>109</v>
      </c>
      <c r="C1218" s="184" t="s">
        <v>1101</v>
      </c>
      <c r="D1218" s="185" t="s">
        <v>700</v>
      </c>
      <c r="E1218" s="186" t="s">
        <v>2956</v>
      </c>
      <c r="F1218" s="186" t="s">
        <v>3036</v>
      </c>
      <c r="G1218" s="186" t="s">
        <v>3036</v>
      </c>
      <c r="H1218" s="186" t="s">
        <v>3039</v>
      </c>
      <c r="I1218" s="187" t="s">
        <v>1756</v>
      </c>
      <c r="J1218" s="187" t="s">
        <v>1757</v>
      </c>
      <c r="K1218" s="188"/>
      <c r="L1218" s="188"/>
      <c r="M1218" s="189" t="s">
        <v>1755</v>
      </c>
      <c r="N1218" s="190">
        <v>374.99</v>
      </c>
      <c r="O1218" s="190">
        <f t="shared" si="147"/>
        <v>408.74</v>
      </c>
      <c r="P1218" s="191">
        <f t="shared" si="148"/>
        <v>0</v>
      </c>
      <c r="Q1218" s="192">
        <f t="shared" si="149"/>
        <v>0</v>
      </c>
      <c r="R1218" s="193"/>
      <c r="S1218" s="194"/>
      <c r="T1218" s="195">
        <f t="shared" si="150"/>
        <v>0</v>
      </c>
      <c r="U1218" s="195">
        <f t="shared" si="151"/>
        <v>0</v>
      </c>
      <c r="V1218" s="195">
        <f t="shared" si="152"/>
        <v>0</v>
      </c>
      <c r="W1218" s="196" t="e">
        <f t="shared" si="153"/>
        <v>#DIV/0!</v>
      </c>
      <c r="X1218" s="197" t="e">
        <f t="shared" si="154"/>
        <v>#DIV/0!</v>
      </c>
    </row>
    <row r="1219" ht="11.4" hidden="1" customHeight="1" spans="1:24">
      <c r="A1219" s="184" t="s">
        <v>3041</v>
      </c>
      <c r="B1219" s="184" t="s">
        <v>115</v>
      </c>
      <c r="C1219" s="184" t="s">
        <v>1101</v>
      </c>
      <c r="D1219" s="185" t="s">
        <v>700</v>
      </c>
      <c r="E1219" s="186" t="s">
        <v>2956</v>
      </c>
      <c r="F1219" s="186" t="s">
        <v>3036</v>
      </c>
      <c r="G1219" s="186" t="s">
        <v>3036</v>
      </c>
      <c r="H1219" s="186" t="s">
        <v>3042</v>
      </c>
      <c r="I1219" s="187" t="s">
        <v>1359</v>
      </c>
      <c r="J1219" s="187" t="s">
        <v>1360</v>
      </c>
      <c r="K1219" s="188"/>
      <c r="L1219" s="188"/>
      <c r="M1219" s="189" t="s">
        <v>847</v>
      </c>
      <c r="N1219" s="190">
        <v>127.36</v>
      </c>
      <c r="O1219" s="190">
        <f t="shared" si="147"/>
        <v>138.82</v>
      </c>
      <c r="P1219" s="191">
        <f t="shared" si="148"/>
        <v>0</v>
      </c>
      <c r="Q1219" s="192">
        <f t="shared" si="149"/>
        <v>0</v>
      </c>
      <c r="R1219" s="193"/>
      <c r="S1219" s="194"/>
      <c r="T1219" s="195">
        <f t="shared" si="150"/>
        <v>0</v>
      </c>
      <c r="U1219" s="195">
        <f t="shared" si="151"/>
        <v>0</v>
      </c>
      <c r="V1219" s="195">
        <f t="shared" si="152"/>
        <v>0</v>
      </c>
      <c r="W1219" s="196" t="e">
        <f t="shared" si="153"/>
        <v>#DIV/0!</v>
      </c>
      <c r="X1219" s="197" t="e">
        <f t="shared" si="154"/>
        <v>#DIV/0!</v>
      </c>
    </row>
    <row r="1220" ht="11.4" hidden="1" customHeight="1" spans="1:24">
      <c r="A1220" s="184" t="s">
        <v>3041</v>
      </c>
      <c r="B1220" s="184" t="s">
        <v>115</v>
      </c>
      <c r="C1220" s="184" t="s">
        <v>1101</v>
      </c>
      <c r="D1220" s="185" t="s">
        <v>700</v>
      </c>
      <c r="E1220" s="186" t="s">
        <v>2956</v>
      </c>
      <c r="F1220" s="186" t="s">
        <v>3036</v>
      </c>
      <c r="G1220" s="186" t="s">
        <v>3036</v>
      </c>
      <c r="H1220" s="186" t="s">
        <v>3042</v>
      </c>
      <c r="I1220" s="187" t="s">
        <v>1362</v>
      </c>
      <c r="J1220" s="187" t="s">
        <v>1363</v>
      </c>
      <c r="K1220" s="188"/>
      <c r="L1220" s="188"/>
      <c r="M1220" s="189" t="s">
        <v>847</v>
      </c>
      <c r="N1220" s="190">
        <v>138.36</v>
      </c>
      <c r="O1220" s="190">
        <f t="shared" si="147"/>
        <v>150.81</v>
      </c>
      <c r="P1220" s="191">
        <f t="shared" si="148"/>
        <v>0</v>
      </c>
      <c r="Q1220" s="192">
        <f t="shared" si="149"/>
        <v>0</v>
      </c>
      <c r="R1220" s="193"/>
      <c r="S1220" s="194"/>
      <c r="T1220" s="195">
        <f t="shared" si="150"/>
        <v>0</v>
      </c>
      <c r="U1220" s="195">
        <f t="shared" si="151"/>
        <v>0</v>
      </c>
      <c r="V1220" s="195">
        <f t="shared" si="152"/>
        <v>0</v>
      </c>
      <c r="W1220" s="196" t="e">
        <f t="shared" si="153"/>
        <v>#DIV/0!</v>
      </c>
      <c r="X1220" s="197" t="e">
        <f t="shared" si="154"/>
        <v>#DIV/0!</v>
      </c>
    </row>
    <row r="1221" ht="11.4" hidden="1" customHeight="1" spans="1:24">
      <c r="A1221" s="184" t="s">
        <v>3041</v>
      </c>
      <c r="B1221" s="184" t="s">
        <v>115</v>
      </c>
      <c r="C1221" s="184" t="s">
        <v>1101</v>
      </c>
      <c r="D1221" s="185" t="s">
        <v>700</v>
      </c>
      <c r="E1221" s="186" t="s">
        <v>2956</v>
      </c>
      <c r="F1221" s="186" t="s">
        <v>3036</v>
      </c>
      <c r="G1221" s="186" t="s">
        <v>3036</v>
      </c>
      <c r="H1221" s="186" t="s">
        <v>3042</v>
      </c>
      <c r="I1221" s="187" t="s">
        <v>1381</v>
      </c>
      <c r="J1221" s="187" t="s">
        <v>1382</v>
      </c>
      <c r="K1221" s="188"/>
      <c r="L1221" s="188"/>
      <c r="M1221" s="189" t="s">
        <v>847</v>
      </c>
      <c r="N1221" s="190">
        <v>250.08</v>
      </c>
      <c r="O1221" s="190">
        <f t="shared" si="147"/>
        <v>272.59</v>
      </c>
      <c r="P1221" s="191">
        <f t="shared" si="148"/>
        <v>0</v>
      </c>
      <c r="Q1221" s="192">
        <f t="shared" si="149"/>
        <v>0</v>
      </c>
      <c r="R1221" s="193"/>
      <c r="S1221" s="194"/>
      <c r="T1221" s="195">
        <f t="shared" si="150"/>
        <v>0</v>
      </c>
      <c r="U1221" s="195">
        <f t="shared" si="151"/>
        <v>0</v>
      </c>
      <c r="V1221" s="195">
        <f t="shared" si="152"/>
        <v>0</v>
      </c>
      <c r="W1221" s="196" t="e">
        <f t="shared" si="153"/>
        <v>#DIV/0!</v>
      </c>
      <c r="X1221" s="197" t="e">
        <f t="shared" si="154"/>
        <v>#DIV/0!</v>
      </c>
    </row>
    <row r="1222" ht="11.4" hidden="1" customHeight="1" spans="1:24">
      <c r="A1222" s="184" t="s">
        <v>3041</v>
      </c>
      <c r="B1222" s="184" t="s">
        <v>115</v>
      </c>
      <c r="C1222" s="184" t="s">
        <v>1101</v>
      </c>
      <c r="D1222" s="185" t="s">
        <v>700</v>
      </c>
      <c r="E1222" s="186" t="s">
        <v>2956</v>
      </c>
      <c r="F1222" s="186" t="s">
        <v>3036</v>
      </c>
      <c r="G1222" s="186" t="s">
        <v>3036</v>
      </c>
      <c r="H1222" s="186" t="s">
        <v>3042</v>
      </c>
      <c r="I1222" s="187" t="s">
        <v>1384</v>
      </c>
      <c r="J1222" s="187" t="s">
        <v>1385</v>
      </c>
      <c r="K1222" s="188"/>
      <c r="L1222" s="188"/>
      <c r="M1222" s="189" t="s">
        <v>847</v>
      </c>
      <c r="N1222" s="190">
        <v>139.73</v>
      </c>
      <c r="O1222" s="190">
        <f t="shared" si="147"/>
        <v>152.31</v>
      </c>
      <c r="P1222" s="191">
        <f t="shared" si="148"/>
        <v>0</v>
      </c>
      <c r="Q1222" s="192">
        <f t="shared" si="149"/>
        <v>0</v>
      </c>
      <c r="R1222" s="193"/>
      <c r="S1222" s="194"/>
      <c r="T1222" s="195">
        <f t="shared" si="150"/>
        <v>0</v>
      </c>
      <c r="U1222" s="195">
        <f t="shared" si="151"/>
        <v>0</v>
      </c>
      <c r="V1222" s="195">
        <f t="shared" si="152"/>
        <v>0</v>
      </c>
      <c r="W1222" s="196" t="e">
        <f t="shared" si="153"/>
        <v>#DIV/0!</v>
      </c>
      <c r="X1222" s="197" t="e">
        <f t="shared" si="154"/>
        <v>#DIV/0!</v>
      </c>
    </row>
    <row r="1223" ht="11.4" hidden="1" customHeight="1" spans="1:24">
      <c r="A1223" s="184" t="s">
        <v>3041</v>
      </c>
      <c r="B1223" s="184" t="s">
        <v>115</v>
      </c>
      <c r="C1223" s="184" t="s">
        <v>1101</v>
      </c>
      <c r="D1223" s="185" t="s">
        <v>700</v>
      </c>
      <c r="E1223" s="186" t="s">
        <v>2956</v>
      </c>
      <c r="F1223" s="186" t="s">
        <v>3036</v>
      </c>
      <c r="G1223" s="186" t="s">
        <v>3036</v>
      </c>
      <c r="H1223" s="186" t="s">
        <v>3042</v>
      </c>
      <c r="I1223" s="187" t="s">
        <v>1336</v>
      </c>
      <c r="J1223" s="187" t="s">
        <v>1337</v>
      </c>
      <c r="K1223" s="188"/>
      <c r="L1223" s="188"/>
      <c r="M1223" s="189" t="s">
        <v>847</v>
      </c>
      <c r="N1223" s="190">
        <v>62.19</v>
      </c>
      <c r="O1223" s="190">
        <f t="shared" si="147"/>
        <v>67.79</v>
      </c>
      <c r="P1223" s="191">
        <f t="shared" si="148"/>
        <v>0</v>
      </c>
      <c r="Q1223" s="192">
        <f t="shared" si="149"/>
        <v>0</v>
      </c>
      <c r="R1223" s="193"/>
      <c r="S1223" s="194"/>
      <c r="T1223" s="195">
        <f t="shared" si="150"/>
        <v>0</v>
      </c>
      <c r="U1223" s="195">
        <f t="shared" si="151"/>
        <v>0</v>
      </c>
      <c r="V1223" s="195">
        <f t="shared" si="152"/>
        <v>0</v>
      </c>
      <c r="W1223" s="196" t="e">
        <f t="shared" si="153"/>
        <v>#DIV/0!</v>
      </c>
      <c r="X1223" s="197" t="e">
        <f t="shared" si="154"/>
        <v>#DIV/0!</v>
      </c>
    </row>
    <row r="1224" ht="11.4" hidden="1" customHeight="1" spans="1:24">
      <c r="A1224" s="184" t="s">
        <v>3043</v>
      </c>
      <c r="B1224" s="184" t="s">
        <v>117</v>
      </c>
      <c r="C1224" s="184" t="s">
        <v>1101</v>
      </c>
      <c r="D1224" s="185" t="s">
        <v>700</v>
      </c>
      <c r="E1224" s="186" t="s">
        <v>2956</v>
      </c>
      <c r="F1224" s="186" t="s">
        <v>3036</v>
      </c>
      <c r="G1224" s="186" t="s">
        <v>3036</v>
      </c>
      <c r="H1224" s="186" t="s">
        <v>3044</v>
      </c>
      <c r="I1224" s="187" t="s">
        <v>1426</v>
      </c>
      <c r="J1224" s="187" t="s">
        <v>1427</v>
      </c>
      <c r="K1224" s="188"/>
      <c r="L1224" s="188"/>
      <c r="M1224" s="189" t="s">
        <v>847</v>
      </c>
      <c r="N1224" s="190">
        <v>465.88</v>
      </c>
      <c r="O1224" s="190">
        <f t="shared" si="147"/>
        <v>507.81</v>
      </c>
      <c r="P1224" s="191">
        <f t="shared" si="148"/>
        <v>0</v>
      </c>
      <c r="Q1224" s="192">
        <f t="shared" si="149"/>
        <v>0</v>
      </c>
      <c r="R1224" s="193"/>
      <c r="S1224" s="194"/>
      <c r="T1224" s="195">
        <f t="shared" si="150"/>
        <v>0</v>
      </c>
      <c r="U1224" s="195">
        <f t="shared" si="151"/>
        <v>0</v>
      </c>
      <c r="V1224" s="195">
        <f t="shared" si="152"/>
        <v>0</v>
      </c>
      <c r="W1224" s="196" t="e">
        <f t="shared" si="153"/>
        <v>#DIV/0!</v>
      </c>
      <c r="X1224" s="197" t="e">
        <f t="shared" si="154"/>
        <v>#DIV/0!</v>
      </c>
    </row>
    <row r="1225" ht="11.4" hidden="1" customHeight="1" spans="1:24">
      <c r="A1225" s="184" t="s">
        <v>3043</v>
      </c>
      <c r="B1225" s="184" t="s">
        <v>117</v>
      </c>
      <c r="C1225" s="184" t="s">
        <v>1101</v>
      </c>
      <c r="D1225" s="185" t="s">
        <v>700</v>
      </c>
      <c r="E1225" s="186" t="s">
        <v>2956</v>
      </c>
      <c r="F1225" s="186" t="s">
        <v>3036</v>
      </c>
      <c r="G1225" s="186" t="s">
        <v>3036</v>
      </c>
      <c r="H1225" s="186" t="s">
        <v>3044</v>
      </c>
      <c r="I1225" s="187" t="s">
        <v>1429</v>
      </c>
      <c r="J1225" s="187" t="s">
        <v>1430</v>
      </c>
      <c r="K1225" s="188"/>
      <c r="L1225" s="188"/>
      <c r="M1225" s="189" t="s">
        <v>847</v>
      </c>
      <c r="N1225" s="190">
        <v>674.21</v>
      </c>
      <c r="O1225" s="190">
        <f t="shared" si="147"/>
        <v>734.89</v>
      </c>
      <c r="P1225" s="191">
        <f t="shared" si="148"/>
        <v>0</v>
      </c>
      <c r="Q1225" s="192">
        <f t="shared" si="149"/>
        <v>0</v>
      </c>
      <c r="R1225" s="193"/>
      <c r="S1225" s="194"/>
      <c r="T1225" s="195">
        <f t="shared" si="150"/>
        <v>0</v>
      </c>
      <c r="U1225" s="195">
        <f t="shared" si="151"/>
        <v>0</v>
      </c>
      <c r="V1225" s="195">
        <f t="shared" si="152"/>
        <v>0</v>
      </c>
      <c r="W1225" s="196" t="e">
        <f t="shared" si="153"/>
        <v>#DIV/0!</v>
      </c>
      <c r="X1225" s="197" t="e">
        <f t="shared" si="154"/>
        <v>#DIV/0!</v>
      </c>
    </row>
    <row r="1226" ht="11.4" hidden="1" customHeight="1" spans="1:24">
      <c r="A1226" s="184" t="s">
        <v>3045</v>
      </c>
      <c r="B1226" s="184" t="s">
        <v>417</v>
      </c>
      <c r="C1226" s="184" t="s">
        <v>416</v>
      </c>
      <c r="D1226" s="185" t="s">
        <v>700</v>
      </c>
      <c r="E1226" s="186" t="s">
        <v>2956</v>
      </c>
      <c r="F1226" s="186" t="s">
        <v>3036</v>
      </c>
      <c r="G1226" s="186" t="s">
        <v>3036</v>
      </c>
      <c r="H1226" s="186" t="s">
        <v>3044</v>
      </c>
      <c r="I1226" s="187" t="s">
        <v>1498</v>
      </c>
      <c r="J1226" s="187" t="s">
        <v>1499</v>
      </c>
      <c r="K1226" s="188"/>
      <c r="L1226" s="188"/>
      <c r="M1226" s="189" t="s">
        <v>1500</v>
      </c>
      <c r="N1226" s="190">
        <v>4665.2</v>
      </c>
      <c r="O1226" s="190">
        <f t="shared" si="147"/>
        <v>5085.07</v>
      </c>
      <c r="P1226" s="191">
        <f t="shared" si="148"/>
        <v>0</v>
      </c>
      <c r="Q1226" s="192">
        <f t="shared" si="149"/>
        <v>0</v>
      </c>
      <c r="R1226" s="193"/>
      <c r="S1226" s="194"/>
      <c r="T1226" s="195">
        <f t="shared" si="150"/>
        <v>0</v>
      </c>
      <c r="U1226" s="195">
        <f t="shared" si="151"/>
        <v>0</v>
      </c>
      <c r="V1226" s="195">
        <f t="shared" si="152"/>
        <v>0</v>
      </c>
      <c r="W1226" s="196" t="e">
        <f t="shared" si="153"/>
        <v>#DIV/0!</v>
      </c>
      <c r="X1226" s="197" t="e">
        <f t="shared" si="154"/>
        <v>#DIV/0!</v>
      </c>
    </row>
    <row r="1227" ht="11.4" hidden="1" customHeight="1" spans="1:24">
      <c r="A1227" s="184" t="s">
        <v>3045</v>
      </c>
      <c r="B1227" s="184" t="s">
        <v>417</v>
      </c>
      <c r="C1227" s="184" t="s">
        <v>416</v>
      </c>
      <c r="D1227" s="185" t="s">
        <v>700</v>
      </c>
      <c r="E1227" s="186" t="s">
        <v>2956</v>
      </c>
      <c r="F1227" s="186" t="s">
        <v>3036</v>
      </c>
      <c r="G1227" s="186" t="s">
        <v>3036</v>
      </c>
      <c r="H1227" s="186" t="s">
        <v>3044</v>
      </c>
      <c r="I1227" s="187" t="s">
        <v>1501</v>
      </c>
      <c r="J1227" s="187" t="s">
        <v>1502</v>
      </c>
      <c r="K1227" s="188"/>
      <c r="L1227" s="188"/>
      <c r="M1227" s="189" t="s">
        <v>1500</v>
      </c>
      <c r="N1227" s="190">
        <v>2712.45</v>
      </c>
      <c r="O1227" s="190">
        <f t="shared" si="147"/>
        <v>2956.57</v>
      </c>
      <c r="P1227" s="191">
        <f t="shared" si="148"/>
        <v>0</v>
      </c>
      <c r="Q1227" s="192">
        <f t="shared" si="149"/>
        <v>0</v>
      </c>
      <c r="R1227" s="193"/>
      <c r="S1227" s="194"/>
      <c r="T1227" s="195">
        <f t="shared" si="150"/>
        <v>0</v>
      </c>
      <c r="U1227" s="195">
        <f t="shared" si="151"/>
        <v>0</v>
      </c>
      <c r="V1227" s="195">
        <f t="shared" si="152"/>
        <v>0</v>
      </c>
      <c r="W1227" s="196" t="e">
        <f t="shared" si="153"/>
        <v>#DIV/0!</v>
      </c>
      <c r="X1227" s="197" t="e">
        <f t="shared" si="154"/>
        <v>#DIV/0!</v>
      </c>
    </row>
    <row r="1228" ht="11.4" hidden="1" customHeight="1" spans="1:24">
      <c r="A1228" s="184" t="s">
        <v>3045</v>
      </c>
      <c r="B1228" s="184" t="s">
        <v>417</v>
      </c>
      <c r="C1228" s="184" t="s">
        <v>416</v>
      </c>
      <c r="D1228" s="185" t="s">
        <v>700</v>
      </c>
      <c r="E1228" s="186" t="s">
        <v>2956</v>
      </c>
      <c r="F1228" s="186" t="s">
        <v>3036</v>
      </c>
      <c r="G1228" s="186" t="s">
        <v>3036</v>
      </c>
      <c r="H1228" s="186" t="s">
        <v>3044</v>
      </c>
      <c r="I1228" s="187" t="s">
        <v>1503</v>
      </c>
      <c r="J1228" s="187" t="s">
        <v>1504</v>
      </c>
      <c r="K1228" s="188"/>
      <c r="L1228" s="188"/>
      <c r="M1228" s="189" t="s">
        <v>1500</v>
      </c>
      <c r="N1228" s="190">
        <v>4703.72</v>
      </c>
      <c r="O1228" s="190">
        <f t="shared" si="147"/>
        <v>5127.05</v>
      </c>
      <c r="P1228" s="191">
        <f t="shared" si="148"/>
        <v>0</v>
      </c>
      <c r="Q1228" s="192">
        <f t="shared" si="149"/>
        <v>0</v>
      </c>
      <c r="R1228" s="193"/>
      <c r="S1228" s="194"/>
      <c r="T1228" s="195">
        <f t="shared" si="150"/>
        <v>0</v>
      </c>
      <c r="U1228" s="195">
        <f t="shared" si="151"/>
        <v>0</v>
      </c>
      <c r="V1228" s="195">
        <f t="shared" si="152"/>
        <v>0</v>
      </c>
      <c r="W1228" s="196" t="e">
        <f t="shared" si="153"/>
        <v>#DIV/0!</v>
      </c>
      <c r="X1228" s="197" t="e">
        <f t="shared" si="154"/>
        <v>#DIV/0!</v>
      </c>
    </row>
    <row r="1229" ht="11.4" hidden="1" customHeight="1" spans="1:24">
      <c r="A1229" s="184" t="s">
        <v>3045</v>
      </c>
      <c r="B1229" s="184" t="s">
        <v>417</v>
      </c>
      <c r="C1229" s="184" t="s">
        <v>416</v>
      </c>
      <c r="D1229" s="185" t="s">
        <v>700</v>
      </c>
      <c r="E1229" s="186" t="s">
        <v>2956</v>
      </c>
      <c r="F1229" s="186" t="s">
        <v>3036</v>
      </c>
      <c r="G1229" s="186" t="s">
        <v>3036</v>
      </c>
      <c r="H1229" s="186" t="s">
        <v>3044</v>
      </c>
      <c r="I1229" s="187" t="s">
        <v>1505</v>
      </c>
      <c r="J1229" s="187" t="s">
        <v>1506</v>
      </c>
      <c r="K1229" s="188"/>
      <c r="L1229" s="188"/>
      <c r="M1229" s="189" t="s">
        <v>1500</v>
      </c>
      <c r="N1229" s="190">
        <v>2811.96</v>
      </c>
      <c r="O1229" s="190">
        <f t="shared" ref="O1229:O1292" si="155">ROUND(N1229*(1+$F$10),2)</f>
        <v>3065.04</v>
      </c>
      <c r="P1229" s="191">
        <f t="shared" ref="P1229:P1292" si="156">ROUND(K1229*N1229,2)</f>
        <v>0</v>
      </c>
      <c r="Q1229" s="192">
        <f t="shared" si="149"/>
        <v>0</v>
      </c>
      <c r="R1229" s="193"/>
      <c r="S1229" s="194"/>
      <c r="T1229" s="195">
        <f t="shared" si="150"/>
        <v>0</v>
      </c>
      <c r="U1229" s="195">
        <f t="shared" si="151"/>
        <v>0</v>
      </c>
      <c r="V1229" s="195">
        <f t="shared" si="152"/>
        <v>0</v>
      </c>
      <c r="W1229" s="196" t="e">
        <f t="shared" si="153"/>
        <v>#DIV/0!</v>
      </c>
      <c r="X1229" s="197" t="e">
        <f t="shared" si="154"/>
        <v>#DIV/0!</v>
      </c>
    </row>
    <row r="1230" ht="11.4" hidden="1" customHeight="1" spans="1:24">
      <c r="A1230" s="184" t="s">
        <v>3045</v>
      </c>
      <c r="B1230" s="184" t="s">
        <v>417</v>
      </c>
      <c r="C1230" s="184" t="s">
        <v>416</v>
      </c>
      <c r="D1230" s="185" t="s">
        <v>700</v>
      </c>
      <c r="E1230" s="186" t="s">
        <v>2956</v>
      </c>
      <c r="F1230" s="186" t="s">
        <v>3036</v>
      </c>
      <c r="G1230" s="186" t="s">
        <v>3036</v>
      </c>
      <c r="H1230" s="186" t="s">
        <v>3044</v>
      </c>
      <c r="I1230" s="187" t="s">
        <v>1507</v>
      </c>
      <c r="J1230" s="187" t="s">
        <v>1508</v>
      </c>
      <c r="K1230" s="188"/>
      <c r="L1230" s="188"/>
      <c r="M1230" s="189" t="s">
        <v>1500</v>
      </c>
      <c r="N1230" s="190">
        <v>4636.31</v>
      </c>
      <c r="O1230" s="190">
        <f t="shared" si="155"/>
        <v>5053.58</v>
      </c>
      <c r="P1230" s="191">
        <f t="shared" si="156"/>
        <v>0</v>
      </c>
      <c r="Q1230" s="192">
        <f t="shared" ref="Q1230:Q1293" si="157">ROUND(L1230*N1230,2)</f>
        <v>0</v>
      </c>
      <c r="R1230" s="193"/>
      <c r="S1230" s="194"/>
      <c r="T1230" s="195">
        <f t="shared" ref="T1230:T1293" si="158">K1230-L1230</f>
        <v>0</v>
      </c>
      <c r="U1230" s="195">
        <f t="shared" ref="U1230:U1293" si="159">P1230-Q1230</f>
        <v>0</v>
      </c>
      <c r="V1230" s="195">
        <f t="shared" ref="V1230:V1293" si="160">ABS(U1230)</f>
        <v>0</v>
      </c>
      <c r="W1230" s="196" t="e">
        <f t="shared" ref="W1230:W1293" si="161">T1230/L1230</f>
        <v>#DIV/0!</v>
      </c>
      <c r="X1230" s="197" t="e">
        <f t="shared" ref="X1230:X1293" si="162">ABS(W1230)</f>
        <v>#DIV/0!</v>
      </c>
    </row>
    <row r="1231" ht="11.4" hidden="1" customHeight="1" spans="1:24">
      <c r="A1231" s="184" t="s">
        <v>3045</v>
      </c>
      <c r="B1231" s="184" t="s">
        <v>417</v>
      </c>
      <c r="C1231" s="184" t="s">
        <v>416</v>
      </c>
      <c r="D1231" s="185" t="s">
        <v>700</v>
      </c>
      <c r="E1231" s="186" t="s">
        <v>2956</v>
      </c>
      <c r="F1231" s="186" t="s">
        <v>3036</v>
      </c>
      <c r="G1231" s="186" t="s">
        <v>3036</v>
      </c>
      <c r="H1231" s="186" t="s">
        <v>3044</v>
      </c>
      <c r="I1231" s="187" t="s">
        <v>1509</v>
      </c>
      <c r="J1231" s="187" t="s">
        <v>1510</v>
      </c>
      <c r="K1231" s="188"/>
      <c r="L1231" s="188"/>
      <c r="M1231" s="189" t="s">
        <v>1500</v>
      </c>
      <c r="N1231" s="190">
        <v>2711.38</v>
      </c>
      <c r="O1231" s="190">
        <f t="shared" si="155"/>
        <v>2955.4</v>
      </c>
      <c r="P1231" s="191">
        <f t="shared" si="156"/>
        <v>0</v>
      </c>
      <c r="Q1231" s="192">
        <f t="shared" si="157"/>
        <v>0</v>
      </c>
      <c r="R1231" s="193"/>
      <c r="S1231" s="194"/>
      <c r="T1231" s="195">
        <f t="shared" si="158"/>
        <v>0</v>
      </c>
      <c r="U1231" s="195">
        <f t="shared" si="159"/>
        <v>0</v>
      </c>
      <c r="V1231" s="195">
        <f t="shared" si="160"/>
        <v>0</v>
      </c>
      <c r="W1231" s="196" t="e">
        <f t="shared" si="161"/>
        <v>#DIV/0!</v>
      </c>
      <c r="X1231" s="197" t="e">
        <f t="shared" si="162"/>
        <v>#DIV/0!</v>
      </c>
    </row>
    <row r="1232" ht="11.4" hidden="1" customHeight="1" spans="1:24">
      <c r="A1232" s="184" t="s">
        <v>3045</v>
      </c>
      <c r="B1232" s="184" t="s">
        <v>417</v>
      </c>
      <c r="C1232" s="184" t="s">
        <v>416</v>
      </c>
      <c r="D1232" s="185" t="s">
        <v>700</v>
      </c>
      <c r="E1232" s="186" t="s">
        <v>2956</v>
      </c>
      <c r="F1232" s="186" t="s">
        <v>3036</v>
      </c>
      <c r="G1232" s="186" t="s">
        <v>3036</v>
      </c>
      <c r="H1232" s="186" t="s">
        <v>3044</v>
      </c>
      <c r="I1232" s="187" t="s">
        <v>1511</v>
      </c>
      <c r="J1232" s="187" t="s">
        <v>1512</v>
      </c>
      <c r="K1232" s="188"/>
      <c r="L1232" s="188"/>
      <c r="M1232" s="189" t="s">
        <v>1500</v>
      </c>
      <c r="N1232" s="190">
        <v>5150.98</v>
      </c>
      <c r="O1232" s="190">
        <f t="shared" si="155"/>
        <v>5614.57</v>
      </c>
      <c r="P1232" s="191">
        <f t="shared" si="156"/>
        <v>0</v>
      </c>
      <c r="Q1232" s="192">
        <f t="shared" si="157"/>
        <v>0</v>
      </c>
      <c r="R1232" s="193"/>
      <c r="S1232" s="194"/>
      <c r="T1232" s="195">
        <f t="shared" si="158"/>
        <v>0</v>
      </c>
      <c r="U1232" s="195">
        <f t="shared" si="159"/>
        <v>0</v>
      </c>
      <c r="V1232" s="195">
        <f t="shared" si="160"/>
        <v>0</v>
      </c>
      <c r="W1232" s="196" t="e">
        <f t="shared" si="161"/>
        <v>#DIV/0!</v>
      </c>
      <c r="X1232" s="197" t="e">
        <f t="shared" si="162"/>
        <v>#DIV/0!</v>
      </c>
    </row>
    <row r="1233" ht="11.4" hidden="1" customHeight="1" spans="1:24">
      <c r="A1233" s="184" t="s">
        <v>3045</v>
      </c>
      <c r="B1233" s="184" t="s">
        <v>417</v>
      </c>
      <c r="C1233" s="184" t="s">
        <v>416</v>
      </c>
      <c r="D1233" s="185" t="s">
        <v>700</v>
      </c>
      <c r="E1233" s="186" t="s">
        <v>2956</v>
      </c>
      <c r="F1233" s="186" t="s">
        <v>3036</v>
      </c>
      <c r="G1233" s="186" t="s">
        <v>3036</v>
      </c>
      <c r="H1233" s="186" t="s">
        <v>3044</v>
      </c>
      <c r="I1233" s="187" t="s">
        <v>1513</v>
      </c>
      <c r="J1233" s="187" t="s">
        <v>1514</v>
      </c>
      <c r="K1233" s="188"/>
      <c r="L1233" s="188"/>
      <c r="M1233" s="189" t="s">
        <v>1500</v>
      </c>
      <c r="N1233" s="190">
        <v>2853.69</v>
      </c>
      <c r="O1233" s="190">
        <f t="shared" si="155"/>
        <v>3110.52</v>
      </c>
      <c r="P1233" s="191">
        <f t="shared" si="156"/>
        <v>0</v>
      </c>
      <c r="Q1233" s="192">
        <f t="shared" si="157"/>
        <v>0</v>
      </c>
      <c r="R1233" s="193"/>
      <c r="S1233" s="194"/>
      <c r="T1233" s="195">
        <f t="shared" si="158"/>
        <v>0</v>
      </c>
      <c r="U1233" s="195">
        <f t="shared" si="159"/>
        <v>0</v>
      </c>
      <c r="V1233" s="195">
        <f t="shared" si="160"/>
        <v>0</v>
      </c>
      <c r="W1233" s="196" t="e">
        <f t="shared" si="161"/>
        <v>#DIV/0!</v>
      </c>
      <c r="X1233" s="197" t="e">
        <f t="shared" si="162"/>
        <v>#DIV/0!</v>
      </c>
    </row>
    <row r="1234" ht="11.4" hidden="1" customHeight="1" spans="1:24">
      <c r="A1234" s="184" t="s">
        <v>3045</v>
      </c>
      <c r="B1234" s="184" t="s">
        <v>417</v>
      </c>
      <c r="C1234" s="184" t="s">
        <v>416</v>
      </c>
      <c r="D1234" s="185" t="s">
        <v>700</v>
      </c>
      <c r="E1234" s="186" t="s">
        <v>2956</v>
      </c>
      <c r="F1234" s="186" t="s">
        <v>3036</v>
      </c>
      <c r="G1234" s="186" t="s">
        <v>3036</v>
      </c>
      <c r="H1234" s="186" t="s">
        <v>3044</v>
      </c>
      <c r="I1234" s="187" t="s">
        <v>1519</v>
      </c>
      <c r="J1234" s="187" t="s">
        <v>1520</v>
      </c>
      <c r="K1234" s="188"/>
      <c r="L1234" s="188"/>
      <c r="M1234" s="189" t="s">
        <v>1500</v>
      </c>
      <c r="N1234" s="190">
        <v>6665.03</v>
      </c>
      <c r="O1234" s="190">
        <f t="shared" si="155"/>
        <v>7264.88</v>
      </c>
      <c r="P1234" s="191">
        <f t="shared" si="156"/>
        <v>0</v>
      </c>
      <c r="Q1234" s="192">
        <f t="shared" si="157"/>
        <v>0</v>
      </c>
      <c r="R1234" s="193"/>
      <c r="S1234" s="194"/>
      <c r="T1234" s="195">
        <f t="shared" si="158"/>
        <v>0</v>
      </c>
      <c r="U1234" s="195">
        <f t="shared" si="159"/>
        <v>0</v>
      </c>
      <c r="V1234" s="195">
        <f t="shared" si="160"/>
        <v>0</v>
      </c>
      <c r="W1234" s="196" t="e">
        <f t="shared" si="161"/>
        <v>#DIV/0!</v>
      </c>
      <c r="X1234" s="197" t="e">
        <f t="shared" si="162"/>
        <v>#DIV/0!</v>
      </c>
    </row>
    <row r="1235" ht="11.4" hidden="1" customHeight="1" spans="1:24">
      <c r="A1235" s="184" t="s">
        <v>3045</v>
      </c>
      <c r="B1235" s="184" t="s">
        <v>417</v>
      </c>
      <c r="C1235" s="184" t="s">
        <v>416</v>
      </c>
      <c r="D1235" s="185" t="s">
        <v>700</v>
      </c>
      <c r="E1235" s="186" t="s">
        <v>2956</v>
      </c>
      <c r="F1235" s="186" t="s">
        <v>3036</v>
      </c>
      <c r="G1235" s="186" t="s">
        <v>3036</v>
      </c>
      <c r="H1235" s="186" t="s">
        <v>3044</v>
      </c>
      <c r="I1235" s="187" t="s">
        <v>1521</v>
      </c>
      <c r="J1235" s="187" t="s">
        <v>1522</v>
      </c>
      <c r="K1235" s="188"/>
      <c r="L1235" s="188"/>
      <c r="M1235" s="189" t="s">
        <v>1500</v>
      </c>
      <c r="N1235" s="190">
        <v>3581.29</v>
      </c>
      <c r="O1235" s="190">
        <f t="shared" si="155"/>
        <v>3903.61</v>
      </c>
      <c r="P1235" s="191">
        <f t="shared" si="156"/>
        <v>0</v>
      </c>
      <c r="Q1235" s="192">
        <f t="shared" si="157"/>
        <v>0</v>
      </c>
      <c r="R1235" s="193"/>
      <c r="S1235" s="194"/>
      <c r="T1235" s="195">
        <f t="shared" si="158"/>
        <v>0</v>
      </c>
      <c r="U1235" s="195">
        <f t="shared" si="159"/>
        <v>0</v>
      </c>
      <c r="V1235" s="195">
        <f t="shared" si="160"/>
        <v>0</v>
      </c>
      <c r="W1235" s="196" t="e">
        <f t="shared" si="161"/>
        <v>#DIV/0!</v>
      </c>
      <c r="X1235" s="197" t="e">
        <f t="shared" si="162"/>
        <v>#DIV/0!</v>
      </c>
    </row>
    <row r="1236" ht="11.4" hidden="1" customHeight="1" spans="1:24">
      <c r="A1236" s="184" t="s">
        <v>3045</v>
      </c>
      <c r="B1236" s="184" t="s">
        <v>417</v>
      </c>
      <c r="C1236" s="184" t="s">
        <v>416</v>
      </c>
      <c r="D1236" s="185" t="s">
        <v>700</v>
      </c>
      <c r="E1236" s="186" t="s">
        <v>2956</v>
      </c>
      <c r="F1236" s="186" t="s">
        <v>3036</v>
      </c>
      <c r="G1236" s="186" t="s">
        <v>3036</v>
      </c>
      <c r="H1236" s="186" t="s">
        <v>3044</v>
      </c>
      <c r="I1236" s="187" t="s">
        <v>1523</v>
      </c>
      <c r="J1236" s="187" t="s">
        <v>1524</v>
      </c>
      <c r="K1236" s="188"/>
      <c r="L1236" s="188"/>
      <c r="M1236" s="189" t="s">
        <v>1500</v>
      </c>
      <c r="N1236" s="190">
        <v>6335.47</v>
      </c>
      <c r="O1236" s="190">
        <f t="shared" si="155"/>
        <v>6905.66</v>
      </c>
      <c r="P1236" s="191">
        <f t="shared" si="156"/>
        <v>0</v>
      </c>
      <c r="Q1236" s="192">
        <f t="shared" si="157"/>
        <v>0</v>
      </c>
      <c r="R1236" s="193"/>
      <c r="S1236" s="194"/>
      <c r="T1236" s="195">
        <f t="shared" si="158"/>
        <v>0</v>
      </c>
      <c r="U1236" s="195">
        <f t="shared" si="159"/>
        <v>0</v>
      </c>
      <c r="V1236" s="195">
        <f t="shared" si="160"/>
        <v>0</v>
      </c>
      <c r="W1236" s="196" t="e">
        <f t="shared" si="161"/>
        <v>#DIV/0!</v>
      </c>
      <c r="X1236" s="197" t="e">
        <f t="shared" si="162"/>
        <v>#DIV/0!</v>
      </c>
    </row>
    <row r="1237" ht="11.4" hidden="1" customHeight="1" spans="1:24">
      <c r="A1237" s="184" t="s">
        <v>3045</v>
      </c>
      <c r="B1237" s="184" t="s">
        <v>417</v>
      </c>
      <c r="C1237" s="184" t="s">
        <v>416</v>
      </c>
      <c r="D1237" s="185" t="s">
        <v>700</v>
      </c>
      <c r="E1237" s="186" t="s">
        <v>2956</v>
      </c>
      <c r="F1237" s="186" t="s">
        <v>3036</v>
      </c>
      <c r="G1237" s="186" t="s">
        <v>3036</v>
      </c>
      <c r="H1237" s="186" t="s">
        <v>3044</v>
      </c>
      <c r="I1237" s="187" t="s">
        <v>1525</v>
      </c>
      <c r="J1237" s="187" t="s">
        <v>1526</v>
      </c>
      <c r="K1237" s="188"/>
      <c r="L1237" s="188"/>
      <c r="M1237" s="189" t="s">
        <v>1500</v>
      </c>
      <c r="N1237" s="190">
        <v>3268.85</v>
      </c>
      <c r="O1237" s="190">
        <f t="shared" si="155"/>
        <v>3563.05</v>
      </c>
      <c r="P1237" s="191">
        <f t="shared" si="156"/>
        <v>0</v>
      </c>
      <c r="Q1237" s="192">
        <f t="shared" si="157"/>
        <v>0</v>
      </c>
      <c r="R1237" s="193"/>
      <c r="S1237" s="194"/>
      <c r="T1237" s="195">
        <f t="shared" si="158"/>
        <v>0</v>
      </c>
      <c r="U1237" s="195">
        <f t="shared" si="159"/>
        <v>0</v>
      </c>
      <c r="V1237" s="195">
        <f t="shared" si="160"/>
        <v>0</v>
      </c>
      <c r="W1237" s="196" t="e">
        <f t="shared" si="161"/>
        <v>#DIV/0!</v>
      </c>
      <c r="X1237" s="197" t="e">
        <f t="shared" si="162"/>
        <v>#DIV/0!</v>
      </c>
    </row>
    <row r="1238" ht="11.4" hidden="1" customHeight="1" spans="1:24">
      <c r="A1238" s="184" t="s">
        <v>3045</v>
      </c>
      <c r="B1238" s="184" t="s">
        <v>417</v>
      </c>
      <c r="C1238" s="184" t="s">
        <v>416</v>
      </c>
      <c r="D1238" s="185" t="s">
        <v>700</v>
      </c>
      <c r="E1238" s="186" t="s">
        <v>2956</v>
      </c>
      <c r="F1238" s="186" t="s">
        <v>3036</v>
      </c>
      <c r="G1238" s="186" t="s">
        <v>3036</v>
      </c>
      <c r="H1238" s="186" t="s">
        <v>3044</v>
      </c>
      <c r="I1238" s="187" t="s">
        <v>1527</v>
      </c>
      <c r="J1238" s="187" t="s">
        <v>1528</v>
      </c>
      <c r="K1238" s="188"/>
      <c r="L1238" s="188"/>
      <c r="M1238" s="189" t="s">
        <v>1500</v>
      </c>
      <c r="N1238" s="190">
        <v>6589.06</v>
      </c>
      <c r="O1238" s="190">
        <f t="shared" si="155"/>
        <v>7182.08</v>
      </c>
      <c r="P1238" s="191">
        <f t="shared" si="156"/>
        <v>0</v>
      </c>
      <c r="Q1238" s="192">
        <f t="shared" si="157"/>
        <v>0</v>
      </c>
      <c r="R1238" s="193"/>
      <c r="S1238" s="194"/>
      <c r="T1238" s="195">
        <f t="shared" si="158"/>
        <v>0</v>
      </c>
      <c r="U1238" s="195">
        <f t="shared" si="159"/>
        <v>0</v>
      </c>
      <c r="V1238" s="195">
        <f t="shared" si="160"/>
        <v>0</v>
      </c>
      <c r="W1238" s="196" t="e">
        <f t="shared" si="161"/>
        <v>#DIV/0!</v>
      </c>
      <c r="X1238" s="197" t="e">
        <f t="shared" si="162"/>
        <v>#DIV/0!</v>
      </c>
    </row>
    <row r="1239" ht="11.4" hidden="1" customHeight="1" spans="1:24">
      <c r="A1239" s="184" t="s">
        <v>3045</v>
      </c>
      <c r="B1239" s="184" t="s">
        <v>417</v>
      </c>
      <c r="C1239" s="184" t="s">
        <v>416</v>
      </c>
      <c r="D1239" s="185" t="s">
        <v>700</v>
      </c>
      <c r="E1239" s="186" t="s">
        <v>2956</v>
      </c>
      <c r="F1239" s="186" t="s">
        <v>3036</v>
      </c>
      <c r="G1239" s="186" t="s">
        <v>3036</v>
      </c>
      <c r="H1239" s="186" t="s">
        <v>3044</v>
      </c>
      <c r="I1239" s="187" t="s">
        <v>1529</v>
      </c>
      <c r="J1239" s="187" t="s">
        <v>1530</v>
      </c>
      <c r="K1239" s="188"/>
      <c r="L1239" s="188"/>
      <c r="M1239" s="189" t="s">
        <v>1500</v>
      </c>
      <c r="N1239" s="190">
        <v>3398.32</v>
      </c>
      <c r="O1239" s="190">
        <f t="shared" si="155"/>
        <v>3704.17</v>
      </c>
      <c r="P1239" s="191">
        <f t="shared" si="156"/>
        <v>0</v>
      </c>
      <c r="Q1239" s="192">
        <f t="shared" si="157"/>
        <v>0</v>
      </c>
      <c r="R1239" s="193"/>
      <c r="S1239" s="194"/>
      <c r="T1239" s="195">
        <f t="shared" si="158"/>
        <v>0</v>
      </c>
      <c r="U1239" s="195">
        <f t="shared" si="159"/>
        <v>0</v>
      </c>
      <c r="V1239" s="195">
        <f t="shared" si="160"/>
        <v>0</v>
      </c>
      <c r="W1239" s="196" t="e">
        <f t="shared" si="161"/>
        <v>#DIV/0!</v>
      </c>
      <c r="X1239" s="197" t="e">
        <f t="shared" si="162"/>
        <v>#DIV/0!</v>
      </c>
    </row>
    <row r="1240" ht="11.4" hidden="1" customHeight="1" spans="1:24">
      <c r="A1240" s="184" t="s">
        <v>3043</v>
      </c>
      <c r="B1240" s="184" t="s">
        <v>117</v>
      </c>
      <c r="C1240" s="184" t="s">
        <v>1101</v>
      </c>
      <c r="D1240" s="185" t="s">
        <v>700</v>
      </c>
      <c r="E1240" s="186" t="s">
        <v>2956</v>
      </c>
      <c r="F1240" s="186" t="s">
        <v>3036</v>
      </c>
      <c r="G1240" s="186" t="s">
        <v>3036</v>
      </c>
      <c r="H1240" s="186" t="s">
        <v>3044</v>
      </c>
      <c r="I1240" s="187" t="s">
        <v>1531</v>
      </c>
      <c r="J1240" s="187" t="s">
        <v>1532</v>
      </c>
      <c r="K1240" s="188"/>
      <c r="L1240" s="188"/>
      <c r="M1240" s="189" t="s">
        <v>1500</v>
      </c>
      <c r="N1240" s="190">
        <v>539.86</v>
      </c>
      <c r="O1240" s="190">
        <f t="shared" si="155"/>
        <v>588.45</v>
      </c>
      <c r="P1240" s="191">
        <f t="shared" si="156"/>
        <v>0</v>
      </c>
      <c r="Q1240" s="192">
        <f t="shared" si="157"/>
        <v>0</v>
      </c>
      <c r="R1240" s="193"/>
      <c r="S1240" s="194"/>
      <c r="T1240" s="195">
        <f t="shared" si="158"/>
        <v>0</v>
      </c>
      <c r="U1240" s="195">
        <f t="shared" si="159"/>
        <v>0</v>
      </c>
      <c r="V1240" s="195">
        <f t="shared" si="160"/>
        <v>0</v>
      </c>
      <c r="W1240" s="196" t="e">
        <f t="shared" si="161"/>
        <v>#DIV/0!</v>
      </c>
      <c r="X1240" s="197" t="e">
        <f t="shared" si="162"/>
        <v>#DIV/0!</v>
      </c>
    </row>
    <row r="1241" ht="11.4" hidden="1" customHeight="1" spans="1:24">
      <c r="A1241" s="184" t="s">
        <v>3043</v>
      </c>
      <c r="B1241" s="184" t="s">
        <v>117</v>
      </c>
      <c r="C1241" s="184" t="s">
        <v>1101</v>
      </c>
      <c r="D1241" s="185" t="s">
        <v>700</v>
      </c>
      <c r="E1241" s="186" t="s">
        <v>2956</v>
      </c>
      <c r="F1241" s="186" t="s">
        <v>3036</v>
      </c>
      <c r="G1241" s="186" t="s">
        <v>3036</v>
      </c>
      <c r="H1241" s="186" t="s">
        <v>3044</v>
      </c>
      <c r="I1241" s="187" t="s">
        <v>1533</v>
      </c>
      <c r="J1241" s="187" t="s">
        <v>1534</v>
      </c>
      <c r="K1241" s="188"/>
      <c r="L1241" s="188"/>
      <c r="M1241" s="189" t="s">
        <v>1500</v>
      </c>
      <c r="N1241" s="190">
        <v>311.29</v>
      </c>
      <c r="O1241" s="190">
        <f t="shared" si="155"/>
        <v>339.31</v>
      </c>
      <c r="P1241" s="191">
        <f t="shared" si="156"/>
        <v>0</v>
      </c>
      <c r="Q1241" s="192">
        <f t="shared" si="157"/>
        <v>0</v>
      </c>
      <c r="R1241" s="193"/>
      <c r="S1241" s="194"/>
      <c r="T1241" s="195">
        <f t="shared" si="158"/>
        <v>0</v>
      </c>
      <c r="U1241" s="195">
        <f t="shared" si="159"/>
        <v>0</v>
      </c>
      <c r="V1241" s="195">
        <f t="shared" si="160"/>
        <v>0</v>
      </c>
      <c r="W1241" s="196" t="e">
        <f t="shared" si="161"/>
        <v>#DIV/0!</v>
      </c>
      <c r="X1241" s="197" t="e">
        <f t="shared" si="162"/>
        <v>#DIV/0!</v>
      </c>
    </row>
    <row r="1242" ht="11.4" hidden="1" customHeight="1" spans="1:24">
      <c r="A1242" s="184" t="s">
        <v>3043</v>
      </c>
      <c r="B1242" s="184" t="s">
        <v>117</v>
      </c>
      <c r="C1242" s="184" t="s">
        <v>1101</v>
      </c>
      <c r="D1242" s="185" t="s">
        <v>700</v>
      </c>
      <c r="E1242" s="186" t="s">
        <v>2956</v>
      </c>
      <c r="F1242" s="186" t="s">
        <v>3036</v>
      </c>
      <c r="G1242" s="186" t="s">
        <v>3036</v>
      </c>
      <c r="H1242" s="186" t="s">
        <v>3039</v>
      </c>
      <c r="I1242" s="187" t="s">
        <v>1480</v>
      </c>
      <c r="J1242" s="187" t="s">
        <v>1481</v>
      </c>
      <c r="K1242" s="188"/>
      <c r="L1242" s="188"/>
      <c r="M1242" s="189" t="s">
        <v>847</v>
      </c>
      <c r="N1242" s="190">
        <v>209.13</v>
      </c>
      <c r="O1242" s="190">
        <f t="shared" si="155"/>
        <v>227.95</v>
      </c>
      <c r="P1242" s="191">
        <f t="shared" si="156"/>
        <v>0</v>
      </c>
      <c r="Q1242" s="192">
        <f t="shared" si="157"/>
        <v>0</v>
      </c>
      <c r="R1242" s="193"/>
      <c r="S1242" s="194"/>
      <c r="T1242" s="195">
        <f t="shared" si="158"/>
        <v>0</v>
      </c>
      <c r="U1242" s="195">
        <f t="shared" si="159"/>
        <v>0</v>
      </c>
      <c r="V1242" s="195">
        <f t="shared" si="160"/>
        <v>0</v>
      </c>
      <c r="W1242" s="196" t="e">
        <f t="shared" si="161"/>
        <v>#DIV/0!</v>
      </c>
      <c r="X1242" s="197" t="e">
        <f t="shared" si="162"/>
        <v>#DIV/0!</v>
      </c>
    </row>
    <row r="1243" ht="11.4" hidden="1" customHeight="1" spans="1:24">
      <c r="A1243" s="184" t="s">
        <v>3043</v>
      </c>
      <c r="B1243" s="184" t="s">
        <v>117</v>
      </c>
      <c r="C1243" s="184" t="s">
        <v>1101</v>
      </c>
      <c r="D1243" s="185" t="s">
        <v>700</v>
      </c>
      <c r="E1243" s="186" t="s">
        <v>2956</v>
      </c>
      <c r="F1243" s="186" t="s">
        <v>3036</v>
      </c>
      <c r="G1243" s="186" t="s">
        <v>3036</v>
      </c>
      <c r="H1243" s="186" t="s">
        <v>3039</v>
      </c>
      <c r="I1243" s="187" t="s">
        <v>1482</v>
      </c>
      <c r="J1243" s="187" t="s">
        <v>1483</v>
      </c>
      <c r="K1243" s="188"/>
      <c r="L1243" s="188"/>
      <c r="M1243" s="189" t="s">
        <v>847</v>
      </c>
      <c r="N1243" s="190">
        <v>203.08</v>
      </c>
      <c r="O1243" s="190">
        <f t="shared" si="155"/>
        <v>221.36</v>
      </c>
      <c r="P1243" s="191">
        <f t="shared" si="156"/>
        <v>0</v>
      </c>
      <c r="Q1243" s="192">
        <f t="shared" si="157"/>
        <v>0</v>
      </c>
      <c r="R1243" s="193"/>
      <c r="S1243" s="194"/>
      <c r="T1243" s="195">
        <f t="shared" si="158"/>
        <v>0</v>
      </c>
      <c r="U1243" s="195">
        <f t="shared" si="159"/>
        <v>0</v>
      </c>
      <c r="V1243" s="195">
        <f t="shared" si="160"/>
        <v>0</v>
      </c>
      <c r="W1243" s="196" t="e">
        <f t="shared" si="161"/>
        <v>#DIV/0!</v>
      </c>
      <c r="X1243" s="197" t="e">
        <f t="shared" si="162"/>
        <v>#DIV/0!</v>
      </c>
    </row>
    <row r="1244" ht="11.4" hidden="1" customHeight="1" spans="1:24">
      <c r="A1244" s="184" t="s">
        <v>3043</v>
      </c>
      <c r="B1244" s="184" t="s">
        <v>117</v>
      </c>
      <c r="C1244" s="184" t="s">
        <v>1101</v>
      </c>
      <c r="D1244" s="185" t="s">
        <v>700</v>
      </c>
      <c r="E1244" s="186" t="s">
        <v>2956</v>
      </c>
      <c r="F1244" s="186" t="s">
        <v>3036</v>
      </c>
      <c r="G1244" s="186" t="s">
        <v>3036</v>
      </c>
      <c r="H1244" s="186" t="s">
        <v>3039</v>
      </c>
      <c r="I1244" s="187" t="s">
        <v>1484</v>
      </c>
      <c r="J1244" s="187" t="s">
        <v>1485</v>
      </c>
      <c r="K1244" s="188"/>
      <c r="L1244" s="188"/>
      <c r="M1244" s="189" t="s">
        <v>847</v>
      </c>
      <c r="N1244" s="190">
        <v>209.13</v>
      </c>
      <c r="O1244" s="190">
        <f t="shared" si="155"/>
        <v>227.95</v>
      </c>
      <c r="P1244" s="191">
        <f t="shared" si="156"/>
        <v>0</v>
      </c>
      <c r="Q1244" s="192">
        <f t="shared" si="157"/>
        <v>0</v>
      </c>
      <c r="R1244" s="193"/>
      <c r="S1244" s="194"/>
      <c r="T1244" s="195">
        <f t="shared" si="158"/>
        <v>0</v>
      </c>
      <c r="U1244" s="195">
        <f t="shared" si="159"/>
        <v>0</v>
      </c>
      <c r="V1244" s="195">
        <f t="shared" si="160"/>
        <v>0</v>
      </c>
      <c r="W1244" s="196" t="e">
        <f t="shared" si="161"/>
        <v>#DIV/0!</v>
      </c>
      <c r="X1244" s="197" t="e">
        <f t="shared" si="162"/>
        <v>#DIV/0!</v>
      </c>
    </row>
    <row r="1245" ht="11.4" hidden="1" customHeight="1" spans="1:24">
      <c r="A1245" s="184" t="s">
        <v>3043</v>
      </c>
      <c r="B1245" s="184" t="s">
        <v>117</v>
      </c>
      <c r="C1245" s="184" t="s">
        <v>1101</v>
      </c>
      <c r="D1245" s="185" t="s">
        <v>700</v>
      </c>
      <c r="E1245" s="186" t="s">
        <v>2956</v>
      </c>
      <c r="F1245" s="186" t="s">
        <v>3036</v>
      </c>
      <c r="G1245" s="186" t="s">
        <v>3036</v>
      </c>
      <c r="H1245" s="186" t="s">
        <v>3044</v>
      </c>
      <c r="I1245" s="187" t="s">
        <v>1486</v>
      </c>
      <c r="J1245" s="187" t="s">
        <v>1487</v>
      </c>
      <c r="K1245" s="188"/>
      <c r="L1245" s="188"/>
      <c r="M1245" s="189" t="s">
        <v>847</v>
      </c>
      <c r="N1245" s="190">
        <v>660.97</v>
      </c>
      <c r="O1245" s="190">
        <f t="shared" si="155"/>
        <v>720.46</v>
      </c>
      <c r="P1245" s="191">
        <f t="shared" si="156"/>
        <v>0</v>
      </c>
      <c r="Q1245" s="192">
        <f t="shared" si="157"/>
        <v>0</v>
      </c>
      <c r="R1245" s="193"/>
      <c r="S1245" s="194"/>
      <c r="T1245" s="195">
        <f t="shared" si="158"/>
        <v>0</v>
      </c>
      <c r="U1245" s="195">
        <f t="shared" si="159"/>
        <v>0</v>
      </c>
      <c r="V1245" s="195">
        <f t="shared" si="160"/>
        <v>0</v>
      </c>
      <c r="W1245" s="196" t="e">
        <f t="shared" si="161"/>
        <v>#DIV/0!</v>
      </c>
      <c r="X1245" s="197" t="e">
        <f t="shared" si="162"/>
        <v>#DIV/0!</v>
      </c>
    </row>
    <row r="1246" ht="11.4" hidden="1" customHeight="1" spans="1:24">
      <c r="A1246" s="184" t="s">
        <v>3043</v>
      </c>
      <c r="B1246" s="184" t="s">
        <v>117</v>
      </c>
      <c r="C1246" s="184" t="s">
        <v>1101</v>
      </c>
      <c r="D1246" s="185" t="s">
        <v>700</v>
      </c>
      <c r="E1246" s="186" t="s">
        <v>2956</v>
      </c>
      <c r="F1246" s="186" t="s">
        <v>3036</v>
      </c>
      <c r="G1246" s="186" t="s">
        <v>3036</v>
      </c>
      <c r="H1246" s="186" t="s">
        <v>3044</v>
      </c>
      <c r="I1246" s="187" t="s">
        <v>2973</v>
      </c>
      <c r="J1246" s="187" t="s">
        <v>2974</v>
      </c>
      <c r="K1246" s="188"/>
      <c r="L1246" s="188"/>
      <c r="M1246" s="189" t="s">
        <v>847</v>
      </c>
      <c r="N1246" s="190">
        <v>1134.73</v>
      </c>
      <c r="O1246" s="190">
        <f t="shared" si="155"/>
        <v>1236.86</v>
      </c>
      <c r="P1246" s="191">
        <f t="shared" si="156"/>
        <v>0</v>
      </c>
      <c r="Q1246" s="192">
        <f t="shared" si="157"/>
        <v>0</v>
      </c>
      <c r="R1246" s="193"/>
      <c r="S1246" s="194"/>
      <c r="T1246" s="195">
        <f t="shared" si="158"/>
        <v>0</v>
      </c>
      <c r="U1246" s="195">
        <f t="shared" si="159"/>
        <v>0</v>
      </c>
      <c r="V1246" s="195">
        <f t="shared" si="160"/>
        <v>0</v>
      </c>
      <c r="W1246" s="196" t="e">
        <f t="shared" si="161"/>
        <v>#DIV/0!</v>
      </c>
      <c r="X1246" s="197" t="e">
        <f t="shared" si="162"/>
        <v>#DIV/0!</v>
      </c>
    </row>
    <row r="1247" ht="11.4" hidden="1" customHeight="1" spans="1:24">
      <c r="A1247" s="184" t="s">
        <v>3043</v>
      </c>
      <c r="B1247" s="184" t="s">
        <v>117</v>
      </c>
      <c r="C1247" s="184" t="s">
        <v>1101</v>
      </c>
      <c r="D1247" s="185" t="s">
        <v>700</v>
      </c>
      <c r="E1247" s="186" t="s">
        <v>2956</v>
      </c>
      <c r="F1247" s="186" t="s">
        <v>3036</v>
      </c>
      <c r="G1247" s="186" t="s">
        <v>3036</v>
      </c>
      <c r="H1247" s="186" t="s">
        <v>3044</v>
      </c>
      <c r="I1247" s="187" t="s">
        <v>1445</v>
      </c>
      <c r="J1247" s="187" t="s">
        <v>1446</v>
      </c>
      <c r="K1247" s="188"/>
      <c r="L1247" s="188"/>
      <c r="M1247" s="189" t="s">
        <v>847</v>
      </c>
      <c r="N1247" s="190">
        <v>464.59</v>
      </c>
      <c r="O1247" s="190">
        <f t="shared" si="155"/>
        <v>506.4</v>
      </c>
      <c r="P1247" s="191">
        <f t="shared" si="156"/>
        <v>0</v>
      </c>
      <c r="Q1247" s="192">
        <f t="shared" si="157"/>
        <v>0</v>
      </c>
      <c r="R1247" s="193"/>
      <c r="S1247" s="194"/>
      <c r="T1247" s="195">
        <f t="shared" si="158"/>
        <v>0</v>
      </c>
      <c r="U1247" s="195">
        <f t="shared" si="159"/>
        <v>0</v>
      </c>
      <c r="V1247" s="195">
        <f t="shared" si="160"/>
        <v>0</v>
      </c>
      <c r="W1247" s="196" t="e">
        <f t="shared" si="161"/>
        <v>#DIV/0!</v>
      </c>
      <c r="X1247" s="197" t="e">
        <f t="shared" si="162"/>
        <v>#DIV/0!</v>
      </c>
    </row>
    <row r="1248" ht="11.4" hidden="1" customHeight="1" spans="1:24">
      <c r="A1248" s="184" t="s">
        <v>3043</v>
      </c>
      <c r="B1248" s="184" t="s">
        <v>117</v>
      </c>
      <c r="C1248" s="184" t="s">
        <v>1101</v>
      </c>
      <c r="D1248" s="185" t="s">
        <v>700</v>
      </c>
      <c r="E1248" s="186" t="s">
        <v>2956</v>
      </c>
      <c r="F1248" s="186" t="s">
        <v>3036</v>
      </c>
      <c r="G1248" s="186" t="s">
        <v>3036</v>
      </c>
      <c r="H1248" s="186" t="s">
        <v>3044</v>
      </c>
      <c r="I1248" s="187" t="s">
        <v>1448</v>
      </c>
      <c r="J1248" s="187" t="s">
        <v>1449</v>
      </c>
      <c r="K1248" s="188"/>
      <c r="L1248" s="188"/>
      <c r="M1248" s="189" t="s">
        <v>847</v>
      </c>
      <c r="N1248" s="190">
        <v>460.58</v>
      </c>
      <c r="O1248" s="190">
        <f t="shared" si="155"/>
        <v>502.03</v>
      </c>
      <c r="P1248" s="191">
        <f t="shared" si="156"/>
        <v>0</v>
      </c>
      <c r="Q1248" s="192">
        <f t="shared" si="157"/>
        <v>0</v>
      </c>
      <c r="R1248" s="193"/>
      <c r="S1248" s="194"/>
      <c r="T1248" s="195">
        <f t="shared" si="158"/>
        <v>0</v>
      </c>
      <c r="U1248" s="195">
        <f t="shared" si="159"/>
        <v>0</v>
      </c>
      <c r="V1248" s="195">
        <f t="shared" si="160"/>
        <v>0</v>
      </c>
      <c r="W1248" s="196" t="e">
        <f t="shared" si="161"/>
        <v>#DIV/0!</v>
      </c>
      <c r="X1248" s="197" t="e">
        <f t="shared" si="162"/>
        <v>#DIV/0!</v>
      </c>
    </row>
    <row r="1249" ht="11.4" hidden="1" customHeight="1" spans="1:24">
      <c r="A1249" s="184" t="s">
        <v>3043</v>
      </c>
      <c r="B1249" s="184" t="s">
        <v>117</v>
      </c>
      <c r="C1249" s="184" t="s">
        <v>1101</v>
      </c>
      <c r="D1249" s="185" t="s">
        <v>700</v>
      </c>
      <c r="E1249" s="186" t="s">
        <v>2956</v>
      </c>
      <c r="F1249" s="186" t="s">
        <v>3036</v>
      </c>
      <c r="G1249" s="186" t="s">
        <v>3036</v>
      </c>
      <c r="H1249" s="186" t="s">
        <v>3044</v>
      </c>
      <c r="I1249" s="187" t="s">
        <v>1450</v>
      </c>
      <c r="J1249" s="187" t="s">
        <v>1451</v>
      </c>
      <c r="K1249" s="188"/>
      <c r="L1249" s="188"/>
      <c r="M1249" s="189" t="s">
        <v>847</v>
      </c>
      <c r="N1249" s="190">
        <v>464.64</v>
      </c>
      <c r="O1249" s="190">
        <f t="shared" si="155"/>
        <v>506.46</v>
      </c>
      <c r="P1249" s="191">
        <f t="shared" si="156"/>
        <v>0</v>
      </c>
      <c r="Q1249" s="192">
        <f t="shared" si="157"/>
        <v>0</v>
      </c>
      <c r="R1249" s="193"/>
      <c r="S1249" s="194"/>
      <c r="T1249" s="195">
        <f t="shared" si="158"/>
        <v>0</v>
      </c>
      <c r="U1249" s="195">
        <f t="shared" si="159"/>
        <v>0</v>
      </c>
      <c r="V1249" s="195">
        <f t="shared" si="160"/>
        <v>0</v>
      </c>
      <c r="W1249" s="196" t="e">
        <f t="shared" si="161"/>
        <v>#DIV/0!</v>
      </c>
      <c r="X1249" s="197" t="e">
        <f t="shared" si="162"/>
        <v>#DIV/0!</v>
      </c>
    </row>
    <row r="1250" ht="11.4" hidden="1" customHeight="1" spans="1:24">
      <c r="A1250" s="184" t="s">
        <v>3043</v>
      </c>
      <c r="B1250" s="184" t="s">
        <v>117</v>
      </c>
      <c r="C1250" s="184" t="s">
        <v>1101</v>
      </c>
      <c r="D1250" s="185" t="s">
        <v>700</v>
      </c>
      <c r="E1250" s="186" t="s">
        <v>2956</v>
      </c>
      <c r="F1250" s="186" t="s">
        <v>3036</v>
      </c>
      <c r="G1250" s="186" t="s">
        <v>3036</v>
      </c>
      <c r="H1250" s="186" t="s">
        <v>3044</v>
      </c>
      <c r="I1250" s="187" t="s">
        <v>1463</v>
      </c>
      <c r="J1250" s="187" t="s">
        <v>1464</v>
      </c>
      <c r="K1250" s="188"/>
      <c r="L1250" s="188"/>
      <c r="M1250" s="189" t="s">
        <v>847</v>
      </c>
      <c r="N1250" s="190">
        <v>727.77</v>
      </c>
      <c r="O1250" s="190">
        <f t="shared" si="155"/>
        <v>793.27</v>
      </c>
      <c r="P1250" s="191">
        <f t="shared" si="156"/>
        <v>0</v>
      </c>
      <c r="Q1250" s="192">
        <f t="shared" si="157"/>
        <v>0</v>
      </c>
      <c r="R1250" s="193"/>
      <c r="S1250" s="194"/>
      <c r="T1250" s="195">
        <f t="shared" si="158"/>
        <v>0</v>
      </c>
      <c r="U1250" s="195">
        <f t="shared" si="159"/>
        <v>0</v>
      </c>
      <c r="V1250" s="195">
        <f t="shared" si="160"/>
        <v>0</v>
      </c>
      <c r="W1250" s="196" t="e">
        <f t="shared" si="161"/>
        <v>#DIV/0!</v>
      </c>
      <c r="X1250" s="197" t="e">
        <f t="shared" si="162"/>
        <v>#DIV/0!</v>
      </c>
    </row>
    <row r="1251" ht="11.4" hidden="1" customHeight="1" spans="1:24">
      <c r="A1251" s="184" t="s">
        <v>3043</v>
      </c>
      <c r="B1251" s="184" t="s">
        <v>117</v>
      </c>
      <c r="C1251" s="184" t="s">
        <v>1101</v>
      </c>
      <c r="D1251" s="185" t="s">
        <v>700</v>
      </c>
      <c r="E1251" s="186" t="s">
        <v>2956</v>
      </c>
      <c r="F1251" s="186" t="s">
        <v>3036</v>
      </c>
      <c r="G1251" s="186" t="s">
        <v>3036</v>
      </c>
      <c r="H1251" s="186" t="s">
        <v>3044</v>
      </c>
      <c r="I1251" s="187" t="s">
        <v>2971</v>
      </c>
      <c r="J1251" s="187" t="s">
        <v>2972</v>
      </c>
      <c r="K1251" s="188"/>
      <c r="L1251" s="188"/>
      <c r="M1251" s="189" t="s">
        <v>847</v>
      </c>
      <c r="N1251" s="190">
        <v>298.96</v>
      </c>
      <c r="O1251" s="190">
        <f t="shared" si="155"/>
        <v>325.87</v>
      </c>
      <c r="P1251" s="191">
        <f t="shared" si="156"/>
        <v>0</v>
      </c>
      <c r="Q1251" s="192">
        <f t="shared" si="157"/>
        <v>0</v>
      </c>
      <c r="R1251" s="193"/>
      <c r="S1251" s="194"/>
      <c r="T1251" s="195">
        <f t="shared" si="158"/>
        <v>0</v>
      </c>
      <c r="U1251" s="195">
        <f t="shared" si="159"/>
        <v>0</v>
      </c>
      <c r="V1251" s="195">
        <f t="shared" si="160"/>
        <v>0</v>
      </c>
      <c r="W1251" s="196" t="e">
        <f t="shared" si="161"/>
        <v>#DIV/0!</v>
      </c>
      <c r="X1251" s="197" t="e">
        <f t="shared" si="162"/>
        <v>#DIV/0!</v>
      </c>
    </row>
    <row r="1252" ht="11.4" hidden="1" customHeight="1" spans="1:24">
      <c r="A1252" s="184" t="s">
        <v>3043</v>
      </c>
      <c r="B1252" s="184" t="s">
        <v>117</v>
      </c>
      <c r="C1252" s="184" t="s">
        <v>1101</v>
      </c>
      <c r="D1252" s="185" t="s">
        <v>700</v>
      </c>
      <c r="E1252" s="186" t="s">
        <v>2956</v>
      </c>
      <c r="F1252" s="186" t="s">
        <v>3036</v>
      </c>
      <c r="G1252" s="186" t="s">
        <v>3036</v>
      </c>
      <c r="H1252" s="186" t="s">
        <v>3044</v>
      </c>
      <c r="I1252" s="187" t="s">
        <v>1490</v>
      </c>
      <c r="J1252" s="187" t="s">
        <v>1491</v>
      </c>
      <c r="K1252" s="188"/>
      <c r="L1252" s="188"/>
      <c r="M1252" s="189" t="s">
        <v>847</v>
      </c>
      <c r="N1252" s="190">
        <v>135.83</v>
      </c>
      <c r="O1252" s="190">
        <f t="shared" si="155"/>
        <v>148.05</v>
      </c>
      <c r="P1252" s="191">
        <f t="shared" si="156"/>
        <v>0</v>
      </c>
      <c r="Q1252" s="192">
        <f t="shared" si="157"/>
        <v>0</v>
      </c>
      <c r="R1252" s="193"/>
      <c r="S1252" s="194"/>
      <c r="T1252" s="195">
        <f t="shared" si="158"/>
        <v>0</v>
      </c>
      <c r="U1252" s="195">
        <f t="shared" si="159"/>
        <v>0</v>
      </c>
      <c r="V1252" s="195">
        <f t="shared" si="160"/>
        <v>0</v>
      </c>
      <c r="W1252" s="196" t="e">
        <f t="shared" si="161"/>
        <v>#DIV/0!</v>
      </c>
      <c r="X1252" s="197" t="e">
        <f t="shared" si="162"/>
        <v>#DIV/0!</v>
      </c>
    </row>
    <row r="1253" ht="11.4" hidden="1" customHeight="1" spans="1:24">
      <c r="A1253" s="184" t="s">
        <v>3043</v>
      </c>
      <c r="B1253" s="184" t="s">
        <v>117</v>
      </c>
      <c r="C1253" s="184" t="s">
        <v>1101</v>
      </c>
      <c r="D1253" s="185" t="s">
        <v>700</v>
      </c>
      <c r="E1253" s="186" t="s">
        <v>2956</v>
      </c>
      <c r="F1253" s="186" t="s">
        <v>3036</v>
      </c>
      <c r="G1253" s="186" t="s">
        <v>3036</v>
      </c>
      <c r="H1253" s="186" t="s">
        <v>3044</v>
      </c>
      <c r="I1253" s="187" t="s">
        <v>1106</v>
      </c>
      <c r="J1253" s="187" t="s">
        <v>1107</v>
      </c>
      <c r="K1253" s="188"/>
      <c r="L1253" s="188"/>
      <c r="M1253" s="189" t="s">
        <v>807</v>
      </c>
      <c r="N1253" s="190">
        <v>41.36</v>
      </c>
      <c r="O1253" s="190">
        <f t="shared" si="155"/>
        <v>45.08</v>
      </c>
      <c r="P1253" s="191">
        <f t="shared" si="156"/>
        <v>0</v>
      </c>
      <c r="Q1253" s="192">
        <f t="shared" si="157"/>
        <v>0</v>
      </c>
      <c r="R1253" s="193"/>
      <c r="S1253" s="194"/>
      <c r="T1253" s="195">
        <f t="shared" si="158"/>
        <v>0</v>
      </c>
      <c r="U1253" s="195">
        <f t="shared" si="159"/>
        <v>0</v>
      </c>
      <c r="V1253" s="195">
        <f t="shared" si="160"/>
        <v>0</v>
      </c>
      <c r="W1253" s="196" t="e">
        <f t="shared" si="161"/>
        <v>#DIV/0!</v>
      </c>
      <c r="X1253" s="197" t="e">
        <f t="shared" si="162"/>
        <v>#DIV/0!</v>
      </c>
    </row>
    <row r="1254" ht="11.4" hidden="1" customHeight="1" spans="1:24">
      <c r="A1254" s="184" t="s">
        <v>3043</v>
      </c>
      <c r="B1254" s="184" t="s">
        <v>117</v>
      </c>
      <c r="C1254" s="184" t="s">
        <v>1101</v>
      </c>
      <c r="D1254" s="185" t="s">
        <v>700</v>
      </c>
      <c r="E1254" s="186" t="s">
        <v>2956</v>
      </c>
      <c r="F1254" s="186" t="s">
        <v>3036</v>
      </c>
      <c r="G1254" s="186" t="s">
        <v>3036</v>
      </c>
      <c r="H1254" s="186" t="s">
        <v>3044</v>
      </c>
      <c r="I1254" s="187" t="s">
        <v>1111</v>
      </c>
      <c r="J1254" s="187" t="s">
        <v>1112</v>
      </c>
      <c r="K1254" s="188"/>
      <c r="L1254" s="188"/>
      <c r="M1254" s="189" t="s">
        <v>807</v>
      </c>
      <c r="N1254" s="190">
        <v>38.94</v>
      </c>
      <c r="O1254" s="190">
        <f t="shared" si="155"/>
        <v>42.44</v>
      </c>
      <c r="P1254" s="191">
        <f t="shared" si="156"/>
        <v>0</v>
      </c>
      <c r="Q1254" s="192">
        <f t="shared" si="157"/>
        <v>0</v>
      </c>
      <c r="R1254" s="193"/>
      <c r="S1254" s="194"/>
      <c r="T1254" s="195">
        <f t="shared" si="158"/>
        <v>0</v>
      </c>
      <c r="U1254" s="195">
        <f t="shared" si="159"/>
        <v>0</v>
      </c>
      <c r="V1254" s="195">
        <f t="shared" si="160"/>
        <v>0</v>
      </c>
      <c r="W1254" s="196" t="e">
        <f t="shared" si="161"/>
        <v>#DIV/0!</v>
      </c>
      <c r="X1254" s="197" t="e">
        <f t="shared" si="162"/>
        <v>#DIV/0!</v>
      </c>
    </row>
    <row r="1255" ht="11.4" hidden="1" customHeight="1" spans="1:24">
      <c r="A1255" s="184" t="s">
        <v>3043</v>
      </c>
      <c r="B1255" s="184" t="s">
        <v>117</v>
      </c>
      <c r="C1255" s="184" t="s">
        <v>1101</v>
      </c>
      <c r="D1255" s="185" t="s">
        <v>700</v>
      </c>
      <c r="E1255" s="186" t="s">
        <v>2956</v>
      </c>
      <c r="F1255" s="186" t="s">
        <v>3036</v>
      </c>
      <c r="G1255" s="186" t="s">
        <v>3036</v>
      </c>
      <c r="H1255" s="186" t="s">
        <v>3044</v>
      </c>
      <c r="I1255" s="187" t="s">
        <v>1115</v>
      </c>
      <c r="J1255" s="187" t="s">
        <v>1116</v>
      </c>
      <c r="K1255" s="188"/>
      <c r="L1255" s="188"/>
      <c r="M1255" s="189" t="s">
        <v>807</v>
      </c>
      <c r="N1255" s="190">
        <v>42.57</v>
      </c>
      <c r="O1255" s="190">
        <f t="shared" si="155"/>
        <v>46.4</v>
      </c>
      <c r="P1255" s="191">
        <f t="shared" si="156"/>
        <v>0</v>
      </c>
      <c r="Q1255" s="192">
        <f t="shared" si="157"/>
        <v>0</v>
      </c>
      <c r="R1255" s="193"/>
      <c r="S1255" s="194"/>
      <c r="T1255" s="195">
        <f t="shared" si="158"/>
        <v>0</v>
      </c>
      <c r="U1255" s="195">
        <f t="shared" si="159"/>
        <v>0</v>
      </c>
      <c r="V1255" s="195">
        <f t="shared" si="160"/>
        <v>0</v>
      </c>
      <c r="W1255" s="196" t="e">
        <f t="shared" si="161"/>
        <v>#DIV/0!</v>
      </c>
      <c r="X1255" s="197" t="e">
        <f t="shared" si="162"/>
        <v>#DIV/0!</v>
      </c>
    </row>
    <row r="1256" ht="11.4" hidden="1" customHeight="1" spans="1:24">
      <c r="A1256" s="184" t="s">
        <v>3043</v>
      </c>
      <c r="B1256" s="184" t="s">
        <v>117</v>
      </c>
      <c r="C1256" s="184" t="s">
        <v>1101</v>
      </c>
      <c r="D1256" s="185" t="s">
        <v>700</v>
      </c>
      <c r="E1256" s="186" t="s">
        <v>2956</v>
      </c>
      <c r="F1256" s="186" t="s">
        <v>3036</v>
      </c>
      <c r="G1256" s="186" t="s">
        <v>3036</v>
      </c>
      <c r="H1256" s="186" t="s">
        <v>3044</v>
      </c>
      <c r="I1256" s="187" t="s">
        <v>1493</v>
      </c>
      <c r="J1256" s="187" t="s">
        <v>1494</v>
      </c>
      <c r="K1256" s="188"/>
      <c r="L1256" s="188"/>
      <c r="M1256" s="189" t="s">
        <v>807</v>
      </c>
      <c r="N1256" s="190">
        <v>55.41</v>
      </c>
      <c r="O1256" s="190">
        <f t="shared" si="155"/>
        <v>60.4</v>
      </c>
      <c r="P1256" s="191">
        <f t="shared" si="156"/>
        <v>0</v>
      </c>
      <c r="Q1256" s="192">
        <f t="shared" si="157"/>
        <v>0</v>
      </c>
      <c r="R1256" s="193"/>
      <c r="S1256" s="194"/>
      <c r="T1256" s="195">
        <f t="shared" si="158"/>
        <v>0</v>
      </c>
      <c r="U1256" s="195">
        <f t="shared" si="159"/>
        <v>0</v>
      </c>
      <c r="V1256" s="195">
        <f t="shared" si="160"/>
        <v>0</v>
      </c>
      <c r="W1256" s="196" t="e">
        <f t="shared" si="161"/>
        <v>#DIV/0!</v>
      </c>
      <c r="X1256" s="197" t="e">
        <f t="shared" si="162"/>
        <v>#DIV/0!</v>
      </c>
    </row>
    <row r="1257" ht="11.4" hidden="1" customHeight="1" spans="1:24">
      <c r="A1257" s="184" t="s">
        <v>3043</v>
      </c>
      <c r="B1257" s="184" t="s">
        <v>117</v>
      </c>
      <c r="C1257" s="184" t="s">
        <v>1101</v>
      </c>
      <c r="D1257" s="185" t="s">
        <v>700</v>
      </c>
      <c r="E1257" s="186" t="s">
        <v>2956</v>
      </c>
      <c r="F1257" s="186" t="s">
        <v>3036</v>
      </c>
      <c r="G1257" s="186" t="s">
        <v>3036</v>
      </c>
      <c r="H1257" s="186" t="s">
        <v>3044</v>
      </c>
      <c r="I1257" s="187" t="s">
        <v>2914</v>
      </c>
      <c r="J1257" s="187" t="s">
        <v>2915</v>
      </c>
      <c r="K1257" s="188"/>
      <c r="L1257" s="188"/>
      <c r="M1257" s="189" t="s">
        <v>807</v>
      </c>
      <c r="N1257" s="190">
        <v>112.38</v>
      </c>
      <c r="O1257" s="190">
        <f t="shared" si="155"/>
        <v>122.49</v>
      </c>
      <c r="P1257" s="191">
        <f t="shared" si="156"/>
        <v>0</v>
      </c>
      <c r="Q1257" s="192">
        <f t="shared" si="157"/>
        <v>0</v>
      </c>
      <c r="R1257" s="193"/>
      <c r="S1257" s="194"/>
      <c r="T1257" s="195">
        <f t="shared" si="158"/>
        <v>0</v>
      </c>
      <c r="U1257" s="195">
        <f t="shared" si="159"/>
        <v>0</v>
      </c>
      <c r="V1257" s="195">
        <f t="shared" si="160"/>
        <v>0</v>
      </c>
      <c r="W1257" s="196" t="e">
        <f t="shared" si="161"/>
        <v>#DIV/0!</v>
      </c>
      <c r="X1257" s="197" t="e">
        <f t="shared" si="162"/>
        <v>#DIV/0!</v>
      </c>
    </row>
    <row r="1258" ht="11.4" hidden="1" customHeight="1" spans="1:24">
      <c r="A1258" s="184" t="s">
        <v>3043</v>
      </c>
      <c r="B1258" s="184" t="s">
        <v>117</v>
      </c>
      <c r="C1258" s="184" t="s">
        <v>1101</v>
      </c>
      <c r="D1258" s="185" t="s">
        <v>700</v>
      </c>
      <c r="E1258" s="186" t="s">
        <v>2956</v>
      </c>
      <c r="F1258" s="186" t="s">
        <v>3036</v>
      </c>
      <c r="G1258" s="186" t="s">
        <v>3036</v>
      </c>
      <c r="H1258" s="186" t="s">
        <v>3044</v>
      </c>
      <c r="I1258" s="187" t="s">
        <v>2975</v>
      </c>
      <c r="J1258" s="187" t="s">
        <v>2976</v>
      </c>
      <c r="K1258" s="188"/>
      <c r="L1258" s="188"/>
      <c r="M1258" s="189" t="s">
        <v>807</v>
      </c>
      <c r="N1258" s="190">
        <v>247.93</v>
      </c>
      <c r="O1258" s="190">
        <f t="shared" si="155"/>
        <v>270.24</v>
      </c>
      <c r="P1258" s="191">
        <f t="shared" si="156"/>
        <v>0</v>
      </c>
      <c r="Q1258" s="192">
        <f t="shared" si="157"/>
        <v>0</v>
      </c>
      <c r="R1258" s="193"/>
      <c r="S1258" s="194"/>
      <c r="T1258" s="195">
        <f t="shared" si="158"/>
        <v>0</v>
      </c>
      <c r="U1258" s="195">
        <f t="shared" si="159"/>
        <v>0</v>
      </c>
      <c r="V1258" s="195">
        <f t="shared" si="160"/>
        <v>0</v>
      </c>
      <c r="W1258" s="196" t="e">
        <f t="shared" si="161"/>
        <v>#DIV/0!</v>
      </c>
      <c r="X1258" s="197" t="e">
        <f t="shared" si="162"/>
        <v>#DIV/0!</v>
      </c>
    </row>
    <row r="1259" ht="11.4" hidden="1" customHeight="1" spans="1:24">
      <c r="A1259" s="184" t="s">
        <v>3043</v>
      </c>
      <c r="B1259" s="184" t="s">
        <v>117</v>
      </c>
      <c r="C1259" s="184" t="s">
        <v>1101</v>
      </c>
      <c r="D1259" s="185" t="s">
        <v>700</v>
      </c>
      <c r="E1259" s="186" t="s">
        <v>2956</v>
      </c>
      <c r="F1259" s="186" t="s">
        <v>3036</v>
      </c>
      <c r="G1259" s="186" t="s">
        <v>3036</v>
      </c>
      <c r="H1259" s="186" t="s">
        <v>3044</v>
      </c>
      <c r="I1259" s="187" t="s">
        <v>2977</v>
      </c>
      <c r="J1259" s="187" t="s">
        <v>2978</v>
      </c>
      <c r="K1259" s="188"/>
      <c r="L1259" s="188"/>
      <c r="M1259" s="189" t="s">
        <v>963</v>
      </c>
      <c r="N1259" s="190">
        <v>2257.86</v>
      </c>
      <c r="O1259" s="190">
        <f t="shared" si="155"/>
        <v>2461.07</v>
      </c>
      <c r="P1259" s="191">
        <f t="shared" si="156"/>
        <v>0</v>
      </c>
      <c r="Q1259" s="192">
        <f t="shared" si="157"/>
        <v>0</v>
      </c>
      <c r="R1259" s="193"/>
      <c r="S1259" s="194"/>
      <c r="T1259" s="195">
        <f t="shared" si="158"/>
        <v>0</v>
      </c>
      <c r="U1259" s="195">
        <f t="shared" si="159"/>
        <v>0</v>
      </c>
      <c r="V1259" s="195">
        <f t="shared" si="160"/>
        <v>0</v>
      </c>
      <c r="W1259" s="196" t="e">
        <f t="shared" si="161"/>
        <v>#DIV/0!</v>
      </c>
      <c r="X1259" s="197" t="e">
        <f t="shared" si="162"/>
        <v>#DIV/0!</v>
      </c>
    </row>
    <row r="1260" ht="11.4" hidden="1" customHeight="1" spans="1:24">
      <c r="A1260" s="184" t="s">
        <v>3046</v>
      </c>
      <c r="B1260" s="184" t="s">
        <v>119</v>
      </c>
      <c r="C1260" s="184" t="s">
        <v>1101</v>
      </c>
      <c r="D1260" s="185" t="s">
        <v>700</v>
      </c>
      <c r="E1260" s="186" t="s">
        <v>2956</v>
      </c>
      <c r="F1260" s="186" t="s">
        <v>3036</v>
      </c>
      <c r="G1260" s="186" t="s">
        <v>3036</v>
      </c>
      <c r="H1260" s="186" t="s">
        <v>3047</v>
      </c>
      <c r="I1260" s="187" t="s">
        <v>2981</v>
      </c>
      <c r="J1260" s="187" t="s">
        <v>2982</v>
      </c>
      <c r="K1260" s="188"/>
      <c r="L1260" s="188"/>
      <c r="M1260" s="189" t="s">
        <v>807</v>
      </c>
      <c r="N1260" s="190">
        <v>3386.65</v>
      </c>
      <c r="O1260" s="190">
        <f t="shared" si="155"/>
        <v>3691.45</v>
      </c>
      <c r="P1260" s="191">
        <f t="shared" si="156"/>
        <v>0</v>
      </c>
      <c r="Q1260" s="192">
        <f t="shared" si="157"/>
        <v>0</v>
      </c>
      <c r="R1260" s="193"/>
      <c r="S1260" s="194"/>
      <c r="T1260" s="195">
        <f t="shared" si="158"/>
        <v>0</v>
      </c>
      <c r="U1260" s="195">
        <f t="shared" si="159"/>
        <v>0</v>
      </c>
      <c r="V1260" s="195">
        <f t="shared" si="160"/>
        <v>0</v>
      </c>
      <c r="W1260" s="196" t="e">
        <f t="shared" si="161"/>
        <v>#DIV/0!</v>
      </c>
      <c r="X1260" s="197" t="e">
        <f t="shared" si="162"/>
        <v>#DIV/0!</v>
      </c>
    </row>
    <row r="1261" ht="11.4" hidden="1" customHeight="1" spans="1:24">
      <c r="A1261" s="184" t="s">
        <v>3046</v>
      </c>
      <c r="B1261" s="184" t="s">
        <v>119</v>
      </c>
      <c r="C1261" s="184" t="s">
        <v>1101</v>
      </c>
      <c r="D1261" s="185" t="s">
        <v>700</v>
      </c>
      <c r="E1261" s="186" t="s">
        <v>2956</v>
      </c>
      <c r="F1261" s="186" t="s">
        <v>3036</v>
      </c>
      <c r="G1261" s="186" t="s">
        <v>3036</v>
      </c>
      <c r="H1261" s="186" t="s">
        <v>3047</v>
      </c>
      <c r="I1261" s="187" t="s">
        <v>2983</v>
      </c>
      <c r="J1261" s="187" t="s">
        <v>2984</v>
      </c>
      <c r="K1261" s="188"/>
      <c r="L1261" s="188"/>
      <c r="M1261" s="189" t="s">
        <v>847</v>
      </c>
      <c r="N1261" s="190">
        <v>275.43</v>
      </c>
      <c r="O1261" s="190">
        <f t="shared" si="155"/>
        <v>300.22</v>
      </c>
      <c r="P1261" s="191">
        <f t="shared" si="156"/>
        <v>0</v>
      </c>
      <c r="Q1261" s="192">
        <f t="shared" si="157"/>
        <v>0</v>
      </c>
      <c r="R1261" s="193"/>
      <c r="S1261" s="194"/>
      <c r="T1261" s="195">
        <f t="shared" si="158"/>
        <v>0</v>
      </c>
      <c r="U1261" s="195">
        <f t="shared" si="159"/>
        <v>0</v>
      </c>
      <c r="V1261" s="195">
        <f t="shared" si="160"/>
        <v>0</v>
      </c>
      <c r="W1261" s="196" t="e">
        <f t="shared" si="161"/>
        <v>#DIV/0!</v>
      </c>
      <c r="X1261" s="197" t="e">
        <f t="shared" si="162"/>
        <v>#DIV/0!</v>
      </c>
    </row>
    <row r="1262" ht="11.4" hidden="1" customHeight="1" spans="1:24">
      <c r="A1262" s="184" t="s">
        <v>3048</v>
      </c>
      <c r="B1262" s="184" t="s">
        <v>130</v>
      </c>
      <c r="C1262" s="184" t="s">
        <v>1782</v>
      </c>
      <c r="D1262" s="185" t="s">
        <v>700</v>
      </c>
      <c r="E1262" s="186" t="s">
        <v>2956</v>
      </c>
      <c r="F1262" s="186" t="s">
        <v>3036</v>
      </c>
      <c r="G1262" s="186" t="s">
        <v>3036</v>
      </c>
      <c r="H1262" s="186" t="s">
        <v>3049</v>
      </c>
      <c r="I1262" s="187" t="s">
        <v>1784</v>
      </c>
      <c r="J1262" s="187" t="s">
        <v>1785</v>
      </c>
      <c r="K1262" s="188"/>
      <c r="L1262" s="188"/>
      <c r="M1262" s="189" t="s">
        <v>847</v>
      </c>
      <c r="N1262" s="190">
        <v>153.82</v>
      </c>
      <c r="O1262" s="190">
        <f t="shared" si="155"/>
        <v>167.66</v>
      </c>
      <c r="P1262" s="191">
        <f t="shared" si="156"/>
        <v>0</v>
      </c>
      <c r="Q1262" s="192">
        <f t="shared" si="157"/>
        <v>0</v>
      </c>
      <c r="R1262" s="193"/>
      <c r="S1262" s="194"/>
      <c r="T1262" s="195">
        <f t="shared" si="158"/>
        <v>0</v>
      </c>
      <c r="U1262" s="195">
        <f t="shared" si="159"/>
        <v>0</v>
      </c>
      <c r="V1262" s="195">
        <f t="shared" si="160"/>
        <v>0</v>
      </c>
      <c r="W1262" s="196" t="e">
        <f t="shared" si="161"/>
        <v>#DIV/0!</v>
      </c>
      <c r="X1262" s="197" t="e">
        <f t="shared" si="162"/>
        <v>#DIV/0!</v>
      </c>
    </row>
    <row r="1263" ht="11.4" hidden="1" customHeight="1" spans="1:24">
      <c r="A1263" s="184" t="s">
        <v>3048</v>
      </c>
      <c r="B1263" s="184" t="s">
        <v>130</v>
      </c>
      <c r="C1263" s="184" t="s">
        <v>1782</v>
      </c>
      <c r="D1263" s="185" t="s">
        <v>700</v>
      </c>
      <c r="E1263" s="186" t="s">
        <v>2956</v>
      </c>
      <c r="F1263" s="186" t="s">
        <v>3036</v>
      </c>
      <c r="G1263" s="186" t="s">
        <v>3036</v>
      </c>
      <c r="H1263" s="186" t="s">
        <v>3049</v>
      </c>
      <c r="I1263" s="187" t="s">
        <v>1786</v>
      </c>
      <c r="J1263" s="187" t="s">
        <v>1787</v>
      </c>
      <c r="K1263" s="188"/>
      <c r="L1263" s="188"/>
      <c r="M1263" s="189" t="s">
        <v>847</v>
      </c>
      <c r="N1263" s="190">
        <v>121.97</v>
      </c>
      <c r="O1263" s="190">
        <f t="shared" si="155"/>
        <v>132.95</v>
      </c>
      <c r="P1263" s="191">
        <f t="shared" si="156"/>
        <v>0</v>
      </c>
      <c r="Q1263" s="192">
        <f t="shared" si="157"/>
        <v>0</v>
      </c>
      <c r="R1263" s="193"/>
      <c r="S1263" s="194"/>
      <c r="T1263" s="195">
        <f t="shared" si="158"/>
        <v>0</v>
      </c>
      <c r="U1263" s="195">
        <f t="shared" si="159"/>
        <v>0</v>
      </c>
      <c r="V1263" s="195">
        <f t="shared" si="160"/>
        <v>0</v>
      </c>
      <c r="W1263" s="196" t="e">
        <f t="shared" si="161"/>
        <v>#DIV/0!</v>
      </c>
      <c r="X1263" s="197" t="e">
        <f t="shared" si="162"/>
        <v>#DIV/0!</v>
      </c>
    </row>
    <row r="1264" ht="11.4" hidden="1" customHeight="1" spans="1:24">
      <c r="A1264" s="184" t="s">
        <v>3048</v>
      </c>
      <c r="B1264" s="184" t="s">
        <v>130</v>
      </c>
      <c r="C1264" s="184" t="s">
        <v>1782</v>
      </c>
      <c r="D1264" s="185" t="s">
        <v>700</v>
      </c>
      <c r="E1264" s="186" t="s">
        <v>2956</v>
      </c>
      <c r="F1264" s="186" t="s">
        <v>3036</v>
      </c>
      <c r="G1264" s="186" t="s">
        <v>3036</v>
      </c>
      <c r="H1264" s="186" t="s">
        <v>3049</v>
      </c>
      <c r="I1264" s="187" t="s">
        <v>1792</v>
      </c>
      <c r="J1264" s="187" t="s">
        <v>1793</v>
      </c>
      <c r="K1264" s="188"/>
      <c r="L1264" s="188"/>
      <c r="M1264" s="189" t="s">
        <v>847</v>
      </c>
      <c r="N1264" s="190">
        <v>246.52</v>
      </c>
      <c r="O1264" s="190">
        <f t="shared" si="155"/>
        <v>268.71</v>
      </c>
      <c r="P1264" s="191">
        <f t="shared" si="156"/>
        <v>0</v>
      </c>
      <c r="Q1264" s="192">
        <f t="shared" si="157"/>
        <v>0</v>
      </c>
      <c r="R1264" s="193"/>
      <c r="S1264" s="194"/>
      <c r="T1264" s="195">
        <f t="shared" si="158"/>
        <v>0</v>
      </c>
      <c r="U1264" s="195">
        <f t="shared" si="159"/>
        <v>0</v>
      </c>
      <c r="V1264" s="195">
        <f t="shared" si="160"/>
        <v>0</v>
      </c>
      <c r="W1264" s="196" t="e">
        <f t="shared" si="161"/>
        <v>#DIV/0!</v>
      </c>
      <c r="X1264" s="197" t="e">
        <f t="shared" si="162"/>
        <v>#DIV/0!</v>
      </c>
    </row>
    <row r="1265" ht="11.4" hidden="1" customHeight="1" spans="1:24">
      <c r="A1265" s="184" t="s">
        <v>3048</v>
      </c>
      <c r="B1265" s="184" t="s">
        <v>130</v>
      </c>
      <c r="C1265" s="184" t="s">
        <v>1782</v>
      </c>
      <c r="D1265" s="185" t="s">
        <v>700</v>
      </c>
      <c r="E1265" s="186" t="s">
        <v>2956</v>
      </c>
      <c r="F1265" s="186" t="s">
        <v>3036</v>
      </c>
      <c r="G1265" s="186" t="s">
        <v>3036</v>
      </c>
      <c r="H1265" s="186" t="s">
        <v>3049</v>
      </c>
      <c r="I1265" s="187" t="s">
        <v>1794</v>
      </c>
      <c r="J1265" s="187" t="s">
        <v>1795</v>
      </c>
      <c r="K1265" s="188"/>
      <c r="L1265" s="188"/>
      <c r="M1265" s="189" t="s">
        <v>847</v>
      </c>
      <c r="N1265" s="190">
        <v>142.03</v>
      </c>
      <c r="O1265" s="190">
        <f t="shared" si="155"/>
        <v>154.81</v>
      </c>
      <c r="P1265" s="191">
        <f t="shared" si="156"/>
        <v>0</v>
      </c>
      <c r="Q1265" s="192">
        <f t="shared" si="157"/>
        <v>0</v>
      </c>
      <c r="R1265" s="193"/>
      <c r="S1265" s="194"/>
      <c r="T1265" s="195">
        <f t="shared" si="158"/>
        <v>0</v>
      </c>
      <c r="U1265" s="195">
        <f t="shared" si="159"/>
        <v>0</v>
      </c>
      <c r="V1265" s="195">
        <f t="shared" si="160"/>
        <v>0</v>
      </c>
      <c r="W1265" s="196" t="e">
        <f t="shared" si="161"/>
        <v>#DIV/0!</v>
      </c>
      <c r="X1265" s="197" t="e">
        <f t="shared" si="162"/>
        <v>#DIV/0!</v>
      </c>
    </row>
    <row r="1266" ht="11.4" hidden="1" customHeight="1" spans="1:24">
      <c r="A1266" s="184" t="s">
        <v>3048</v>
      </c>
      <c r="B1266" s="184" t="s">
        <v>130</v>
      </c>
      <c r="C1266" s="184" t="s">
        <v>1782</v>
      </c>
      <c r="D1266" s="185" t="s">
        <v>700</v>
      </c>
      <c r="E1266" s="186" t="s">
        <v>2956</v>
      </c>
      <c r="F1266" s="186" t="s">
        <v>3036</v>
      </c>
      <c r="G1266" s="186" t="s">
        <v>3036</v>
      </c>
      <c r="H1266" s="186" t="s">
        <v>3049</v>
      </c>
      <c r="I1266" s="187" t="s">
        <v>1801</v>
      </c>
      <c r="J1266" s="187" t="s">
        <v>1802</v>
      </c>
      <c r="K1266" s="188"/>
      <c r="L1266" s="188"/>
      <c r="M1266" s="189" t="s">
        <v>847</v>
      </c>
      <c r="N1266" s="190">
        <v>36.37</v>
      </c>
      <c r="O1266" s="190">
        <f t="shared" si="155"/>
        <v>39.64</v>
      </c>
      <c r="P1266" s="191">
        <f t="shared" si="156"/>
        <v>0</v>
      </c>
      <c r="Q1266" s="192">
        <f t="shared" si="157"/>
        <v>0</v>
      </c>
      <c r="R1266" s="193"/>
      <c r="S1266" s="194"/>
      <c r="T1266" s="195">
        <f t="shared" si="158"/>
        <v>0</v>
      </c>
      <c r="U1266" s="195">
        <f t="shared" si="159"/>
        <v>0</v>
      </c>
      <c r="V1266" s="195">
        <f t="shared" si="160"/>
        <v>0</v>
      </c>
      <c r="W1266" s="196" t="e">
        <f t="shared" si="161"/>
        <v>#DIV/0!</v>
      </c>
      <c r="X1266" s="197" t="e">
        <f t="shared" si="162"/>
        <v>#DIV/0!</v>
      </c>
    </row>
    <row r="1267" ht="11.4" hidden="1" customHeight="1" spans="1:24">
      <c r="A1267" s="184" t="s">
        <v>3048</v>
      </c>
      <c r="B1267" s="184" t="s">
        <v>127</v>
      </c>
      <c r="C1267" s="184" t="s">
        <v>1101</v>
      </c>
      <c r="D1267" s="185" t="s">
        <v>700</v>
      </c>
      <c r="E1267" s="186" t="s">
        <v>2956</v>
      </c>
      <c r="F1267" s="186" t="s">
        <v>3036</v>
      </c>
      <c r="G1267" s="186" t="s">
        <v>3036</v>
      </c>
      <c r="H1267" s="186" t="s">
        <v>3049</v>
      </c>
      <c r="I1267" s="187" t="s">
        <v>2987</v>
      </c>
      <c r="J1267" s="187" t="s">
        <v>2988</v>
      </c>
      <c r="K1267" s="188"/>
      <c r="L1267" s="188"/>
      <c r="M1267" s="189" t="s">
        <v>847</v>
      </c>
      <c r="N1267" s="190">
        <v>617.2</v>
      </c>
      <c r="O1267" s="190">
        <f t="shared" si="155"/>
        <v>672.75</v>
      </c>
      <c r="P1267" s="191">
        <f t="shared" si="156"/>
        <v>0</v>
      </c>
      <c r="Q1267" s="192">
        <f t="shared" si="157"/>
        <v>0</v>
      </c>
      <c r="R1267" s="193"/>
      <c r="S1267" s="194"/>
      <c r="T1267" s="195">
        <f t="shared" si="158"/>
        <v>0</v>
      </c>
      <c r="U1267" s="195">
        <f t="shared" si="159"/>
        <v>0</v>
      </c>
      <c r="V1267" s="195">
        <f t="shared" si="160"/>
        <v>0</v>
      </c>
      <c r="W1267" s="196" t="e">
        <f t="shared" si="161"/>
        <v>#DIV/0!</v>
      </c>
      <c r="X1267" s="197" t="e">
        <f t="shared" si="162"/>
        <v>#DIV/0!</v>
      </c>
    </row>
    <row r="1268" ht="11.4" hidden="1" customHeight="1" spans="1:24">
      <c r="A1268" s="184" t="s">
        <v>3048</v>
      </c>
      <c r="B1268" s="184" t="s">
        <v>127</v>
      </c>
      <c r="C1268" s="184" t="s">
        <v>1101</v>
      </c>
      <c r="D1268" s="185" t="s">
        <v>700</v>
      </c>
      <c r="E1268" s="186" t="s">
        <v>2956</v>
      </c>
      <c r="F1268" s="186" t="s">
        <v>3036</v>
      </c>
      <c r="G1268" s="186" t="s">
        <v>3036</v>
      </c>
      <c r="H1268" s="186" t="s">
        <v>3049</v>
      </c>
      <c r="I1268" s="187" t="s">
        <v>2989</v>
      </c>
      <c r="J1268" s="187" t="s">
        <v>2990</v>
      </c>
      <c r="K1268" s="188"/>
      <c r="L1268" s="188"/>
      <c r="M1268" s="189" t="s">
        <v>989</v>
      </c>
      <c r="N1268" s="190">
        <v>432.3</v>
      </c>
      <c r="O1268" s="190">
        <f t="shared" si="155"/>
        <v>471.21</v>
      </c>
      <c r="P1268" s="191">
        <f t="shared" si="156"/>
        <v>0</v>
      </c>
      <c r="Q1268" s="192">
        <f t="shared" si="157"/>
        <v>0</v>
      </c>
      <c r="R1268" s="193"/>
      <c r="S1268" s="194"/>
      <c r="T1268" s="195">
        <f t="shared" si="158"/>
        <v>0</v>
      </c>
      <c r="U1268" s="195">
        <f t="shared" si="159"/>
        <v>0</v>
      </c>
      <c r="V1268" s="195">
        <f t="shared" si="160"/>
        <v>0</v>
      </c>
      <c r="W1268" s="196" t="e">
        <f t="shared" si="161"/>
        <v>#DIV/0!</v>
      </c>
      <c r="X1268" s="197" t="e">
        <f t="shared" si="162"/>
        <v>#DIV/0!</v>
      </c>
    </row>
    <row r="1269" ht="11.4" hidden="1" customHeight="1" spans="1:24">
      <c r="A1269" s="184" t="s">
        <v>3048</v>
      </c>
      <c r="B1269" s="184" t="s">
        <v>127</v>
      </c>
      <c r="C1269" s="184" t="s">
        <v>1101</v>
      </c>
      <c r="D1269" s="185" t="s">
        <v>700</v>
      </c>
      <c r="E1269" s="186" t="s">
        <v>2956</v>
      </c>
      <c r="F1269" s="186" t="s">
        <v>3036</v>
      </c>
      <c r="G1269" s="186" t="s">
        <v>3036</v>
      </c>
      <c r="H1269" s="186" t="s">
        <v>3049</v>
      </c>
      <c r="I1269" s="187" t="s">
        <v>2991</v>
      </c>
      <c r="J1269" s="187" t="s">
        <v>2992</v>
      </c>
      <c r="K1269" s="188"/>
      <c r="L1269" s="188"/>
      <c r="M1269" s="189" t="s">
        <v>807</v>
      </c>
      <c r="N1269" s="190">
        <v>552.08</v>
      </c>
      <c r="O1269" s="190">
        <f t="shared" si="155"/>
        <v>601.77</v>
      </c>
      <c r="P1269" s="191">
        <f t="shared" si="156"/>
        <v>0</v>
      </c>
      <c r="Q1269" s="192">
        <f t="shared" si="157"/>
        <v>0</v>
      </c>
      <c r="R1269" s="193"/>
      <c r="S1269" s="194"/>
      <c r="T1269" s="195">
        <f t="shared" si="158"/>
        <v>0</v>
      </c>
      <c r="U1269" s="195">
        <f t="shared" si="159"/>
        <v>0</v>
      </c>
      <c r="V1269" s="195">
        <f t="shared" si="160"/>
        <v>0</v>
      </c>
      <c r="W1269" s="196" t="e">
        <f t="shared" si="161"/>
        <v>#DIV/0!</v>
      </c>
      <c r="X1269" s="197" t="e">
        <f t="shared" si="162"/>
        <v>#DIV/0!</v>
      </c>
    </row>
    <row r="1270" ht="11.4" hidden="1" customHeight="1" spans="1:24">
      <c r="A1270" s="184" t="s">
        <v>3048</v>
      </c>
      <c r="B1270" s="184" t="s">
        <v>127</v>
      </c>
      <c r="C1270" s="184" t="s">
        <v>1101</v>
      </c>
      <c r="D1270" s="185" t="s">
        <v>700</v>
      </c>
      <c r="E1270" s="186" t="s">
        <v>2956</v>
      </c>
      <c r="F1270" s="186" t="s">
        <v>3036</v>
      </c>
      <c r="G1270" s="186" t="s">
        <v>3036</v>
      </c>
      <c r="H1270" s="186" t="s">
        <v>3049</v>
      </c>
      <c r="I1270" s="187" t="s">
        <v>2993</v>
      </c>
      <c r="J1270" s="187" t="s">
        <v>2994</v>
      </c>
      <c r="K1270" s="188"/>
      <c r="L1270" s="188"/>
      <c r="M1270" s="189" t="s">
        <v>847</v>
      </c>
      <c r="N1270" s="190">
        <v>338.6</v>
      </c>
      <c r="O1270" s="190">
        <f t="shared" si="155"/>
        <v>369.07</v>
      </c>
      <c r="P1270" s="191">
        <f t="shared" si="156"/>
        <v>0</v>
      </c>
      <c r="Q1270" s="192">
        <f t="shared" si="157"/>
        <v>0</v>
      </c>
      <c r="R1270" s="193"/>
      <c r="S1270" s="194"/>
      <c r="T1270" s="195">
        <f t="shared" si="158"/>
        <v>0</v>
      </c>
      <c r="U1270" s="195">
        <f t="shared" si="159"/>
        <v>0</v>
      </c>
      <c r="V1270" s="195">
        <f t="shared" si="160"/>
        <v>0</v>
      </c>
      <c r="W1270" s="196" t="e">
        <f t="shared" si="161"/>
        <v>#DIV/0!</v>
      </c>
      <c r="X1270" s="197" t="e">
        <f t="shared" si="162"/>
        <v>#DIV/0!</v>
      </c>
    </row>
    <row r="1271" ht="11.4" hidden="1" customHeight="1" spans="1:24">
      <c r="A1271" s="184" t="s">
        <v>3048</v>
      </c>
      <c r="B1271" s="184" t="s">
        <v>127</v>
      </c>
      <c r="C1271" s="184" t="s">
        <v>1101</v>
      </c>
      <c r="D1271" s="185" t="s">
        <v>700</v>
      </c>
      <c r="E1271" s="186" t="s">
        <v>2956</v>
      </c>
      <c r="F1271" s="186" t="s">
        <v>3036</v>
      </c>
      <c r="G1271" s="186" t="s">
        <v>3036</v>
      </c>
      <c r="H1271" s="186" t="s">
        <v>3050</v>
      </c>
      <c r="I1271" s="187" t="s">
        <v>2996</v>
      </c>
      <c r="J1271" s="187" t="s">
        <v>2997</v>
      </c>
      <c r="K1271" s="188"/>
      <c r="L1271" s="188"/>
      <c r="M1271" s="189" t="s">
        <v>1500</v>
      </c>
      <c r="N1271" s="190">
        <v>755.15</v>
      </c>
      <c r="O1271" s="190">
        <f t="shared" si="155"/>
        <v>823.11</v>
      </c>
      <c r="P1271" s="191">
        <f t="shared" si="156"/>
        <v>0</v>
      </c>
      <c r="Q1271" s="192">
        <f t="shared" si="157"/>
        <v>0</v>
      </c>
      <c r="R1271" s="193"/>
      <c r="S1271" s="194"/>
      <c r="T1271" s="195">
        <f t="shared" si="158"/>
        <v>0</v>
      </c>
      <c r="U1271" s="195">
        <f t="shared" si="159"/>
        <v>0</v>
      </c>
      <c r="V1271" s="195">
        <f t="shared" si="160"/>
        <v>0</v>
      </c>
      <c r="W1271" s="196" t="e">
        <f t="shared" si="161"/>
        <v>#DIV/0!</v>
      </c>
      <c r="X1271" s="197" t="e">
        <f t="shared" si="162"/>
        <v>#DIV/0!</v>
      </c>
    </row>
    <row r="1272" ht="11.4" hidden="1" customHeight="1" spans="1:24">
      <c r="A1272" s="184" t="s">
        <v>3048</v>
      </c>
      <c r="B1272" s="184" t="s">
        <v>127</v>
      </c>
      <c r="C1272" s="184" t="s">
        <v>1101</v>
      </c>
      <c r="D1272" s="185" t="s">
        <v>700</v>
      </c>
      <c r="E1272" s="186" t="s">
        <v>2956</v>
      </c>
      <c r="F1272" s="186" t="s">
        <v>3036</v>
      </c>
      <c r="G1272" s="186" t="s">
        <v>3036</v>
      </c>
      <c r="H1272" s="186" t="s">
        <v>3050</v>
      </c>
      <c r="I1272" s="187" t="s">
        <v>3051</v>
      </c>
      <c r="J1272" s="187" t="s">
        <v>3052</v>
      </c>
      <c r="K1272" s="188"/>
      <c r="L1272" s="188"/>
      <c r="M1272" s="189" t="s">
        <v>1500</v>
      </c>
      <c r="N1272" s="190">
        <v>1795.75</v>
      </c>
      <c r="O1272" s="190">
        <f t="shared" si="155"/>
        <v>1957.37</v>
      </c>
      <c r="P1272" s="191">
        <f t="shared" si="156"/>
        <v>0</v>
      </c>
      <c r="Q1272" s="192">
        <f t="shared" si="157"/>
        <v>0</v>
      </c>
      <c r="R1272" s="193"/>
      <c r="S1272" s="194"/>
      <c r="T1272" s="195">
        <f t="shared" si="158"/>
        <v>0</v>
      </c>
      <c r="U1272" s="195">
        <f t="shared" si="159"/>
        <v>0</v>
      </c>
      <c r="V1272" s="195">
        <f t="shared" si="160"/>
        <v>0</v>
      </c>
      <c r="W1272" s="196" t="e">
        <f t="shared" si="161"/>
        <v>#DIV/0!</v>
      </c>
      <c r="X1272" s="197" t="e">
        <f t="shared" si="162"/>
        <v>#DIV/0!</v>
      </c>
    </row>
    <row r="1273" ht="11.4" hidden="1" customHeight="1" spans="1:24">
      <c r="A1273" s="184" t="s">
        <v>3048</v>
      </c>
      <c r="B1273" s="184" t="s">
        <v>127</v>
      </c>
      <c r="C1273" s="184" t="s">
        <v>1101</v>
      </c>
      <c r="D1273" s="185" t="s">
        <v>700</v>
      </c>
      <c r="E1273" s="186" t="s">
        <v>2956</v>
      </c>
      <c r="F1273" s="186" t="s">
        <v>3036</v>
      </c>
      <c r="G1273" s="186" t="s">
        <v>3036</v>
      </c>
      <c r="H1273" s="186" t="s">
        <v>3050</v>
      </c>
      <c r="I1273" s="187" t="s">
        <v>1807</v>
      </c>
      <c r="J1273" s="187" t="s">
        <v>1808</v>
      </c>
      <c r="K1273" s="188"/>
      <c r="L1273" s="188"/>
      <c r="M1273" s="189" t="s">
        <v>1500</v>
      </c>
      <c r="N1273" s="190">
        <v>2585.55</v>
      </c>
      <c r="O1273" s="190">
        <f t="shared" si="155"/>
        <v>2818.25</v>
      </c>
      <c r="P1273" s="191">
        <f t="shared" si="156"/>
        <v>0</v>
      </c>
      <c r="Q1273" s="192">
        <f t="shared" si="157"/>
        <v>0</v>
      </c>
      <c r="R1273" s="193"/>
      <c r="S1273" s="194"/>
      <c r="T1273" s="195">
        <f t="shared" si="158"/>
        <v>0</v>
      </c>
      <c r="U1273" s="195">
        <f t="shared" si="159"/>
        <v>0</v>
      </c>
      <c r="V1273" s="195">
        <f t="shared" si="160"/>
        <v>0</v>
      </c>
      <c r="W1273" s="196" t="e">
        <f t="shared" si="161"/>
        <v>#DIV/0!</v>
      </c>
      <c r="X1273" s="197" t="e">
        <f t="shared" si="162"/>
        <v>#DIV/0!</v>
      </c>
    </row>
    <row r="1274" ht="11.4" hidden="1" customHeight="1" spans="1:24">
      <c r="A1274" s="184" t="s">
        <v>3048</v>
      </c>
      <c r="B1274" s="184" t="s">
        <v>127</v>
      </c>
      <c r="C1274" s="184" t="s">
        <v>1101</v>
      </c>
      <c r="D1274" s="185" t="s">
        <v>700</v>
      </c>
      <c r="E1274" s="186" t="s">
        <v>2956</v>
      </c>
      <c r="F1274" s="186" t="s">
        <v>3036</v>
      </c>
      <c r="G1274" s="186" t="s">
        <v>3036</v>
      </c>
      <c r="H1274" s="186" t="s">
        <v>3050</v>
      </c>
      <c r="I1274" s="187" t="s">
        <v>1809</v>
      </c>
      <c r="J1274" s="187" t="s">
        <v>1810</v>
      </c>
      <c r="K1274" s="188"/>
      <c r="L1274" s="188"/>
      <c r="M1274" s="189" t="s">
        <v>1500</v>
      </c>
      <c r="N1274" s="190">
        <v>2585.55</v>
      </c>
      <c r="O1274" s="190">
        <f t="shared" si="155"/>
        <v>2818.25</v>
      </c>
      <c r="P1274" s="191">
        <f t="shared" si="156"/>
        <v>0</v>
      </c>
      <c r="Q1274" s="192">
        <f t="shared" si="157"/>
        <v>0</v>
      </c>
      <c r="R1274" s="193"/>
      <c r="S1274" s="194"/>
      <c r="T1274" s="195">
        <f t="shared" si="158"/>
        <v>0</v>
      </c>
      <c r="U1274" s="195">
        <f t="shared" si="159"/>
        <v>0</v>
      </c>
      <c r="V1274" s="195">
        <f t="shared" si="160"/>
        <v>0</v>
      </c>
      <c r="W1274" s="196" t="e">
        <f t="shared" si="161"/>
        <v>#DIV/0!</v>
      </c>
      <c r="X1274" s="197" t="e">
        <f t="shared" si="162"/>
        <v>#DIV/0!</v>
      </c>
    </row>
    <row r="1275" ht="11.4" hidden="1" customHeight="1" spans="1:24">
      <c r="A1275" s="184" t="s">
        <v>3048</v>
      </c>
      <c r="B1275" s="184" t="s">
        <v>127</v>
      </c>
      <c r="C1275" s="184" t="s">
        <v>1101</v>
      </c>
      <c r="D1275" s="185" t="s">
        <v>700</v>
      </c>
      <c r="E1275" s="186" t="s">
        <v>2956</v>
      </c>
      <c r="F1275" s="186" t="s">
        <v>3036</v>
      </c>
      <c r="G1275" s="186" t="s">
        <v>3036</v>
      </c>
      <c r="H1275" s="186" t="s">
        <v>3050</v>
      </c>
      <c r="I1275" s="187" t="s">
        <v>1811</v>
      </c>
      <c r="J1275" s="187" t="s">
        <v>1812</v>
      </c>
      <c r="K1275" s="188"/>
      <c r="L1275" s="188"/>
      <c r="M1275" s="189" t="s">
        <v>1500</v>
      </c>
      <c r="N1275" s="190">
        <v>2941.14</v>
      </c>
      <c r="O1275" s="190">
        <f t="shared" si="155"/>
        <v>3205.84</v>
      </c>
      <c r="P1275" s="191">
        <f t="shared" si="156"/>
        <v>0</v>
      </c>
      <c r="Q1275" s="192">
        <f t="shared" si="157"/>
        <v>0</v>
      </c>
      <c r="R1275" s="193"/>
      <c r="S1275" s="194"/>
      <c r="T1275" s="195">
        <f t="shared" si="158"/>
        <v>0</v>
      </c>
      <c r="U1275" s="195">
        <f t="shared" si="159"/>
        <v>0</v>
      </c>
      <c r="V1275" s="195">
        <f t="shared" si="160"/>
        <v>0</v>
      </c>
      <c r="W1275" s="196" t="e">
        <f t="shared" si="161"/>
        <v>#DIV/0!</v>
      </c>
      <c r="X1275" s="197" t="e">
        <f t="shared" si="162"/>
        <v>#DIV/0!</v>
      </c>
    </row>
    <row r="1276" ht="11.4" hidden="1" customHeight="1" spans="1:24">
      <c r="A1276" s="184" t="s">
        <v>3048</v>
      </c>
      <c r="B1276" s="184" t="s">
        <v>127</v>
      </c>
      <c r="C1276" s="184" t="s">
        <v>1101</v>
      </c>
      <c r="D1276" s="185" t="s">
        <v>700</v>
      </c>
      <c r="E1276" s="186" t="s">
        <v>2956</v>
      </c>
      <c r="F1276" s="186" t="s">
        <v>3036</v>
      </c>
      <c r="G1276" s="186" t="s">
        <v>3036</v>
      </c>
      <c r="H1276" s="186" t="s">
        <v>3050</v>
      </c>
      <c r="I1276" s="187" t="s">
        <v>2998</v>
      </c>
      <c r="J1276" s="187" t="s">
        <v>2999</v>
      </c>
      <c r="K1276" s="188"/>
      <c r="L1276" s="188"/>
      <c r="M1276" s="189" t="s">
        <v>1500</v>
      </c>
      <c r="N1276" s="190">
        <v>1496.64</v>
      </c>
      <c r="O1276" s="190">
        <f t="shared" si="155"/>
        <v>1631.34</v>
      </c>
      <c r="P1276" s="191">
        <f t="shared" si="156"/>
        <v>0</v>
      </c>
      <c r="Q1276" s="192">
        <f t="shared" si="157"/>
        <v>0</v>
      </c>
      <c r="R1276" s="193"/>
      <c r="S1276" s="194"/>
      <c r="T1276" s="195">
        <f t="shared" si="158"/>
        <v>0</v>
      </c>
      <c r="U1276" s="195">
        <f t="shared" si="159"/>
        <v>0</v>
      </c>
      <c r="V1276" s="195">
        <f t="shared" si="160"/>
        <v>0</v>
      </c>
      <c r="W1276" s="196" t="e">
        <f t="shared" si="161"/>
        <v>#DIV/0!</v>
      </c>
      <c r="X1276" s="197" t="e">
        <f t="shared" si="162"/>
        <v>#DIV/0!</v>
      </c>
    </row>
    <row r="1277" ht="11.4" hidden="1" customHeight="1" spans="1:24">
      <c r="A1277" s="184" t="s">
        <v>3048</v>
      </c>
      <c r="B1277" s="184" t="s">
        <v>127</v>
      </c>
      <c r="C1277" s="184" t="s">
        <v>1101</v>
      </c>
      <c r="D1277" s="185" t="s">
        <v>700</v>
      </c>
      <c r="E1277" s="186" t="s">
        <v>2956</v>
      </c>
      <c r="F1277" s="186" t="s">
        <v>3036</v>
      </c>
      <c r="G1277" s="186" t="s">
        <v>3036</v>
      </c>
      <c r="H1277" s="186" t="s">
        <v>3053</v>
      </c>
      <c r="I1277" s="187" t="s">
        <v>2912</v>
      </c>
      <c r="J1277" s="187" t="s">
        <v>2913</v>
      </c>
      <c r="K1277" s="188"/>
      <c r="L1277" s="188"/>
      <c r="M1277" s="189" t="s">
        <v>807</v>
      </c>
      <c r="N1277" s="190">
        <v>75.86</v>
      </c>
      <c r="O1277" s="190">
        <f t="shared" si="155"/>
        <v>82.69</v>
      </c>
      <c r="P1277" s="191">
        <f t="shared" si="156"/>
        <v>0</v>
      </c>
      <c r="Q1277" s="192">
        <f t="shared" si="157"/>
        <v>0</v>
      </c>
      <c r="R1277" s="193"/>
      <c r="S1277" s="194"/>
      <c r="T1277" s="195">
        <f t="shared" si="158"/>
        <v>0</v>
      </c>
      <c r="U1277" s="195">
        <f t="shared" si="159"/>
        <v>0</v>
      </c>
      <c r="V1277" s="195">
        <f t="shared" si="160"/>
        <v>0</v>
      </c>
      <c r="W1277" s="196" t="e">
        <f t="shared" si="161"/>
        <v>#DIV/0!</v>
      </c>
      <c r="X1277" s="197" t="e">
        <f t="shared" si="162"/>
        <v>#DIV/0!</v>
      </c>
    </row>
    <row r="1278" ht="11.4" hidden="1" customHeight="1" spans="1:24">
      <c r="A1278" s="184" t="s">
        <v>3048</v>
      </c>
      <c r="B1278" s="184" t="s">
        <v>127</v>
      </c>
      <c r="C1278" s="184" t="s">
        <v>1101</v>
      </c>
      <c r="D1278" s="185" t="s">
        <v>700</v>
      </c>
      <c r="E1278" s="186" t="s">
        <v>2956</v>
      </c>
      <c r="F1278" s="186" t="s">
        <v>3036</v>
      </c>
      <c r="G1278" s="186" t="s">
        <v>3036</v>
      </c>
      <c r="H1278" s="186" t="s">
        <v>3053</v>
      </c>
      <c r="I1278" s="187" t="s">
        <v>3001</v>
      </c>
      <c r="J1278" s="187" t="s">
        <v>3002</v>
      </c>
      <c r="K1278" s="188"/>
      <c r="L1278" s="188"/>
      <c r="M1278" s="189" t="s">
        <v>847</v>
      </c>
      <c r="N1278" s="190">
        <v>88.25</v>
      </c>
      <c r="O1278" s="190">
        <f t="shared" si="155"/>
        <v>96.19</v>
      </c>
      <c r="P1278" s="191">
        <f t="shared" si="156"/>
        <v>0</v>
      </c>
      <c r="Q1278" s="192">
        <f t="shared" si="157"/>
        <v>0</v>
      </c>
      <c r="R1278" s="193"/>
      <c r="S1278" s="194"/>
      <c r="T1278" s="195">
        <f t="shared" si="158"/>
        <v>0</v>
      </c>
      <c r="U1278" s="195">
        <f t="shared" si="159"/>
        <v>0</v>
      </c>
      <c r="V1278" s="195">
        <f t="shared" si="160"/>
        <v>0</v>
      </c>
      <c r="W1278" s="196" t="e">
        <f t="shared" si="161"/>
        <v>#DIV/0!</v>
      </c>
      <c r="X1278" s="197" t="e">
        <f t="shared" si="162"/>
        <v>#DIV/0!</v>
      </c>
    </row>
    <row r="1279" ht="11.4" hidden="1" customHeight="1" spans="1:24">
      <c r="A1279" s="184" t="s">
        <v>3054</v>
      </c>
      <c r="B1279" s="184" t="s">
        <v>139</v>
      </c>
      <c r="C1279" s="184" t="s">
        <v>1880</v>
      </c>
      <c r="D1279" s="185" t="s">
        <v>700</v>
      </c>
      <c r="E1279" s="186" t="s">
        <v>2956</v>
      </c>
      <c r="F1279" s="186" t="s">
        <v>3036</v>
      </c>
      <c r="G1279" s="186" t="s">
        <v>3036</v>
      </c>
      <c r="H1279" s="186" t="s">
        <v>3055</v>
      </c>
      <c r="I1279" s="187" t="s">
        <v>3056</v>
      </c>
      <c r="J1279" s="187" t="s">
        <v>3057</v>
      </c>
      <c r="K1279" s="188"/>
      <c r="L1279" s="188"/>
      <c r="M1279" s="189" t="s">
        <v>807</v>
      </c>
      <c r="N1279" s="190">
        <v>152.9</v>
      </c>
      <c r="O1279" s="190">
        <f t="shared" si="155"/>
        <v>166.66</v>
      </c>
      <c r="P1279" s="191">
        <f t="shared" si="156"/>
        <v>0</v>
      </c>
      <c r="Q1279" s="192">
        <f t="shared" si="157"/>
        <v>0</v>
      </c>
      <c r="R1279" s="193"/>
      <c r="S1279" s="194"/>
      <c r="T1279" s="195">
        <f t="shared" si="158"/>
        <v>0</v>
      </c>
      <c r="U1279" s="195">
        <f t="shared" si="159"/>
        <v>0</v>
      </c>
      <c r="V1279" s="195">
        <f t="shared" si="160"/>
        <v>0</v>
      </c>
      <c r="W1279" s="196" t="e">
        <f t="shared" si="161"/>
        <v>#DIV/0!</v>
      </c>
      <c r="X1279" s="197" t="e">
        <f t="shared" si="162"/>
        <v>#DIV/0!</v>
      </c>
    </row>
    <row r="1280" ht="11.4" hidden="1" customHeight="1" spans="1:24">
      <c r="A1280" s="184" t="s">
        <v>3054</v>
      </c>
      <c r="B1280" s="184" t="s">
        <v>139</v>
      </c>
      <c r="C1280" s="184" t="s">
        <v>1880</v>
      </c>
      <c r="D1280" s="185" t="s">
        <v>700</v>
      </c>
      <c r="E1280" s="186" t="s">
        <v>2956</v>
      </c>
      <c r="F1280" s="186" t="s">
        <v>3036</v>
      </c>
      <c r="G1280" s="186" t="s">
        <v>3036</v>
      </c>
      <c r="H1280" s="186" t="s">
        <v>3055</v>
      </c>
      <c r="I1280" s="187" t="s">
        <v>2922</v>
      </c>
      <c r="J1280" s="187" t="s">
        <v>2923</v>
      </c>
      <c r="K1280" s="188"/>
      <c r="L1280" s="188"/>
      <c r="M1280" s="189" t="s">
        <v>793</v>
      </c>
      <c r="N1280" s="190">
        <v>1637.1</v>
      </c>
      <c r="O1280" s="190">
        <f t="shared" si="155"/>
        <v>1784.44</v>
      </c>
      <c r="P1280" s="191">
        <f t="shared" si="156"/>
        <v>0</v>
      </c>
      <c r="Q1280" s="192">
        <f t="shared" si="157"/>
        <v>0</v>
      </c>
      <c r="R1280" s="193"/>
      <c r="S1280" s="194"/>
      <c r="T1280" s="195">
        <f t="shared" si="158"/>
        <v>0</v>
      </c>
      <c r="U1280" s="195">
        <f t="shared" si="159"/>
        <v>0</v>
      </c>
      <c r="V1280" s="195">
        <f t="shared" si="160"/>
        <v>0</v>
      </c>
      <c r="W1280" s="196" t="e">
        <f t="shared" si="161"/>
        <v>#DIV/0!</v>
      </c>
      <c r="X1280" s="197" t="e">
        <f t="shared" si="162"/>
        <v>#DIV/0!</v>
      </c>
    </row>
    <row r="1281" ht="11.4" hidden="1" customHeight="1" spans="1:24">
      <c r="A1281" s="184" t="s">
        <v>3054</v>
      </c>
      <c r="B1281" s="184" t="s">
        <v>139</v>
      </c>
      <c r="C1281" s="184" t="s">
        <v>1880</v>
      </c>
      <c r="D1281" s="185" t="s">
        <v>700</v>
      </c>
      <c r="E1281" s="186" t="s">
        <v>2956</v>
      </c>
      <c r="F1281" s="186" t="s">
        <v>3036</v>
      </c>
      <c r="G1281" s="186" t="s">
        <v>3036</v>
      </c>
      <c r="H1281" s="186" t="s">
        <v>3055</v>
      </c>
      <c r="I1281" s="187" t="s">
        <v>3007</v>
      </c>
      <c r="J1281" s="187" t="s">
        <v>3008</v>
      </c>
      <c r="K1281" s="188"/>
      <c r="L1281" s="188"/>
      <c r="M1281" s="189" t="s">
        <v>793</v>
      </c>
      <c r="N1281" s="190">
        <v>699.36</v>
      </c>
      <c r="O1281" s="190">
        <f t="shared" si="155"/>
        <v>762.3</v>
      </c>
      <c r="P1281" s="191">
        <f t="shared" si="156"/>
        <v>0</v>
      </c>
      <c r="Q1281" s="192">
        <f t="shared" si="157"/>
        <v>0</v>
      </c>
      <c r="R1281" s="193"/>
      <c r="S1281" s="194"/>
      <c r="T1281" s="195">
        <f t="shared" si="158"/>
        <v>0</v>
      </c>
      <c r="U1281" s="195">
        <f t="shared" si="159"/>
        <v>0</v>
      </c>
      <c r="V1281" s="195">
        <f t="shared" si="160"/>
        <v>0</v>
      </c>
      <c r="W1281" s="196" t="e">
        <f t="shared" si="161"/>
        <v>#DIV/0!</v>
      </c>
      <c r="X1281" s="197" t="e">
        <f t="shared" si="162"/>
        <v>#DIV/0!</v>
      </c>
    </row>
    <row r="1282" ht="11.4" hidden="1" customHeight="1" spans="1:24">
      <c r="A1282" s="184" t="s">
        <v>3054</v>
      </c>
      <c r="B1282" s="184" t="s">
        <v>139</v>
      </c>
      <c r="C1282" s="184" t="s">
        <v>1880</v>
      </c>
      <c r="D1282" s="185" t="s">
        <v>700</v>
      </c>
      <c r="E1282" s="186" t="s">
        <v>2956</v>
      </c>
      <c r="F1282" s="186" t="s">
        <v>3036</v>
      </c>
      <c r="G1282" s="186" t="s">
        <v>3036</v>
      </c>
      <c r="H1282" s="186" t="s">
        <v>3055</v>
      </c>
      <c r="I1282" s="187" t="s">
        <v>3058</v>
      </c>
      <c r="J1282" s="187" t="s">
        <v>3059</v>
      </c>
      <c r="K1282" s="188"/>
      <c r="L1282" s="188"/>
      <c r="M1282" s="189" t="s">
        <v>1778</v>
      </c>
      <c r="N1282" s="190">
        <v>519.63</v>
      </c>
      <c r="O1282" s="190">
        <f t="shared" si="155"/>
        <v>566.4</v>
      </c>
      <c r="P1282" s="191">
        <f t="shared" si="156"/>
        <v>0</v>
      </c>
      <c r="Q1282" s="192">
        <f t="shared" si="157"/>
        <v>0</v>
      </c>
      <c r="R1282" s="193"/>
      <c r="S1282" s="194"/>
      <c r="T1282" s="195">
        <f t="shared" si="158"/>
        <v>0</v>
      </c>
      <c r="U1282" s="195">
        <f t="shared" si="159"/>
        <v>0</v>
      </c>
      <c r="V1282" s="195">
        <f t="shared" si="160"/>
        <v>0</v>
      </c>
      <c r="W1282" s="196" t="e">
        <f t="shared" si="161"/>
        <v>#DIV/0!</v>
      </c>
      <c r="X1282" s="197" t="e">
        <f t="shared" si="162"/>
        <v>#DIV/0!</v>
      </c>
    </row>
    <row r="1283" ht="11.4" hidden="1" customHeight="1" spans="1:24">
      <c r="A1283" s="184" t="s">
        <v>3054</v>
      </c>
      <c r="B1283" s="184" t="s">
        <v>139</v>
      </c>
      <c r="C1283" s="184" t="s">
        <v>1880</v>
      </c>
      <c r="D1283" s="185" t="s">
        <v>700</v>
      </c>
      <c r="E1283" s="186" t="s">
        <v>2956</v>
      </c>
      <c r="F1283" s="186" t="s">
        <v>3036</v>
      </c>
      <c r="G1283" s="186" t="s">
        <v>3036</v>
      </c>
      <c r="H1283" s="186" t="s">
        <v>3055</v>
      </c>
      <c r="I1283" s="187" t="s">
        <v>3060</v>
      </c>
      <c r="J1283" s="187" t="s">
        <v>1978</v>
      </c>
      <c r="K1283" s="188"/>
      <c r="L1283" s="188"/>
      <c r="M1283" s="189" t="s">
        <v>1018</v>
      </c>
      <c r="N1283" s="190">
        <v>136.25</v>
      </c>
      <c r="O1283" s="190">
        <f t="shared" si="155"/>
        <v>148.51</v>
      </c>
      <c r="P1283" s="191">
        <f t="shared" si="156"/>
        <v>0</v>
      </c>
      <c r="Q1283" s="192">
        <f t="shared" si="157"/>
        <v>0</v>
      </c>
      <c r="R1283" s="193"/>
      <c r="S1283" s="194"/>
      <c r="T1283" s="195">
        <f t="shared" si="158"/>
        <v>0</v>
      </c>
      <c r="U1283" s="195">
        <f t="shared" si="159"/>
        <v>0</v>
      </c>
      <c r="V1283" s="195">
        <f t="shared" si="160"/>
        <v>0</v>
      </c>
      <c r="W1283" s="196" t="e">
        <f t="shared" si="161"/>
        <v>#DIV/0!</v>
      </c>
      <c r="X1283" s="197" t="e">
        <f t="shared" si="162"/>
        <v>#DIV/0!</v>
      </c>
    </row>
    <row r="1284" ht="11.4" hidden="1" customHeight="1" spans="1:24">
      <c r="A1284" s="184" t="s">
        <v>3054</v>
      </c>
      <c r="B1284" s="184" t="s">
        <v>139</v>
      </c>
      <c r="C1284" s="184" t="s">
        <v>1880</v>
      </c>
      <c r="D1284" s="185" t="s">
        <v>700</v>
      </c>
      <c r="E1284" s="186" t="s">
        <v>2956</v>
      </c>
      <c r="F1284" s="186" t="s">
        <v>3036</v>
      </c>
      <c r="G1284" s="186" t="s">
        <v>3036</v>
      </c>
      <c r="H1284" s="186" t="s">
        <v>3055</v>
      </c>
      <c r="I1284" s="187" t="s">
        <v>3061</v>
      </c>
      <c r="J1284" s="187" t="s">
        <v>3062</v>
      </c>
      <c r="K1284" s="188"/>
      <c r="L1284" s="188"/>
      <c r="M1284" s="189" t="s">
        <v>1018</v>
      </c>
      <c r="N1284" s="190"/>
      <c r="O1284" s="190">
        <f t="shared" si="155"/>
        <v>0</v>
      </c>
      <c r="P1284" s="191">
        <f t="shared" si="156"/>
        <v>0</v>
      </c>
      <c r="Q1284" s="192">
        <f t="shared" si="157"/>
        <v>0</v>
      </c>
      <c r="R1284" s="193"/>
      <c r="S1284" s="194"/>
      <c r="T1284" s="195">
        <f t="shared" si="158"/>
        <v>0</v>
      </c>
      <c r="U1284" s="195">
        <f t="shared" si="159"/>
        <v>0</v>
      </c>
      <c r="V1284" s="195">
        <f t="shared" si="160"/>
        <v>0</v>
      </c>
      <c r="W1284" s="196" t="e">
        <f t="shared" si="161"/>
        <v>#DIV/0!</v>
      </c>
      <c r="X1284" s="197" t="e">
        <f t="shared" si="162"/>
        <v>#DIV/0!</v>
      </c>
    </row>
    <row r="1285" ht="11.4" hidden="1" customHeight="1" spans="1:24">
      <c r="A1285" s="184" t="s">
        <v>3054</v>
      </c>
      <c r="B1285" s="184" t="s">
        <v>139</v>
      </c>
      <c r="C1285" s="184" t="s">
        <v>1880</v>
      </c>
      <c r="D1285" s="185" t="s">
        <v>700</v>
      </c>
      <c r="E1285" s="186" t="s">
        <v>2956</v>
      </c>
      <c r="F1285" s="186" t="s">
        <v>3036</v>
      </c>
      <c r="G1285" s="186" t="s">
        <v>3036</v>
      </c>
      <c r="H1285" s="186" t="s">
        <v>3055</v>
      </c>
      <c r="I1285" s="187" t="s">
        <v>3063</v>
      </c>
      <c r="J1285" s="187" t="s">
        <v>3064</v>
      </c>
      <c r="K1285" s="188"/>
      <c r="L1285" s="188"/>
      <c r="M1285" s="189" t="s">
        <v>1018</v>
      </c>
      <c r="N1285" s="190"/>
      <c r="O1285" s="190">
        <f t="shared" si="155"/>
        <v>0</v>
      </c>
      <c r="P1285" s="191">
        <f t="shared" si="156"/>
        <v>0</v>
      </c>
      <c r="Q1285" s="192">
        <f t="shared" si="157"/>
        <v>0</v>
      </c>
      <c r="R1285" s="193"/>
      <c r="S1285" s="194"/>
      <c r="T1285" s="195">
        <f t="shared" si="158"/>
        <v>0</v>
      </c>
      <c r="U1285" s="195">
        <f t="shared" si="159"/>
        <v>0</v>
      </c>
      <c r="V1285" s="195">
        <f t="shared" si="160"/>
        <v>0</v>
      </c>
      <c r="W1285" s="196" t="e">
        <f t="shared" si="161"/>
        <v>#DIV/0!</v>
      </c>
      <c r="X1285" s="197" t="e">
        <f t="shared" si="162"/>
        <v>#DIV/0!</v>
      </c>
    </row>
    <row r="1286" ht="11.4" hidden="1" customHeight="1" spans="1:24">
      <c r="A1286" s="184" t="s">
        <v>3054</v>
      </c>
      <c r="B1286" s="184" t="s">
        <v>139</v>
      </c>
      <c r="C1286" s="184" t="s">
        <v>1880</v>
      </c>
      <c r="D1286" s="185" t="s">
        <v>700</v>
      </c>
      <c r="E1286" s="186" t="s">
        <v>2956</v>
      </c>
      <c r="F1286" s="186" t="s">
        <v>3036</v>
      </c>
      <c r="G1286" s="186" t="s">
        <v>3036</v>
      </c>
      <c r="H1286" s="186" t="s">
        <v>3055</v>
      </c>
      <c r="I1286" s="187" t="s">
        <v>3065</v>
      </c>
      <c r="J1286" s="187" t="s">
        <v>3066</v>
      </c>
      <c r="K1286" s="188"/>
      <c r="L1286" s="188"/>
      <c r="M1286" s="189" t="s">
        <v>1018</v>
      </c>
      <c r="N1286" s="190"/>
      <c r="O1286" s="190">
        <f t="shared" si="155"/>
        <v>0</v>
      </c>
      <c r="P1286" s="191">
        <f t="shared" si="156"/>
        <v>0</v>
      </c>
      <c r="Q1286" s="192">
        <f t="shared" si="157"/>
        <v>0</v>
      </c>
      <c r="R1286" s="193"/>
      <c r="S1286" s="194"/>
      <c r="T1286" s="195">
        <f t="shared" si="158"/>
        <v>0</v>
      </c>
      <c r="U1286" s="195">
        <f t="shared" si="159"/>
        <v>0</v>
      </c>
      <c r="V1286" s="195">
        <f t="shared" si="160"/>
        <v>0</v>
      </c>
      <c r="W1286" s="196" t="e">
        <f t="shared" si="161"/>
        <v>#DIV/0!</v>
      </c>
      <c r="X1286" s="197" t="e">
        <f t="shared" si="162"/>
        <v>#DIV/0!</v>
      </c>
    </row>
    <row r="1287" ht="11.4" hidden="1" customHeight="1" spans="1:24">
      <c r="A1287" s="184" t="s">
        <v>3054</v>
      </c>
      <c r="B1287" s="184" t="s">
        <v>139</v>
      </c>
      <c r="C1287" s="184" t="s">
        <v>1880</v>
      </c>
      <c r="D1287" s="185" t="s">
        <v>700</v>
      </c>
      <c r="E1287" s="186" t="s">
        <v>2956</v>
      </c>
      <c r="F1287" s="186" t="s">
        <v>3036</v>
      </c>
      <c r="G1287" s="186" t="s">
        <v>3036</v>
      </c>
      <c r="H1287" s="186" t="s">
        <v>3055</v>
      </c>
      <c r="I1287" s="187" t="s">
        <v>3067</v>
      </c>
      <c r="J1287" s="187" t="s">
        <v>3068</v>
      </c>
      <c r="K1287" s="188"/>
      <c r="L1287" s="188"/>
      <c r="M1287" s="189" t="s">
        <v>1018</v>
      </c>
      <c r="N1287" s="190"/>
      <c r="O1287" s="190">
        <f t="shared" si="155"/>
        <v>0</v>
      </c>
      <c r="P1287" s="191">
        <f t="shared" si="156"/>
        <v>0</v>
      </c>
      <c r="Q1287" s="192">
        <f t="shared" si="157"/>
        <v>0</v>
      </c>
      <c r="R1287" s="193"/>
      <c r="S1287" s="194"/>
      <c r="T1287" s="195">
        <f t="shared" si="158"/>
        <v>0</v>
      </c>
      <c r="U1287" s="195">
        <f t="shared" si="159"/>
        <v>0</v>
      </c>
      <c r="V1287" s="195">
        <f t="shared" si="160"/>
        <v>0</v>
      </c>
      <c r="W1287" s="196" t="e">
        <f t="shared" si="161"/>
        <v>#DIV/0!</v>
      </c>
      <c r="X1287" s="197" t="e">
        <f t="shared" si="162"/>
        <v>#DIV/0!</v>
      </c>
    </row>
    <row r="1288" ht="11.4" hidden="1" customHeight="1" spans="1:24">
      <c r="A1288" s="184" t="s">
        <v>3054</v>
      </c>
      <c r="B1288" s="184" t="s">
        <v>139</v>
      </c>
      <c r="C1288" s="184" t="s">
        <v>1880</v>
      </c>
      <c r="D1288" s="185" t="s">
        <v>700</v>
      </c>
      <c r="E1288" s="186" t="s">
        <v>2956</v>
      </c>
      <c r="F1288" s="186" t="s">
        <v>3036</v>
      </c>
      <c r="G1288" s="186" t="s">
        <v>3036</v>
      </c>
      <c r="H1288" s="186" t="s">
        <v>3055</v>
      </c>
      <c r="I1288" s="187" t="s">
        <v>3069</v>
      </c>
      <c r="J1288" s="187" t="s">
        <v>3070</v>
      </c>
      <c r="K1288" s="188"/>
      <c r="L1288" s="188"/>
      <c r="M1288" s="189" t="s">
        <v>1018</v>
      </c>
      <c r="N1288" s="190"/>
      <c r="O1288" s="190">
        <f t="shared" si="155"/>
        <v>0</v>
      </c>
      <c r="P1288" s="191">
        <f t="shared" si="156"/>
        <v>0</v>
      </c>
      <c r="Q1288" s="192">
        <f t="shared" si="157"/>
        <v>0</v>
      </c>
      <c r="R1288" s="193"/>
      <c r="S1288" s="194"/>
      <c r="T1288" s="195">
        <f t="shared" si="158"/>
        <v>0</v>
      </c>
      <c r="U1288" s="195">
        <f t="shared" si="159"/>
        <v>0</v>
      </c>
      <c r="V1288" s="195">
        <f t="shared" si="160"/>
        <v>0</v>
      </c>
      <c r="W1288" s="196" t="e">
        <f t="shared" si="161"/>
        <v>#DIV/0!</v>
      </c>
      <c r="X1288" s="197" t="e">
        <f t="shared" si="162"/>
        <v>#DIV/0!</v>
      </c>
    </row>
    <row r="1289" ht="11.4" hidden="1" customHeight="1" spans="1:24">
      <c r="A1289" s="184" t="s">
        <v>3054</v>
      </c>
      <c r="B1289" s="184" t="s">
        <v>139</v>
      </c>
      <c r="C1289" s="184" t="s">
        <v>1880</v>
      </c>
      <c r="D1289" s="185" t="s">
        <v>700</v>
      </c>
      <c r="E1289" s="186" t="s">
        <v>2956</v>
      </c>
      <c r="F1289" s="186" t="s">
        <v>3036</v>
      </c>
      <c r="G1289" s="186" t="s">
        <v>3036</v>
      </c>
      <c r="H1289" s="186" t="s">
        <v>3055</v>
      </c>
      <c r="I1289" s="187" t="s">
        <v>3071</v>
      </c>
      <c r="J1289" s="187" t="s">
        <v>3072</v>
      </c>
      <c r="K1289" s="188"/>
      <c r="L1289" s="188"/>
      <c r="M1289" s="189" t="s">
        <v>1018</v>
      </c>
      <c r="N1289" s="190"/>
      <c r="O1289" s="190">
        <f t="shared" si="155"/>
        <v>0</v>
      </c>
      <c r="P1289" s="191">
        <f t="shared" si="156"/>
        <v>0</v>
      </c>
      <c r="Q1289" s="192">
        <f t="shared" si="157"/>
        <v>0</v>
      </c>
      <c r="R1289" s="193"/>
      <c r="S1289" s="194"/>
      <c r="T1289" s="195">
        <f t="shared" si="158"/>
        <v>0</v>
      </c>
      <c r="U1289" s="195">
        <f t="shared" si="159"/>
        <v>0</v>
      </c>
      <c r="V1289" s="195">
        <f t="shared" si="160"/>
        <v>0</v>
      </c>
      <c r="W1289" s="196" t="e">
        <f t="shared" si="161"/>
        <v>#DIV/0!</v>
      </c>
      <c r="X1289" s="197" t="e">
        <f t="shared" si="162"/>
        <v>#DIV/0!</v>
      </c>
    </row>
    <row r="1290" ht="11.4" hidden="1" customHeight="1" spans="1:24">
      <c r="A1290" s="184" t="s">
        <v>3054</v>
      </c>
      <c r="B1290" s="184" t="s">
        <v>139</v>
      </c>
      <c r="C1290" s="184" t="s">
        <v>1880</v>
      </c>
      <c r="D1290" s="185" t="s">
        <v>700</v>
      </c>
      <c r="E1290" s="186" t="s">
        <v>2956</v>
      </c>
      <c r="F1290" s="186" t="s">
        <v>3036</v>
      </c>
      <c r="G1290" s="186" t="s">
        <v>3036</v>
      </c>
      <c r="H1290" s="186" t="s">
        <v>3055</v>
      </c>
      <c r="I1290" s="187" t="s">
        <v>3073</v>
      </c>
      <c r="J1290" s="187" t="s">
        <v>3074</v>
      </c>
      <c r="K1290" s="188"/>
      <c r="L1290" s="188"/>
      <c r="M1290" s="189" t="s">
        <v>1018</v>
      </c>
      <c r="N1290" s="190"/>
      <c r="O1290" s="190">
        <f t="shared" si="155"/>
        <v>0</v>
      </c>
      <c r="P1290" s="191">
        <f t="shared" si="156"/>
        <v>0</v>
      </c>
      <c r="Q1290" s="192">
        <f t="shared" si="157"/>
        <v>0</v>
      </c>
      <c r="R1290" s="193"/>
      <c r="S1290" s="194"/>
      <c r="T1290" s="195">
        <f t="shared" si="158"/>
        <v>0</v>
      </c>
      <c r="U1290" s="195">
        <f t="shared" si="159"/>
        <v>0</v>
      </c>
      <c r="V1290" s="195">
        <f t="shared" si="160"/>
        <v>0</v>
      </c>
      <c r="W1290" s="196" t="e">
        <f t="shared" si="161"/>
        <v>#DIV/0!</v>
      </c>
      <c r="X1290" s="197" t="e">
        <f t="shared" si="162"/>
        <v>#DIV/0!</v>
      </c>
    </row>
    <row r="1291" ht="11.4" hidden="1" customHeight="1" spans="1:24">
      <c r="A1291" s="184" t="s">
        <v>3054</v>
      </c>
      <c r="B1291" s="184" t="s">
        <v>139</v>
      </c>
      <c r="C1291" s="184" t="s">
        <v>1880</v>
      </c>
      <c r="D1291" s="185" t="s">
        <v>700</v>
      </c>
      <c r="E1291" s="186" t="s">
        <v>2956</v>
      </c>
      <c r="F1291" s="186" t="s">
        <v>3036</v>
      </c>
      <c r="G1291" s="186" t="s">
        <v>3036</v>
      </c>
      <c r="H1291" s="186" t="s">
        <v>3055</v>
      </c>
      <c r="I1291" s="187" t="s">
        <v>3075</v>
      </c>
      <c r="J1291" s="187" t="s">
        <v>3076</v>
      </c>
      <c r="K1291" s="188"/>
      <c r="L1291" s="188"/>
      <c r="M1291" s="189" t="s">
        <v>1018</v>
      </c>
      <c r="N1291" s="190"/>
      <c r="O1291" s="190">
        <f t="shared" si="155"/>
        <v>0</v>
      </c>
      <c r="P1291" s="191">
        <f t="shared" si="156"/>
        <v>0</v>
      </c>
      <c r="Q1291" s="192">
        <f t="shared" si="157"/>
        <v>0</v>
      </c>
      <c r="R1291" s="193"/>
      <c r="S1291" s="194"/>
      <c r="T1291" s="195">
        <f t="shared" si="158"/>
        <v>0</v>
      </c>
      <c r="U1291" s="195">
        <f t="shared" si="159"/>
        <v>0</v>
      </c>
      <c r="V1291" s="195">
        <f t="shared" si="160"/>
        <v>0</v>
      </c>
      <c r="W1291" s="196" t="e">
        <f t="shared" si="161"/>
        <v>#DIV/0!</v>
      </c>
      <c r="X1291" s="197" t="e">
        <f t="shared" si="162"/>
        <v>#DIV/0!</v>
      </c>
    </row>
    <row r="1292" ht="11.4" hidden="1" customHeight="1" spans="1:24">
      <c r="A1292" s="184" t="s">
        <v>3054</v>
      </c>
      <c r="B1292" s="184" t="s">
        <v>139</v>
      </c>
      <c r="C1292" s="184" t="s">
        <v>1880</v>
      </c>
      <c r="D1292" s="185" t="s">
        <v>700</v>
      </c>
      <c r="E1292" s="186" t="s">
        <v>2956</v>
      </c>
      <c r="F1292" s="186" t="s">
        <v>3036</v>
      </c>
      <c r="G1292" s="186" t="s">
        <v>3036</v>
      </c>
      <c r="H1292" s="186" t="s">
        <v>3055</v>
      </c>
      <c r="I1292" s="187" t="s">
        <v>3077</v>
      </c>
      <c r="J1292" s="187" t="s">
        <v>3078</v>
      </c>
      <c r="K1292" s="188"/>
      <c r="L1292" s="188"/>
      <c r="M1292" s="189" t="s">
        <v>1018</v>
      </c>
      <c r="N1292" s="190"/>
      <c r="O1292" s="190">
        <f t="shared" si="155"/>
        <v>0</v>
      </c>
      <c r="P1292" s="191">
        <f t="shared" si="156"/>
        <v>0</v>
      </c>
      <c r="Q1292" s="192">
        <f t="shared" si="157"/>
        <v>0</v>
      </c>
      <c r="R1292" s="193"/>
      <c r="S1292" s="194"/>
      <c r="T1292" s="195">
        <f t="shared" si="158"/>
        <v>0</v>
      </c>
      <c r="U1292" s="195">
        <f t="shared" si="159"/>
        <v>0</v>
      </c>
      <c r="V1292" s="195">
        <f t="shared" si="160"/>
        <v>0</v>
      </c>
      <c r="W1292" s="196" t="e">
        <f t="shared" si="161"/>
        <v>#DIV/0!</v>
      </c>
      <c r="X1292" s="197" t="e">
        <f t="shared" si="162"/>
        <v>#DIV/0!</v>
      </c>
    </row>
    <row r="1293" ht="11.4" hidden="1" customHeight="1" spans="1:24">
      <c r="A1293" s="184" t="s">
        <v>3054</v>
      </c>
      <c r="B1293" s="184" t="s">
        <v>139</v>
      </c>
      <c r="C1293" s="184" t="s">
        <v>1880</v>
      </c>
      <c r="D1293" s="185" t="s">
        <v>700</v>
      </c>
      <c r="E1293" s="186" t="s">
        <v>2956</v>
      </c>
      <c r="F1293" s="186" t="s">
        <v>3036</v>
      </c>
      <c r="G1293" s="186" t="s">
        <v>3036</v>
      </c>
      <c r="H1293" s="186" t="s">
        <v>3055</v>
      </c>
      <c r="I1293" s="187" t="s">
        <v>3079</v>
      </c>
      <c r="J1293" s="187" t="s">
        <v>3080</v>
      </c>
      <c r="K1293" s="188"/>
      <c r="L1293" s="188"/>
      <c r="M1293" s="189" t="s">
        <v>1018</v>
      </c>
      <c r="N1293" s="190"/>
      <c r="O1293" s="190">
        <f t="shared" ref="O1293:O1356" si="163">ROUND(N1293*(1+$F$10),2)</f>
        <v>0</v>
      </c>
      <c r="P1293" s="191">
        <f t="shared" ref="P1293:P1356" si="164">ROUND(K1293*N1293,2)</f>
        <v>0</v>
      </c>
      <c r="Q1293" s="192">
        <f t="shared" si="157"/>
        <v>0</v>
      </c>
      <c r="R1293" s="193"/>
      <c r="S1293" s="194"/>
      <c r="T1293" s="195">
        <f t="shared" si="158"/>
        <v>0</v>
      </c>
      <c r="U1293" s="195">
        <f t="shared" si="159"/>
        <v>0</v>
      </c>
      <c r="V1293" s="195">
        <f t="shared" si="160"/>
        <v>0</v>
      </c>
      <c r="W1293" s="196" t="e">
        <f t="shared" si="161"/>
        <v>#DIV/0!</v>
      </c>
      <c r="X1293" s="197" t="e">
        <f t="shared" si="162"/>
        <v>#DIV/0!</v>
      </c>
    </row>
    <row r="1294" ht="11.4" hidden="1" customHeight="1" spans="1:24">
      <c r="A1294" s="184" t="s">
        <v>3054</v>
      </c>
      <c r="B1294" s="184" t="s">
        <v>139</v>
      </c>
      <c r="C1294" s="184" t="s">
        <v>1880</v>
      </c>
      <c r="D1294" s="185" t="s">
        <v>700</v>
      </c>
      <c r="E1294" s="186" t="s">
        <v>2956</v>
      </c>
      <c r="F1294" s="186" t="s">
        <v>3036</v>
      </c>
      <c r="G1294" s="186" t="s">
        <v>3036</v>
      </c>
      <c r="H1294" s="186" t="s">
        <v>3055</v>
      </c>
      <c r="I1294" s="187" t="s">
        <v>3081</v>
      </c>
      <c r="J1294" s="187" t="s">
        <v>3082</v>
      </c>
      <c r="K1294" s="188"/>
      <c r="L1294" s="188"/>
      <c r="M1294" s="189" t="s">
        <v>1018</v>
      </c>
      <c r="N1294" s="190"/>
      <c r="O1294" s="190">
        <f t="shared" si="163"/>
        <v>0</v>
      </c>
      <c r="P1294" s="191">
        <f t="shared" si="164"/>
        <v>0</v>
      </c>
      <c r="Q1294" s="192">
        <f t="shared" ref="Q1294:Q1357" si="165">ROUND(L1294*N1294,2)</f>
        <v>0</v>
      </c>
      <c r="R1294" s="193"/>
      <c r="S1294" s="194"/>
      <c r="T1294" s="195">
        <f t="shared" ref="T1294:T1357" si="166">K1294-L1294</f>
        <v>0</v>
      </c>
      <c r="U1294" s="195">
        <f t="shared" ref="U1294:U1357" si="167">P1294-Q1294</f>
        <v>0</v>
      </c>
      <c r="V1294" s="195">
        <f t="shared" ref="V1294:V1357" si="168">ABS(U1294)</f>
        <v>0</v>
      </c>
      <c r="W1294" s="196" t="e">
        <f t="shared" ref="W1294:W1357" si="169">T1294/L1294</f>
        <v>#DIV/0!</v>
      </c>
      <c r="X1294" s="197" t="e">
        <f t="shared" ref="X1294:X1357" si="170">ABS(W1294)</f>
        <v>#DIV/0!</v>
      </c>
    </row>
    <row r="1295" ht="11.4" hidden="1" customHeight="1" spans="1:24">
      <c r="A1295" s="184" t="s">
        <v>3054</v>
      </c>
      <c r="B1295" s="184" t="s">
        <v>139</v>
      </c>
      <c r="C1295" s="184" t="s">
        <v>1880</v>
      </c>
      <c r="D1295" s="185" t="s">
        <v>700</v>
      </c>
      <c r="E1295" s="186" t="s">
        <v>2956</v>
      </c>
      <c r="F1295" s="186" t="s">
        <v>3036</v>
      </c>
      <c r="G1295" s="186" t="s">
        <v>3036</v>
      </c>
      <c r="H1295" s="186" t="s">
        <v>3055</v>
      </c>
      <c r="I1295" s="187" t="s">
        <v>3083</v>
      </c>
      <c r="J1295" s="187" t="s">
        <v>3084</v>
      </c>
      <c r="K1295" s="188"/>
      <c r="L1295" s="188"/>
      <c r="M1295" s="189" t="s">
        <v>1018</v>
      </c>
      <c r="N1295" s="190"/>
      <c r="O1295" s="190">
        <f t="shared" si="163"/>
        <v>0</v>
      </c>
      <c r="P1295" s="191">
        <f t="shared" si="164"/>
        <v>0</v>
      </c>
      <c r="Q1295" s="192">
        <f t="shared" si="165"/>
        <v>0</v>
      </c>
      <c r="R1295" s="193"/>
      <c r="S1295" s="194"/>
      <c r="T1295" s="195">
        <f t="shared" si="166"/>
        <v>0</v>
      </c>
      <c r="U1295" s="195">
        <f t="shared" si="167"/>
        <v>0</v>
      </c>
      <c r="V1295" s="195">
        <f t="shared" si="168"/>
        <v>0</v>
      </c>
      <c r="W1295" s="196" t="e">
        <f t="shared" si="169"/>
        <v>#DIV/0!</v>
      </c>
      <c r="X1295" s="197" t="e">
        <f t="shared" si="170"/>
        <v>#DIV/0!</v>
      </c>
    </row>
    <row r="1296" ht="11.4" hidden="1" customHeight="1" spans="1:24">
      <c r="A1296" s="184" t="s">
        <v>3054</v>
      </c>
      <c r="B1296" s="184" t="s">
        <v>139</v>
      </c>
      <c r="C1296" s="184" t="s">
        <v>1880</v>
      </c>
      <c r="D1296" s="185" t="s">
        <v>700</v>
      </c>
      <c r="E1296" s="186" t="s">
        <v>2956</v>
      </c>
      <c r="F1296" s="186" t="s">
        <v>3036</v>
      </c>
      <c r="G1296" s="186" t="s">
        <v>3036</v>
      </c>
      <c r="H1296" s="186" t="s">
        <v>3055</v>
      </c>
      <c r="I1296" s="187" t="s">
        <v>1975</v>
      </c>
      <c r="J1296" s="187" t="s">
        <v>1976</v>
      </c>
      <c r="K1296" s="188"/>
      <c r="L1296" s="188"/>
      <c r="M1296" s="189" t="s">
        <v>1018</v>
      </c>
      <c r="N1296" s="190">
        <v>136.25</v>
      </c>
      <c r="O1296" s="190">
        <f t="shared" si="163"/>
        <v>148.51</v>
      </c>
      <c r="P1296" s="191">
        <f t="shared" si="164"/>
        <v>0</v>
      </c>
      <c r="Q1296" s="192">
        <f t="shared" si="165"/>
        <v>0</v>
      </c>
      <c r="R1296" s="193"/>
      <c r="S1296" s="194"/>
      <c r="T1296" s="195">
        <f t="shared" si="166"/>
        <v>0</v>
      </c>
      <c r="U1296" s="195">
        <f t="shared" si="167"/>
        <v>0</v>
      </c>
      <c r="V1296" s="195">
        <f t="shared" si="168"/>
        <v>0</v>
      </c>
      <c r="W1296" s="196" t="e">
        <f t="shared" si="169"/>
        <v>#DIV/0!</v>
      </c>
      <c r="X1296" s="197" t="e">
        <f t="shared" si="170"/>
        <v>#DIV/0!</v>
      </c>
    </row>
    <row r="1297" ht="11.4" hidden="1" customHeight="1" spans="1:24">
      <c r="A1297" s="184" t="s">
        <v>3054</v>
      </c>
      <c r="B1297" s="184" t="s">
        <v>139</v>
      </c>
      <c r="C1297" s="184" t="s">
        <v>1880</v>
      </c>
      <c r="D1297" s="185" t="s">
        <v>700</v>
      </c>
      <c r="E1297" s="186" t="s">
        <v>2956</v>
      </c>
      <c r="F1297" s="186" t="s">
        <v>3036</v>
      </c>
      <c r="G1297" s="186" t="s">
        <v>3036</v>
      </c>
      <c r="H1297" s="186" t="s">
        <v>3055</v>
      </c>
      <c r="I1297" s="187" t="s">
        <v>1906</v>
      </c>
      <c r="J1297" s="187" t="s">
        <v>1907</v>
      </c>
      <c r="K1297" s="188"/>
      <c r="L1297" s="188"/>
      <c r="M1297" s="189" t="s">
        <v>1018</v>
      </c>
      <c r="N1297" s="190">
        <v>453.75</v>
      </c>
      <c r="O1297" s="190">
        <f t="shared" si="163"/>
        <v>494.59</v>
      </c>
      <c r="P1297" s="191">
        <f t="shared" si="164"/>
        <v>0</v>
      </c>
      <c r="Q1297" s="192">
        <f t="shared" si="165"/>
        <v>0</v>
      </c>
      <c r="R1297" s="193"/>
      <c r="S1297" s="194"/>
      <c r="T1297" s="195">
        <f t="shared" si="166"/>
        <v>0</v>
      </c>
      <c r="U1297" s="195">
        <f t="shared" si="167"/>
        <v>0</v>
      </c>
      <c r="V1297" s="195">
        <f t="shared" si="168"/>
        <v>0</v>
      </c>
      <c r="W1297" s="196" t="e">
        <f t="shared" si="169"/>
        <v>#DIV/0!</v>
      </c>
      <c r="X1297" s="197" t="e">
        <f t="shared" si="170"/>
        <v>#DIV/0!</v>
      </c>
    </row>
    <row r="1298" ht="11.4" hidden="1" customHeight="1" spans="1:24">
      <c r="A1298" s="184" t="s">
        <v>3054</v>
      </c>
      <c r="B1298" s="184" t="s">
        <v>139</v>
      </c>
      <c r="C1298" s="184" t="s">
        <v>1880</v>
      </c>
      <c r="D1298" s="185" t="s">
        <v>700</v>
      </c>
      <c r="E1298" s="186" t="s">
        <v>2956</v>
      </c>
      <c r="F1298" s="186" t="s">
        <v>3036</v>
      </c>
      <c r="G1298" s="186" t="s">
        <v>3036</v>
      </c>
      <c r="H1298" s="186" t="s">
        <v>3055</v>
      </c>
      <c r="I1298" s="187" t="s">
        <v>1908</v>
      </c>
      <c r="J1298" s="187" t="s">
        <v>1909</v>
      </c>
      <c r="K1298" s="188"/>
      <c r="L1298" s="188"/>
      <c r="M1298" s="189" t="s">
        <v>1018</v>
      </c>
      <c r="N1298" s="190">
        <v>1088.45</v>
      </c>
      <c r="O1298" s="190">
        <f t="shared" si="163"/>
        <v>1186.41</v>
      </c>
      <c r="P1298" s="191">
        <f t="shared" si="164"/>
        <v>0</v>
      </c>
      <c r="Q1298" s="192">
        <f t="shared" si="165"/>
        <v>0</v>
      </c>
      <c r="R1298" s="193"/>
      <c r="S1298" s="194"/>
      <c r="T1298" s="195">
        <f t="shared" si="166"/>
        <v>0</v>
      </c>
      <c r="U1298" s="195">
        <f t="shared" si="167"/>
        <v>0</v>
      </c>
      <c r="V1298" s="195">
        <f t="shared" si="168"/>
        <v>0</v>
      </c>
      <c r="W1298" s="196" t="e">
        <f t="shared" si="169"/>
        <v>#DIV/0!</v>
      </c>
      <c r="X1298" s="197" t="e">
        <f t="shared" si="170"/>
        <v>#DIV/0!</v>
      </c>
    </row>
    <row r="1299" ht="11.4" hidden="1" customHeight="1" spans="1:24">
      <c r="A1299" s="184" t="s">
        <v>3054</v>
      </c>
      <c r="B1299" s="184" t="s">
        <v>139</v>
      </c>
      <c r="C1299" s="184" t="s">
        <v>1880</v>
      </c>
      <c r="D1299" s="185" t="s">
        <v>700</v>
      </c>
      <c r="E1299" s="186" t="s">
        <v>2956</v>
      </c>
      <c r="F1299" s="186" t="s">
        <v>3036</v>
      </c>
      <c r="G1299" s="186" t="s">
        <v>3036</v>
      </c>
      <c r="H1299" s="186" t="s">
        <v>3055</v>
      </c>
      <c r="I1299" s="187" t="s">
        <v>2011</v>
      </c>
      <c r="J1299" s="187" t="s">
        <v>2012</v>
      </c>
      <c r="K1299" s="188"/>
      <c r="L1299" s="188"/>
      <c r="M1299" s="189" t="s">
        <v>1018</v>
      </c>
      <c r="N1299" s="190">
        <v>698.6</v>
      </c>
      <c r="O1299" s="190">
        <f t="shared" si="163"/>
        <v>761.47</v>
      </c>
      <c r="P1299" s="191">
        <f t="shared" si="164"/>
        <v>0</v>
      </c>
      <c r="Q1299" s="192">
        <f t="shared" si="165"/>
        <v>0</v>
      </c>
      <c r="R1299" s="193"/>
      <c r="S1299" s="194"/>
      <c r="T1299" s="195">
        <f t="shared" si="166"/>
        <v>0</v>
      </c>
      <c r="U1299" s="195">
        <f t="shared" si="167"/>
        <v>0</v>
      </c>
      <c r="V1299" s="195">
        <f t="shared" si="168"/>
        <v>0</v>
      </c>
      <c r="W1299" s="196" t="e">
        <f t="shared" si="169"/>
        <v>#DIV/0!</v>
      </c>
      <c r="X1299" s="197" t="e">
        <f t="shared" si="170"/>
        <v>#DIV/0!</v>
      </c>
    </row>
    <row r="1300" ht="11.4" hidden="1" customHeight="1" spans="1:24">
      <c r="A1300" s="184" t="s">
        <v>3054</v>
      </c>
      <c r="B1300" s="184" t="s">
        <v>139</v>
      </c>
      <c r="C1300" s="184" t="s">
        <v>1880</v>
      </c>
      <c r="D1300" s="185" t="s">
        <v>700</v>
      </c>
      <c r="E1300" s="186" t="s">
        <v>2956</v>
      </c>
      <c r="F1300" s="186" t="s">
        <v>3036</v>
      </c>
      <c r="G1300" s="186" t="s">
        <v>3036</v>
      </c>
      <c r="H1300" s="186" t="s">
        <v>3055</v>
      </c>
      <c r="I1300" s="187" t="s">
        <v>2015</v>
      </c>
      <c r="J1300" s="187" t="s">
        <v>2016</v>
      </c>
      <c r="K1300" s="188"/>
      <c r="L1300" s="188"/>
      <c r="M1300" s="189" t="s">
        <v>1018</v>
      </c>
      <c r="N1300" s="190">
        <v>563.75</v>
      </c>
      <c r="O1300" s="190">
        <f t="shared" si="163"/>
        <v>614.49</v>
      </c>
      <c r="P1300" s="191">
        <f t="shared" si="164"/>
        <v>0</v>
      </c>
      <c r="Q1300" s="192">
        <f t="shared" si="165"/>
        <v>0</v>
      </c>
      <c r="R1300" s="193"/>
      <c r="S1300" s="194"/>
      <c r="T1300" s="195">
        <f t="shared" si="166"/>
        <v>0</v>
      </c>
      <c r="U1300" s="195">
        <f t="shared" si="167"/>
        <v>0</v>
      </c>
      <c r="V1300" s="195">
        <f t="shared" si="168"/>
        <v>0</v>
      </c>
      <c r="W1300" s="196" t="e">
        <f t="shared" si="169"/>
        <v>#DIV/0!</v>
      </c>
      <c r="X1300" s="197" t="e">
        <f t="shared" si="170"/>
        <v>#DIV/0!</v>
      </c>
    </row>
    <row r="1301" ht="11.4" hidden="1" customHeight="1" spans="1:24">
      <c r="A1301" s="184" t="s">
        <v>3054</v>
      </c>
      <c r="B1301" s="184" t="s">
        <v>139</v>
      </c>
      <c r="C1301" s="184" t="s">
        <v>1880</v>
      </c>
      <c r="D1301" s="185" t="s">
        <v>700</v>
      </c>
      <c r="E1301" s="186" t="s">
        <v>2956</v>
      </c>
      <c r="F1301" s="186" t="s">
        <v>3036</v>
      </c>
      <c r="G1301" s="186" t="s">
        <v>3036</v>
      </c>
      <c r="H1301" s="186" t="s">
        <v>3055</v>
      </c>
      <c r="I1301" s="187" t="s">
        <v>2047</v>
      </c>
      <c r="J1301" s="187" t="s">
        <v>2048</v>
      </c>
      <c r="K1301" s="188"/>
      <c r="L1301" s="188"/>
      <c r="M1301" s="189" t="s">
        <v>1018</v>
      </c>
      <c r="N1301" s="190">
        <v>563.75</v>
      </c>
      <c r="O1301" s="190">
        <f t="shared" si="163"/>
        <v>614.49</v>
      </c>
      <c r="P1301" s="191">
        <f t="shared" si="164"/>
        <v>0</v>
      </c>
      <c r="Q1301" s="192">
        <f t="shared" si="165"/>
        <v>0</v>
      </c>
      <c r="R1301" s="193"/>
      <c r="S1301" s="194"/>
      <c r="T1301" s="195">
        <f t="shared" si="166"/>
        <v>0</v>
      </c>
      <c r="U1301" s="195">
        <f t="shared" si="167"/>
        <v>0</v>
      </c>
      <c r="V1301" s="195">
        <f t="shared" si="168"/>
        <v>0</v>
      </c>
      <c r="W1301" s="196" t="e">
        <f t="shared" si="169"/>
        <v>#DIV/0!</v>
      </c>
      <c r="X1301" s="197" t="e">
        <f t="shared" si="170"/>
        <v>#DIV/0!</v>
      </c>
    </row>
    <row r="1302" ht="11.4" hidden="1" customHeight="1" spans="1:24">
      <c r="A1302" s="184" t="s">
        <v>3054</v>
      </c>
      <c r="B1302" s="184" t="s">
        <v>139</v>
      </c>
      <c r="C1302" s="184" t="s">
        <v>1880</v>
      </c>
      <c r="D1302" s="185" t="s">
        <v>700</v>
      </c>
      <c r="E1302" s="186" t="s">
        <v>2956</v>
      </c>
      <c r="F1302" s="186" t="s">
        <v>3036</v>
      </c>
      <c r="G1302" s="186" t="s">
        <v>3036</v>
      </c>
      <c r="H1302" s="186" t="s">
        <v>3055</v>
      </c>
      <c r="I1302" s="187" t="s">
        <v>1989</v>
      </c>
      <c r="J1302" s="187" t="s">
        <v>1990</v>
      </c>
      <c r="K1302" s="188"/>
      <c r="L1302" s="188"/>
      <c r="M1302" s="189" t="s">
        <v>807</v>
      </c>
      <c r="N1302" s="190">
        <v>33.42</v>
      </c>
      <c r="O1302" s="190">
        <f t="shared" si="163"/>
        <v>36.43</v>
      </c>
      <c r="P1302" s="191">
        <f t="shared" si="164"/>
        <v>0</v>
      </c>
      <c r="Q1302" s="192">
        <f t="shared" si="165"/>
        <v>0</v>
      </c>
      <c r="R1302" s="193"/>
      <c r="S1302" s="194"/>
      <c r="T1302" s="195">
        <f t="shared" si="166"/>
        <v>0</v>
      </c>
      <c r="U1302" s="195">
        <f t="shared" si="167"/>
        <v>0</v>
      </c>
      <c r="V1302" s="195">
        <f t="shared" si="168"/>
        <v>0</v>
      </c>
      <c r="W1302" s="196" t="e">
        <f t="shared" si="169"/>
        <v>#DIV/0!</v>
      </c>
      <c r="X1302" s="197" t="e">
        <f t="shared" si="170"/>
        <v>#DIV/0!</v>
      </c>
    </row>
    <row r="1303" ht="11.4" hidden="1" customHeight="1" spans="1:24">
      <c r="A1303" s="184" t="s">
        <v>3054</v>
      </c>
      <c r="B1303" s="184" t="s">
        <v>139</v>
      </c>
      <c r="C1303" s="184" t="s">
        <v>1880</v>
      </c>
      <c r="D1303" s="185" t="s">
        <v>700</v>
      </c>
      <c r="E1303" s="186" t="s">
        <v>2956</v>
      </c>
      <c r="F1303" s="186" t="s">
        <v>3036</v>
      </c>
      <c r="G1303" s="186" t="s">
        <v>3036</v>
      </c>
      <c r="H1303" s="186" t="s">
        <v>3055</v>
      </c>
      <c r="I1303" s="187" t="s">
        <v>1995</v>
      </c>
      <c r="J1303" s="187" t="s">
        <v>3085</v>
      </c>
      <c r="K1303" s="188"/>
      <c r="L1303" s="188"/>
      <c r="M1303" s="189" t="s">
        <v>807</v>
      </c>
      <c r="N1303" s="190">
        <v>32.72</v>
      </c>
      <c r="O1303" s="190">
        <f t="shared" si="163"/>
        <v>35.66</v>
      </c>
      <c r="P1303" s="191">
        <f t="shared" si="164"/>
        <v>0</v>
      </c>
      <c r="Q1303" s="192">
        <f t="shared" si="165"/>
        <v>0</v>
      </c>
      <c r="R1303" s="193"/>
      <c r="S1303" s="194"/>
      <c r="T1303" s="195">
        <f t="shared" si="166"/>
        <v>0</v>
      </c>
      <c r="U1303" s="195">
        <f t="shared" si="167"/>
        <v>0</v>
      </c>
      <c r="V1303" s="195">
        <f t="shared" si="168"/>
        <v>0</v>
      </c>
      <c r="W1303" s="196" t="e">
        <f t="shared" si="169"/>
        <v>#DIV/0!</v>
      </c>
      <c r="X1303" s="197" t="e">
        <f t="shared" si="170"/>
        <v>#DIV/0!</v>
      </c>
    </row>
    <row r="1304" ht="11.4" hidden="1" customHeight="1" spans="1:24">
      <c r="A1304" s="184" t="s">
        <v>3054</v>
      </c>
      <c r="B1304" s="184" t="s">
        <v>139</v>
      </c>
      <c r="C1304" s="184" t="s">
        <v>1880</v>
      </c>
      <c r="D1304" s="185" t="s">
        <v>700</v>
      </c>
      <c r="E1304" s="186" t="s">
        <v>2956</v>
      </c>
      <c r="F1304" s="186" t="s">
        <v>3036</v>
      </c>
      <c r="G1304" s="186" t="s">
        <v>3036</v>
      </c>
      <c r="H1304" s="186" t="s">
        <v>3055</v>
      </c>
      <c r="I1304" s="187" t="s">
        <v>2003</v>
      </c>
      <c r="J1304" s="187" t="s">
        <v>3086</v>
      </c>
      <c r="K1304" s="188"/>
      <c r="L1304" s="188"/>
      <c r="M1304" s="189" t="s">
        <v>807</v>
      </c>
      <c r="N1304" s="190">
        <v>28.14</v>
      </c>
      <c r="O1304" s="190">
        <f t="shared" si="163"/>
        <v>30.67</v>
      </c>
      <c r="P1304" s="191">
        <f t="shared" si="164"/>
        <v>0</v>
      </c>
      <c r="Q1304" s="192">
        <f t="shared" si="165"/>
        <v>0</v>
      </c>
      <c r="R1304" s="193"/>
      <c r="S1304" s="194"/>
      <c r="T1304" s="195">
        <f t="shared" si="166"/>
        <v>0</v>
      </c>
      <c r="U1304" s="195">
        <f t="shared" si="167"/>
        <v>0</v>
      </c>
      <c r="V1304" s="195">
        <f t="shared" si="168"/>
        <v>0</v>
      </c>
      <c r="W1304" s="196" t="e">
        <f t="shared" si="169"/>
        <v>#DIV/0!</v>
      </c>
      <c r="X1304" s="197" t="e">
        <f t="shared" si="170"/>
        <v>#DIV/0!</v>
      </c>
    </row>
    <row r="1305" ht="11.4" hidden="1" customHeight="1" spans="1:24">
      <c r="A1305" s="184" t="s">
        <v>3054</v>
      </c>
      <c r="B1305" s="184" t="s">
        <v>139</v>
      </c>
      <c r="C1305" s="184" t="s">
        <v>1880</v>
      </c>
      <c r="D1305" s="185" t="s">
        <v>700</v>
      </c>
      <c r="E1305" s="186" t="s">
        <v>2956</v>
      </c>
      <c r="F1305" s="186" t="s">
        <v>3036</v>
      </c>
      <c r="G1305" s="186" t="s">
        <v>3036</v>
      </c>
      <c r="H1305" s="186" t="s">
        <v>3055</v>
      </c>
      <c r="I1305" s="187" t="s">
        <v>2005</v>
      </c>
      <c r="J1305" s="187" t="s">
        <v>3087</v>
      </c>
      <c r="K1305" s="188"/>
      <c r="L1305" s="188"/>
      <c r="M1305" s="189" t="s">
        <v>807</v>
      </c>
      <c r="N1305" s="190">
        <v>28.15</v>
      </c>
      <c r="O1305" s="190">
        <f t="shared" si="163"/>
        <v>30.68</v>
      </c>
      <c r="P1305" s="191">
        <f t="shared" si="164"/>
        <v>0</v>
      </c>
      <c r="Q1305" s="192">
        <f t="shared" si="165"/>
        <v>0</v>
      </c>
      <c r="R1305" s="193"/>
      <c r="S1305" s="194"/>
      <c r="T1305" s="195">
        <f t="shared" si="166"/>
        <v>0</v>
      </c>
      <c r="U1305" s="195">
        <f t="shared" si="167"/>
        <v>0</v>
      </c>
      <c r="V1305" s="195">
        <f t="shared" si="168"/>
        <v>0</v>
      </c>
      <c r="W1305" s="196" t="e">
        <f t="shared" si="169"/>
        <v>#DIV/0!</v>
      </c>
      <c r="X1305" s="197" t="e">
        <f t="shared" si="170"/>
        <v>#DIV/0!</v>
      </c>
    </row>
    <row r="1306" ht="11.4" hidden="1" customHeight="1" spans="1:24">
      <c r="A1306" s="184" t="s">
        <v>3054</v>
      </c>
      <c r="B1306" s="184" t="s">
        <v>139</v>
      </c>
      <c r="C1306" s="184" t="s">
        <v>1880</v>
      </c>
      <c r="D1306" s="185" t="s">
        <v>700</v>
      </c>
      <c r="E1306" s="186" t="s">
        <v>2956</v>
      </c>
      <c r="F1306" s="186" t="s">
        <v>3036</v>
      </c>
      <c r="G1306" s="186" t="s">
        <v>3036</v>
      </c>
      <c r="H1306" s="186" t="s">
        <v>3055</v>
      </c>
      <c r="I1306" s="187" t="s">
        <v>2028</v>
      </c>
      <c r="J1306" s="187" t="s">
        <v>2029</v>
      </c>
      <c r="K1306" s="188"/>
      <c r="L1306" s="188"/>
      <c r="M1306" s="189" t="s">
        <v>807</v>
      </c>
      <c r="N1306" s="190">
        <v>37.65</v>
      </c>
      <c r="O1306" s="190">
        <f t="shared" si="163"/>
        <v>41.04</v>
      </c>
      <c r="P1306" s="191">
        <f t="shared" si="164"/>
        <v>0</v>
      </c>
      <c r="Q1306" s="192">
        <f t="shared" si="165"/>
        <v>0</v>
      </c>
      <c r="R1306" s="193"/>
      <c r="S1306" s="194"/>
      <c r="T1306" s="195">
        <f t="shared" si="166"/>
        <v>0</v>
      </c>
      <c r="U1306" s="195">
        <f t="shared" si="167"/>
        <v>0</v>
      </c>
      <c r="V1306" s="195">
        <f t="shared" si="168"/>
        <v>0</v>
      </c>
      <c r="W1306" s="196" t="e">
        <f t="shared" si="169"/>
        <v>#DIV/0!</v>
      </c>
      <c r="X1306" s="197" t="e">
        <f t="shared" si="170"/>
        <v>#DIV/0!</v>
      </c>
    </row>
    <row r="1307" ht="11.4" hidden="1" customHeight="1" spans="1:24">
      <c r="A1307" s="184" t="s">
        <v>3054</v>
      </c>
      <c r="B1307" s="184" t="s">
        <v>139</v>
      </c>
      <c r="C1307" s="184" t="s">
        <v>1880</v>
      </c>
      <c r="D1307" s="185" t="s">
        <v>700</v>
      </c>
      <c r="E1307" s="186" t="s">
        <v>2956</v>
      </c>
      <c r="F1307" s="186" t="s">
        <v>3036</v>
      </c>
      <c r="G1307" s="186" t="s">
        <v>3036</v>
      </c>
      <c r="H1307" s="186" t="s">
        <v>3055</v>
      </c>
      <c r="I1307" s="187" t="s">
        <v>2926</v>
      </c>
      <c r="J1307" s="187" t="s">
        <v>2927</v>
      </c>
      <c r="K1307" s="188"/>
      <c r="L1307" s="188"/>
      <c r="M1307" s="189" t="s">
        <v>793</v>
      </c>
      <c r="N1307" s="190">
        <v>2615.56</v>
      </c>
      <c r="O1307" s="190">
        <f t="shared" si="163"/>
        <v>2850.96</v>
      </c>
      <c r="P1307" s="191">
        <f t="shared" si="164"/>
        <v>0</v>
      </c>
      <c r="Q1307" s="192">
        <f t="shared" si="165"/>
        <v>0</v>
      </c>
      <c r="R1307" s="193"/>
      <c r="S1307" s="194"/>
      <c r="T1307" s="195">
        <f t="shared" si="166"/>
        <v>0</v>
      </c>
      <c r="U1307" s="195">
        <f t="shared" si="167"/>
        <v>0</v>
      </c>
      <c r="V1307" s="195">
        <f t="shared" si="168"/>
        <v>0</v>
      </c>
      <c r="W1307" s="196" t="e">
        <f t="shared" si="169"/>
        <v>#DIV/0!</v>
      </c>
      <c r="X1307" s="197" t="e">
        <f t="shared" si="170"/>
        <v>#DIV/0!</v>
      </c>
    </row>
    <row r="1308" ht="11.4" hidden="1" customHeight="1" spans="1:24">
      <c r="A1308" s="184" t="s">
        <v>3088</v>
      </c>
      <c r="B1308" s="184" t="s">
        <v>145</v>
      </c>
      <c r="C1308" s="184" t="s">
        <v>2074</v>
      </c>
      <c r="D1308" s="185" t="s">
        <v>700</v>
      </c>
      <c r="E1308" s="186" t="s">
        <v>2956</v>
      </c>
      <c r="F1308" s="186" t="s">
        <v>3036</v>
      </c>
      <c r="G1308" s="186" t="s">
        <v>3036</v>
      </c>
      <c r="H1308" s="186" t="s">
        <v>3089</v>
      </c>
      <c r="I1308" s="187" t="s">
        <v>2089</v>
      </c>
      <c r="J1308" s="187" t="s">
        <v>2090</v>
      </c>
      <c r="K1308" s="188"/>
      <c r="L1308" s="188"/>
      <c r="M1308" s="189" t="s">
        <v>1018</v>
      </c>
      <c r="N1308" s="190">
        <v>131.25</v>
      </c>
      <c r="O1308" s="190">
        <f t="shared" si="163"/>
        <v>143.06</v>
      </c>
      <c r="P1308" s="191">
        <f t="shared" si="164"/>
        <v>0</v>
      </c>
      <c r="Q1308" s="192">
        <f t="shared" si="165"/>
        <v>0</v>
      </c>
      <c r="R1308" s="193"/>
      <c r="S1308" s="194"/>
      <c r="T1308" s="195">
        <f t="shared" si="166"/>
        <v>0</v>
      </c>
      <c r="U1308" s="195">
        <f t="shared" si="167"/>
        <v>0</v>
      </c>
      <c r="V1308" s="195">
        <f t="shared" si="168"/>
        <v>0</v>
      </c>
      <c r="W1308" s="196" t="e">
        <f t="shared" si="169"/>
        <v>#DIV/0!</v>
      </c>
      <c r="X1308" s="197" t="e">
        <f t="shared" si="170"/>
        <v>#DIV/0!</v>
      </c>
    </row>
    <row r="1309" ht="11.4" hidden="1" customHeight="1" spans="1:24">
      <c r="A1309" s="184" t="s">
        <v>3088</v>
      </c>
      <c r="B1309" s="184" t="s">
        <v>145</v>
      </c>
      <c r="C1309" s="184" t="s">
        <v>2074</v>
      </c>
      <c r="D1309" s="185" t="s">
        <v>700</v>
      </c>
      <c r="E1309" s="186" t="s">
        <v>2956</v>
      </c>
      <c r="F1309" s="186" t="s">
        <v>3036</v>
      </c>
      <c r="G1309" s="186" t="s">
        <v>3036</v>
      </c>
      <c r="H1309" s="186" t="s">
        <v>3089</v>
      </c>
      <c r="I1309" s="187" t="s">
        <v>2091</v>
      </c>
      <c r="J1309" s="187" t="s">
        <v>2092</v>
      </c>
      <c r="K1309" s="188"/>
      <c r="L1309" s="188"/>
      <c r="M1309" s="189" t="s">
        <v>1018</v>
      </c>
      <c r="N1309" s="190">
        <v>222.6</v>
      </c>
      <c r="O1309" s="190">
        <f t="shared" si="163"/>
        <v>242.63</v>
      </c>
      <c r="P1309" s="191">
        <f t="shared" si="164"/>
        <v>0</v>
      </c>
      <c r="Q1309" s="192">
        <f t="shared" si="165"/>
        <v>0</v>
      </c>
      <c r="R1309" s="193"/>
      <c r="S1309" s="194"/>
      <c r="T1309" s="195">
        <f t="shared" si="166"/>
        <v>0</v>
      </c>
      <c r="U1309" s="195">
        <f t="shared" si="167"/>
        <v>0</v>
      </c>
      <c r="V1309" s="195">
        <f t="shared" si="168"/>
        <v>0</v>
      </c>
      <c r="W1309" s="196" t="e">
        <f t="shared" si="169"/>
        <v>#DIV/0!</v>
      </c>
      <c r="X1309" s="197" t="e">
        <f t="shared" si="170"/>
        <v>#DIV/0!</v>
      </c>
    </row>
    <row r="1310" ht="11.4" hidden="1" customHeight="1" spans="1:24">
      <c r="A1310" s="184" t="s">
        <v>3088</v>
      </c>
      <c r="B1310" s="184" t="s">
        <v>145</v>
      </c>
      <c r="C1310" s="184" t="s">
        <v>2074</v>
      </c>
      <c r="D1310" s="185" t="s">
        <v>700</v>
      </c>
      <c r="E1310" s="186" t="s">
        <v>2956</v>
      </c>
      <c r="F1310" s="186" t="s">
        <v>3036</v>
      </c>
      <c r="G1310" s="186" t="s">
        <v>3036</v>
      </c>
      <c r="H1310" s="186" t="s">
        <v>3089</v>
      </c>
      <c r="I1310" s="187" t="s">
        <v>2093</v>
      </c>
      <c r="J1310" s="187" t="s">
        <v>2094</v>
      </c>
      <c r="K1310" s="188"/>
      <c r="L1310" s="188"/>
      <c r="M1310" s="189" t="s">
        <v>1018</v>
      </c>
      <c r="N1310" s="190">
        <v>176.4</v>
      </c>
      <c r="O1310" s="190">
        <f t="shared" si="163"/>
        <v>192.28</v>
      </c>
      <c r="P1310" s="191">
        <f t="shared" si="164"/>
        <v>0</v>
      </c>
      <c r="Q1310" s="192">
        <f t="shared" si="165"/>
        <v>0</v>
      </c>
      <c r="R1310" s="193"/>
      <c r="S1310" s="194"/>
      <c r="T1310" s="195">
        <f t="shared" si="166"/>
        <v>0</v>
      </c>
      <c r="U1310" s="195">
        <f t="shared" si="167"/>
        <v>0</v>
      </c>
      <c r="V1310" s="195">
        <f t="shared" si="168"/>
        <v>0</v>
      </c>
      <c r="W1310" s="196" t="e">
        <f t="shared" si="169"/>
        <v>#DIV/0!</v>
      </c>
      <c r="X1310" s="197" t="e">
        <f t="shared" si="170"/>
        <v>#DIV/0!</v>
      </c>
    </row>
    <row r="1311" ht="11.4" hidden="1" customHeight="1" spans="1:24">
      <c r="A1311" s="184" t="s">
        <v>3088</v>
      </c>
      <c r="B1311" s="184" t="s">
        <v>145</v>
      </c>
      <c r="C1311" s="184" t="s">
        <v>2074</v>
      </c>
      <c r="D1311" s="185" t="s">
        <v>700</v>
      </c>
      <c r="E1311" s="186" t="s">
        <v>2956</v>
      </c>
      <c r="F1311" s="186" t="s">
        <v>3036</v>
      </c>
      <c r="G1311" s="186" t="s">
        <v>3036</v>
      </c>
      <c r="H1311" s="186" t="s">
        <v>3089</v>
      </c>
      <c r="I1311" s="187" t="s">
        <v>2095</v>
      </c>
      <c r="J1311" s="187" t="s">
        <v>2096</v>
      </c>
      <c r="K1311" s="188"/>
      <c r="L1311" s="188"/>
      <c r="M1311" s="189" t="s">
        <v>1018</v>
      </c>
      <c r="N1311" s="190">
        <v>134.4</v>
      </c>
      <c r="O1311" s="190">
        <f t="shared" si="163"/>
        <v>146.5</v>
      </c>
      <c r="P1311" s="191">
        <f t="shared" si="164"/>
        <v>0</v>
      </c>
      <c r="Q1311" s="192">
        <f t="shared" si="165"/>
        <v>0</v>
      </c>
      <c r="R1311" s="193"/>
      <c r="S1311" s="194"/>
      <c r="T1311" s="195">
        <f t="shared" si="166"/>
        <v>0</v>
      </c>
      <c r="U1311" s="195">
        <f t="shared" si="167"/>
        <v>0</v>
      </c>
      <c r="V1311" s="195">
        <f t="shared" si="168"/>
        <v>0</v>
      </c>
      <c r="W1311" s="196" t="e">
        <f t="shared" si="169"/>
        <v>#DIV/0!</v>
      </c>
      <c r="X1311" s="197" t="e">
        <f t="shared" si="170"/>
        <v>#DIV/0!</v>
      </c>
    </row>
    <row r="1312" ht="11.4" hidden="1" customHeight="1" spans="1:24">
      <c r="A1312" s="184" t="s">
        <v>3088</v>
      </c>
      <c r="B1312" s="184" t="s">
        <v>145</v>
      </c>
      <c r="C1312" s="184" t="s">
        <v>2074</v>
      </c>
      <c r="D1312" s="185" t="s">
        <v>700</v>
      </c>
      <c r="E1312" s="186" t="s">
        <v>2956</v>
      </c>
      <c r="F1312" s="186" t="s">
        <v>3036</v>
      </c>
      <c r="G1312" s="186" t="s">
        <v>3036</v>
      </c>
      <c r="H1312" s="186" t="s">
        <v>3089</v>
      </c>
      <c r="I1312" s="187" t="s">
        <v>2097</v>
      </c>
      <c r="J1312" s="187" t="s">
        <v>2098</v>
      </c>
      <c r="K1312" s="188"/>
      <c r="L1312" s="188"/>
      <c r="M1312" s="189" t="s">
        <v>1018</v>
      </c>
      <c r="N1312" s="190">
        <v>152.56</v>
      </c>
      <c r="O1312" s="190">
        <f t="shared" si="163"/>
        <v>166.29</v>
      </c>
      <c r="P1312" s="191">
        <f t="shared" si="164"/>
        <v>0</v>
      </c>
      <c r="Q1312" s="192">
        <f t="shared" si="165"/>
        <v>0</v>
      </c>
      <c r="R1312" s="193"/>
      <c r="S1312" s="194"/>
      <c r="T1312" s="195">
        <f t="shared" si="166"/>
        <v>0</v>
      </c>
      <c r="U1312" s="195">
        <f t="shared" si="167"/>
        <v>0</v>
      </c>
      <c r="V1312" s="195">
        <f t="shared" si="168"/>
        <v>0</v>
      </c>
      <c r="W1312" s="196" t="e">
        <f t="shared" si="169"/>
        <v>#DIV/0!</v>
      </c>
      <c r="X1312" s="197" t="e">
        <f t="shared" si="170"/>
        <v>#DIV/0!</v>
      </c>
    </row>
    <row r="1313" ht="11.4" hidden="1" customHeight="1" spans="1:24">
      <c r="A1313" s="184" t="s">
        <v>3088</v>
      </c>
      <c r="B1313" s="184" t="s">
        <v>145</v>
      </c>
      <c r="C1313" s="184" t="s">
        <v>2074</v>
      </c>
      <c r="D1313" s="185" t="s">
        <v>700</v>
      </c>
      <c r="E1313" s="186" t="s">
        <v>2956</v>
      </c>
      <c r="F1313" s="186" t="s">
        <v>3036</v>
      </c>
      <c r="G1313" s="186" t="s">
        <v>3036</v>
      </c>
      <c r="H1313" s="186" t="s">
        <v>3089</v>
      </c>
      <c r="I1313" s="187" t="s">
        <v>2099</v>
      </c>
      <c r="J1313" s="187" t="s">
        <v>2100</v>
      </c>
      <c r="K1313" s="188"/>
      <c r="L1313" s="188"/>
      <c r="M1313" s="189" t="s">
        <v>1018</v>
      </c>
      <c r="N1313" s="190">
        <v>222.6</v>
      </c>
      <c r="O1313" s="190">
        <f t="shared" si="163"/>
        <v>242.63</v>
      </c>
      <c r="P1313" s="191">
        <f t="shared" si="164"/>
        <v>0</v>
      </c>
      <c r="Q1313" s="192">
        <f t="shared" si="165"/>
        <v>0</v>
      </c>
      <c r="R1313" s="193"/>
      <c r="S1313" s="194"/>
      <c r="T1313" s="195">
        <f t="shared" si="166"/>
        <v>0</v>
      </c>
      <c r="U1313" s="195">
        <f t="shared" si="167"/>
        <v>0</v>
      </c>
      <c r="V1313" s="195">
        <f t="shared" si="168"/>
        <v>0</v>
      </c>
      <c r="W1313" s="196" t="e">
        <f t="shared" si="169"/>
        <v>#DIV/0!</v>
      </c>
      <c r="X1313" s="197" t="e">
        <f t="shared" si="170"/>
        <v>#DIV/0!</v>
      </c>
    </row>
    <row r="1314" ht="11.4" hidden="1" customHeight="1" spans="1:24">
      <c r="A1314" s="184" t="s">
        <v>3088</v>
      </c>
      <c r="B1314" s="184" t="s">
        <v>145</v>
      </c>
      <c r="C1314" s="184" t="s">
        <v>2074</v>
      </c>
      <c r="D1314" s="185" t="s">
        <v>700</v>
      </c>
      <c r="E1314" s="186" t="s">
        <v>2956</v>
      </c>
      <c r="F1314" s="186" t="s">
        <v>3036</v>
      </c>
      <c r="G1314" s="186" t="s">
        <v>3036</v>
      </c>
      <c r="H1314" s="186" t="s">
        <v>3089</v>
      </c>
      <c r="I1314" s="187" t="s">
        <v>2101</v>
      </c>
      <c r="J1314" s="187" t="s">
        <v>2102</v>
      </c>
      <c r="K1314" s="188"/>
      <c r="L1314" s="188"/>
      <c r="M1314" s="189" t="s">
        <v>1018</v>
      </c>
      <c r="N1314" s="190">
        <v>86.1</v>
      </c>
      <c r="O1314" s="190">
        <f t="shared" si="163"/>
        <v>93.85</v>
      </c>
      <c r="P1314" s="191">
        <f t="shared" si="164"/>
        <v>0</v>
      </c>
      <c r="Q1314" s="192">
        <f t="shared" si="165"/>
        <v>0</v>
      </c>
      <c r="R1314" s="193"/>
      <c r="S1314" s="194"/>
      <c r="T1314" s="195">
        <f t="shared" si="166"/>
        <v>0</v>
      </c>
      <c r="U1314" s="195">
        <f t="shared" si="167"/>
        <v>0</v>
      </c>
      <c r="V1314" s="195">
        <f t="shared" si="168"/>
        <v>0</v>
      </c>
      <c r="W1314" s="196" t="e">
        <f t="shared" si="169"/>
        <v>#DIV/0!</v>
      </c>
      <c r="X1314" s="197" t="e">
        <f t="shared" si="170"/>
        <v>#DIV/0!</v>
      </c>
    </row>
    <row r="1315" ht="11.4" hidden="1" customHeight="1" spans="1:24">
      <c r="A1315" s="184" t="s">
        <v>3088</v>
      </c>
      <c r="B1315" s="184" t="s">
        <v>147</v>
      </c>
      <c r="C1315" s="184" t="s">
        <v>2074</v>
      </c>
      <c r="D1315" s="185" t="s">
        <v>700</v>
      </c>
      <c r="E1315" s="186" t="s">
        <v>2956</v>
      </c>
      <c r="F1315" s="186" t="s">
        <v>3036</v>
      </c>
      <c r="G1315" s="186" t="s">
        <v>3036</v>
      </c>
      <c r="H1315" s="186" t="s">
        <v>3089</v>
      </c>
      <c r="I1315" s="187" t="s">
        <v>2248</v>
      </c>
      <c r="J1315" s="187" t="s">
        <v>2249</v>
      </c>
      <c r="K1315" s="188"/>
      <c r="L1315" s="188"/>
      <c r="M1315" s="189" t="s">
        <v>1018</v>
      </c>
      <c r="N1315" s="190">
        <v>190.05</v>
      </c>
      <c r="O1315" s="190">
        <f t="shared" si="163"/>
        <v>207.15</v>
      </c>
      <c r="P1315" s="191">
        <f t="shared" si="164"/>
        <v>0</v>
      </c>
      <c r="Q1315" s="192">
        <f t="shared" si="165"/>
        <v>0</v>
      </c>
      <c r="R1315" s="193"/>
      <c r="S1315" s="194"/>
      <c r="T1315" s="195">
        <f t="shared" si="166"/>
        <v>0</v>
      </c>
      <c r="U1315" s="195">
        <f t="shared" si="167"/>
        <v>0</v>
      </c>
      <c r="V1315" s="195">
        <f t="shared" si="168"/>
        <v>0</v>
      </c>
      <c r="W1315" s="196" t="e">
        <f t="shared" si="169"/>
        <v>#DIV/0!</v>
      </c>
      <c r="X1315" s="197" t="e">
        <f t="shared" si="170"/>
        <v>#DIV/0!</v>
      </c>
    </row>
    <row r="1316" ht="11.4" hidden="1" customHeight="1" spans="1:24">
      <c r="A1316" s="184" t="s">
        <v>3088</v>
      </c>
      <c r="B1316" s="184" t="s">
        <v>147</v>
      </c>
      <c r="C1316" s="184" t="s">
        <v>2074</v>
      </c>
      <c r="D1316" s="185" t="s">
        <v>700</v>
      </c>
      <c r="E1316" s="186" t="s">
        <v>2956</v>
      </c>
      <c r="F1316" s="186" t="s">
        <v>3036</v>
      </c>
      <c r="G1316" s="186" t="s">
        <v>3036</v>
      </c>
      <c r="H1316" s="186" t="s">
        <v>3089</v>
      </c>
      <c r="I1316" s="187" t="s">
        <v>2250</v>
      </c>
      <c r="J1316" s="187" t="s">
        <v>2251</v>
      </c>
      <c r="K1316" s="188"/>
      <c r="L1316" s="188"/>
      <c r="M1316" s="189" t="s">
        <v>1018</v>
      </c>
      <c r="N1316" s="190">
        <v>190.05</v>
      </c>
      <c r="O1316" s="190">
        <f t="shared" si="163"/>
        <v>207.15</v>
      </c>
      <c r="P1316" s="191">
        <f t="shared" si="164"/>
        <v>0</v>
      </c>
      <c r="Q1316" s="192">
        <f t="shared" si="165"/>
        <v>0</v>
      </c>
      <c r="R1316" s="193"/>
      <c r="S1316" s="194"/>
      <c r="T1316" s="195">
        <f t="shared" si="166"/>
        <v>0</v>
      </c>
      <c r="U1316" s="195">
        <f t="shared" si="167"/>
        <v>0</v>
      </c>
      <c r="V1316" s="195">
        <f t="shared" si="168"/>
        <v>0</v>
      </c>
      <c r="W1316" s="196" t="e">
        <f t="shared" si="169"/>
        <v>#DIV/0!</v>
      </c>
      <c r="X1316" s="197" t="e">
        <f t="shared" si="170"/>
        <v>#DIV/0!</v>
      </c>
    </row>
    <row r="1317" ht="11.4" hidden="1" customHeight="1" spans="1:24">
      <c r="A1317" s="184" t="s">
        <v>3088</v>
      </c>
      <c r="B1317" s="184" t="s">
        <v>145</v>
      </c>
      <c r="C1317" s="184" t="s">
        <v>2074</v>
      </c>
      <c r="D1317" s="185" t="s">
        <v>700</v>
      </c>
      <c r="E1317" s="186" t="s">
        <v>2956</v>
      </c>
      <c r="F1317" s="186" t="s">
        <v>3036</v>
      </c>
      <c r="G1317" s="186" t="s">
        <v>3036</v>
      </c>
      <c r="H1317" s="186" t="s">
        <v>3089</v>
      </c>
      <c r="I1317" s="187" t="s">
        <v>2129</v>
      </c>
      <c r="J1317" s="187" t="s">
        <v>2130</v>
      </c>
      <c r="K1317" s="188"/>
      <c r="L1317" s="188"/>
      <c r="M1317" s="189" t="s">
        <v>1018</v>
      </c>
      <c r="N1317" s="190">
        <v>102.9</v>
      </c>
      <c r="O1317" s="190">
        <f t="shared" si="163"/>
        <v>112.16</v>
      </c>
      <c r="P1317" s="191">
        <f t="shared" si="164"/>
        <v>0</v>
      </c>
      <c r="Q1317" s="192">
        <f t="shared" si="165"/>
        <v>0</v>
      </c>
      <c r="R1317" s="193"/>
      <c r="S1317" s="194"/>
      <c r="T1317" s="195">
        <f t="shared" si="166"/>
        <v>0</v>
      </c>
      <c r="U1317" s="195">
        <f t="shared" si="167"/>
        <v>0</v>
      </c>
      <c r="V1317" s="195">
        <f t="shared" si="168"/>
        <v>0</v>
      </c>
      <c r="W1317" s="196" t="e">
        <f t="shared" si="169"/>
        <v>#DIV/0!</v>
      </c>
      <c r="X1317" s="197" t="e">
        <f t="shared" si="170"/>
        <v>#DIV/0!</v>
      </c>
    </row>
    <row r="1318" ht="11.4" hidden="1" customHeight="1" spans="1:24">
      <c r="A1318" s="184" t="s">
        <v>3088</v>
      </c>
      <c r="B1318" s="184" t="s">
        <v>145</v>
      </c>
      <c r="C1318" s="184" t="s">
        <v>2074</v>
      </c>
      <c r="D1318" s="185" t="s">
        <v>700</v>
      </c>
      <c r="E1318" s="186" t="s">
        <v>2956</v>
      </c>
      <c r="F1318" s="186" t="s">
        <v>3036</v>
      </c>
      <c r="G1318" s="186" t="s">
        <v>3036</v>
      </c>
      <c r="H1318" s="186" t="s">
        <v>3089</v>
      </c>
      <c r="I1318" s="187" t="s">
        <v>2131</v>
      </c>
      <c r="J1318" s="187" t="s">
        <v>2132</v>
      </c>
      <c r="K1318" s="188"/>
      <c r="L1318" s="188"/>
      <c r="M1318" s="189" t="s">
        <v>1018</v>
      </c>
      <c r="N1318" s="190">
        <v>176.4</v>
      </c>
      <c r="O1318" s="190">
        <f t="shared" si="163"/>
        <v>192.28</v>
      </c>
      <c r="P1318" s="191">
        <f t="shared" si="164"/>
        <v>0</v>
      </c>
      <c r="Q1318" s="192">
        <f t="shared" si="165"/>
        <v>0</v>
      </c>
      <c r="R1318" s="193"/>
      <c r="S1318" s="194"/>
      <c r="T1318" s="195">
        <f t="shared" si="166"/>
        <v>0</v>
      </c>
      <c r="U1318" s="195">
        <f t="shared" si="167"/>
        <v>0</v>
      </c>
      <c r="V1318" s="195">
        <f t="shared" si="168"/>
        <v>0</v>
      </c>
      <c r="W1318" s="196" t="e">
        <f t="shared" si="169"/>
        <v>#DIV/0!</v>
      </c>
      <c r="X1318" s="197" t="e">
        <f t="shared" si="170"/>
        <v>#DIV/0!</v>
      </c>
    </row>
    <row r="1319" ht="11.4" hidden="1" customHeight="1" spans="1:24">
      <c r="A1319" s="184" t="s">
        <v>3088</v>
      </c>
      <c r="B1319" s="184" t="s">
        <v>145</v>
      </c>
      <c r="C1319" s="184" t="s">
        <v>2074</v>
      </c>
      <c r="D1319" s="185" t="s">
        <v>700</v>
      </c>
      <c r="E1319" s="186" t="s">
        <v>2956</v>
      </c>
      <c r="F1319" s="186" t="s">
        <v>3036</v>
      </c>
      <c r="G1319" s="186" t="s">
        <v>3036</v>
      </c>
      <c r="H1319" s="186" t="s">
        <v>3089</v>
      </c>
      <c r="I1319" s="187" t="s">
        <v>2103</v>
      </c>
      <c r="J1319" s="187" t="s">
        <v>2104</v>
      </c>
      <c r="K1319" s="188"/>
      <c r="L1319" s="188"/>
      <c r="M1319" s="189" t="s">
        <v>1018</v>
      </c>
      <c r="N1319" s="190">
        <v>261.15</v>
      </c>
      <c r="O1319" s="190">
        <f t="shared" si="163"/>
        <v>284.65</v>
      </c>
      <c r="P1319" s="191">
        <f t="shared" si="164"/>
        <v>0</v>
      </c>
      <c r="Q1319" s="192">
        <f t="shared" si="165"/>
        <v>0</v>
      </c>
      <c r="R1319" s="193"/>
      <c r="S1319" s="194"/>
      <c r="T1319" s="195">
        <f t="shared" si="166"/>
        <v>0</v>
      </c>
      <c r="U1319" s="195">
        <f t="shared" si="167"/>
        <v>0</v>
      </c>
      <c r="V1319" s="195">
        <f t="shared" si="168"/>
        <v>0</v>
      </c>
      <c r="W1319" s="196" t="e">
        <f t="shared" si="169"/>
        <v>#DIV/0!</v>
      </c>
      <c r="X1319" s="197" t="e">
        <f t="shared" si="170"/>
        <v>#DIV/0!</v>
      </c>
    </row>
    <row r="1320" ht="11.4" hidden="1" customHeight="1" spans="1:24">
      <c r="A1320" s="184" t="s">
        <v>3088</v>
      </c>
      <c r="B1320" s="184" t="s">
        <v>145</v>
      </c>
      <c r="C1320" s="184" t="s">
        <v>2074</v>
      </c>
      <c r="D1320" s="185" t="s">
        <v>700</v>
      </c>
      <c r="E1320" s="186" t="s">
        <v>2956</v>
      </c>
      <c r="F1320" s="186" t="s">
        <v>3036</v>
      </c>
      <c r="G1320" s="186" t="s">
        <v>3036</v>
      </c>
      <c r="H1320" s="186" t="s">
        <v>3089</v>
      </c>
      <c r="I1320" s="187" t="s">
        <v>2087</v>
      </c>
      <c r="J1320" s="187" t="s">
        <v>2088</v>
      </c>
      <c r="K1320" s="188"/>
      <c r="L1320" s="188"/>
      <c r="M1320" s="189" t="s">
        <v>1018</v>
      </c>
      <c r="N1320" s="190">
        <v>94.5</v>
      </c>
      <c r="O1320" s="190">
        <f t="shared" si="163"/>
        <v>103.01</v>
      </c>
      <c r="P1320" s="191">
        <f t="shared" si="164"/>
        <v>0</v>
      </c>
      <c r="Q1320" s="192">
        <f t="shared" si="165"/>
        <v>0</v>
      </c>
      <c r="R1320" s="193"/>
      <c r="S1320" s="194"/>
      <c r="T1320" s="195">
        <f t="shared" si="166"/>
        <v>0</v>
      </c>
      <c r="U1320" s="195">
        <f t="shared" si="167"/>
        <v>0</v>
      </c>
      <c r="V1320" s="195">
        <f t="shared" si="168"/>
        <v>0</v>
      </c>
      <c r="W1320" s="196" t="e">
        <f t="shared" si="169"/>
        <v>#DIV/0!</v>
      </c>
      <c r="X1320" s="197" t="e">
        <f t="shared" si="170"/>
        <v>#DIV/0!</v>
      </c>
    </row>
    <row r="1321" ht="11.4" hidden="1" customHeight="1" spans="1:24">
      <c r="A1321" s="184" t="s">
        <v>3088</v>
      </c>
      <c r="B1321" s="184" t="s">
        <v>145</v>
      </c>
      <c r="C1321" s="184" t="s">
        <v>2074</v>
      </c>
      <c r="D1321" s="185" t="s">
        <v>700</v>
      </c>
      <c r="E1321" s="186" t="s">
        <v>2956</v>
      </c>
      <c r="F1321" s="186" t="s">
        <v>3036</v>
      </c>
      <c r="G1321" s="186" t="s">
        <v>3036</v>
      </c>
      <c r="H1321" s="186" t="s">
        <v>3089</v>
      </c>
      <c r="I1321" s="187" t="s">
        <v>2144</v>
      </c>
      <c r="J1321" s="187" t="s">
        <v>2145</v>
      </c>
      <c r="K1321" s="188"/>
      <c r="L1321" s="188"/>
      <c r="M1321" s="189" t="s">
        <v>1018</v>
      </c>
      <c r="N1321" s="190">
        <v>111.3</v>
      </c>
      <c r="O1321" s="190">
        <f t="shared" si="163"/>
        <v>121.32</v>
      </c>
      <c r="P1321" s="191">
        <f t="shared" si="164"/>
        <v>0</v>
      </c>
      <c r="Q1321" s="192">
        <f t="shared" si="165"/>
        <v>0</v>
      </c>
      <c r="R1321" s="193"/>
      <c r="S1321" s="194"/>
      <c r="T1321" s="195">
        <f t="shared" si="166"/>
        <v>0</v>
      </c>
      <c r="U1321" s="195">
        <f t="shared" si="167"/>
        <v>0</v>
      </c>
      <c r="V1321" s="195">
        <f t="shared" si="168"/>
        <v>0</v>
      </c>
      <c r="W1321" s="196" t="e">
        <f t="shared" si="169"/>
        <v>#DIV/0!</v>
      </c>
      <c r="X1321" s="197" t="e">
        <f t="shared" si="170"/>
        <v>#DIV/0!</v>
      </c>
    </row>
    <row r="1322" ht="11.4" hidden="1" customHeight="1" spans="1:24">
      <c r="A1322" s="184" t="s">
        <v>3088</v>
      </c>
      <c r="B1322" s="184" t="s">
        <v>145</v>
      </c>
      <c r="C1322" s="184" t="s">
        <v>2074</v>
      </c>
      <c r="D1322" s="185" t="s">
        <v>700</v>
      </c>
      <c r="E1322" s="186" t="s">
        <v>2956</v>
      </c>
      <c r="F1322" s="186" t="s">
        <v>3036</v>
      </c>
      <c r="G1322" s="186" t="s">
        <v>3036</v>
      </c>
      <c r="H1322" s="186" t="s">
        <v>3089</v>
      </c>
      <c r="I1322" s="187" t="s">
        <v>2146</v>
      </c>
      <c r="J1322" s="187" t="s">
        <v>2147</v>
      </c>
      <c r="K1322" s="188"/>
      <c r="L1322" s="188"/>
      <c r="M1322" s="189" t="s">
        <v>1018</v>
      </c>
      <c r="N1322" s="190">
        <v>181.65</v>
      </c>
      <c r="O1322" s="190">
        <f t="shared" si="163"/>
        <v>198</v>
      </c>
      <c r="P1322" s="191">
        <f t="shared" si="164"/>
        <v>0</v>
      </c>
      <c r="Q1322" s="192">
        <f t="shared" si="165"/>
        <v>0</v>
      </c>
      <c r="R1322" s="193"/>
      <c r="S1322" s="194"/>
      <c r="T1322" s="195">
        <f t="shared" si="166"/>
        <v>0</v>
      </c>
      <c r="U1322" s="195">
        <f t="shared" si="167"/>
        <v>0</v>
      </c>
      <c r="V1322" s="195">
        <f t="shared" si="168"/>
        <v>0</v>
      </c>
      <c r="W1322" s="196" t="e">
        <f t="shared" si="169"/>
        <v>#DIV/0!</v>
      </c>
      <c r="X1322" s="197" t="e">
        <f t="shared" si="170"/>
        <v>#DIV/0!</v>
      </c>
    </row>
    <row r="1323" ht="11.4" hidden="1" customHeight="1" spans="1:24">
      <c r="A1323" s="184" t="s">
        <v>3088</v>
      </c>
      <c r="B1323" s="184" t="s">
        <v>145</v>
      </c>
      <c r="C1323" s="184" t="s">
        <v>2074</v>
      </c>
      <c r="D1323" s="185" t="s">
        <v>700</v>
      </c>
      <c r="E1323" s="186" t="s">
        <v>2956</v>
      </c>
      <c r="F1323" s="186" t="s">
        <v>3036</v>
      </c>
      <c r="G1323" s="186" t="s">
        <v>3036</v>
      </c>
      <c r="H1323" s="186" t="s">
        <v>3089</v>
      </c>
      <c r="I1323" s="187" t="s">
        <v>2148</v>
      </c>
      <c r="J1323" s="187" t="s">
        <v>2149</v>
      </c>
      <c r="K1323" s="188"/>
      <c r="L1323" s="188"/>
      <c r="M1323" s="189" t="s">
        <v>1018</v>
      </c>
      <c r="N1323" s="190">
        <v>198.45</v>
      </c>
      <c r="O1323" s="190">
        <f t="shared" si="163"/>
        <v>216.31</v>
      </c>
      <c r="P1323" s="191">
        <f t="shared" si="164"/>
        <v>0</v>
      </c>
      <c r="Q1323" s="192">
        <f t="shared" si="165"/>
        <v>0</v>
      </c>
      <c r="R1323" s="193"/>
      <c r="S1323" s="194"/>
      <c r="T1323" s="195">
        <f t="shared" si="166"/>
        <v>0</v>
      </c>
      <c r="U1323" s="195">
        <f t="shared" si="167"/>
        <v>0</v>
      </c>
      <c r="V1323" s="195">
        <f t="shared" si="168"/>
        <v>0</v>
      </c>
      <c r="W1323" s="196" t="e">
        <f t="shared" si="169"/>
        <v>#DIV/0!</v>
      </c>
      <c r="X1323" s="197" t="e">
        <f t="shared" si="170"/>
        <v>#DIV/0!</v>
      </c>
    </row>
    <row r="1324" ht="11.4" hidden="1" customHeight="1" spans="1:24">
      <c r="A1324" s="184" t="s">
        <v>3088</v>
      </c>
      <c r="B1324" s="184" t="s">
        <v>145</v>
      </c>
      <c r="C1324" s="184" t="s">
        <v>2074</v>
      </c>
      <c r="D1324" s="185" t="s">
        <v>700</v>
      </c>
      <c r="E1324" s="186" t="s">
        <v>2956</v>
      </c>
      <c r="F1324" s="186" t="s">
        <v>3036</v>
      </c>
      <c r="G1324" s="186" t="s">
        <v>3036</v>
      </c>
      <c r="H1324" s="186" t="s">
        <v>3089</v>
      </c>
      <c r="I1324" s="187" t="s">
        <v>2150</v>
      </c>
      <c r="J1324" s="187" t="s">
        <v>2151</v>
      </c>
      <c r="K1324" s="188"/>
      <c r="L1324" s="188"/>
      <c r="M1324" s="189" t="s">
        <v>1018</v>
      </c>
      <c r="N1324" s="190">
        <v>113.4</v>
      </c>
      <c r="O1324" s="190">
        <f t="shared" si="163"/>
        <v>123.61</v>
      </c>
      <c r="P1324" s="191">
        <f t="shared" si="164"/>
        <v>0</v>
      </c>
      <c r="Q1324" s="192">
        <f t="shared" si="165"/>
        <v>0</v>
      </c>
      <c r="R1324" s="193"/>
      <c r="S1324" s="194"/>
      <c r="T1324" s="195">
        <f t="shared" si="166"/>
        <v>0</v>
      </c>
      <c r="U1324" s="195">
        <f t="shared" si="167"/>
        <v>0</v>
      </c>
      <c r="V1324" s="195">
        <f t="shared" si="168"/>
        <v>0</v>
      </c>
      <c r="W1324" s="196" t="e">
        <f t="shared" si="169"/>
        <v>#DIV/0!</v>
      </c>
      <c r="X1324" s="197" t="e">
        <f t="shared" si="170"/>
        <v>#DIV/0!</v>
      </c>
    </row>
    <row r="1325" ht="11.4" hidden="1" customHeight="1" spans="1:24">
      <c r="A1325" s="184" t="s">
        <v>3088</v>
      </c>
      <c r="B1325" s="184" t="s">
        <v>145</v>
      </c>
      <c r="C1325" s="184" t="s">
        <v>2074</v>
      </c>
      <c r="D1325" s="185" t="s">
        <v>700</v>
      </c>
      <c r="E1325" s="186" t="s">
        <v>2956</v>
      </c>
      <c r="F1325" s="186" t="s">
        <v>3036</v>
      </c>
      <c r="G1325" s="186" t="s">
        <v>3036</v>
      </c>
      <c r="H1325" s="186" t="s">
        <v>3089</v>
      </c>
      <c r="I1325" s="187" t="s">
        <v>2152</v>
      </c>
      <c r="J1325" s="187" t="s">
        <v>2153</v>
      </c>
      <c r="K1325" s="188"/>
      <c r="L1325" s="188"/>
      <c r="M1325" s="189" t="s">
        <v>1018</v>
      </c>
      <c r="N1325" s="190">
        <v>152.56</v>
      </c>
      <c r="O1325" s="190">
        <f t="shared" si="163"/>
        <v>166.29</v>
      </c>
      <c r="P1325" s="191">
        <f t="shared" si="164"/>
        <v>0</v>
      </c>
      <c r="Q1325" s="192">
        <f t="shared" si="165"/>
        <v>0</v>
      </c>
      <c r="R1325" s="193"/>
      <c r="S1325" s="194"/>
      <c r="T1325" s="195">
        <f t="shared" si="166"/>
        <v>0</v>
      </c>
      <c r="U1325" s="195">
        <f t="shared" si="167"/>
        <v>0</v>
      </c>
      <c r="V1325" s="195">
        <f t="shared" si="168"/>
        <v>0</v>
      </c>
      <c r="W1325" s="196" t="e">
        <f t="shared" si="169"/>
        <v>#DIV/0!</v>
      </c>
      <c r="X1325" s="197" t="e">
        <f t="shared" si="170"/>
        <v>#DIV/0!</v>
      </c>
    </row>
    <row r="1326" ht="11.4" hidden="1" customHeight="1" spans="1:24">
      <c r="A1326" s="184" t="s">
        <v>3088</v>
      </c>
      <c r="B1326" s="184" t="s">
        <v>145</v>
      </c>
      <c r="C1326" s="184" t="s">
        <v>2074</v>
      </c>
      <c r="D1326" s="185" t="s">
        <v>700</v>
      </c>
      <c r="E1326" s="186" t="s">
        <v>2956</v>
      </c>
      <c r="F1326" s="186" t="s">
        <v>3036</v>
      </c>
      <c r="G1326" s="186" t="s">
        <v>3036</v>
      </c>
      <c r="H1326" s="186" t="s">
        <v>3089</v>
      </c>
      <c r="I1326" s="187" t="s">
        <v>2154</v>
      </c>
      <c r="J1326" s="187" t="s">
        <v>2155</v>
      </c>
      <c r="K1326" s="188"/>
      <c r="L1326" s="188"/>
      <c r="M1326" s="189" t="s">
        <v>1018</v>
      </c>
      <c r="N1326" s="190">
        <v>184.8</v>
      </c>
      <c r="O1326" s="190">
        <f t="shared" si="163"/>
        <v>201.43</v>
      </c>
      <c r="P1326" s="191">
        <f t="shared" si="164"/>
        <v>0</v>
      </c>
      <c r="Q1326" s="192">
        <f t="shared" si="165"/>
        <v>0</v>
      </c>
      <c r="R1326" s="193"/>
      <c r="S1326" s="194"/>
      <c r="T1326" s="195">
        <f t="shared" si="166"/>
        <v>0</v>
      </c>
      <c r="U1326" s="195">
        <f t="shared" si="167"/>
        <v>0</v>
      </c>
      <c r="V1326" s="195">
        <f t="shared" si="168"/>
        <v>0</v>
      </c>
      <c r="W1326" s="196" t="e">
        <f t="shared" si="169"/>
        <v>#DIV/0!</v>
      </c>
      <c r="X1326" s="197" t="e">
        <f t="shared" si="170"/>
        <v>#DIV/0!</v>
      </c>
    </row>
    <row r="1327" ht="11.4" hidden="1" customHeight="1" spans="1:24">
      <c r="A1327" s="184" t="s">
        <v>3088</v>
      </c>
      <c r="B1327" s="184" t="s">
        <v>145</v>
      </c>
      <c r="C1327" s="184" t="s">
        <v>2074</v>
      </c>
      <c r="D1327" s="185" t="s">
        <v>700</v>
      </c>
      <c r="E1327" s="186" t="s">
        <v>2956</v>
      </c>
      <c r="F1327" s="186" t="s">
        <v>3036</v>
      </c>
      <c r="G1327" s="186" t="s">
        <v>3036</v>
      </c>
      <c r="H1327" s="186" t="s">
        <v>3089</v>
      </c>
      <c r="I1327" s="187" t="s">
        <v>2156</v>
      </c>
      <c r="J1327" s="187" t="s">
        <v>2157</v>
      </c>
      <c r="K1327" s="188"/>
      <c r="L1327" s="188"/>
      <c r="M1327" s="189" t="s">
        <v>1018</v>
      </c>
      <c r="N1327" s="190">
        <v>89.25</v>
      </c>
      <c r="O1327" s="190">
        <f t="shared" si="163"/>
        <v>97.28</v>
      </c>
      <c r="P1327" s="191">
        <f t="shared" si="164"/>
        <v>0</v>
      </c>
      <c r="Q1327" s="192">
        <f t="shared" si="165"/>
        <v>0</v>
      </c>
      <c r="R1327" s="193"/>
      <c r="S1327" s="194"/>
      <c r="T1327" s="195">
        <f t="shared" si="166"/>
        <v>0</v>
      </c>
      <c r="U1327" s="195">
        <f t="shared" si="167"/>
        <v>0</v>
      </c>
      <c r="V1327" s="195">
        <f t="shared" si="168"/>
        <v>0</v>
      </c>
      <c r="W1327" s="196" t="e">
        <f t="shared" si="169"/>
        <v>#DIV/0!</v>
      </c>
      <c r="X1327" s="197" t="e">
        <f t="shared" si="170"/>
        <v>#DIV/0!</v>
      </c>
    </row>
    <row r="1328" ht="11.4" hidden="1" customHeight="1" spans="1:24">
      <c r="A1328" s="184" t="s">
        <v>3088</v>
      </c>
      <c r="B1328" s="184" t="s">
        <v>145</v>
      </c>
      <c r="C1328" s="184" t="s">
        <v>2074</v>
      </c>
      <c r="D1328" s="185" t="s">
        <v>700</v>
      </c>
      <c r="E1328" s="186" t="s">
        <v>2956</v>
      </c>
      <c r="F1328" s="186" t="s">
        <v>3036</v>
      </c>
      <c r="G1328" s="186" t="s">
        <v>3036</v>
      </c>
      <c r="H1328" s="186" t="s">
        <v>3089</v>
      </c>
      <c r="I1328" s="187" t="s">
        <v>2184</v>
      </c>
      <c r="J1328" s="187" t="s">
        <v>2185</v>
      </c>
      <c r="K1328" s="188"/>
      <c r="L1328" s="188"/>
      <c r="M1328" s="189" t="s">
        <v>1018</v>
      </c>
      <c r="N1328" s="190">
        <v>105</v>
      </c>
      <c r="O1328" s="190">
        <f t="shared" si="163"/>
        <v>114.45</v>
      </c>
      <c r="P1328" s="191">
        <f t="shared" si="164"/>
        <v>0</v>
      </c>
      <c r="Q1328" s="192">
        <f t="shared" si="165"/>
        <v>0</v>
      </c>
      <c r="R1328" s="193"/>
      <c r="S1328" s="194"/>
      <c r="T1328" s="195">
        <f t="shared" si="166"/>
        <v>0</v>
      </c>
      <c r="U1328" s="195">
        <f t="shared" si="167"/>
        <v>0</v>
      </c>
      <c r="V1328" s="195">
        <f t="shared" si="168"/>
        <v>0</v>
      </c>
      <c r="W1328" s="196" t="e">
        <f t="shared" si="169"/>
        <v>#DIV/0!</v>
      </c>
      <c r="X1328" s="197" t="e">
        <f t="shared" si="170"/>
        <v>#DIV/0!</v>
      </c>
    </row>
    <row r="1329" ht="11.4" hidden="1" customHeight="1" spans="1:24">
      <c r="A1329" s="184" t="s">
        <v>3088</v>
      </c>
      <c r="B1329" s="184" t="s">
        <v>145</v>
      </c>
      <c r="C1329" s="184" t="s">
        <v>2074</v>
      </c>
      <c r="D1329" s="185" t="s">
        <v>700</v>
      </c>
      <c r="E1329" s="186" t="s">
        <v>2956</v>
      </c>
      <c r="F1329" s="186" t="s">
        <v>3036</v>
      </c>
      <c r="G1329" s="186" t="s">
        <v>3036</v>
      </c>
      <c r="H1329" s="186" t="s">
        <v>3089</v>
      </c>
      <c r="I1329" s="187" t="s">
        <v>2186</v>
      </c>
      <c r="J1329" s="187" t="s">
        <v>2187</v>
      </c>
      <c r="K1329" s="188"/>
      <c r="L1329" s="188"/>
      <c r="M1329" s="189" t="s">
        <v>1018</v>
      </c>
      <c r="N1329" s="190">
        <v>141.75</v>
      </c>
      <c r="O1329" s="190">
        <f t="shared" si="163"/>
        <v>154.51</v>
      </c>
      <c r="P1329" s="191">
        <f t="shared" si="164"/>
        <v>0</v>
      </c>
      <c r="Q1329" s="192">
        <f t="shared" si="165"/>
        <v>0</v>
      </c>
      <c r="R1329" s="193"/>
      <c r="S1329" s="194"/>
      <c r="T1329" s="195">
        <f t="shared" si="166"/>
        <v>0</v>
      </c>
      <c r="U1329" s="195">
        <f t="shared" si="167"/>
        <v>0</v>
      </c>
      <c r="V1329" s="195">
        <f t="shared" si="168"/>
        <v>0</v>
      </c>
      <c r="W1329" s="196" t="e">
        <f t="shared" si="169"/>
        <v>#DIV/0!</v>
      </c>
      <c r="X1329" s="197" t="e">
        <f t="shared" si="170"/>
        <v>#DIV/0!</v>
      </c>
    </row>
    <row r="1330" ht="11.4" hidden="1" customHeight="1" spans="1:24">
      <c r="A1330" s="184" t="s">
        <v>3088</v>
      </c>
      <c r="B1330" s="184" t="s">
        <v>145</v>
      </c>
      <c r="C1330" s="184" t="s">
        <v>2074</v>
      </c>
      <c r="D1330" s="185" t="s">
        <v>700</v>
      </c>
      <c r="E1330" s="186" t="s">
        <v>2956</v>
      </c>
      <c r="F1330" s="186" t="s">
        <v>3036</v>
      </c>
      <c r="G1330" s="186" t="s">
        <v>3036</v>
      </c>
      <c r="H1330" s="186" t="s">
        <v>3089</v>
      </c>
      <c r="I1330" s="187" t="s">
        <v>2158</v>
      </c>
      <c r="J1330" s="187" t="s">
        <v>2159</v>
      </c>
      <c r="K1330" s="188"/>
      <c r="L1330" s="188"/>
      <c r="M1330" s="189" t="s">
        <v>1018</v>
      </c>
      <c r="N1330" s="190">
        <v>159.74</v>
      </c>
      <c r="O1330" s="190">
        <f t="shared" si="163"/>
        <v>174.12</v>
      </c>
      <c r="P1330" s="191">
        <f t="shared" si="164"/>
        <v>0</v>
      </c>
      <c r="Q1330" s="192">
        <f t="shared" si="165"/>
        <v>0</v>
      </c>
      <c r="R1330" s="193"/>
      <c r="S1330" s="194"/>
      <c r="T1330" s="195">
        <f t="shared" si="166"/>
        <v>0</v>
      </c>
      <c r="U1330" s="195">
        <f t="shared" si="167"/>
        <v>0</v>
      </c>
      <c r="V1330" s="195">
        <f t="shared" si="168"/>
        <v>0</v>
      </c>
      <c r="W1330" s="196" t="e">
        <f t="shared" si="169"/>
        <v>#DIV/0!</v>
      </c>
      <c r="X1330" s="197" t="e">
        <f t="shared" si="170"/>
        <v>#DIV/0!</v>
      </c>
    </row>
    <row r="1331" ht="11.4" hidden="1" customHeight="1" spans="1:24">
      <c r="A1331" s="184" t="s">
        <v>3088</v>
      </c>
      <c r="B1331" s="184" t="s">
        <v>145</v>
      </c>
      <c r="C1331" s="184" t="s">
        <v>2074</v>
      </c>
      <c r="D1331" s="185" t="s">
        <v>700</v>
      </c>
      <c r="E1331" s="186" t="s">
        <v>2956</v>
      </c>
      <c r="F1331" s="186" t="s">
        <v>3036</v>
      </c>
      <c r="G1331" s="186" t="s">
        <v>3036</v>
      </c>
      <c r="H1331" s="186" t="s">
        <v>3089</v>
      </c>
      <c r="I1331" s="187" t="s">
        <v>2142</v>
      </c>
      <c r="J1331" s="187" t="s">
        <v>2143</v>
      </c>
      <c r="K1331" s="188"/>
      <c r="L1331" s="188"/>
      <c r="M1331" s="189" t="s">
        <v>1018</v>
      </c>
      <c r="N1331" s="190">
        <v>92.4</v>
      </c>
      <c r="O1331" s="190">
        <f t="shared" si="163"/>
        <v>100.72</v>
      </c>
      <c r="P1331" s="191">
        <f t="shared" si="164"/>
        <v>0</v>
      </c>
      <c r="Q1331" s="192">
        <f t="shared" si="165"/>
        <v>0</v>
      </c>
      <c r="R1331" s="193"/>
      <c r="S1331" s="194"/>
      <c r="T1331" s="195">
        <f t="shared" si="166"/>
        <v>0</v>
      </c>
      <c r="U1331" s="195">
        <f t="shared" si="167"/>
        <v>0</v>
      </c>
      <c r="V1331" s="195">
        <f t="shared" si="168"/>
        <v>0</v>
      </c>
      <c r="W1331" s="196" t="e">
        <f t="shared" si="169"/>
        <v>#DIV/0!</v>
      </c>
      <c r="X1331" s="197" t="e">
        <f t="shared" si="170"/>
        <v>#DIV/0!</v>
      </c>
    </row>
    <row r="1332" ht="11.4" hidden="1" customHeight="1" spans="1:24">
      <c r="A1332" s="184" t="s">
        <v>3088</v>
      </c>
      <c r="B1332" s="184" t="s">
        <v>145</v>
      </c>
      <c r="C1332" s="184" t="s">
        <v>2074</v>
      </c>
      <c r="D1332" s="185" t="s">
        <v>700</v>
      </c>
      <c r="E1332" s="186" t="s">
        <v>2956</v>
      </c>
      <c r="F1332" s="186" t="s">
        <v>3036</v>
      </c>
      <c r="G1332" s="186" t="s">
        <v>3036</v>
      </c>
      <c r="H1332" s="186" t="s">
        <v>3089</v>
      </c>
      <c r="I1332" s="187" t="s">
        <v>2198</v>
      </c>
      <c r="J1332" s="187" t="s">
        <v>2199</v>
      </c>
      <c r="K1332" s="188"/>
      <c r="L1332" s="188"/>
      <c r="M1332" s="189" t="s">
        <v>1018</v>
      </c>
      <c r="N1332" s="190">
        <v>110.25</v>
      </c>
      <c r="O1332" s="190">
        <f t="shared" si="163"/>
        <v>120.17</v>
      </c>
      <c r="P1332" s="191">
        <f t="shared" si="164"/>
        <v>0</v>
      </c>
      <c r="Q1332" s="192">
        <f t="shared" si="165"/>
        <v>0</v>
      </c>
      <c r="R1332" s="193"/>
      <c r="S1332" s="194"/>
      <c r="T1332" s="195">
        <f t="shared" si="166"/>
        <v>0</v>
      </c>
      <c r="U1332" s="195">
        <f t="shared" si="167"/>
        <v>0</v>
      </c>
      <c r="V1332" s="195">
        <f t="shared" si="168"/>
        <v>0</v>
      </c>
      <c r="W1332" s="196" t="e">
        <f t="shared" si="169"/>
        <v>#DIV/0!</v>
      </c>
      <c r="X1332" s="197" t="e">
        <f t="shared" si="170"/>
        <v>#DIV/0!</v>
      </c>
    </row>
    <row r="1333" ht="11.4" hidden="1" customHeight="1" spans="1:24">
      <c r="A1333" s="184" t="s">
        <v>3088</v>
      </c>
      <c r="B1333" s="184" t="s">
        <v>145</v>
      </c>
      <c r="C1333" s="184" t="s">
        <v>2074</v>
      </c>
      <c r="D1333" s="185" t="s">
        <v>700</v>
      </c>
      <c r="E1333" s="186" t="s">
        <v>2956</v>
      </c>
      <c r="F1333" s="186" t="s">
        <v>3036</v>
      </c>
      <c r="G1333" s="186" t="s">
        <v>3036</v>
      </c>
      <c r="H1333" s="186" t="s">
        <v>3089</v>
      </c>
      <c r="I1333" s="187" t="s">
        <v>2200</v>
      </c>
      <c r="J1333" s="187" t="s">
        <v>2201</v>
      </c>
      <c r="K1333" s="188"/>
      <c r="L1333" s="188"/>
      <c r="M1333" s="189" t="s">
        <v>1018</v>
      </c>
      <c r="N1333" s="190">
        <v>178.5</v>
      </c>
      <c r="O1333" s="190">
        <f t="shared" si="163"/>
        <v>194.57</v>
      </c>
      <c r="P1333" s="191">
        <f t="shared" si="164"/>
        <v>0</v>
      </c>
      <c r="Q1333" s="192">
        <f t="shared" si="165"/>
        <v>0</v>
      </c>
      <c r="R1333" s="193"/>
      <c r="S1333" s="194"/>
      <c r="T1333" s="195">
        <f t="shared" si="166"/>
        <v>0</v>
      </c>
      <c r="U1333" s="195">
        <f t="shared" si="167"/>
        <v>0</v>
      </c>
      <c r="V1333" s="195">
        <f t="shared" si="168"/>
        <v>0</v>
      </c>
      <c r="W1333" s="196" t="e">
        <f t="shared" si="169"/>
        <v>#DIV/0!</v>
      </c>
      <c r="X1333" s="197" t="e">
        <f t="shared" si="170"/>
        <v>#DIV/0!</v>
      </c>
    </row>
    <row r="1334" ht="11.4" hidden="1" customHeight="1" spans="1:24">
      <c r="A1334" s="184" t="s">
        <v>3088</v>
      </c>
      <c r="B1334" s="184" t="s">
        <v>145</v>
      </c>
      <c r="C1334" s="184" t="s">
        <v>2074</v>
      </c>
      <c r="D1334" s="185" t="s">
        <v>700</v>
      </c>
      <c r="E1334" s="186" t="s">
        <v>2956</v>
      </c>
      <c r="F1334" s="186" t="s">
        <v>3036</v>
      </c>
      <c r="G1334" s="186" t="s">
        <v>3036</v>
      </c>
      <c r="H1334" s="186" t="s">
        <v>3089</v>
      </c>
      <c r="I1334" s="187" t="s">
        <v>2202</v>
      </c>
      <c r="J1334" s="187" t="s">
        <v>2203</v>
      </c>
      <c r="K1334" s="188"/>
      <c r="L1334" s="188"/>
      <c r="M1334" s="189" t="s">
        <v>1018</v>
      </c>
      <c r="N1334" s="190">
        <v>147</v>
      </c>
      <c r="O1334" s="190">
        <f t="shared" si="163"/>
        <v>160.23</v>
      </c>
      <c r="P1334" s="191">
        <f t="shared" si="164"/>
        <v>0</v>
      </c>
      <c r="Q1334" s="192">
        <f t="shared" si="165"/>
        <v>0</v>
      </c>
      <c r="R1334" s="193"/>
      <c r="S1334" s="194"/>
      <c r="T1334" s="195">
        <f t="shared" si="166"/>
        <v>0</v>
      </c>
      <c r="U1334" s="195">
        <f t="shared" si="167"/>
        <v>0</v>
      </c>
      <c r="V1334" s="195">
        <f t="shared" si="168"/>
        <v>0</v>
      </c>
      <c r="W1334" s="196" t="e">
        <f t="shared" si="169"/>
        <v>#DIV/0!</v>
      </c>
      <c r="X1334" s="197" t="e">
        <f t="shared" si="170"/>
        <v>#DIV/0!</v>
      </c>
    </row>
    <row r="1335" ht="11.4" hidden="1" customHeight="1" spans="1:24">
      <c r="A1335" s="184" t="s">
        <v>3088</v>
      </c>
      <c r="B1335" s="184" t="s">
        <v>145</v>
      </c>
      <c r="C1335" s="184" t="s">
        <v>2074</v>
      </c>
      <c r="D1335" s="185" t="s">
        <v>700</v>
      </c>
      <c r="E1335" s="186" t="s">
        <v>2956</v>
      </c>
      <c r="F1335" s="186" t="s">
        <v>3036</v>
      </c>
      <c r="G1335" s="186" t="s">
        <v>3036</v>
      </c>
      <c r="H1335" s="186" t="s">
        <v>3089</v>
      </c>
      <c r="I1335" s="187" t="s">
        <v>2204</v>
      </c>
      <c r="J1335" s="187" t="s">
        <v>2205</v>
      </c>
      <c r="K1335" s="188"/>
      <c r="L1335" s="188"/>
      <c r="M1335" s="189" t="s">
        <v>1018</v>
      </c>
      <c r="N1335" s="190">
        <v>105</v>
      </c>
      <c r="O1335" s="190">
        <f t="shared" si="163"/>
        <v>114.45</v>
      </c>
      <c r="P1335" s="191">
        <f t="shared" si="164"/>
        <v>0</v>
      </c>
      <c r="Q1335" s="192">
        <f t="shared" si="165"/>
        <v>0</v>
      </c>
      <c r="R1335" s="193"/>
      <c r="S1335" s="194"/>
      <c r="T1335" s="195">
        <f t="shared" si="166"/>
        <v>0</v>
      </c>
      <c r="U1335" s="195">
        <f t="shared" si="167"/>
        <v>0</v>
      </c>
      <c r="V1335" s="195">
        <f t="shared" si="168"/>
        <v>0</v>
      </c>
      <c r="W1335" s="196" t="e">
        <f t="shared" si="169"/>
        <v>#DIV/0!</v>
      </c>
      <c r="X1335" s="197" t="e">
        <f t="shared" si="170"/>
        <v>#DIV/0!</v>
      </c>
    </row>
    <row r="1336" ht="11.4" hidden="1" customHeight="1" spans="1:24">
      <c r="A1336" s="184" t="s">
        <v>3088</v>
      </c>
      <c r="B1336" s="184" t="s">
        <v>145</v>
      </c>
      <c r="C1336" s="184" t="s">
        <v>2074</v>
      </c>
      <c r="D1336" s="185" t="s">
        <v>700</v>
      </c>
      <c r="E1336" s="186" t="s">
        <v>2956</v>
      </c>
      <c r="F1336" s="186" t="s">
        <v>3036</v>
      </c>
      <c r="G1336" s="186" t="s">
        <v>3036</v>
      </c>
      <c r="H1336" s="186" t="s">
        <v>3089</v>
      </c>
      <c r="I1336" s="187" t="s">
        <v>2206</v>
      </c>
      <c r="J1336" s="187" t="s">
        <v>2207</v>
      </c>
      <c r="K1336" s="188"/>
      <c r="L1336" s="188"/>
      <c r="M1336" s="189" t="s">
        <v>1018</v>
      </c>
      <c r="N1336" s="190">
        <v>126</v>
      </c>
      <c r="O1336" s="190">
        <f t="shared" si="163"/>
        <v>137.34</v>
      </c>
      <c r="P1336" s="191">
        <f t="shared" si="164"/>
        <v>0</v>
      </c>
      <c r="Q1336" s="192">
        <f t="shared" si="165"/>
        <v>0</v>
      </c>
      <c r="R1336" s="193"/>
      <c r="S1336" s="194"/>
      <c r="T1336" s="195">
        <f t="shared" si="166"/>
        <v>0</v>
      </c>
      <c r="U1336" s="195">
        <f t="shared" si="167"/>
        <v>0</v>
      </c>
      <c r="V1336" s="195">
        <f t="shared" si="168"/>
        <v>0</v>
      </c>
      <c r="W1336" s="196" t="e">
        <f t="shared" si="169"/>
        <v>#DIV/0!</v>
      </c>
      <c r="X1336" s="197" t="e">
        <f t="shared" si="170"/>
        <v>#DIV/0!</v>
      </c>
    </row>
    <row r="1337" ht="11.4" hidden="1" customHeight="1" spans="1:24">
      <c r="A1337" s="184" t="s">
        <v>3088</v>
      </c>
      <c r="B1337" s="184" t="s">
        <v>145</v>
      </c>
      <c r="C1337" s="184" t="s">
        <v>2074</v>
      </c>
      <c r="D1337" s="185" t="s">
        <v>700</v>
      </c>
      <c r="E1337" s="186" t="s">
        <v>2956</v>
      </c>
      <c r="F1337" s="186" t="s">
        <v>3036</v>
      </c>
      <c r="G1337" s="186" t="s">
        <v>3036</v>
      </c>
      <c r="H1337" s="186" t="s">
        <v>3089</v>
      </c>
      <c r="I1337" s="187" t="s">
        <v>2208</v>
      </c>
      <c r="J1337" s="187" t="s">
        <v>2209</v>
      </c>
      <c r="K1337" s="188"/>
      <c r="L1337" s="188"/>
      <c r="M1337" s="189" t="s">
        <v>1018</v>
      </c>
      <c r="N1337" s="190">
        <v>204.75</v>
      </c>
      <c r="O1337" s="190">
        <f t="shared" si="163"/>
        <v>223.18</v>
      </c>
      <c r="P1337" s="191">
        <f t="shared" si="164"/>
        <v>0</v>
      </c>
      <c r="Q1337" s="192">
        <f t="shared" si="165"/>
        <v>0</v>
      </c>
      <c r="R1337" s="193"/>
      <c r="S1337" s="194"/>
      <c r="T1337" s="195">
        <f t="shared" si="166"/>
        <v>0</v>
      </c>
      <c r="U1337" s="195">
        <f t="shared" si="167"/>
        <v>0</v>
      </c>
      <c r="V1337" s="195">
        <f t="shared" si="168"/>
        <v>0</v>
      </c>
      <c r="W1337" s="196" t="e">
        <f t="shared" si="169"/>
        <v>#DIV/0!</v>
      </c>
      <c r="X1337" s="197" t="e">
        <f t="shared" si="170"/>
        <v>#DIV/0!</v>
      </c>
    </row>
    <row r="1338" ht="11.4" hidden="1" customHeight="1" spans="1:24">
      <c r="A1338" s="184" t="s">
        <v>3088</v>
      </c>
      <c r="B1338" s="184" t="s">
        <v>145</v>
      </c>
      <c r="C1338" s="184" t="s">
        <v>2074</v>
      </c>
      <c r="D1338" s="185" t="s">
        <v>700</v>
      </c>
      <c r="E1338" s="186" t="s">
        <v>2956</v>
      </c>
      <c r="F1338" s="186" t="s">
        <v>3036</v>
      </c>
      <c r="G1338" s="186" t="s">
        <v>3036</v>
      </c>
      <c r="H1338" s="186" t="s">
        <v>3089</v>
      </c>
      <c r="I1338" s="187" t="s">
        <v>2234</v>
      </c>
      <c r="J1338" s="187" t="s">
        <v>2235</v>
      </c>
      <c r="K1338" s="188"/>
      <c r="L1338" s="188"/>
      <c r="M1338" s="189" t="s">
        <v>1018</v>
      </c>
      <c r="N1338" s="190">
        <v>131.25</v>
      </c>
      <c r="O1338" s="190">
        <f t="shared" si="163"/>
        <v>143.06</v>
      </c>
      <c r="P1338" s="191">
        <f t="shared" si="164"/>
        <v>0</v>
      </c>
      <c r="Q1338" s="192">
        <f t="shared" si="165"/>
        <v>0</v>
      </c>
      <c r="R1338" s="193"/>
      <c r="S1338" s="194"/>
      <c r="T1338" s="195">
        <f t="shared" si="166"/>
        <v>0</v>
      </c>
      <c r="U1338" s="195">
        <f t="shared" si="167"/>
        <v>0</v>
      </c>
      <c r="V1338" s="195">
        <f t="shared" si="168"/>
        <v>0</v>
      </c>
      <c r="W1338" s="196" t="e">
        <f t="shared" si="169"/>
        <v>#DIV/0!</v>
      </c>
      <c r="X1338" s="197" t="e">
        <f t="shared" si="170"/>
        <v>#DIV/0!</v>
      </c>
    </row>
    <row r="1339" ht="11.4" hidden="1" customHeight="1" spans="1:24">
      <c r="A1339" s="184" t="s">
        <v>3088</v>
      </c>
      <c r="B1339" s="184" t="s">
        <v>145</v>
      </c>
      <c r="C1339" s="184" t="s">
        <v>2074</v>
      </c>
      <c r="D1339" s="185" t="s">
        <v>700</v>
      </c>
      <c r="E1339" s="186" t="s">
        <v>2956</v>
      </c>
      <c r="F1339" s="186" t="s">
        <v>3036</v>
      </c>
      <c r="G1339" s="186" t="s">
        <v>3036</v>
      </c>
      <c r="H1339" s="186" t="s">
        <v>3089</v>
      </c>
      <c r="I1339" s="187" t="s">
        <v>2236</v>
      </c>
      <c r="J1339" s="187" t="s">
        <v>2237</v>
      </c>
      <c r="K1339" s="188"/>
      <c r="L1339" s="188"/>
      <c r="M1339" s="189" t="s">
        <v>1018</v>
      </c>
      <c r="N1339" s="190">
        <v>120.75</v>
      </c>
      <c r="O1339" s="190">
        <f t="shared" si="163"/>
        <v>131.62</v>
      </c>
      <c r="P1339" s="191">
        <f t="shared" si="164"/>
        <v>0</v>
      </c>
      <c r="Q1339" s="192">
        <f t="shared" si="165"/>
        <v>0</v>
      </c>
      <c r="R1339" s="193"/>
      <c r="S1339" s="194"/>
      <c r="T1339" s="195">
        <f t="shared" si="166"/>
        <v>0</v>
      </c>
      <c r="U1339" s="195">
        <f t="shared" si="167"/>
        <v>0</v>
      </c>
      <c r="V1339" s="195">
        <f t="shared" si="168"/>
        <v>0</v>
      </c>
      <c r="W1339" s="196" t="e">
        <f t="shared" si="169"/>
        <v>#DIV/0!</v>
      </c>
      <c r="X1339" s="197" t="e">
        <f t="shared" si="170"/>
        <v>#DIV/0!</v>
      </c>
    </row>
    <row r="1340" ht="11.4" hidden="1" customHeight="1" spans="1:24">
      <c r="A1340" s="184" t="s">
        <v>3088</v>
      </c>
      <c r="B1340" s="184" t="s">
        <v>145</v>
      </c>
      <c r="C1340" s="184" t="s">
        <v>2074</v>
      </c>
      <c r="D1340" s="185" t="s">
        <v>700</v>
      </c>
      <c r="E1340" s="186" t="s">
        <v>2956</v>
      </c>
      <c r="F1340" s="186" t="s">
        <v>3036</v>
      </c>
      <c r="G1340" s="186" t="s">
        <v>3036</v>
      </c>
      <c r="H1340" s="186" t="s">
        <v>3089</v>
      </c>
      <c r="I1340" s="187" t="s">
        <v>2196</v>
      </c>
      <c r="J1340" s="187" t="s">
        <v>2197</v>
      </c>
      <c r="K1340" s="188"/>
      <c r="L1340" s="188"/>
      <c r="M1340" s="189" t="s">
        <v>1018</v>
      </c>
      <c r="N1340" s="190">
        <v>68.25</v>
      </c>
      <c r="O1340" s="190">
        <f t="shared" si="163"/>
        <v>74.39</v>
      </c>
      <c r="P1340" s="191">
        <f t="shared" si="164"/>
        <v>0</v>
      </c>
      <c r="Q1340" s="192">
        <f t="shared" si="165"/>
        <v>0</v>
      </c>
      <c r="R1340" s="193"/>
      <c r="S1340" s="194"/>
      <c r="T1340" s="195">
        <f t="shared" si="166"/>
        <v>0</v>
      </c>
      <c r="U1340" s="195">
        <f t="shared" si="167"/>
        <v>0</v>
      </c>
      <c r="V1340" s="195">
        <f t="shared" si="168"/>
        <v>0</v>
      </c>
      <c r="W1340" s="196" t="e">
        <f t="shared" si="169"/>
        <v>#DIV/0!</v>
      </c>
      <c r="X1340" s="197" t="e">
        <f t="shared" si="170"/>
        <v>#DIV/0!</v>
      </c>
    </row>
    <row r="1341" ht="11.4" hidden="1" customHeight="1" spans="1:24">
      <c r="A1341" s="184" t="s">
        <v>3088</v>
      </c>
      <c r="B1341" s="184" t="s">
        <v>145</v>
      </c>
      <c r="C1341" s="184" t="s">
        <v>2074</v>
      </c>
      <c r="D1341" s="185" t="s">
        <v>700</v>
      </c>
      <c r="E1341" s="186" t="s">
        <v>2956</v>
      </c>
      <c r="F1341" s="186" t="s">
        <v>3036</v>
      </c>
      <c r="G1341" s="186" t="s">
        <v>3036</v>
      </c>
      <c r="H1341" s="186" t="s">
        <v>3089</v>
      </c>
      <c r="I1341" s="187" t="s">
        <v>2079</v>
      </c>
      <c r="J1341" s="187" t="s">
        <v>2080</v>
      </c>
      <c r="K1341" s="188"/>
      <c r="L1341" s="188"/>
      <c r="M1341" s="189" t="s">
        <v>1018</v>
      </c>
      <c r="N1341" s="190">
        <v>63</v>
      </c>
      <c r="O1341" s="190">
        <f t="shared" si="163"/>
        <v>68.67</v>
      </c>
      <c r="P1341" s="191">
        <f t="shared" si="164"/>
        <v>0</v>
      </c>
      <c r="Q1341" s="192">
        <f t="shared" si="165"/>
        <v>0</v>
      </c>
      <c r="R1341" s="193"/>
      <c r="S1341" s="194"/>
      <c r="T1341" s="195">
        <f t="shared" si="166"/>
        <v>0</v>
      </c>
      <c r="U1341" s="195">
        <f t="shared" si="167"/>
        <v>0</v>
      </c>
      <c r="V1341" s="195">
        <f t="shared" si="168"/>
        <v>0</v>
      </c>
      <c r="W1341" s="196" t="e">
        <f t="shared" si="169"/>
        <v>#DIV/0!</v>
      </c>
      <c r="X1341" s="197" t="e">
        <f t="shared" si="170"/>
        <v>#DIV/0!</v>
      </c>
    </row>
    <row r="1342" ht="11.4" hidden="1" customHeight="1" spans="1:24">
      <c r="A1342" s="184" t="s">
        <v>3090</v>
      </c>
      <c r="B1342" s="184" t="s">
        <v>149</v>
      </c>
      <c r="C1342" s="184" t="s">
        <v>2263</v>
      </c>
      <c r="D1342" s="185" t="s">
        <v>700</v>
      </c>
      <c r="E1342" s="186" t="s">
        <v>2956</v>
      </c>
      <c r="F1342" s="186" t="s">
        <v>3036</v>
      </c>
      <c r="G1342" s="186" t="s">
        <v>3036</v>
      </c>
      <c r="H1342" s="186" t="s">
        <v>3091</v>
      </c>
      <c r="I1342" s="187" t="s">
        <v>2274</v>
      </c>
      <c r="J1342" s="187" t="s">
        <v>2275</v>
      </c>
      <c r="K1342" s="188"/>
      <c r="L1342" s="188"/>
      <c r="M1342" s="189" t="s">
        <v>807</v>
      </c>
      <c r="N1342" s="190">
        <v>52.58</v>
      </c>
      <c r="O1342" s="190">
        <f t="shared" si="163"/>
        <v>57.31</v>
      </c>
      <c r="P1342" s="191">
        <f t="shared" si="164"/>
        <v>0</v>
      </c>
      <c r="Q1342" s="192">
        <f t="shared" si="165"/>
        <v>0</v>
      </c>
      <c r="R1342" s="193"/>
      <c r="S1342" s="194"/>
      <c r="T1342" s="195">
        <f t="shared" si="166"/>
        <v>0</v>
      </c>
      <c r="U1342" s="195">
        <f t="shared" si="167"/>
        <v>0</v>
      </c>
      <c r="V1342" s="195">
        <f t="shared" si="168"/>
        <v>0</v>
      </c>
      <c r="W1342" s="196" t="e">
        <f t="shared" si="169"/>
        <v>#DIV/0!</v>
      </c>
      <c r="X1342" s="197" t="e">
        <f t="shared" si="170"/>
        <v>#DIV/0!</v>
      </c>
    </row>
    <row r="1343" ht="11.4" hidden="1" customHeight="1" spans="1:24">
      <c r="A1343" s="184" t="s">
        <v>3090</v>
      </c>
      <c r="B1343" s="184" t="s">
        <v>149</v>
      </c>
      <c r="C1343" s="184" t="s">
        <v>2263</v>
      </c>
      <c r="D1343" s="185" t="s">
        <v>700</v>
      </c>
      <c r="E1343" s="186" t="s">
        <v>2956</v>
      </c>
      <c r="F1343" s="186" t="s">
        <v>3036</v>
      </c>
      <c r="G1343" s="186" t="s">
        <v>3036</v>
      </c>
      <c r="H1343" s="186" t="s">
        <v>3091</v>
      </c>
      <c r="I1343" s="187" t="s">
        <v>2276</v>
      </c>
      <c r="J1343" s="187" t="s">
        <v>2277</v>
      </c>
      <c r="K1343" s="188"/>
      <c r="L1343" s="188"/>
      <c r="M1343" s="189" t="s">
        <v>807</v>
      </c>
      <c r="N1343" s="190">
        <v>43.34</v>
      </c>
      <c r="O1343" s="190">
        <f t="shared" si="163"/>
        <v>47.24</v>
      </c>
      <c r="P1343" s="191">
        <f t="shared" si="164"/>
        <v>0</v>
      </c>
      <c r="Q1343" s="192">
        <f t="shared" si="165"/>
        <v>0</v>
      </c>
      <c r="R1343" s="193"/>
      <c r="S1343" s="194"/>
      <c r="T1343" s="195">
        <f t="shared" si="166"/>
        <v>0</v>
      </c>
      <c r="U1343" s="195">
        <f t="shared" si="167"/>
        <v>0</v>
      </c>
      <c r="V1343" s="195">
        <f t="shared" si="168"/>
        <v>0</v>
      </c>
      <c r="W1343" s="196" t="e">
        <f t="shared" si="169"/>
        <v>#DIV/0!</v>
      </c>
      <c r="X1343" s="197" t="e">
        <f t="shared" si="170"/>
        <v>#DIV/0!</v>
      </c>
    </row>
    <row r="1344" ht="11.4" hidden="1" customHeight="1" spans="1:24">
      <c r="A1344" s="184" t="s">
        <v>3090</v>
      </c>
      <c r="B1344" s="184" t="s">
        <v>149</v>
      </c>
      <c r="C1344" s="184" t="s">
        <v>2263</v>
      </c>
      <c r="D1344" s="185" t="s">
        <v>700</v>
      </c>
      <c r="E1344" s="186" t="s">
        <v>2956</v>
      </c>
      <c r="F1344" s="186" t="s">
        <v>3036</v>
      </c>
      <c r="G1344" s="186" t="s">
        <v>3036</v>
      </c>
      <c r="H1344" s="186" t="s">
        <v>3091</v>
      </c>
      <c r="I1344" s="187" t="s">
        <v>2278</v>
      </c>
      <c r="J1344" s="187" t="s">
        <v>2279</v>
      </c>
      <c r="K1344" s="188"/>
      <c r="L1344" s="188"/>
      <c r="M1344" s="189" t="s">
        <v>807</v>
      </c>
      <c r="N1344" s="190">
        <v>39.71</v>
      </c>
      <c r="O1344" s="190">
        <f t="shared" si="163"/>
        <v>43.28</v>
      </c>
      <c r="P1344" s="191">
        <f t="shared" si="164"/>
        <v>0</v>
      </c>
      <c r="Q1344" s="192">
        <f t="shared" si="165"/>
        <v>0</v>
      </c>
      <c r="R1344" s="193"/>
      <c r="S1344" s="194"/>
      <c r="T1344" s="195">
        <f t="shared" si="166"/>
        <v>0</v>
      </c>
      <c r="U1344" s="195">
        <f t="shared" si="167"/>
        <v>0</v>
      </c>
      <c r="V1344" s="195">
        <f t="shared" si="168"/>
        <v>0</v>
      </c>
      <c r="W1344" s="196" t="e">
        <f t="shared" si="169"/>
        <v>#DIV/0!</v>
      </c>
      <c r="X1344" s="197" t="e">
        <f t="shared" si="170"/>
        <v>#DIV/0!</v>
      </c>
    </row>
    <row r="1345" ht="11.4" hidden="1" customHeight="1" spans="1:24">
      <c r="A1345" s="184" t="s">
        <v>3090</v>
      </c>
      <c r="B1345" s="184" t="s">
        <v>149</v>
      </c>
      <c r="C1345" s="184" t="s">
        <v>2263</v>
      </c>
      <c r="D1345" s="185" t="s">
        <v>700</v>
      </c>
      <c r="E1345" s="186" t="s">
        <v>2956</v>
      </c>
      <c r="F1345" s="186" t="s">
        <v>3036</v>
      </c>
      <c r="G1345" s="186" t="s">
        <v>3036</v>
      </c>
      <c r="H1345" s="186" t="s">
        <v>3091</v>
      </c>
      <c r="I1345" s="187" t="s">
        <v>2284</v>
      </c>
      <c r="J1345" s="187" t="s">
        <v>2285</v>
      </c>
      <c r="K1345" s="188"/>
      <c r="L1345" s="188"/>
      <c r="M1345" s="189" t="s">
        <v>963</v>
      </c>
      <c r="N1345" s="190">
        <v>103.5</v>
      </c>
      <c r="O1345" s="190">
        <f t="shared" si="163"/>
        <v>112.82</v>
      </c>
      <c r="P1345" s="191">
        <f t="shared" si="164"/>
        <v>0</v>
      </c>
      <c r="Q1345" s="192">
        <f t="shared" si="165"/>
        <v>0</v>
      </c>
      <c r="R1345" s="193"/>
      <c r="S1345" s="194"/>
      <c r="T1345" s="195">
        <f t="shared" si="166"/>
        <v>0</v>
      </c>
      <c r="U1345" s="195">
        <f t="shared" si="167"/>
        <v>0</v>
      </c>
      <c r="V1345" s="195">
        <f t="shared" si="168"/>
        <v>0</v>
      </c>
      <c r="W1345" s="196" t="e">
        <f t="shared" si="169"/>
        <v>#DIV/0!</v>
      </c>
      <c r="X1345" s="197" t="e">
        <f t="shared" si="170"/>
        <v>#DIV/0!</v>
      </c>
    </row>
    <row r="1346" ht="11.4" hidden="1" customHeight="1" spans="1:24">
      <c r="A1346" s="184" t="s">
        <v>3090</v>
      </c>
      <c r="B1346" s="184" t="s">
        <v>149</v>
      </c>
      <c r="C1346" s="184" t="s">
        <v>2263</v>
      </c>
      <c r="D1346" s="185" t="s">
        <v>700</v>
      </c>
      <c r="E1346" s="186" t="s">
        <v>2956</v>
      </c>
      <c r="F1346" s="186" t="s">
        <v>3036</v>
      </c>
      <c r="G1346" s="186" t="s">
        <v>3036</v>
      </c>
      <c r="H1346" s="186" t="s">
        <v>3091</v>
      </c>
      <c r="I1346" s="187" t="s">
        <v>2286</v>
      </c>
      <c r="J1346" s="187" t="s">
        <v>2287</v>
      </c>
      <c r="K1346" s="188"/>
      <c r="L1346" s="188"/>
      <c r="M1346" s="189" t="s">
        <v>963</v>
      </c>
      <c r="N1346" s="190">
        <v>76.44</v>
      </c>
      <c r="O1346" s="190">
        <f t="shared" si="163"/>
        <v>83.32</v>
      </c>
      <c r="P1346" s="191">
        <f t="shared" si="164"/>
        <v>0</v>
      </c>
      <c r="Q1346" s="192">
        <f t="shared" si="165"/>
        <v>0</v>
      </c>
      <c r="R1346" s="193"/>
      <c r="S1346" s="194"/>
      <c r="T1346" s="195">
        <f t="shared" si="166"/>
        <v>0</v>
      </c>
      <c r="U1346" s="195">
        <f t="shared" si="167"/>
        <v>0</v>
      </c>
      <c r="V1346" s="195">
        <f t="shared" si="168"/>
        <v>0</v>
      </c>
      <c r="W1346" s="196" t="e">
        <f t="shared" si="169"/>
        <v>#DIV/0!</v>
      </c>
      <c r="X1346" s="197" t="e">
        <f t="shared" si="170"/>
        <v>#DIV/0!</v>
      </c>
    </row>
    <row r="1347" ht="11.4" hidden="1" customHeight="1" spans="1:24">
      <c r="A1347" s="184" t="s">
        <v>3090</v>
      </c>
      <c r="B1347" s="184" t="s">
        <v>149</v>
      </c>
      <c r="C1347" s="184" t="s">
        <v>2263</v>
      </c>
      <c r="D1347" s="185" t="s">
        <v>700</v>
      </c>
      <c r="E1347" s="186" t="s">
        <v>2956</v>
      </c>
      <c r="F1347" s="186" t="s">
        <v>3036</v>
      </c>
      <c r="G1347" s="186" t="s">
        <v>3036</v>
      </c>
      <c r="H1347" s="186" t="s">
        <v>3091</v>
      </c>
      <c r="I1347" s="187" t="s">
        <v>2288</v>
      </c>
      <c r="J1347" s="187" t="s">
        <v>2289</v>
      </c>
      <c r="K1347" s="188"/>
      <c r="L1347" s="188"/>
      <c r="M1347" s="189" t="s">
        <v>963</v>
      </c>
      <c r="N1347" s="190">
        <v>73.14</v>
      </c>
      <c r="O1347" s="190">
        <f t="shared" si="163"/>
        <v>79.72</v>
      </c>
      <c r="P1347" s="191">
        <f t="shared" si="164"/>
        <v>0</v>
      </c>
      <c r="Q1347" s="192">
        <f t="shared" si="165"/>
        <v>0</v>
      </c>
      <c r="R1347" s="193"/>
      <c r="S1347" s="194"/>
      <c r="T1347" s="195">
        <f t="shared" si="166"/>
        <v>0</v>
      </c>
      <c r="U1347" s="195">
        <f t="shared" si="167"/>
        <v>0</v>
      </c>
      <c r="V1347" s="195">
        <f t="shared" si="168"/>
        <v>0</v>
      </c>
      <c r="W1347" s="196" t="e">
        <f t="shared" si="169"/>
        <v>#DIV/0!</v>
      </c>
      <c r="X1347" s="197" t="e">
        <f t="shared" si="170"/>
        <v>#DIV/0!</v>
      </c>
    </row>
    <row r="1348" ht="11.4" hidden="1" customHeight="1" spans="1:24">
      <c r="A1348" s="184" t="s">
        <v>3090</v>
      </c>
      <c r="B1348" s="184" t="s">
        <v>149</v>
      </c>
      <c r="C1348" s="184" t="s">
        <v>2263</v>
      </c>
      <c r="D1348" s="185" t="s">
        <v>700</v>
      </c>
      <c r="E1348" s="186" t="s">
        <v>2956</v>
      </c>
      <c r="F1348" s="186" t="s">
        <v>3036</v>
      </c>
      <c r="G1348" s="186" t="s">
        <v>3036</v>
      </c>
      <c r="H1348" s="186" t="s">
        <v>3091</v>
      </c>
      <c r="I1348" s="187" t="s">
        <v>2290</v>
      </c>
      <c r="J1348" s="187" t="s">
        <v>2291</v>
      </c>
      <c r="K1348" s="188"/>
      <c r="L1348" s="188"/>
      <c r="M1348" s="189" t="s">
        <v>935</v>
      </c>
      <c r="N1348" s="190">
        <v>3308.85</v>
      </c>
      <c r="O1348" s="190">
        <f t="shared" si="163"/>
        <v>3606.65</v>
      </c>
      <c r="P1348" s="191">
        <f t="shared" si="164"/>
        <v>0</v>
      </c>
      <c r="Q1348" s="192">
        <f t="shared" si="165"/>
        <v>0</v>
      </c>
      <c r="R1348" s="193"/>
      <c r="S1348" s="194"/>
      <c r="T1348" s="195">
        <f t="shared" si="166"/>
        <v>0</v>
      </c>
      <c r="U1348" s="195">
        <f t="shared" si="167"/>
        <v>0</v>
      </c>
      <c r="V1348" s="195">
        <f t="shared" si="168"/>
        <v>0</v>
      </c>
      <c r="W1348" s="196" t="e">
        <f t="shared" si="169"/>
        <v>#DIV/0!</v>
      </c>
      <c r="X1348" s="197" t="e">
        <f t="shared" si="170"/>
        <v>#DIV/0!</v>
      </c>
    </row>
    <row r="1349" ht="11.4" hidden="1" customHeight="1" spans="1:24">
      <c r="A1349" s="184" t="s">
        <v>3090</v>
      </c>
      <c r="B1349" s="184" t="s">
        <v>149</v>
      </c>
      <c r="C1349" s="184" t="s">
        <v>2263</v>
      </c>
      <c r="D1349" s="185" t="s">
        <v>700</v>
      </c>
      <c r="E1349" s="186" t="s">
        <v>2956</v>
      </c>
      <c r="F1349" s="186" t="s">
        <v>3036</v>
      </c>
      <c r="G1349" s="186" t="s">
        <v>3036</v>
      </c>
      <c r="H1349" s="186" t="s">
        <v>3091</v>
      </c>
      <c r="I1349" s="187" t="s">
        <v>2292</v>
      </c>
      <c r="J1349" s="187" t="s">
        <v>2293</v>
      </c>
      <c r="K1349" s="188"/>
      <c r="L1349" s="188"/>
      <c r="M1349" s="189" t="s">
        <v>963</v>
      </c>
      <c r="N1349" s="190">
        <v>35.7</v>
      </c>
      <c r="O1349" s="190">
        <f t="shared" si="163"/>
        <v>38.91</v>
      </c>
      <c r="P1349" s="191">
        <f t="shared" si="164"/>
        <v>0</v>
      </c>
      <c r="Q1349" s="192">
        <f t="shared" si="165"/>
        <v>0</v>
      </c>
      <c r="R1349" s="193"/>
      <c r="S1349" s="194"/>
      <c r="T1349" s="195">
        <f t="shared" si="166"/>
        <v>0</v>
      </c>
      <c r="U1349" s="195">
        <f t="shared" si="167"/>
        <v>0</v>
      </c>
      <c r="V1349" s="195">
        <f t="shared" si="168"/>
        <v>0</v>
      </c>
      <c r="W1349" s="196" t="e">
        <f t="shared" si="169"/>
        <v>#DIV/0!</v>
      </c>
      <c r="X1349" s="197" t="e">
        <f t="shared" si="170"/>
        <v>#DIV/0!</v>
      </c>
    </row>
    <row r="1350" ht="11.4" hidden="1" customHeight="1" spans="1:24">
      <c r="A1350" s="184" t="s">
        <v>3090</v>
      </c>
      <c r="B1350" s="184" t="s">
        <v>149</v>
      </c>
      <c r="C1350" s="184" t="s">
        <v>2263</v>
      </c>
      <c r="D1350" s="185" t="s">
        <v>700</v>
      </c>
      <c r="E1350" s="186" t="s">
        <v>2956</v>
      </c>
      <c r="F1350" s="186" t="s">
        <v>3036</v>
      </c>
      <c r="G1350" s="186" t="s">
        <v>3036</v>
      </c>
      <c r="H1350" s="186" t="s">
        <v>3091</v>
      </c>
      <c r="I1350" s="187" t="s">
        <v>2294</v>
      </c>
      <c r="J1350" s="187" t="s">
        <v>2295</v>
      </c>
      <c r="K1350" s="188"/>
      <c r="L1350" s="188"/>
      <c r="M1350" s="189" t="s">
        <v>963</v>
      </c>
      <c r="N1350" s="190">
        <v>748.98</v>
      </c>
      <c r="O1350" s="190">
        <f t="shared" si="163"/>
        <v>816.39</v>
      </c>
      <c r="P1350" s="191">
        <f t="shared" si="164"/>
        <v>0</v>
      </c>
      <c r="Q1350" s="192">
        <f t="shared" si="165"/>
        <v>0</v>
      </c>
      <c r="R1350" s="193"/>
      <c r="S1350" s="194"/>
      <c r="T1350" s="195">
        <f t="shared" si="166"/>
        <v>0</v>
      </c>
      <c r="U1350" s="195">
        <f t="shared" si="167"/>
        <v>0</v>
      </c>
      <c r="V1350" s="195">
        <f t="shared" si="168"/>
        <v>0</v>
      </c>
      <c r="W1350" s="196" t="e">
        <f t="shared" si="169"/>
        <v>#DIV/0!</v>
      </c>
      <c r="X1350" s="197" t="e">
        <f t="shared" si="170"/>
        <v>#DIV/0!</v>
      </c>
    </row>
    <row r="1351" ht="11.4" hidden="1" customHeight="1" spans="1:24">
      <c r="A1351" s="184" t="s">
        <v>3090</v>
      </c>
      <c r="B1351" s="184" t="s">
        <v>149</v>
      </c>
      <c r="C1351" s="184" t="s">
        <v>2263</v>
      </c>
      <c r="D1351" s="185" t="s">
        <v>700</v>
      </c>
      <c r="E1351" s="186" t="s">
        <v>2956</v>
      </c>
      <c r="F1351" s="186" t="s">
        <v>3036</v>
      </c>
      <c r="G1351" s="186" t="s">
        <v>3036</v>
      </c>
      <c r="H1351" s="186" t="s">
        <v>3091</v>
      </c>
      <c r="I1351" s="187" t="s">
        <v>2296</v>
      </c>
      <c r="J1351" s="187" t="s">
        <v>2297</v>
      </c>
      <c r="K1351" s="188"/>
      <c r="L1351" s="188"/>
      <c r="M1351" s="189" t="s">
        <v>963</v>
      </c>
      <c r="N1351" s="190">
        <v>156.3</v>
      </c>
      <c r="O1351" s="190">
        <f t="shared" si="163"/>
        <v>170.37</v>
      </c>
      <c r="P1351" s="191">
        <f t="shared" si="164"/>
        <v>0</v>
      </c>
      <c r="Q1351" s="192">
        <f t="shared" si="165"/>
        <v>0</v>
      </c>
      <c r="R1351" s="193"/>
      <c r="S1351" s="194"/>
      <c r="T1351" s="195">
        <f t="shared" si="166"/>
        <v>0</v>
      </c>
      <c r="U1351" s="195">
        <f t="shared" si="167"/>
        <v>0</v>
      </c>
      <c r="V1351" s="195">
        <f t="shared" si="168"/>
        <v>0</v>
      </c>
      <c r="W1351" s="196" t="e">
        <f t="shared" si="169"/>
        <v>#DIV/0!</v>
      </c>
      <c r="X1351" s="197" t="e">
        <f t="shared" si="170"/>
        <v>#DIV/0!</v>
      </c>
    </row>
    <row r="1352" ht="11.4" hidden="1" customHeight="1" spans="1:24">
      <c r="A1352" s="184" t="s">
        <v>3090</v>
      </c>
      <c r="B1352" s="184" t="s">
        <v>149</v>
      </c>
      <c r="C1352" s="184" t="s">
        <v>2263</v>
      </c>
      <c r="D1352" s="185" t="s">
        <v>700</v>
      </c>
      <c r="E1352" s="186" t="s">
        <v>2956</v>
      </c>
      <c r="F1352" s="186" t="s">
        <v>3036</v>
      </c>
      <c r="G1352" s="186" t="s">
        <v>3036</v>
      </c>
      <c r="H1352" s="186" t="s">
        <v>3091</v>
      </c>
      <c r="I1352" s="187" t="s">
        <v>2341</v>
      </c>
      <c r="J1352" s="187" t="s">
        <v>2342</v>
      </c>
      <c r="K1352" s="188"/>
      <c r="L1352" s="188"/>
      <c r="M1352" s="189" t="s">
        <v>963</v>
      </c>
      <c r="N1352" s="190">
        <v>134.85</v>
      </c>
      <c r="O1352" s="190">
        <f t="shared" si="163"/>
        <v>146.99</v>
      </c>
      <c r="P1352" s="191">
        <f t="shared" si="164"/>
        <v>0</v>
      </c>
      <c r="Q1352" s="192">
        <f t="shared" si="165"/>
        <v>0</v>
      </c>
      <c r="R1352" s="193"/>
      <c r="S1352" s="194"/>
      <c r="T1352" s="195">
        <f t="shared" si="166"/>
        <v>0</v>
      </c>
      <c r="U1352" s="195">
        <f t="shared" si="167"/>
        <v>0</v>
      </c>
      <c r="V1352" s="195">
        <f t="shared" si="168"/>
        <v>0</v>
      </c>
      <c r="W1352" s="196" t="e">
        <f t="shared" si="169"/>
        <v>#DIV/0!</v>
      </c>
      <c r="X1352" s="197" t="e">
        <f t="shared" si="170"/>
        <v>#DIV/0!</v>
      </c>
    </row>
    <row r="1353" ht="11.4" hidden="1" customHeight="1" spans="1:24">
      <c r="A1353" s="184" t="s">
        <v>3090</v>
      </c>
      <c r="B1353" s="184" t="s">
        <v>149</v>
      </c>
      <c r="C1353" s="184" t="s">
        <v>2263</v>
      </c>
      <c r="D1353" s="185" t="s">
        <v>700</v>
      </c>
      <c r="E1353" s="186" t="s">
        <v>2956</v>
      </c>
      <c r="F1353" s="186" t="s">
        <v>3036</v>
      </c>
      <c r="G1353" s="186" t="s">
        <v>3036</v>
      </c>
      <c r="H1353" s="186" t="s">
        <v>3091</v>
      </c>
      <c r="I1353" s="187" t="s">
        <v>2343</v>
      </c>
      <c r="J1353" s="187" t="s">
        <v>2344</v>
      </c>
      <c r="K1353" s="188"/>
      <c r="L1353" s="188"/>
      <c r="M1353" s="189" t="s">
        <v>963</v>
      </c>
      <c r="N1353" s="190">
        <v>416.64</v>
      </c>
      <c r="O1353" s="190">
        <f t="shared" si="163"/>
        <v>454.14</v>
      </c>
      <c r="P1353" s="191">
        <f t="shared" si="164"/>
        <v>0</v>
      </c>
      <c r="Q1353" s="192">
        <f t="shared" si="165"/>
        <v>0</v>
      </c>
      <c r="R1353" s="193"/>
      <c r="S1353" s="194"/>
      <c r="T1353" s="195">
        <f t="shared" si="166"/>
        <v>0</v>
      </c>
      <c r="U1353" s="195">
        <f t="shared" si="167"/>
        <v>0</v>
      </c>
      <c r="V1353" s="195">
        <f t="shared" si="168"/>
        <v>0</v>
      </c>
      <c r="W1353" s="196" t="e">
        <f t="shared" si="169"/>
        <v>#DIV/0!</v>
      </c>
      <c r="X1353" s="197" t="e">
        <f t="shared" si="170"/>
        <v>#DIV/0!</v>
      </c>
    </row>
    <row r="1354" ht="11.4" hidden="1" customHeight="1" spans="1:24">
      <c r="A1354" s="184" t="s">
        <v>3090</v>
      </c>
      <c r="B1354" s="184" t="s">
        <v>149</v>
      </c>
      <c r="C1354" s="184" t="s">
        <v>2263</v>
      </c>
      <c r="D1354" s="185" t="s">
        <v>700</v>
      </c>
      <c r="E1354" s="186" t="s">
        <v>2956</v>
      </c>
      <c r="F1354" s="186" t="s">
        <v>3036</v>
      </c>
      <c r="G1354" s="186" t="s">
        <v>3036</v>
      </c>
      <c r="H1354" s="186" t="s">
        <v>3091</v>
      </c>
      <c r="I1354" s="187" t="s">
        <v>2345</v>
      </c>
      <c r="J1354" s="187" t="s">
        <v>2346</v>
      </c>
      <c r="K1354" s="188"/>
      <c r="L1354" s="188"/>
      <c r="M1354" s="189" t="s">
        <v>963</v>
      </c>
      <c r="N1354" s="190">
        <v>454.51</v>
      </c>
      <c r="O1354" s="190">
        <f t="shared" si="163"/>
        <v>495.42</v>
      </c>
      <c r="P1354" s="191">
        <f t="shared" si="164"/>
        <v>0</v>
      </c>
      <c r="Q1354" s="192">
        <f t="shared" si="165"/>
        <v>0</v>
      </c>
      <c r="R1354" s="193"/>
      <c r="S1354" s="194"/>
      <c r="T1354" s="195">
        <f t="shared" si="166"/>
        <v>0</v>
      </c>
      <c r="U1354" s="195">
        <f t="shared" si="167"/>
        <v>0</v>
      </c>
      <c r="V1354" s="195">
        <f t="shared" si="168"/>
        <v>0</v>
      </c>
      <c r="W1354" s="196" t="e">
        <f t="shared" si="169"/>
        <v>#DIV/0!</v>
      </c>
      <c r="X1354" s="197" t="e">
        <f t="shared" si="170"/>
        <v>#DIV/0!</v>
      </c>
    </row>
    <row r="1355" ht="11.4" hidden="1" customHeight="1" spans="1:24">
      <c r="A1355" s="184" t="s">
        <v>3090</v>
      </c>
      <c r="B1355" s="184" t="s">
        <v>149</v>
      </c>
      <c r="C1355" s="184" t="s">
        <v>2263</v>
      </c>
      <c r="D1355" s="185" t="s">
        <v>700</v>
      </c>
      <c r="E1355" s="186" t="s">
        <v>2956</v>
      </c>
      <c r="F1355" s="186" t="s">
        <v>3036</v>
      </c>
      <c r="G1355" s="186" t="s">
        <v>3036</v>
      </c>
      <c r="H1355" s="186" t="s">
        <v>3091</v>
      </c>
      <c r="I1355" s="187" t="s">
        <v>2347</v>
      </c>
      <c r="J1355" s="187" t="s">
        <v>2348</v>
      </c>
      <c r="K1355" s="188"/>
      <c r="L1355" s="188"/>
      <c r="M1355" s="189" t="s">
        <v>963</v>
      </c>
      <c r="N1355" s="190">
        <v>236.73</v>
      </c>
      <c r="O1355" s="190">
        <f t="shared" si="163"/>
        <v>258.04</v>
      </c>
      <c r="P1355" s="191">
        <f t="shared" si="164"/>
        <v>0</v>
      </c>
      <c r="Q1355" s="192">
        <f t="shared" si="165"/>
        <v>0</v>
      </c>
      <c r="R1355" s="193"/>
      <c r="S1355" s="194"/>
      <c r="T1355" s="195">
        <f t="shared" si="166"/>
        <v>0</v>
      </c>
      <c r="U1355" s="195">
        <f t="shared" si="167"/>
        <v>0</v>
      </c>
      <c r="V1355" s="195">
        <f t="shared" si="168"/>
        <v>0</v>
      </c>
      <c r="W1355" s="196" t="e">
        <f t="shared" si="169"/>
        <v>#DIV/0!</v>
      </c>
      <c r="X1355" s="197" t="e">
        <f t="shared" si="170"/>
        <v>#DIV/0!</v>
      </c>
    </row>
    <row r="1356" ht="11.4" hidden="1" customHeight="1" spans="1:24">
      <c r="A1356" s="184" t="s">
        <v>3090</v>
      </c>
      <c r="B1356" s="184" t="s">
        <v>149</v>
      </c>
      <c r="C1356" s="184" t="s">
        <v>2263</v>
      </c>
      <c r="D1356" s="185" t="s">
        <v>700</v>
      </c>
      <c r="E1356" s="186" t="s">
        <v>2956</v>
      </c>
      <c r="F1356" s="186" t="s">
        <v>3036</v>
      </c>
      <c r="G1356" s="186" t="s">
        <v>3036</v>
      </c>
      <c r="H1356" s="186" t="s">
        <v>3091</v>
      </c>
      <c r="I1356" s="187" t="s">
        <v>2298</v>
      </c>
      <c r="J1356" s="187" t="s">
        <v>2299</v>
      </c>
      <c r="K1356" s="188"/>
      <c r="L1356" s="188"/>
      <c r="M1356" s="189" t="s">
        <v>963</v>
      </c>
      <c r="N1356" s="190">
        <v>661.31</v>
      </c>
      <c r="O1356" s="190">
        <f t="shared" si="163"/>
        <v>720.83</v>
      </c>
      <c r="P1356" s="191">
        <f t="shared" si="164"/>
        <v>0</v>
      </c>
      <c r="Q1356" s="192">
        <f t="shared" si="165"/>
        <v>0</v>
      </c>
      <c r="R1356" s="193"/>
      <c r="S1356" s="194"/>
      <c r="T1356" s="195">
        <f t="shared" si="166"/>
        <v>0</v>
      </c>
      <c r="U1356" s="195">
        <f t="shared" si="167"/>
        <v>0</v>
      </c>
      <c r="V1356" s="195">
        <f t="shared" si="168"/>
        <v>0</v>
      </c>
      <c r="W1356" s="196" t="e">
        <f t="shared" si="169"/>
        <v>#DIV/0!</v>
      </c>
      <c r="X1356" s="197" t="e">
        <f t="shared" si="170"/>
        <v>#DIV/0!</v>
      </c>
    </row>
    <row r="1357" ht="11.4" hidden="1" customHeight="1" spans="1:24">
      <c r="A1357" s="184" t="s">
        <v>3090</v>
      </c>
      <c r="B1357" s="184" t="s">
        <v>149</v>
      </c>
      <c r="C1357" s="184" t="s">
        <v>2263</v>
      </c>
      <c r="D1357" s="185" t="s">
        <v>700</v>
      </c>
      <c r="E1357" s="186" t="s">
        <v>2956</v>
      </c>
      <c r="F1357" s="186" t="s">
        <v>3036</v>
      </c>
      <c r="G1357" s="186" t="s">
        <v>3036</v>
      </c>
      <c r="H1357" s="186" t="s">
        <v>3091</v>
      </c>
      <c r="I1357" s="187" t="s">
        <v>2304</v>
      </c>
      <c r="J1357" s="187" t="s">
        <v>2305</v>
      </c>
      <c r="K1357" s="188"/>
      <c r="L1357" s="188"/>
      <c r="M1357" s="189" t="s">
        <v>989</v>
      </c>
      <c r="N1357" s="190">
        <v>2295.03</v>
      </c>
      <c r="O1357" s="190">
        <f t="shared" ref="O1357:O1420" si="171">ROUND(N1357*(1+$F$10),2)</f>
        <v>2501.58</v>
      </c>
      <c r="P1357" s="191">
        <f t="shared" ref="P1357:P1420" si="172">ROUND(K1357*N1357,2)</f>
        <v>0</v>
      </c>
      <c r="Q1357" s="192">
        <f t="shared" si="165"/>
        <v>0</v>
      </c>
      <c r="R1357" s="193"/>
      <c r="S1357" s="194"/>
      <c r="T1357" s="195">
        <f t="shared" si="166"/>
        <v>0</v>
      </c>
      <c r="U1357" s="195">
        <f t="shared" si="167"/>
        <v>0</v>
      </c>
      <c r="V1357" s="195">
        <f t="shared" si="168"/>
        <v>0</v>
      </c>
      <c r="W1357" s="196" t="e">
        <f t="shared" si="169"/>
        <v>#DIV/0!</v>
      </c>
      <c r="X1357" s="197" t="e">
        <f t="shared" si="170"/>
        <v>#DIV/0!</v>
      </c>
    </row>
    <row r="1358" ht="11.4" hidden="1" customHeight="1" spans="1:24">
      <c r="A1358" s="184" t="s">
        <v>3090</v>
      </c>
      <c r="B1358" s="184" t="s">
        <v>149</v>
      </c>
      <c r="C1358" s="184" t="s">
        <v>2263</v>
      </c>
      <c r="D1358" s="185" t="s">
        <v>700</v>
      </c>
      <c r="E1358" s="186" t="s">
        <v>2956</v>
      </c>
      <c r="F1358" s="186" t="s">
        <v>3036</v>
      </c>
      <c r="G1358" s="186" t="s">
        <v>3036</v>
      </c>
      <c r="H1358" s="186" t="s">
        <v>3091</v>
      </c>
      <c r="I1358" s="187" t="s">
        <v>3092</v>
      </c>
      <c r="J1358" s="187" t="s">
        <v>3093</v>
      </c>
      <c r="K1358" s="188"/>
      <c r="L1358" s="188"/>
      <c r="M1358" s="189" t="s">
        <v>793</v>
      </c>
      <c r="N1358" s="190">
        <v>1057.53</v>
      </c>
      <c r="O1358" s="190">
        <f t="shared" si="171"/>
        <v>1152.71</v>
      </c>
      <c r="P1358" s="191">
        <f t="shared" si="172"/>
        <v>0</v>
      </c>
      <c r="Q1358" s="192">
        <f t="shared" ref="Q1358:Q1421" si="173">ROUND(L1358*N1358,2)</f>
        <v>0</v>
      </c>
      <c r="R1358" s="193"/>
      <c r="S1358" s="194"/>
      <c r="T1358" s="195">
        <f t="shared" ref="T1358:T1421" si="174">K1358-L1358</f>
        <v>0</v>
      </c>
      <c r="U1358" s="195">
        <f t="shared" ref="U1358:U1421" si="175">P1358-Q1358</f>
        <v>0</v>
      </c>
      <c r="V1358" s="195">
        <f t="shared" ref="V1358:V1421" si="176">ABS(U1358)</f>
        <v>0</v>
      </c>
      <c r="W1358" s="196" t="e">
        <f t="shared" ref="W1358:W1421" si="177">T1358/L1358</f>
        <v>#DIV/0!</v>
      </c>
      <c r="X1358" s="197" t="e">
        <f t="shared" ref="X1358:X1421" si="178">ABS(W1358)</f>
        <v>#DIV/0!</v>
      </c>
    </row>
    <row r="1359" ht="11.4" hidden="1" customHeight="1" spans="1:24">
      <c r="A1359" s="184" t="s">
        <v>3090</v>
      </c>
      <c r="B1359" s="184" t="s">
        <v>149</v>
      </c>
      <c r="C1359" s="184" t="s">
        <v>2263</v>
      </c>
      <c r="D1359" s="185" t="s">
        <v>700</v>
      </c>
      <c r="E1359" s="186" t="s">
        <v>2956</v>
      </c>
      <c r="F1359" s="186" t="s">
        <v>3036</v>
      </c>
      <c r="G1359" s="186" t="s">
        <v>3036</v>
      </c>
      <c r="H1359" s="186" t="s">
        <v>3091</v>
      </c>
      <c r="I1359" s="187" t="s">
        <v>2323</v>
      </c>
      <c r="J1359" s="187" t="s">
        <v>2324</v>
      </c>
      <c r="K1359" s="188"/>
      <c r="L1359" s="188"/>
      <c r="M1359" s="189" t="s">
        <v>807</v>
      </c>
      <c r="N1359" s="190">
        <v>56.91</v>
      </c>
      <c r="O1359" s="190">
        <f t="shared" si="171"/>
        <v>62.03</v>
      </c>
      <c r="P1359" s="191">
        <f t="shared" si="172"/>
        <v>0</v>
      </c>
      <c r="Q1359" s="192">
        <f t="shared" si="173"/>
        <v>0</v>
      </c>
      <c r="R1359" s="193"/>
      <c r="S1359" s="194"/>
      <c r="T1359" s="195">
        <f t="shared" si="174"/>
        <v>0</v>
      </c>
      <c r="U1359" s="195">
        <f t="shared" si="175"/>
        <v>0</v>
      </c>
      <c r="V1359" s="195">
        <f t="shared" si="176"/>
        <v>0</v>
      </c>
      <c r="W1359" s="196" t="e">
        <f t="shared" si="177"/>
        <v>#DIV/0!</v>
      </c>
      <c r="X1359" s="197" t="e">
        <f t="shared" si="178"/>
        <v>#DIV/0!</v>
      </c>
    </row>
    <row r="1360" ht="11.4" hidden="1" customHeight="1" spans="1:24">
      <c r="A1360" s="184" t="s">
        <v>3090</v>
      </c>
      <c r="B1360" s="184" t="s">
        <v>149</v>
      </c>
      <c r="C1360" s="184" t="s">
        <v>2263</v>
      </c>
      <c r="D1360" s="185" t="s">
        <v>700</v>
      </c>
      <c r="E1360" s="186" t="s">
        <v>2956</v>
      </c>
      <c r="F1360" s="186" t="s">
        <v>3036</v>
      </c>
      <c r="G1360" s="186" t="s">
        <v>3036</v>
      </c>
      <c r="H1360" s="186" t="s">
        <v>3091</v>
      </c>
      <c r="I1360" s="187" t="s">
        <v>2325</v>
      </c>
      <c r="J1360" s="187" t="s">
        <v>2326</v>
      </c>
      <c r="K1360" s="188"/>
      <c r="L1360" s="188"/>
      <c r="M1360" s="189" t="s">
        <v>807</v>
      </c>
      <c r="N1360" s="190">
        <v>39.03</v>
      </c>
      <c r="O1360" s="190">
        <f t="shared" si="171"/>
        <v>42.54</v>
      </c>
      <c r="P1360" s="191">
        <f t="shared" si="172"/>
        <v>0</v>
      </c>
      <c r="Q1360" s="192">
        <f t="shared" si="173"/>
        <v>0</v>
      </c>
      <c r="R1360" s="193"/>
      <c r="S1360" s="194"/>
      <c r="T1360" s="195">
        <f t="shared" si="174"/>
        <v>0</v>
      </c>
      <c r="U1360" s="195">
        <f t="shared" si="175"/>
        <v>0</v>
      </c>
      <c r="V1360" s="195">
        <f t="shared" si="176"/>
        <v>0</v>
      </c>
      <c r="W1360" s="196" t="e">
        <f t="shared" si="177"/>
        <v>#DIV/0!</v>
      </c>
      <c r="X1360" s="197" t="e">
        <f t="shared" si="178"/>
        <v>#DIV/0!</v>
      </c>
    </row>
    <row r="1361" ht="11.4" hidden="1" customHeight="1" spans="1:24">
      <c r="A1361" s="184" t="s">
        <v>3090</v>
      </c>
      <c r="B1361" s="184" t="s">
        <v>149</v>
      </c>
      <c r="C1361" s="184" t="s">
        <v>2263</v>
      </c>
      <c r="D1361" s="185" t="s">
        <v>700</v>
      </c>
      <c r="E1361" s="186" t="s">
        <v>2956</v>
      </c>
      <c r="F1361" s="186" t="s">
        <v>3036</v>
      </c>
      <c r="G1361" s="186" t="s">
        <v>3036</v>
      </c>
      <c r="H1361" s="186" t="s">
        <v>3091</v>
      </c>
      <c r="I1361" s="187" t="s">
        <v>3094</v>
      </c>
      <c r="J1361" s="187" t="s">
        <v>3095</v>
      </c>
      <c r="K1361" s="188"/>
      <c r="L1361" s="188"/>
      <c r="M1361" s="189" t="s">
        <v>807</v>
      </c>
      <c r="N1361" s="190">
        <v>22.86</v>
      </c>
      <c r="O1361" s="190">
        <f t="shared" si="171"/>
        <v>24.92</v>
      </c>
      <c r="P1361" s="191">
        <f t="shared" si="172"/>
        <v>0</v>
      </c>
      <c r="Q1361" s="192">
        <f t="shared" si="173"/>
        <v>0</v>
      </c>
      <c r="R1361" s="193"/>
      <c r="S1361" s="194"/>
      <c r="T1361" s="195">
        <f t="shared" si="174"/>
        <v>0</v>
      </c>
      <c r="U1361" s="195">
        <f t="shared" si="175"/>
        <v>0</v>
      </c>
      <c r="V1361" s="195">
        <f t="shared" si="176"/>
        <v>0</v>
      </c>
      <c r="W1361" s="196" t="e">
        <f t="shared" si="177"/>
        <v>#DIV/0!</v>
      </c>
      <c r="X1361" s="197" t="e">
        <f t="shared" si="178"/>
        <v>#DIV/0!</v>
      </c>
    </row>
    <row r="1362" ht="11.4" hidden="1" customHeight="1" spans="1:24">
      <c r="A1362" s="184" t="s">
        <v>3090</v>
      </c>
      <c r="B1362" s="184" t="s">
        <v>149</v>
      </c>
      <c r="C1362" s="184" t="s">
        <v>2263</v>
      </c>
      <c r="D1362" s="185" t="s">
        <v>700</v>
      </c>
      <c r="E1362" s="186" t="s">
        <v>2956</v>
      </c>
      <c r="F1362" s="186" t="s">
        <v>3036</v>
      </c>
      <c r="G1362" s="186" t="s">
        <v>3036</v>
      </c>
      <c r="H1362" s="186" t="s">
        <v>3091</v>
      </c>
      <c r="I1362" s="187" t="s">
        <v>2333</v>
      </c>
      <c r="J1362" s="187" t="s">
        <v>2334</v>
      </c>
      <c r="K1362" s="188"/>
      <c r="L1362" s="188"/>
      <c r="M1362" s="189" t="s">
        <v>963</v>
      </c>
      <c r="N1362" s="190">
        <v>196.45</v>
      </c>
      <c r="O1362" s="190">
        <f t="shared" si="171"/>
        <v>214.13</v>
      </c>
      <c r="P1362" s="191">
        <f t="shared" si="172"/>
        <v>0</v>
      </c>
      <c r="Q1362" s="192">
        <f t="shared" si="173"/>
        <v>0</v>
      </c>
      <c r="R1362" s="193"/>
      <c r="S1362" s="194"/>
      <c r="T1362" s="195">
        <f t="shared" si="174"/>
        <v>0</v>
      </c>
      <c r="U1362" s="195">
        <f t="shared" si="175"/>
        <v>0</v>
      </c>
      <c r="V1362" s="195">
        <f t="shared" si="176"/>
        <v>0</v>
      </c>
      <c r="W1362" s="196" t="e">
        <f t="shared" si="177"/>
        <v>#DIV/0!</v>
      </c>
      <c r="X1362" s="197" t="e">
        <f t="shared" si="178"/>
        <v>#DIV/0!</v>
      </c>
    </row>
    <row r="1363" ht="11.4" hidden="1" customHeight="1" spans="1:24">
      <c r="A1363" s="184" t="s">
        <v>3090</v>
      </c>
      <c r="B1363" s="184" t="s">
        <v>149</v>
      </c>
      <c r="C1363" s="184" t="s">
        <v>2263</v>
      </c>
      <c r="D1363" s="185" t="s">
        <v>700</v>
      </c>
      <c r="E1363" s="186" t="s">
        <v>2956</v>
      </c>
      <c r="F1363" s="186" t="s">
        <v>3036</v>
      </c>
      <c r="G1363" s="186" t="s">
        <v>3036</v>
      </c>
      <c r="H1363" s="186" t="s">
        <v>3091</v>
      </c>
      <c r="I1363" s="187" t="s">
        <v>2335</v>
      </c>
      <c r="J1363" s="187" t="s">
        <v>2336</v>
      </c>
      <c r="K1363" s="188"/>
      <c r="L1363" s="188"/>
      <c r="M1363" s="189" t="s">
        <v>963</v>
      </c>
      <c r="N1363" s="190">
        <v>245.17</v>
      </c>
      <c r="O1363" s="190">
        <f t="shared" si="171"/>
        <v>267.24</v>
      </c>
      <c r="P1363" s="191">
        <f t="shared" si="172"/>
        <v>0</v>
      </c>
      <c r="Q1363" s="192">
        <f t="shared" si="173"/>
        <v>0</v>
      </c>
      <c r="R1363" s="193"/>
      <c r="S1363" s="194"/>
      <c r="T1363" s="195">
        <f t="shared" si="174"/>
        <v>0</v>
      </c>
      <c r="U1363" s="195">
        <f t="shared" si="175"/>
        <v>0</v>
      </c>
      <c r="V1363" s="195">
        <f t="shared" si="176"/>
        <v>0</v>
      </c>
      <c r="W1363" s="196" t="e">
        <f t="shared" si="177"/>
        <v>#DIV/0!</v>
      </c>
      <c r="X1363" s="197" t="e">
        <f t="shared" si="178"/>
        <v>#DIV/0!</v>
      </c>
    </row>
    <row r="1364" ht="11.4" hidden="1" customHeight="1" spans="1:24">
      <c r="A1364" s="184" t="s">
        <v>3090</v>
      </c>
      <c r="B1364" s="184" t="s">
        <v>149</v>
      </c>
      <c r="C1364" s="184" t="s">
        <v>2263</v>
      </c>
      <c r="D1364" s="185" t="s">
        <v>700</v>
      </c>
      <c r="E1364" s="186" t="s">
        <v>2956</v>
      </c>
      <c r="F1364" s="186" t="s">
        <v>3036</v>
      </c>
      <c r="G1364" s="186" t="s">
        <v>3036</v>
      </c>
      <c r="H1364" s="186" t="s">
        <v>3091</v>
      </c>
      <c r="I1364" s="187" t="s">
        <v>2337</v>
      </c>
      <c r="J1364" s="187" t="s">
        <v>2338</v>
      </c>
      <c r="K1364" s="188"/>
      <c r="L1364" s="188"/>
      <c r="M1364" s="189" t="s">
        <v>963</v>
      </c>
      <c r="N1364" s="190">
        <v>29.9</v>
      </c>
      <c r="O1364" s="190">
        <f t="shared" si="171"/>
        <v>32.59</v>
      </c>
      <c r="P1364" s="191">
        <f t="shared" si="172"/>
        <v>0</v>
      </c>
      <c r="Q1364" s="192">
        <f t="shared" si="173"/>
        <v>0</v>
      </c>
      <c r="R1364" s="193"/>
      <c r="S1364" s="194"/>
      <c r="T1364" s="195">
        <f t="shared" si="174"/>
        <v>0</v>
      </c>
      <c r="U1364" s="195">
        <f t="shared" si="175"/>
        <v>0</v>
      </c>
      <c r="V1364" s="195">
        <f t="shared" si="176"/>
        <v>0</v>
      </c>
      <c r="W1364" s="196" t="e">
        <f t="shared" si="177"/>
        <v>#DIV/0!</v>
      </c>
      <c r="X1364" s="197" t="e">
        <f t="shared" si="178"/>
        <v>#DIV/0!</v>
      </c>
    </row>
    <row r="1365" ht="11.4" hidden="1" customHeight="1" spans="1:24">
      <c r="A1365" s="184" t="s">
        <v>3090</v>
      </c>
      <c r="B1365" s="184" t="s">
        <v>149</v>
      </c>
      <c r="C1365" s="184" t="s">
        <v>2263</v>
      </c>
      <c r="D1365" s="185" t="s">
        <v>700</v>
      </c>
      <c r="E1365" s="186" t="s">
        <v>2956</v>
      </c>
      <c r="F1365" s="186" t="s">
        <v>3036</v>
      </c>
      <c r="G1365" s="186" t="s">
        <v>3036</v>
      </c>
      <c r="H1365" s="186" t="s">
        <v>3091</v>
      </c>
      <c r="I1365" s="187" t="s">
        <v>3096</v>
      </c>
      <c r="J1365" s="187" t="s">
        <v>3097</v>
      </c>
      <c r="K1365" s="188"/>
      <c r="L1365" s="188"/>
      <c r="M1365" s="189" t="s">
        <v>963</v>
      </c>
      <c r="N1365" s="190">
        <v>380</v>
      </c>
      <c r="O1365" s="190">
        <f t="shared" si="171"/>
        <v>414.2</v>
      </c>
      <c r="P1365" s="191">
        <f t="shared" si="172"/>
        <v>0</v>
      </c>
      <c r="Q1365" s="192">
        <f t="shared" si="173"/>
        <v>0</v>
      </c>
      <c r="R1365" s="193"/>
      <c r="S1365" s="194"/>
      <c r="T1365" s="195">
        <f t="shared" si="174"/>
        <v>0</v>
      </c>
      <c r="U1365" s="195">
        <f t="shared" si="175"/>
        <v>0</v>
      </c>
      <c r="V1365" s="195">
        <f t="shared" si="176"/>
        <v>0</v>
      </c>
      <c r="W1365" s="196" t="e">
        <f t="shared" si="177"/>
        <v>#DIV/0!</v>
      </c>
      <c r="X1365" s="197" t="e">
        <f t="shared" si="178"/>
        <v>#DIV/0!</v>
      </c>
    </row>
    <row r="1366" ht="11.4" hidden="1" customHeight="1" spans="1:24">
      <c r="A1366" s="184" t="s">
        <v>3098</v>
      </c>
      <c r="B1366" s="184" t="s">
        <v>401</v>
      </c>
      <c r="C1366" s="184" t="s">
        <v>400</v>
      </c>
      <c r="D1366" s="185" t="s">
        <v>700</v>
      </c>
      <c r="E1366" s="186" t="s">
        <v>2956</v>
      </c>
      <c r="F1366" s="186" t="s">
        <v>3036</v>
      </c>
      <c r="G1366" s="186" t="s">
        <v>3036</v>
      </c>
      <c r="H1366" s="186" t="s">
        <v>3099</v>
      </c>
      <c r="I1366" s="187" t="s">
        <v>3100</v>
      </c>
      <c r="J1366" s="187" t="s">
        <v>3101</v>
      </c>
      <c r="K1366" s="188"/>
      <c r="L1366" s="188"/>
      <c r="M1366" s="189" t="s">
        <v>989</v>
      </c>
      <c r="N1366" s="190">
        <v>2311.09</v>
      </c>
      <c r="O1366" s="190">
        <f t="shared" si="171"/>
        <v>2519.09</v>
      </c>
      <c r="P1366" s="191">
        <f t="shared" si="172"/>
        <v>0</v>
      </c>
      <c r="Q1366" s="192">
        <f t="shared" si="173"/>
        <v>0</v>
      </c>
      <c r="R1366" s="193"/>
      <c r="S1366" s="194"/>
      <c r="T1366" s="195">
        <f t="shared" si="174"/>
        <v>0</v>
      </c>
      <c r="U1366" s="195">
        <f t="shared" si="175"/>
        <v>0</v>
      </c>
      <c r="V1366" s="195">
        <f t="shared" si="176"/>
        <v>0</v>
      </c>
      <c r="W1366" s="196" t="e">
        <f t="shared" si="177"/>
        <v>#DIV/0!</v>
      </c>
      <c r="X1366" s="197" t="e">
        <f t="shared" si="178"/>
        <v>#DIV/0!</v>
      </c>
    </row>
    <row r="1367" ht="11.4" hidden="1" customHeight="1" spans="1:24">
      <c r="A1367" s="184" t="s">
        <v>3102</v>
      </c>
      <c r="B1367" s="184" t="s">
        <v>153</v>
      </c>
      <c r="C1367" s="184" t="s">
        <v>905</v>
      </c>
      <c r="D1367" s="185" t="s">
        <v>700</v>
      </c>
      <c r="E1367" s="186" t="s">
        <v>2956</v>
      </c>
      <c r="F1367" s="186" t="s">
        <v>3036</v>
      </c>
      <c r="G1367" s="186" t="s">
        <v>3036</v>
      </c>
      <c r="H1367" s="186" t="s">
        <v>3099</v>
      </c>
      <c r="I1367" s="187" t="s">
        <v>3103</v>
      </c>
      <c r="J1367" s="187" t="s">
        <v>3104</v>
      </c>
      <c r="K1367" s="188"/>
      <c r="L1367" s="188"/>
      <c r="M1367" s="189" t="s">
        <v>989</v>
      </c>
      <c r="N1367" s="190">
        <v>1027.39</v>
      </c>
      <c r="O1367" s="190">
        <f t="shared" si="171"/>
        <v>1119.86</v>
      </c>
      <c r="P1367" s="191">
        <f t="shared" si="172"/>
        <v>0</v>
      </c>
      <c r="Q1367" s="192">
        <f t="shared" si="173"/>
        <v>0</v>
      </c>
      <c r="R1367" s="193"/>
      <c r="S1367" s="194"/>
      <c r="T1367" s="195">
        <f t="shared" si="174"/>
        <v>0</v>
      </c>
      <c r="U1367" s="195">
        <f t="shared" si="175"/>
        <v>0</v>
      </c>
      <c r="V1367" s="195">
        <f t="shared" si="176"/>
        <v>0</v>
      </c>
      <c r="W1367" s="196" t="e">
        <f t="shared" si="177"/>
        <v>#DIV/0!</v>
      </c>
      <c r="X1367" s="197" t="e">
        <f t="shared" si="178"/>
        <v>#DIV/0!</v>
      </c>
    </row>
    <row r="1368" ht="11.4" hidden="1" customHeight="1" spans="1:24">
      <c r="A1368" s="184" t="s">
        <v>3102</v>
      </c>
      <c r="B1368" s="184" t="s">
        <v>153</v>
      </c>
      <c r="C1368" s="184" t="s">
        <v>905</v>
      </c>
      <c r="D1368" s="185" t="s">
        <v>700</v>
      </c>
      <c r="E1368" s="186" t="s">
        <v>2956</v>
      </c>
      <c r="F1368" s="186" t="s">
        <v>3036</v>
      </c>
      <c r="G1368" s="186" t="s">
        <v>3036</v>
      </c>
      <c r="H1368" s="186" t="s">
        <v>3099</v>
      </c>
      <c r="I1368" s="187" t="s">
        <v>3105</v>
      </c>
      <c r="J1368" s="187" t="s">
        <v>3106</v>
      </c>
      <c r="K1368" s="188"/>
      <c r="L1368" s="188"/>
      <c r="M1368" s="189" t="s">
        <v>2308</v>
      </c>
      <c r="N1368" s="190">
        <v>1379.39</v>
      </c>
      <c r="O1368" s="190">
        <f t="shared" si="171"/>
        <v>1503.54</v>
      </c>
      <c r="P1368" s="191">
        <f t="shared" si="172"/>
        <v>0</v>
      </c>
      <c r="Q1368" s="192">
        <f t="shared" si="173"/>
        <v>0</v>
      </c>
      <c r="R1368" s="193"/>
      <c r="S1368" s="194"/>
      <c r="T1368" s="195">
        <f t="shared" si="174"/>
        <v>0</v>
      </c>
      <c r="U1368" s="195">
        <f t="shared" si="175"/>
        <v>0</v>
      </c>
      <c r="V1368" s="195">
        <f t="shared" si="176"/>
        <v>0</v>
      </c>
      <c r="W1368" s="196" t="e">
        <f t="shared" si="177"/>
        <v>#DIV/0!</v>
      </c>
      <c r="X1368" s="197" t="e">
        <f t="shared" si="178"/>
        <v>#DIV/0!</v>
      </c>
    </row>
    <row r="1369" ht="11.4" hidden="1" customHeight="1" spans="1:24">
      <c r="A1369" s="184" t="s">
        <v>3102</v>
      </c>
      <c r="B1369" s="184" t="s">
        <v>153</v>
      </c>
      <c r="C1369" s="184" t="s">
        <v>905</v>
      </c>
      <c r="D1369" s="185" t="s">
        <v>700</v>
      </c>
      <c r="E1369" s="186" t="s">
        <v>2956</v>
      </c>
      <c r="F1369" s="186" t="s">
        <v>3036</v>
      </c>
      <c r="G1369" s="186" t="s">
        <v>3036</v>
      </c>
      <c r="H1369" s="186" t="s">
        <v>3099</v>
      </c>
      <c r="I1369" s="187" t="s">
        <v>2386</v>
      </c>
      <c r="J1369" s="187" t="s">
        <v>2387</v>
      </c>
      <c r="K1369" s="188"/>
      <c r="L1369" s="188"/>
      <c r="M1369" s="189" t="s">
        <v>2308</v>
      </c>
      <c r="N1369" s="190">
        <v>243.65</v>
      </c>
      <c r="O1369" s="190">
        <f t="shared" si="171"/>
        <v>265.58</v>
      </c>
      <c r="P1369" s="191">
        <f t="shared" si="172"/>
        <v>0</v>
      </c>
      <c r="Q1369" s="192">
        <f t="shared" si="173"/>
        <v>0</v>
      </c>
      <c r="R1369" s="193"/>
      <c r="S1369" s="194"/>
      <c r="T1369" s="195">
        <f t="shared" si="174"/>
        <v>0</v>
      </c>
      <c r="U1369" s="195">
        <f t="shared" si="175"/>
        <v>0</v>
      </c>
      <c r="V1369" s="195">
        <f t="shared" si="176"/>
        <v>0</v>
      </c>
      <c r="W1369" s="196" t="e">
        <f t="shared" si="177"/>
        <v>#DIV/0!</v>
      </c>
      <c r="X1369" s="197" t="e">
        <f t="shared" si="178"/>
        <v>#DIV/0!</v>
      </c>
    </row>
    <row r="1370" ht="11.4" hidden="1" customHeight="1" spans="1:24">
      <c r="A1370" s="184" t="s">
        <v>3102</v>
      </c>
      <c r="B1370" s="184" t="s">
        <v>153</v>
      </c>
      <c r="C1370" s="184" t="s">
        <v>905</v>
      </c>
      <c r="D1370" s="185" t="s">
        <v>700</v>
      </c>
      <c r="E1370" s="186" t="s">
        <v>2956</v>
      </c>
      <c r="F1370" s="186" t="s">
        <v>3036</v>
      </c>
      <c r="G1370" s="186" t="s">
        <v>3036</v>
      </c>
      <c r="H1370" s="186" t="s">
        <v>3099</v>
      </c>
      <c r="I1370" s="187" t="s">
        <v>3107</v>
      </c>
      <c r="J1370" s="187" t="s">
        <v>3108</v>
      </c>
      <c r="K1370" s="188"/>
      <c r="L1370" s="188"/>
      <c r="M1370" s="189" t="s">
        <v>2308</v>
      </c>
      <c r="N1370" s="190">
        <v>314.05</v>
      </c>
      <c r="O1370" s="190">
        <f t="shared" si="171"/>
        <v>342.31</v>
      </c>
      <c r="P1370" s="191">
        <f t="shared" si="172"/>
        <v>0</v>
      </c>
      <c r="Q1370" s="192">
        <f t="shared" si="173"/>
        <v>0</v>
      </c>
      <c r="R1370" s="193"/>
      <c r="S1370" s="194"/>
      <c r="T1370" s="195">
        <f t="shared" si="174"/>
        <v>0</v>
      </c>
      <c r="U1370" s="195">
        <f t="shared" si="175"/>
        <v>0</v>
      </c>
      <c r="V1370" s="195">
        <f t="shared" si="176"/>
        <v>0</v>
      </c>
      <c r="W1370" s="196" t="e">
        <f t="shared" si="177"/>
        <v>#DIV/0!</v>
      </c>
      <c r="X1370" s="197" t="e">
        <f t="shared" si="178"/>
        <v>#DIV/0!</v>
      </c>
    </row>
    <row r="1371" ht="11.4" hidden="1" customHeight="1" spans="1:24">
      <c r="A1371" s="184" t="s">
        <v>3102</v>
      </c>
      <c r="B1371" s="184" t="s">
        <v>153</v>
      </c>
      <c r="C1371" s="184" t="s">
        <v>905</v>
      </c>
      <c r="D1371" s="185" t="s">
        <v>700</v>
      </c>
      <c r="E1371" s="186" t="s">
        <v>2956</v>
      </c>
      <c r="F1371" s="186" t="s">
        <v>3036</v>
      </c>
      <c r="G1371" s="186" t="s">
        <v>3036</v>
      </c>
      <c r="H1371" s="186" t="s">
        <v>3099</v>
      </c>
      <c r="I1371" s="187" t="s">
        <v>3109</v>
      </c>
      <c r="J1371" s="187" t="s">
        <v>3110</v>
      </c>
      <c r="K1371" s="188"/>
      <c r="L1371" s="188"/>
      <c r="M1371" s="189" t="s">
        <v>2308</v>
      </c>
      <c r="N1371" s="190">
        <v>152.75</v>
      </c>
      <c r="O1371" s="190">
        <f t="shared" si="171"/>
        <v>166.5</v>
      </c>
      <c r="P1371" s="191">
        <f t="shared" si="172"/>
        <v>0</v>
      </c>
      <c r="Q1371" s="192">
        <f t="shared" si="173"/>
        <v>0</v>
      </c>
      <c r="R1371" s="193"/>
      <c r="S1371" s="194"/>
      <c r="T1371" s="195">
        <f t="shared" si="174"/>
        <v>0</v>
      </c>
      <c r="U1371" s="195">
        <f t="shared" si="175"/>
        <v>0</v>
      </c>
      <c r="V1371" s="195">
        <f t="shared" si="176"/>
        <v>0</v>
      </c>
      <c r="W1371" s="196" t="e">
        <f t="shared" si="177"/>
        <v>#DIV/0!</v>
      </c>
      <c r="X1371" s="197" t="e">
        <f t="shared" si="178"/>
        <v>#DIV/0!</v>
      </c>
    </row>
    <row r="1372" ht="11.4" hidden="1" customHeight="1" spans="1:24">
      <c r="A1372" s="184" t="s">
        <v>3102</v>
      </c>
      <c r="B1372" s="184" t="s">
        <v>153</v>
      </c>
      <c r="C1372" s="184" t="s">
        <v>905</v>
      </c>
      <c r="D1372" s="185" t="s">
        <v>700</v>
      </c>
      <c r="E1372" s="186" t="s">
        <v>2956</v>
      </c>
      <c r="F1372" s="186" t="s">
        <v>3036</v>
      </c>
      <c r="G1372" s="186" t="s">
        <v>3036</v>
      </c>
      <c r="H1372" s="186" t="s">
        <v>3099</v>
      </c>
      <c r="I1372" s="187" t="s">
        <v>2396</v>
      </c>
      <c r="J1372" s="187" t="s">
        <v>2397</v>
      </c>
      <c r="K1372" s="188"/>
      <c r="L1372" s="188"/>
      <c r="M1372" s="189" t="s">
        <v>807</v>
      </c>
      <c r="N1372" s="190">
        <v>27.67</v>
      </c>
      <c r="O1372" s="190">
        <f t="shared" si="171"/>
        <v>30.16</v>
      </c>
      <c r="P1372" s="191">
        <f t="shared" si="172"/>
        <v>0</v>
      </c>
      <c r="Q1372" s="192">
        <f t="shared" si="173"/>
        <v>0</v>
      </c>
      <c r="R1372" s="193"/>
      <c r="S1372" s="194"/>
      <c r="T1372" s="195">
        <f t="shared" si="174"/>
        <v>0</v>
      </c>
      <c r="U1372" s="195">
        <f t="shared" si="175"/>
        <v>0</v>
      </c>
      <c r="V1372" s="195">
        <f t="shared" si="176"/>
        <v>0</v>
      </c>
      <c r="W1372" s="196" t="e">
        <f t="shared" si="177"/>
        <v>#DIV/0!</v>
      </c>
      <c r="X1372" s="197" t="e">
        <f t="shared" si="178"/>
        <v>#DIV/0!</v>
      </c>
    </row>
    <row r="1373" ht="11.4" hidden="1" customHeight="1" spans="1:24">
      <c r="A1373" s="184" t="s">
        <v>3102</v>
      </c>
      <c r="B1373" s="184" t="s">
        <v>153</v>
      </c>
      <c r="C1373" s="184" t="s">
        <v>905</v>
      </c>
      <c r="D1373" s="185" t="s">
        <v>700</v>
      </c>
      <c r="E1373" s="186" t="s">
        <v>2956</v>
      </c>
      <c r="F1373" s="186" t="s">
        <v>3036</v>
      </c>
      <c r="G1373" s="186" t="s">
        <v>3036</v>
      </c>
      <c r="H1373" s="186" t="s">
        <v>3099</v>
      </c>
      <c r="I1373" s="187" t="s">
        <v>2415</v>
      </c>
      <c r="J1373" s="187" t="s">
        <v>2416</v>
      </c>
      <c r="K1373" s="188"/>
      <c r="L1373" s="188"/>
      <c r="M1373" s="189" t="s">
        <v>847</v>
      </c>
      <c r="N1373" s="190">
        <v>179.04</v>
      </c>
      <c r="O1373" s="190">
        <f t="shared" si="171"/>
        <v>195.15</v>
      </c>
      <c r="P1373" s="191">
        <f t="shared" si="172"/>
        <v>0</v>
      </c>
      <c r="Q1373" s="192">
        <f t="shared" si="173"/>
        <v>0</v>
      </c>
      <c r="R1373" s="193"/>
      <c r="S1373" s="194"/>
      <c r="T1373" s="195">
        <f t="shared" si="174"/>
        <v>0</v>
      </c>
      <c r="U1373" s="195">
        <f t="shared" si="175"/>
        <v>0</v>
      </c>
      <c r="V1373" s="195">
        <f t="shared" si="176"/>
        <v>0</v>
      </c>
      <c r="W1373" s="196" t="e">
        <f t="shared" si="177"/>
        <v>#DIV/0!</v>
      </c>
      <c r="X1373" s="197" t="e">
        <f t="shared" si="178"/>
        <v>#DIV/0!</v>
      </c>
    </row>
    <row r="1374" ht="11.4" hidden="1" customHeight="1" spans="1:24">
      <c r="A1374" s="184" t="s">
        <v>3102</v>
      </c>
      <c r="B1374" s="184" t="s">
        <v>153</v>
      </c>
      <c r="C1374" s="184" t="s">
        <v>905</v>
      </c>
      <c r="D1374" s="185" t="s">
        <v>700</v>
      </c>
      <c r="E1374" s="186" t="s">
        <v>2956</v>
      </c>
      <c r="F1374" s="186" t="s">
        <v>3036</v>
      </c>
      <c r="G1374" s="186" t="s">
        <v>3036</v>
      </c>
      <c r="H1374" s="186" t="s">
        <v>3099</v>
      </c>
      <c r="I1374" s="187" t="s">
        <v>2418</v>
      </c>
      <c r="J1374" s="187" t="s">
        <v>2419</v>
      </c>
      <c r="K1374" s="188"/>
      <c r="L1374" s="188"/>
      <c r="M1374" s="189" t="s">
        <v>847</v>
      </c>
      <c r="N1374" s="190">
        <v>205.44</v>
      </c>
      <c r="O1374" s="190">
        <f t="shared" si="171"/>
        <v>223.93</v>
      </c>
      <c r="P1374" s="191">
        <f t="shared" si="172"/>
        <v>0</v>
      </c>
      <c r="Q1374" s="192">
        <f t="shared" si="173"/>
        <v>0</v>
      </c>
      <c r="R1374" s="193"/>
      <c r="S1374" s="194"/>
      <c r="T1374" s="195">
        <f t="shared" si="174"/>
        <v>0</v>
      </c>
      <c r="U1374" s="195">
        <f t="shared" si="175"/>
        <v>0</v>
      </c>
      <c r="V1374" s="195">
        <f t="shared" si="176"/>
        <v>0</v>
      </c>
      <c r="W1374" s="196" t="e">
        <f t="shared" si="177"/>
        <v>#DIV/0!</v>
      </c>
      <c r="X1374" s="197" t="e">
        <f t="shared" si="178"/>
        <v>#DIV/0!</v>
      </c>
    </row>
    <row r="1375" ht="11.4" hidden="1" customHeight="1" spans="1:24">
      <c r="A1375" s="184" t="s">
        <v>3102</v>
      </c>
      <c r="B1375" s="184" t="s">
        <v>153</v>
      </c>
      <c r="C1375" s="184" t="s">
        <v>905</v>
      </c>
      <c r="D1375" s="185" t="s">
        <v>700</v>
      </c>
      <c r="E1375" s="186" t="s">
        <v>2956</v>
      </c>
      <c r="F1375" s="186" t="s">
        <v>3036</v>
      </c>
      <c r="G1375" s="186" t="s">
        <v>3036</v>
      </c>
      <c r="H1375" s="186" t="s">
        <v>3099</v>
      </c>
      <c r="I1375" s="187" t="s">
        <v>2422</v>
      </c>
      <c r="J1375" s="187" t="s">
        <v>2423</v>
      </c>
      <c r="K1375" s="188"/>
      <c r="L1375" s="188"/>
      <c r="M1375" s="189" t="s">
        <v>847</v>
      </c>
      <c r="N1375" s="190">
        <v>179.04</v>
      </c>
      <c r="O1375" s="190">
        <f t="shared" si="171"/>
        <v>195.15</v>
      </c>
      <c r="P1375" s="191">
        <f t="shared" si="172"/>
        <v>0</v>
      </c>
      <c r="Q1375" s="192">
        <f t="shared" si="173"/>
        <v>0</v>
      </c>
      <c r="R1375" s="193"/>
      <c r="S1375" s="194"/>
      <c r="T1375" s="195">
        <f t="shared" si="174"/>
        <v>0</v>
      </c>
      <c r="U1375" s="195">
        <f t="shared" si="175"/>
        <v>0</v>
      </c>
      <c r="V1375" s="195">
        <f t="shared" si="176"/>
        <v>0</v>
      </c>
      <c r="W1375" s="196" t="e">
        <f t="shared" si="177"/>
        <v>#DIV/0!</v>
      </c>
      <c r="X1375" s="197" t="e">
        <f t="shared" si="178"/>
        <v>#DIV/0!</v>
      </c>
    </row>
    <row r="1376" ht="11.4" hidden="1" customHeight="1" spans="1:24">
      <c r="A1376" s="184" t="s">
        <v>3102</v>
      </c>
      <c r="B1376" s="184" t="s">
        <v>153</v>
      </c>
      <c r="C1376" s="184" t="s">
        <v>905</v>
      </c>
      <c r="D1376" s="185" t="s">
        <v>700</v>
      </c>
      <c r="E1376" s="186" t="s">
        <v>2956</v>
      </c>
      <c r="F1376" s="186" t="s">
        <v>3036</v>
      </c>
      <c r="G1376" s="186" t="s">
        <v>3036</v>
      </c>
      <c r="H1376" s="186" t="s">
        <v>3099</v>
      </c>
      <c r="I1376" s="187" t="s">
        <v>2424</v>
      </c>
      <c r="J1376" s="187" t="s">
        <v>2425</v>
      </c>
      <c r="K1376" s="188"/>
      <c r="L1376" s="188"/>
      <c r="M1376" s="189" t="s">
        <v>847</v>
      </c>
      <c r="N1376" s="190">
        <v>205.44</v>
      </c>
      <c r="O1376" s="190">
        <f t="shared" si="171"/>
        <v>223.93</v>
      </c>
      <c r="P1376" s="191">
        <f t="shared" si="172"/>
        <v>0</v>
      </c>
      <c r="Q1376" s="192">
        <f t="shared" si="173"/>
        <v>0</v>
      </c>
      <c r="R1376" s="193"/>
      <c r="S1376" s="194"/>
      <c r="T1376" s="195">
        <f t="shared" si="174"/>
        <v>0</v>
      </c>
      <c r="U1376" s="195">
        <f t="shared" si="175"/>
        <v>0</v>
      </c>
      <c r="V1376" s="195">
        <f t="shared" si="176"/>
        <v>0</v>
      </c>
      <c r="W1376" s="196" t="e">
        <f t="shared" si="177"/>
        <v>#DIV/0!</v>
      </c>
      <c r="X1376" s="197" t="e">
        <f t="shared" si="178"/>
        <v>#DIV/0!</v>
      </c>
    </row>
    <row r="1377" ht="11.4" hidden="1" customHeight="1" spans="1:24">
      <c r="A1377" s="184" t="s">
        <v>3102</v>
      </c>
      <c r="B1377" s="184" t="s">
        <v>153</v>
      </c>
      <c r="C1377" s="184" t="s">
        <v>905</v>
      </c>
      <c r="D1377" s="185" t="s">
        <v>700</v>
      </c>
      <c r="E1377" s="186" t="s">
        <v>2956</v>
      </c>
      <c r="F1377" s="186" t="s">
        <v>3036</v>
      </c>
      <c r="G1377" s="186" t="s">
        <v>3036</v>
      </c>
      <c r="H1377" s="186" t="s">
        <v>3099</v>
      </c>
      <c r="I1377" s="187" t="s">
        <v>2426</v>
      </c>
      <c r="J1377" s="187" t="s">
        <v>2427</v>
      </c>
      <c r="K1377" s="188"/>
      <c r="L1377" s="188"/>
      <c r="M1377" s="189" t="s">
        <v>847</v>
      </c>
      <c r="N1377" s="190">
        <v>156.31</v>
      </c>
      <c r="O1377" s="190">
        <f t="shared" si="171"/>
        <v>170.38</v>
      </c>
      <c r="P1377" s="191">
        <f t="shared" si="172"/>
        <v>0</v>
      </c>
      <c r="Q1377" s="192">
        <f t="shared" si="173"/>
        <v>0</v>
      </c>
      <c r="R1377" s="193"/>
      <c r="S1377" s="194"/>
      <c r="T1377" s="195">
        <f t="shared" si="174"/>
        <v>0</v>
      </c>
      <c r="U1377" s="195">
        <f t="shared" si="175"/>
        <v>0</v>
      </c>
      <c r="V1377" s="195">
        <f t="shared" si="176"/>
        <v>0</v>
      </c>
      <c r="W1377" s="196" t="e">
        <f t="shared" si="177"/>
        <v>#DIV/0!</v>
      </c>
      <c r="X1377" s="197" t="e">
        <f t="shared" si="178"/>
        <v>#DIV/0!</v>
      </c>
    </row>
    <row r="1378" ht="11.4" hidden="1" customHeight="1" spans="1:24">
      <c r="A1378" s="184" t="s">
        <v>3102</v>
      </c>
      <c r="B1378" s="184" t="s">
        <v>153</v>
      </c>
      <c r="C1378" s="184" t="s">
        <v>905</v>
      </c>
      <c r="D1378" s="185" t="s">
        <v>700</v>
      </c>
      <c r="E1378" s="186" t="s">
        <v>2956</v>
      </c>
      <c r="F1378" s="186" t="s">
        <v>3036</v>
      </c>
      <c r="G1378" s="186" t="s">
        <v>3036</v>
      </c>
      <c r="H1378" s="186" t="s">
        <v>3099</v>
      </c>
      <c r="I1378" s="187" t="s">
        <v>2440</v>
      </c>
      <c r="J1378" s="187" t="s">
        <v>2441</v>
      </c>
      <c r="K1378" s="188"/>
      <c r="L1378" s="188"/>
      <c r="M1378" s="189" t="s">
        <v>963</v>
      </c>
      <c r="N1378" s="190">
        <v>1315.9</v>
      </c>
      <c r="O1378" s="190">
        <f t="shared" si="171"/>
        <v>1434.33</v>
      </c>
      <c r="P1378" s="191">
        <f t="shared" si="172"/>
        <v>0</v>
      </c>
      <c r="Q1378" s="192">
        <f t="shared" si="173"/>
        <v>0</v>
      </c>
      <c r="R1378" s="193"/>
      <c r="S1378" s="194"/>
      <c r="T1378" s="195">
        <f t="shared" si="174"/>
        <v>0</v>
      </c>
      <c r="U1378" s="195">
        <f t="shared" si="175"/>
        <v>0</v>
      </c>
      <c r="V1378" s="195">
        <f t="shared" si="176"/>
        <v>0</v>
      </c>
      <c r="W1378" s="196" t="e">
        <f t="shared" si="177"/>
        <v>#DIV/0!</v>
      </c>
      <c r="X1378" s="197" t="e">
        <f t="shared" si="178"/>
        <v>#DIV/0!</v>
      </c>
    </row>
    <row r="1379" ht="11.4" hidden="1" customHeight="1" spans="1:24">
      <c r="A1379" s="184" t="s">
        <v>3102</v>
      </c>
      <c r="B1379" s="184" t="s">
        <v>153</v>
      </c>
      <c r="C1379" s="184" t="s">
        <v>905</v>
      </c>
      <c r="D1379" s="185" t="s">
        <v>700</v>
      </c>
      <c r="E1379" s="186" t="s">
        <v>2956</v>
      </c>
      <c r="F1379" s="186" t="s">
        <v>3036</v>
      </c>
      <c r="G1379" s="186" t="s">
        <v>3036</v>
      </c>
      <c r="H1379" s="186" t="s">
        <v>3099</v>
      </c>
      <c r="I1379" s="187" t="s">
        <v>2480</v>
      </c>
      <c r="J1379" s="187" t="s">
        <v>2481</v>
      </c>
      <c r="K1379" s="188"/>
      <c r="L1379" s="188"/>
      <c r="M1379" s="189" t="s">
        <v>963</v>
      </c>
      <c r="N1379" s="190">
        <v>418.43</v>
      </c>
      <c r="O1379" s="190">
        <f t="shared" si="171"/>
        <v>456.09</v>
      </c>
      <c r="P1379" s="191">
        <f t="shared" si="172"/>
        <v>0</v>
      </c>
      <c r="Q1379" s="192">
        <f t="shared" si="173"/>
        <v>0</v>
      </c>
      <c r="R1379" s="193"/>
      <c r="S1379" s="194"/>
      <c r="T1379" s="195">
        <f t="shared" si="174"/>
        <v>0</v>
      </c>
      <c r="U1379" s="195">
        <f t="shared" si="175"/>
        <v>0</v>
      </c>
      <c r="V1379" s="195">
        <f t="shared" si="176"/>
        <v>0</v>
      </c>
      <c r="W1379" s="196" t="e">
        <f t="shared" si="177"/>
        <v>#DIV/0!</v>
      </c>
      <c r="X1379" s="197" t="e">
        <f t="shared" si="178"/>
        <v>#DIV/0!</v>
      </c>
    </row>
    <row r="1380" ht="11.4" hidden="1" customHeight="1" spans="1:24">
      <c r="A1380" s="184" t="s">
        <v>3102</v>
      </c>
      <c r="B1380" s="184" t="s">
        <v>153</v>
      </c>
      <c r="C1380" s="184" t="s">
        <v>905</v>
      </c>
      <c r="D1380" s="185" t="s">
        <v>700</v>
      </c>
      <c r="E1380" s="186" t="s">
        <v>2956</v>
      </c>
      <c r="F1380" s="186" t="s">
        <v>3036</v>
      </c>
      <c r="G1380" s="186" t="s">
        <v>3036</v>
      </c>
      <c r="H1380" s="186" t="s">
        <v>3099</v>
      </c>
      <c r="I1380" s="187" t="s">
        <v>2482</v>
      </c>
      <c r="J1380" s="187" t="s">
        <v>2483</v>
      </c>
      <c r="K1380" s="188"/>
      <c r="L1380" s="188"/>
      <c r="M1380" s="189" t="s">
        <v>963</v>
      </c>
      <c r="N1380" s="190">
        <v>360.13</v>
      </c>
      <c r="O1380" s="190">
        <f t="shared" si="171"/>
        <v>392.54</v>
      </c>
      <c r="P1380" s="191">
        <f t="shared" si="172"/>
        <v>0</v>
      </c>
      <c r="Q1380" s="192">
        <f t="shared" si="173"/>
        <v>0</v>
      </c>
      <c r="R1380" s="193"/>
      <c r="S1380" s="194"/>
      <c r="T1380" s="195">
        <f t="shared" si="174"/>
        <v>0</v>
      </c>
      <c r="U1380" s="195">
        <f t="shared" si="175"/>
        <v>0</v>
      </c>
      <c r="V1380" s="195">
        <f t="shared" si="176"/>
        <v>0</v>
      </c>
      <c r="W1380" s="196" t="e">
        <f t="shared" si="177"/>
        <v>#DIV/0!</v>
      </c>
      <c r="X1380" s="197" t="e">
        <f t="shared" si="178"/>
        <v>#DIV/0!</v>
      </c>
    </row>
    <row r="1381" ht="11.4" hidden="1" customHeight="1" spans="1:24">
      <c r="A1381" s="184" t="s">
        <v>3102</v>
      </c>
      <c r="B1381" s="184" t="s">
        <v>153</v>
      </c>
      <c r="C1381" s="184" t="s">
        <v>905</v>
      </c>
      <c r="D1381" s="185" t="s">
        <v>700</v>
      </c>
      <c r="E1381" s="186" t="s">
        <v>2956</v>
      </c>
      <c r="F1381" s="186" t="s">
        <v>3036</v>
      </c>
      <c r="G1381" s="186" t="s">
        <v>3036</v>
      </c>
      <c r="H1381" s="186" t="s">
        <v>3099</v>
      </c>
      <c r="I1381" s="187" t="s">
        <v>2484</v>
      </c>
      <c r="J1381" s="187" t="s">
        <v>2485</v>
      </c>
      <c r="K1381" s="188"/>
      <c r="L1381" s="188"/>
      <c r="M1381" s="189" t="s">
        <v>963</v>
      </c>
      <c r="N1381" s="190">
        <v>297.43</v>
      </c>
      <c r="O1381" s="190">
        <f t="shared" si="171"/>
        <v>324.2</v>
      </c>
      <c r="P1381" s="191">
        <f t="shared" si="172"/>
        <v>0</v>
      </c>
      <c r="Q1381" s="192">
        <f t="shared" si="173"/>
        <v>0</v>
      </c>
      <c r="R1381" s="193"/>
      <c r="S1381" s="194"/>
      <c r="T1381" s="195">
        <f t="shared" si="174"/>
        <v>0</v>
      </c>
      <c r="U1381" s="195">
        <f t="shared" si="175"/>
        <v>0</v>
      </c>
      <c r="V1381" s="195">
        <f t="shared" si="176"/>
        <v>0</v>
      </c>
      <c r="W1381" s="196" t="e">
        <f t="shared" si="177"/>
        <v>#DIV/0!</v>
      </c>
      <c r="X1381" s="197" t="e">
        <f t="shared" si="178"/>
        <v>#DIV/0!</v>
      </c>
    </row>
    <row r="1382" ht="11.4" hidden="1" customHeight="1" spans="1:24">
      <c r="A1382" s="184" t="s">
        <v>3102</v>
      </c>
      <c r="B1382" s="184" t="s">
        <v>153</v>
      </c>
      <c r="C1382" s="184" t="s">
        <v>905</v>
      </c>
      <c r="D1382" s="185" t="s">
        <v>700</v>
      </c>
      <c r="E1382" s="186" t="s">
        <v>2956</v>
      </c>
      <c r="F1382" s="186" t="s">
        <v>3036</v>
      </c>
      <c r="G1382" s="186" t="s">
        <v>3036</v>
      </c>
      <c r="H1382" s="186" t="s">
        <v>3099</v>
      </c>
      <c r="I1382" s="187" t="s">
        <v>2492</v>
      </c>
      <c r="J1382" s="187" t="s">
        <v>2493</v>
      </c>
      <c r="K1382" s="188"/>
      <c r="L1382" s="188"/>
      <c r="M1382" s="189" t="s">
        <v>807</v>
      </c>
      <c r="N1382" s="190">
        <v>212.29</v>
      </c>
      <c r="O1382" s="190">
        <f t="shared" si="171"/>
        <v>231.4</v>
      </c>
      <c r="P1382" s="191">
        <f t="shared" si="172"/>
        <v>0</v>
      </c>
      <c r="Q1382" s="192">
        <f t="shared" si="173"/>
        <v>0</v>
      </c>
      <c r="R1382" s="193"/>
      <c r="S1382" s="194"/>
      <c r="T1382" s="195">
        <f t="shared" si="174"/>
        <v>0</v>
      </c>
      <c r="U1382" s="195">
        <f t="shared" si="175"/>
        <v>0</v>
      </c>
      <c r="V1382" s="195">
        <f t="shared" si="176"/>
        <v>0</v>
      </c>
      <c r="W1382" s="196" t="e">
        <f t="shared" si="177"/>
        <v>#DIV/0!</v>
      </c>
      <c r="X1382" s="197" t="e">
        <f t="shared" si="178"/>
        <v>#DIV/0!</v>
      </c>
    </row>
    <row r="1383" ht="11.4" hidden="1" customHeight="1" spans="1:24">
      <c r="A1383" s="184" t="s">
        <v>3102</v>
      </c>
      <c r="B1383" s="184" t="s">
        <v>153</v>
      </c>
      <c r="C1383" s="184" t="s">
        <v>905</v>
      </c>
      <c r="D1383" s="185" t="s">
        <v>700</v>
      </c>
      <c r="E1383" s="186" t="s">
        <v>2956</v>
      </c>
      <c r="F1383" s="186" t="s">
        <v>3036</v>
      </c>
      <c r="G1383" s="186" t="s">
        <v>3036</v>
      </c>
      <c r="H1383" s="186" t="s">
        <v>3099</v>
      </c>
      <c r="I1383" s="187" t="s">
        <v>2499</v>
      </c>
      <c r="J1383" s="187" t="s">
        <v>2500</v>
      </c>
      <c r="K1383" s="188"/>
      <c r="L1383" s="188"/>
      <c r="M1383" s="189" t="s">
        <v>963</v>
      </c>
      <c r="N1383" s="190">
        <v>430.53</v>
      </c>
      <c r="O1383" s="190">
        <f t="shared" si="171"/>
        <v>469.28</v>
      </c>
      <c r="P1383" s="191">
        <f t="shared" si="172"/>
        <v>0</v>
      </c>
      <c r="Q1383" s="192">
        <f t="shared" si="173"/>
        <v>0</v>
      </c>
      <c r="R1383" s="193"/>
      <c r="S1383" s="194"/>
      <c r="T1383" s="195">
        <f t="shared" si="174"/>
        <v>0</v>
      </c>
      <c r="U1383" s="195">
        <f t="shared" si="175"/>
        <v>0</v>
      </c>
      <c r="V1383" s="195">
        <f t="shared" si="176"/>
        <v>0</v>
      </c>
      <c r="W1383" s="196" t="e">
        <f t="shared" si="177"/>
        <v>#DIV/0!</v>
      </c>
      <c r="X1383" s="197" t="e">
        <f t="shared" si="178"/>
        <v>#DIV/0!</v>
      </c>
    </row>
    <row r="1384" ht="11.4" hidden="1" customHeight="1" spans="1:24">
      <c r="A1384" s="184" t="s">
        <v>3102</v>
      </c>
      <c r="B1384" s="184" t="s">
        <v>153</v>
      </c>
      <c r="C1384" s="184" t="s">
        <v>905</v>
      </c>
      <c r="D1384" s="185" t="s">
        <v>700</v>
      </c>
      <c r="E1384" s="186" t="s">
        <v>2956</v>
      </c>
      <c r="F1384" s="186" t="s">
        <v>3036</v>
      </c>
      <c r="G1384" s="186" t="s">
        <v>3036</v>
      </c>
      <c r="H1384" s="186" t="s">
        <v>3099</v>
      </c>
      <c r="I1384" s="187" t="s">
        <v>2503</v>
      </c>
      <c r="J1384" s="187" t="s">
        <v>2504</v>
      </c>
      <c r="K1384" s="188"/>
      <c r="L1384" s="188"/>
      <c r="M1384" s="189" t="s">
        <v>963</v>
      </c>
      <c r="N1384" s="190">
        <v>358.38</v>
      </c>
      <c r="O1384" s="190">
        <f t="shared" si="171"/>
        <v>390.63</v>
      </c>
      <c r="P1384" s="191">
        <f t="shared" si="172"/>
        <v>0</v>
      </c>
      <c r="Q1384" s="192">
        <f t="shared" si="173"/>
        <v>0</v>
      </c>
      <c r="R1384" s="193"/>
      <c r="S1384" s="194"/>
      <c r="T1384" s="195">
        <f t="shared" si="174"/>
        <v>0</v>
      </c>
      <c r="U1384" s="195">
        <f t="shared" si="175"/>
        <v>0</v>
      </c>
      <c r="V1384" s="195">
        <f t="shared" si="176"/>
        <v>0</v>
      </c>
      <c r="W1384" s="196" t="e">
        <f t="shared" si="177"/>
        <v>#DIV/0!</v>
      </c>
      <c r="X1384" s="197" t="e">
        <f t="shared" si="178"/>
        <v>#DIV/0!</v>
      </c>
    </row>
    <row r="1385" ht="11.4" hidden="1" customHeight="1" spans="1:24">
      <c r="A1385" s="184" t="s">
        <v>3102</v>
      </c>
      <c r="B1385" s="184" t="s">
        <v>153</v>
      </c>
      <c r="C1385" s="184" t="s">
        <v>905</v>
      </c>
      <c r="D1385" s="185" t="s">
        <v>700</v>
      </c>
      <c r="E1385" s="186" t="s">
        <v>2956</v>
      </c>
      <c r="F1385" s="186" t="s">
        <v>3036</v>
      </c>
      <c r="G1385" s="186" t="s">
        <v>3036</v>
      </c>
      <c r="H1385" s="186" t="s">
        <v>3099</v>
      </c>
      <c r="I1385" s="187" t="s">
        <v>2508</v>
      </c>
      <c r="J1385" s="187" t="s">
        <v>2509</v>
      </c>
      <c r="K1385" s="188"/>
      <c r="L1385" s="188"/>
      <c r="M1385" s="189" t="s">
        <v>963</v>
      </c>
      <c r="N1385" s="190">
        <v>368.83</v>
      </c>
      <c r="O1385" s="190">
        <f t="shared" si="171"/>
        <v>402.02</v>
      </c>
      <c r="P1385" s="191">
        <f t="shared" si="172"/>
        <v>0</v>
      </c>
      <c r="Q1385" s="192">
        <f t="shared" si="173"/>
        <v>0</v>
      </c>
      <c r="R1385" s="193"/>
      <c r="S1385" s="194"/>
      <c r="T1385" s="195">
        <f t="shared" si="174"/>
        <v>0</v>
      </c>
      <c r="U1385" s="195">
        <f t="shared" si="175"/>
        <v>0</v>
      </c>
      <c r="V1385" s="195">
        <f t="shared" si="176"/>
        <v>0</v>
      </c>
      <c r="W1385" s="196" t="e">
        <f t="shared" si="177"/>
        <v>#DIV/0!</v>
      </c>
      <c r="X1385" s="197" t="e">
        <f t="shared" si="178"/>
        <v>#DIV/0!</v>
      </c>
    </row>
    <row r="1386" ht="11.4" hidden="1" customHeight="1" spans="1:24">
      <c r="A1386" s="184" t="s">
        <v>3102</v>
      </c>
      <c r="B1386" s="184" t="s">
        <v>153</v>
      </c>
      <c r="C1386" s="184" t="s">
        <v>905</v>
      </c>
      <c r="D1386" s="185" t="s">
        <v>700</v>
      </c>
      <c r="E1386" s="186" t="s">
        <v>2956</v>
      </c>
      <c r="F1386" s="186" t="s">
        <v>3036</v>
      </c>
      <c r="G1386" s="186" t="s">
        <v>3036</v>
      </c>
      <c r="H1386" s="186" t="s">
        <v>3099</v>
      </c>
      <c r="I1386" s="187" t="s">
        <v>2516</v>
      </c>
      <c r="J1386" s="187" t="s">
        <v>2517</v>
      </c>
      <c r="K1386" s="188"/>
      <c r="L1386" s="188"/>
      <c r="M1386" s="189" t="s">
        <v>963</v>
      </c>
      <c r="N1386" s="190">
        <v>232.43</v>
      </c>
      <c r="O1386" s="190">
        <f t="shared" si="171"/>
        <v>253.35</v>
      </c>
      <c r="P1386" s="191">
        <f t="shared" si="172"/>
        <v>0</v>
      </c>
      <c r="Q1386" s="192">
        <f t="shared" si="173"/>
        <v>0</v>
      </c>
      <c r="R1386" s="193"/>
      <c r="S1386" s="194"/>
      <c r="T1386" s="195">
        <f t="shared" si="174"/>
        <v>0</v>
      </c>
      <c r="U1386" s="195">
        <f t="shared" si="175"/>
        <v>0</v>
      </c>
      <c r="V1386" s="195">
        <f t="shared" si="176"/>
        <v>0</v>
      </c>
      <c r="W1386" s="196" t="e">
        <f t="shared" si="177"/>
        <v>#DIV/0!</v>
      </c>
      <c r="X1386" s="197" t="e">
        <f t="shared" si="178"/>
        <v>#DIV/0!</v>
      </c>
    </row>
    <row r="1387" ht="11.4" hidden="1" customHeight="1" spans="1:24">
      <c r="A1387" s="184" t="s">
        <v>3102</v>
      </c>
      <c r="B1387" s="184" t="s">
        <v>153</v>
      </c>
      <c r="C1387" s="184" t="s">
        <v>905</v>
      </c>
      <c r="D1387" s="185" t="s">
        <v>700</v>
      </c>
      <c r="E1387" s="186" t="s">
        <v>2956</v>
      </c>
      <c r="F1387" s="186" t="s">
        <v>3036</v>
      </c>
      <c r="G1387" s="186" t="s">
        <v>3036</v>
      </c>
      <c r="H1387" s="186" t="s">
        <v>3099</v>
      </c>
      <c r="I1387" s="187" t="s">
        <v>2459</v>
      </c>
      <c r="J1387" s="187" t="s">
        <v>2460</v>
      </c>
      <c r="K1387" s="188"/>
      <c r="L1387" s="188"/>
      <c r="M1387" s="189" t="s">
        <v>807</v>
      </c>
      <c r="N1387" s="190">
        <v>122.2</v>
      </c>
      <c r="O1387" s="190">
        <f t="shared" si="171"/>
        <v>133.2</v>
      </c>
      <c r="P1387" s="191">
        <f t="shared" si="172"/>
        <v>0</v>
      </c>
      <c r="Q1387" s="192">
        <f t="shared" si="173"/>
        <v>0</v>
      </c>
      <c r="R1387" s="193"/>
      <c r="S1387" s="194"/>
      <c r="T1387" s="195">
        <f t="shared" si="174"/>
        <v>0</v>
      </c>
      <c r="U1387" s="195">
        <f t="shared" si="175"/>
        <v>0</v>
      </c>
      <c r="V1387" s="195">
        <f t="shared" si="176"/>
        <v>0</v>
      </c>
      <c r="W1387" s="196" t="e">
        <f t="shared" si="177"/>
        <v>#DIV/0!</v>
      </c>
      <c r="X1387" s="197" t="e">
        <f t="shared" si="178"/>
        <v>#DIV/0!</v>
      </c>
    </row>
    <row r="1388" ht="11.4" hidden="1" customHeight="1" spans="1:24">
      <c r="A1388" s="184" t="s">
        <v>3111</v>
      </c>
      <c r="B1388" s="184" t="s">
        <v>188</v>
      </c>
      <c r="C1388" s="184" t="s">
        <v>2644</v>
      </c>
      <c r="D1388" s="185" t="s">
        <v>700</v>
      </c>
      <c r="E1388" s="186" t="s">
        <v>3010</v>
      </c>
      <c r="F1388" s="186" t="s">
        <v>3112</v>
      </c>
      <c r="G1388" s="186" t="s">
        <v>3113</v>
      </c>
      <c r="H1388" s="186" t="s">
        <v>3114</v>
      </c>
      <c r="I1388" s="187" t="s">
        <v>2652</v>
      </c>
      <c r="J1388" s="187" t="s">
        <v>2653</v>
      </c>
      <c r="K1388" s="188"/>
      <c r="L1388" s="188"/>
      <c r="M1388" s="189" t="s">
        <v>847</v>
      </c>
      <c r="N1388" s="190">
        <v>438.66</v>
      </c>
      <c r="O1388" s="190">
        <f t="shared" si="171"/>
        <v>478.14</v>
      </c>
      <c r="P1388" s="191">
        <f t="shared" si="172"/>
        <v>0</v>
      </c>
      <c r="Q1388" s="192">
        <f t="shared" si="173"/>
        <v>0</v>
      </c>
      <c r="R1388" s="193"/>
      <c r="S1388" s="194"/>
      <c r="T1388" s="195">
        <f t="shared" si="174"/>
        <v>0</v>
      </c>
      <c r="U1388" s="195">
        <f t="shared" si="175"/>
        <v>0</v>
      </c>
      <c r="V1388" s="195">
        <f t="shared" si="176"/>
        <v>0</v>
      </c>
      <c r="W1388" s="196" t="e">
        <f t="shared" si="177"/>
        <v>#DIV/0!</v>
      </c>
      <c r="X1388" s="197" t="e">
        <f t="shared" si="178"/>
        <v>#DIV/0!</v>
      </c>
    </row>
    <row r="1389" ht="11.4" hidden="1" customHeight="1" spans="1:24">
      <c r="A1389" s="184" t="s">
        <v>3111</v>
      </c>
      <c r="B1389" s="184" t="s">
        <v>188</v>
      </c>
      <c r="C1389" s="184" t="s">
        <v>2644</v>
      </c>
      <c r="D1389" s="185" t="s">
        <v>700</v>
      </c>
      <c r="E1389" s="186" t="s">
        <v>3010</v>
      </c>
      <c r="F1389" s="186" t="s">
        <v>3112</v>
      </c>
      <c r="G1389" s="186" t="s">
        <v>3113</v>
      </c>
      <c r="H1389" s="186" t="s">
        <v>3114</v>
      </c>
      <c r="I1389" s="187" t="s">
        <v>3023</v>
      </c>
      <c r="J1389" s="187" t="s">
        <v>3024</v>
      </c>
      <c r="K1389" s="188"/>
      <c r="L1389" s="188"/>
      <c r="M1389" s="189" t="s">
        <v>793</v>
      </c>
      <c r="N1389" s="190">
        <v>674.38</v>
      </c>
      <c r="O1389" s="190">
        <f t="shared" si="171"/>
        <v>735.07</v>
      </c>
      <c r="P1389" s="191">
        <f t="shared" si="172"/>
        <v>0</v>
      </c>
      <c r="Q1389" s="192">
        <f t="shared" si="173"/>
        <v>0</v>
      </c>
      <c r="R1389" s="193"/>
      <c r="S1389" s="194"/>
      <c r="T1389" s="195">
        <f t="shared" si="174"/>
        <v>0</v>
      </c>
      <c r="U1389" s="195">
        <f t="shared" si="175"/>
        <v>0</v>
      </c>
      <c r="V1389" s="195">
        <f t="shared" si="176"/>
        <v>0</v>
      </c>
      <c r="W1389" s="196" t="e">
        <f t="shared" si="177"/>
        <v>#DIV/0!</v>
      </c>
      <c r="X1389" s="197" t="e">
        <f t="shared" si="178"/>
        <v>#DIV/0!</v>
      </c>
    </row>
    <row r="1390" ht="11.4" hidden="1" customHeight="1" spans="1:24">
      <c r="A1390" s="184" t="s">
        <v>3111</v>
      </c>
      <c r="B1390" s="184" t="s">
        <v>188</v>
      </c>
      <c r="C1390" s="184" t="s">
        <v>2644</v>
      </c>
      <c r="D1390" s="185" t="s">
        <v>700</v>
      </c>
      <c r="E1390" s="186" t="s">
        <v>3010</v>
      </c>
      <c r="F1390" s="186" t="s">
        <v>3112</v>
      </c>
      <c r="G1390" s="186" t="s">
        <v>3113</v>
      </c>
      <c r="H1390" s="186" t="s">
        <v>3115</v>
      </c>
      <c r="I1390" s="187" t="s">
        <v>3026</v>
      </c>
      <c r="J1390" s="187" t="s">
        <v>3027</v>
      </c>
      <c r="K1390" s="188"/>
      <c r="L1390" s="188"/>
      <c r="M1390" s="189" t="s">
        <v>793</v>
      </c>
      <c r="N1390" s="190">
        <v>761.5</v>
      </c>
      <c r="O1390" s="190">
        <f t="shared" si="171"/>
        <v>830.04</v>
      </c>
      <c r="P1390" s="191">
        <f t="shared" si="172"/>
        <v>0</v>
      </c>
      <c r="Q1390" s="192">
        <f t="shared" si="173"/>
        <v>0</v>
      </c>
      <c r="R1390" s="193"/>
      <c r="S1390" s="194"/>
      <c r="T1390" s="195">
        <f t="shared" si="174"/>
        <v>0</v>
      </c>
      <c r="U1390" s="195">
        <f t="shared" si="175"/>
        <v>0</v>
      </c>
      <c r="V1390" s="195">
        <f t="shared" si="176"/>
        <v>0</v>
      </c>
      <c r="W1390" s="196" t="e">
        <f t="shared" si="177"/>
        <v>#DIV/0!</v>
      </c>
      <c r="X1390" s="197" t="e">
        <f t="shared" si="178"/>
        <v>#DIV/0!</v>
      </c>
    </row>
    <row r="1391" ht="11.4" hidden="1" customHeight="1" spans="1:24">
      <c r="A1391" s="184" t="s">
        <v>3111</v>
      </c>
      <c r="B1391" s="184" t="s">
        <v>188</v>
      </c>
      <c r="C1391" s="184" t="s">
        <v>2644</v>
      </c>
      <c r="D1391" s="185" t="s">
        <v>700</v>
      </c>
      <c r="E1391" s="186" t="s">
        <v>3010</v>
      </c>
      <c r="F1391" s="186" t="s">
        <v>3112</v>
      </c>
      <c r="G1391" s="186" t="s">
        <v>3113</v>
      </c>
      <c r="H1391" s="186" t="s">
        <v>3116</v>
      </c>
      <c r="I1391" s="187" t="s">
        <v>3029</v>
      </c>
      <c r="J1391" s="187" t="s">
        <v>3030</v>
      </c>
      <c r="K1391" s="188"/>
      <c r="L1391" s="188"/>
      <c r="M1391" s="189" t="s">
        <v>793</v>
      </c>
      <c r="N1391" s="190">
        <v>137.5</v>
      </c>
      <c r="O1391" s="190">
        <f t="shared" si="171"/>
        <v>149.88</v>
      </c>
      <c r="P1391" s="191">
        <f t="shared" si="172"/>
        <v>0</v>
      </c>
      <c r="Q1391" s="192">
        <f t="shared" si="173"/>
        <v>0</v>
      </c>
      <c r="R1391" s="193"/>
      <c r="S1391" s="194"/>
      <c r="T1391" s="195">
        <f t="shared" si="174"/>
        <v>0</v>
      </c>
      <c r="U1391" s="195">
        <f t="shared" si="175"/>
        <v>0</v>
      </c>
      <c r="V1391" s="195">
        <f t="shared" si="176"/>
        <v>0</v>
      </c>
      <c r="W1391" s="196" t="e">
        <f t="shared" si="177"/>
        <v>#DIV/0!</v>
      </c>
      <c r="X1391" s="197" t="e">
        <f t="shared" si="178"/>
        <v>#DIV/0!</v>
      </c>
    </row>
    <row r="1392" ht="11.4" hidden="1" customHeight="1" spans="1:24">
      <c r="A1392" s="184" t="s">
        <v>3111</v>
      </c>
      <c r="B1392" s="184" t="s">
        <v>188</v>
      </c>
      <c r="C1392" s="184" t="s">
        <v>2644</v>
      </c>
      <c r="D1392" s="185" t="s">
        <v>700</v>
      </c>
      <c r="E1392" s="186" t="s">
        <v>3010</v>
      </c>
      <c r="F1392" s="186" t="s">
        <v>3112</v>
      </c>
      <c r="G1392" s="186" t="s">
        <v>3113</v>
      </c>
      <c r="H1392" s="186" t="s">
        <v>3116</v>
      </c>
      <c r="I1392" s="187" t="s">
        <v>3033</v>
      </c>
      <c r="J1392" s="187" t="s">
        <v>3034</v>
      </c>
      <c r="K1392" s="188"/>
      <c r="L1392" s="188"/>
      <c r="M1392" s="189" t="s">
        <v>963</v>
      </c>
      <c r="N1392" s="190">
        <v>158.95</v>
      </c>
      <c r="O1392" s="190">
        <f t="shared" si="171"/>
        <v>173.26</v>
      </c>
      <c r="P1392" s="191">
        <f t="shared" si="172"/>
        <v>0</v>
      </c>
      <c r="Q1392" s="192">
        <f t="shared" si="173"/>
        <v>0</v>
      </c>
      <c r="R1392" s="193"/>
      <c r="S1392" s="194"/>
      <c r="T1392" s="195">
        <f t="shared" si="174"/>
        <v>0</v>
      </c>
      <c r="U1392" s="195">
        <f t="shared" si="175"/>
        <v>0</v>
      </c>
      <c r="V1392" s="195">
        <f t="shared" si="176"/>
        <v>0</v>
      </c>
      <c r="W1392" s="196" t="e">
        <f t="shared" si="177"/>
        <v>#DIV/0!</v>
      </c>
      <c r="X1392" s="197" t="e">
        <f t="shared" si="178"/>
        <v>#DIV/0!</v>
      </c>
    </row>
    <row r="1393" ht="11.4" hidden="1" customHeight="1" spans="1:24">
      <c r="A1393" s="184" t="s">
        <v>3111</v>
      </c>
      <c r="B1393" s="184" t="s">
        <v>188</v>
      </c>
      <c r="C1393" s="184" t="s">
        <v>2644</v>
      </c>
      <c r="D1393" s="185" t="s">
        <v>700</v>
      </c>
      <c r="E1393" s="186" t="s">
        <v>3010</v>
      </c>
      <c r="F1393" s="186" t="s">
        <v>3112</v>
      </c>
      <c r="G1393" s="186" t="s">
        <v>3113</v>
      </c>
      <c r="H1393" s="186" t="s">
        <v>3116</v>
      </c>
      <c r="I1393" s="187" t="s">
        <v>3031</v>
      </c>
      <c r="J1393" s="187" t="s">
        <v>3032</v>
      </c>
      <c r="K1393" s="188"/>
      <c r="L1393" s="188"/>
      <c r="M1393" s="189" t="s">
        <v>989</v>
      </c>
      <c r="N1393" s="190">
        <v>1197.5</v>
      </c>
      <c r="O1393" s="190">
        <f t="shared" si="171"/>
        <v>1305.28</v>
      </c>
      <c r="P1393" s="191">
        <f t="shared" si="172"/>
        <v>0</v>
      </c>
      <c r="Q1393" s="192">
        <f t="shared" si="173"/>
        <v>0</v>
      </c>
      <c r="R1393" s="193"/>
      <c r="S1393" s="194"/>
      <c r="T1393" s="195">
        <f t="shared" si="174"/>
        <v>0</v>
      </c>
      <c r="U1393" s="195">
        <f t="shared" si="175"/>
        <v>0</v>
      </c>
      <c r="V1393" s="195">
        <f t="shared" si="176"/>
        <v>0</v>
      </c>
      <c r="W1393" s="196" t="e">
        <f t="shared" si="177"/>
        <v>#DIV/0!</v>
      </c>
      <c r="X1393" s="197" t="e">
        <f t="shared" si="178"/>
        <v>#DIV/0!</v>
      </c>
    </row>
    <row r="1394" ht="11.4" hidden="1" customHeight="1" spans="1:24">
      <c r="A1394" s="184" t="s">
        <v>3117</v>
      </c>
      <c r="B1394" s="184" t="s">
        <v>355</v>
      </c>
      <c r="C1394" s="184" t="s">
        <v>2743</v>
      </c>
      <c r="D1394" s="185" t="s">
        <v>700</v>
      </c>
      <c r="E1394" s="186" t="s">
        <v>3010</v>
      </c>
      <c r="F1394" s="186" t="s">
        <v>3112</v>
      </c>
      <c r="G1394" s="186" t="s">
        <v>3118</v>
      </c>
      <c r="H1394" s="186" t="s">
        <v>3119</v>
      </c>
      <c r="I1394" s="187" t="s">
        <v>3014</v>
      </c>
      <c r="J1394" s="187" t="s">
        <v>3015</v>
      </c>
      <c r="K1394" s="188"/>
      <c r="L1394" s="188"/>
      <c r="M1394" s="189" t="s">
        <v>793</v>
      </c>
      <c r="N1394" s="190">
        <v>3741.96</v>
      </c>
      <c r="O1394" s="190">
        <f t="shared" si="171"/>
        <v>4078.74</v>
      </c>
      <c r="P1394" s="191">
        <f t="shared" si="172"/>
        <v>0</v>
      </c>
      <c r="Q1394" s="192">
        <f t="shared" si="173"/>
        <v>0</v>
      </c>
      <c r="R1394" s="193"/>
      <c r="S1394" s="194"/>
      <c r="T1394" s="195">
        <f t="shared" si="174"/>
        <v>0</v>
      </c>
      <c r="U1394" s="195">
        <f t="shared" si="175"/>
        <v>0</v>
      </c>
      <c r="V1394" s="195">
        <f t="shared" si="176"/>
        <v>0</v>
      </c>
      <c r="W1394" s="196" t="e">
        <f t="shared" si="177"/>
        <v>#DIV/0!</v>
      </c>
      <c r="X1394" s="197" t="e">
        <f t="shared" si="178"/>
        <v>#DIV/0!</v>
      </c>
    </row>
    <row r="1395" ht="11.4" hidden="1" customHeight="1" spans="1:24">
      <c r="A1395" s="184" t="s">
        <v>3117</v>
      </c>
      <c r="B1395" s="184" t="s">
        <v>355</v>
      </c>
      <c r="C1395" s="184" t="s">
        <v>2743</v>
      </c>
      <c r="D1395" s="185" t="s">
        <v>700</v>
      </c>
      <c r="E1395" s="186" t="s">
        <v>3010</v>
      </c>
      <c r="F1395" s="186" t="s">
        <v>3112</v>
      </c>
      <c r="G1395" s="186" t="s">
        <v>3118</v>
      </c>
      <c r="H1395" s="186" t="s">
        <v>3119</v>
      </c>
      <c r="I1395" s="187" t="s">
        <v>3016</v>
      </c>
      <c r="J1395" s="187" t="s">
        <v>3017</v>
      </c>
      <c r="K1395" s="188"/>
      <c r="L1395" s="188"/>
      <c r="M1395" s="189" t="s">
        <v>793</v>
      </c>
      <c r="N1395" s="190">
        <v>3867.36</v>
      </c>
      <c r="O1395" s="190">
        <f t="shared" si="171"/>
        <v>4215.42</v>
      </c>
      <c r="P1395" s="191">
        <f t="shared" si="172"/>
        <v>0</v>
      </c>
      <c r="Q1395" s="192">
        <f t="shared" si="173"/>
        <v>0</v>
      </c>
      <c r="R1395" s="193"/>
      <c r="S1395" s="194"/>
      <c r="T1395" s="195">
        <f t="shared" si="174"/>
        <v>0</v>
      </c>
      <c r="U1395" s="195">
        <f t="shared" si="175"/>
        <v>0</v>
      </c>
      <c r="V1395" s="195">
        <f t="shared" si="176"/>
        <v>0</v>
      </c>
      <c r="W1395" s="196" t="e">
        <f t="shared" si="177"/>
        <v>#DIV/0!</v>
      </c>
      <c r="X1395" s="197" t="e">
        <f t="shared" si="178"/>
        <v>#DIV/0!</v>
      </c>
    </row>
    <row r="1396" ht="11.4" hidden="1" customHeight="1" spans="1:24">
      <c r="A1396" s="184" t="s">
        <v>3117</v>
      </c>
      <c r="B1396" s="184" t="s">
        <v>355</v>
      </c>
      <c r="C1396" s="184" t="s">
        <v>2743</v>
      </c>
      <c r="D1396" s="185" t="s">
        <v>700</v>
      </c>
      <c r="E1396" s="186" t="s">
        <v>3010</v>
      </c>
      <c r="F1396" s="186" t="s">
        <v>3011</v>
      </c>
      <c r="G1396" s="186" t="s">
        <v>3012</v>
      </c>
      <c r="H1396" s="186" t="s">
        <v>3013</v>
      </c>
      <c r="I1396" s="187" t="s">
        <v>3018</v>
      </c>
      <c r="J1396" s="187" t="s">
        <v>3019</v>
      </c>
      <c r="K1396" s="188"/>
      <c r="L1396" s="188"/>
      <c r="M1396" s="189" t="s">
        <v>793</v>
      </c>
      <c r="N1396" s="190">
        <v>791.76</v>
      </c>
      <c r="O1396" s="190">
        <f t="shared" si="171"/>
        <v>863.02</v>
      </c>
      <c r="P1396" s="191">
        <f t="shared" si="172"/>
        <v>0</v>
      </c>
      <c r="Q1396" s="192">
        <f t="shared" si="173"/>
        <v>0</v>
      </c>
      <c r="R1396" s="193"/>
      <c r="S1396" s="194"/>
      <c r="T1396" s="195">
        <f t="shared" si="174"/>
        <v>0</v>
      </c>
      <c r="U1396" s="195">
        <f t="shared" si="175"/>
        <v>0</v>
      </c>
      <c r="V1396" s="195">
        <f t="shared" si="176"/>
        <v>0</v>
      </c>
      <c r="W1396" s="196" t="e">
        <f t="shared" si="177"/>
        <v>#DIV/0!</v>
      </c>
      <c r="X1396" s="197" t="e">
        <f t="shared" si="178"/>
        <v>#DIV/0!</v>
      </c>
    </row>
    <row r="1397" ht="11.4" hidden="1" customHeight="1" spans="1:24">
      <c r="A1397" s="184" t="s">
        <v>3120</v>
      </c>
      <c r="B1397" s="184" t="s">
        <v>359</v>
      </c>
      <c r="C1397" s="184" t="s">
        <v>358</v>
      </c>
      <c r="D1397" s="185" t="s">
        <v>700</v>
      </c>
      <c r="E1397" s="186" t="s">
        <v>3010</v>
      </c>
      <c r="F1397" s="186" t="s">
        <v>3112</v>
      </c>
      <c r="G1397" s="186" t="s">
        <v>3118</v>
      </c>
      <c r="H1397" s="186" t="s">
        <v>3121</v>
      </c>
      <c r="I1397" s="187" t="s">
        <v>3122</v>
      </c>
      <c r="J1397" s="187" t="s">
        <v>3123</v>
      </c>
      <c r="K1397" s="188"/>
      <c r="L1397" s="188"/>
      <c r="M1397" s="189" t="s">
        <v>793</v>
      </c>
      <c r="N1397" s="190">
        <v>6070.89</v>
      </c>
      <c r="O1397" s="190">
        <f t="shared" si="171"/>
        <v>6617.27</v>
      </c>
      <c r="P1397" s="191">
        <f t="shared" si="172"/>
        <v>0</v>
      </c>
      <c r="Q1397" s="192">
        <f t="shared" si="173"/>
        <v>0</v>
      </c>
      <c r="R1397" s="193"/>
      <c r="S1397" s="194"/>
      <c r="T1397" s="195">
        <f t="shared" si="174"/>
        <v>0</v>
      </c>
      <c r="U1397" s="195">
        <f t="shared" si="175"/>
        <v>0</v>
      </c>
      <c r="V1397" s="195">
        <f t="shared" si="176"/>
        <v>0</v>
      </c>
      <c r="W1397" s="196" t="e">
        <f t="shared" si="177"/>
        <v>#DIV/0!</v>
      </c>
      <c r="X1397" s="197" t="e">
        <f t="shared" si="178"/>
        <v>#DIV/0!</v>
      </c>
    </row>
    <row r="1398" ht="11.4" hidden="1" customHeight="1" spans="1:24">
      <c r="A1398" s="184" t="s">
        <v>3120</v>
      </c>
      <c r="B1398" s="184" t="s">
        <v>359</v>
      </c>
      <c r="C1398" s="184" t="s">
        <v>358</v>
      </c>
      <c r="D1398" s="185" t="s">
        <v>700</v>
      </c>
      <c r="E1398" s="186" t="s">
        <v>3010</v>
      </c>
      <c r="F1398" s="186" t="s">
        <v>3112</v>
      </c>
      <c r="G1398" s="186" t="s">
        <v>3118</v>
      </c>
      <c r="H1398" s="186" t="s">
        <v>3124</v>
      </c>
      <c r="I1398" s="187" t="s">
        <v>3125</v>
      </c>
      <c r="J1398" s="187" t="s">
        <v>3126</v>
      </c>
      <c r="K1398" s="188"/>
      <c r="L1398" s="188"/>
      <c r="M1398" s="189" t="s">
        <v>793</v>
      </c>
      <c r="N1398" s="190"/>
      <c r="O1398" s="190">
        <f t="shared" si="171"/>
        <v>0</v>
      </c>
      <c r="P1398" s="191">
        <f t="shared" si="172"/>
        <v>0</v>
      </c>
      <c r="Q1398" s="192">
        <f t="shared" si="173"/>
        <v>0</v>
      </c>
      <c r="R1398" s="193"/>
      <c r="S1398" s="194"/>
      <c r="T1398" s="195">
        <f t="shared" si="174"/>
        <v>0</v>
      </c>
      <c r="U1398" s="195">
        <f t="shared" si="175"/>
        <v>0</v>
      </c>
      <c r="V1398" s="195">
        <f t="shared" si="176"/>
        <v>0</v>
      </c>
      <c r="W1398" s="196" t="e">
        <f t="shared" si="177"/>
        <v>#DIV/0!</v>
      </c>
      <c r="X1398" s="197" t="e">
        <f t="shared" si="178"/>
        <v>#DIV/0!</v>
      </c>
    </row>
    <row r="1399" ht="11.4" hidden="1" customHeight="1" spans="1:24">
      <c r="A1399" s="184" t="s">
        <v>3098</v>
      </c>
      <c r="B1399" s="184" t="s">
        <v>401</v>
      </c>
      <c r="C1399" s="184" t="s">
        <v>400</v>
      </c>
      <c r="D1399" s="185" t="s">
        <v>700</v>
      </c>
      <c r="E1399" s="186" t="s">
        <v>3010</v>
      </c>
      <c r="F1399" s="186" t="s">
        <v>3112</v>
      </c>
      <c r="G1399" s="186" t="s">
        <v>3127</v>
      </c>
      <c r="H1399" s="186" t="s">
        <v>3128</v>
      </c>
      <c r="I1399" s="187" t="s">
        <v>3129</v>
      </c>
      <c r="J1399" s="187" t="s">
        <v>3130</v>
      </c>
      <c r="K1399" s="188"/>
      <c r="L1399" s="188"/>
      <c r="M1399" s="189" t="s">
        <v>2308</v>
      </c>
      <c r="N1399" s="190">
        <v>670.89</v>
      </c>
      <c r="O1399" s="190">
        <f t="shared" si="171"/>
        <v>731.27</v>
      </c>
      <c r="P1399" s="191">
        <f t="shared" si="172"/>
        <v>0</v>
      </c>
      <c r="Q1399" s="192">
        <f t="shared" si="173"/>
        <v>0</v>
      </c>
      <c r="R1399" s="193"/>
      <c r="S1399" s="194"/>
      <c r="T1399" s="195">
        <f t="shared" si="174"/>
        <v>0</v>
      </c>
      <c r="U1399" s="195">
        <f t="shared" si="175"/>
        <v>0</v>
      </c>
      <c r="V1399" s="195">
        <f t="shared" si="176"/>
        <v>0</v>
      </c>
      <c r="W1399" s="196" t="e">
        <f t="shared" si="177"/>
        <v>#DIV/0!</v>
      </c>
      <c r="X1399" s="197" t="e">
        <f t="shared" si="178"/>
        <v>#DIV/0!</v>
      </c>
    </row>
    <row r="1400" ht="11.4" hidden="1" customHeight="1" spans="1:24">
      <c r="A1400" s="184" t="s">
        <v>3098</v>
      </c>
      <c r="B1400" s="184" t="s">
        <v>401</v>
      </c>
      <c r="C1400" s="184" t="s">
        <v>400</v>
      </c>
      <c r="D1400" s="185" t="s">
        <v>700</v>
      </c>
      <c r="E1400" s="186" t="s">
        <v>3010</v>
      </c>
      <c r="F1400" s="186" t="s">
        <v>3112</v>
      </c>
      <c r="G1400" s="186" t="s">
        <v>3127</v>
      </c>
      <c r="H1400" s="186" t="s">
        <v>3128</v>
      </c>
      <c r="I1400" s="187" t="s">
        <v>2774</v>
      </c>
      <c r="J1400" s="187" t="s">
        <v>2775</v>
      </c>
      <c r="K1400" s="188"/>
      <c r="L1400" s="188"/>
      <c r="M1400" s="189" t="s">
        <v>2308</v>
      </c>
      <c r="N1400" s="190">
        <v>1413.32</v>
      </c>
      <c r="O1400" s="190">
        <f t="shared" si="171"/>
        <v>1540.52</v>
      </c>
      <c r="P1400" s="191">
        <f t="shared" si="172"/>
        <v>0</v>
      </c>
      <c r="Q1400" s="192">
        <f t="shared" si="173"/>
        <v>0</v>
      </c>
      <c r="R1400" s="193"/>
      <c r="S1400" s="194"/>
      <c r="T1400" s="195">
        <f t="shared" si="174"/>
        <v>0</v>
      </c>
      <c r="U1400" s="195">
        <f t="shared" si="175"/>
        <v>0</v>
      </c>
      <c r="V1400" s="195">
        <f t="shared" si="176"/>
        <v>0</v>
      </c>
      <c r="W1400" s="196" t="e">
        <f t="shared" si="177"/>
        <v>#DIV/0!</v>
      </c>
      <c r="X1400" s="197" t="e">
        <f t="shared" si="178"/>
        <v>#DIV/0!</v>
      </c>
    </row>
    <row r="1401" ht="11.4" hidden="1" customHeight="1" spans="1:24">
      <c r="A1401" s="184" t="s">
        <v>3098</v>
      </c>
      <c r="B1401" s="184" t="s">
        <v>401</v>
      </c>
      <c r="C1401" s="184" t="s">
        <v>400</v>
      </c>
      <c r="D1401" s="185" t="s">
        <v>700</v>
      </c>
      <c r="E1401" s="186" t="s">
        <v>3010</v>
      </c>
      <c r="F1401" s="186" t="s">
        <v>3112</v>
      </c>
      <c r="G1401" s="186" t="s">
        <v>3127</v>
      </c>
      <c r="H1401" s="186" t="s">
        <v>3128</v>
      </c>
      <c r="I1401" s="187" t="s">
        <v>2780</v>
      </c>
      <c r="J1401" s="187" t="s">
        <v>2781</v>
      </c>
      <c r="K1401" s="188"/>
      <c r="L1401" s="188"/>
      <c r="M1401" s="189" t="s">
        <v>963</v>
      </c>
      <c r="N1401" s="190">
        <v>2295.13</v>
      </c>
      <c r="O1401" s="190">
        <f t="shared" si="171"/>
        <v>2501.69</v>
      </c>
      <c r="P1401" s="191">
        <f t="shared" si="172"/>
        <v>0</v>
      </c>
      <c r="Q1401" s="192">
        <f t="shared" si="173"/>
        <v>0</v>
      </c>
      <c r="R1401" s="193"/>
      <c r="S1401" s="194"/>
      <c r="T1401" s="195">
        <f t="shared" si="174"/>
        <v>0</v>
      </c>
      <c r="U1401" s="195">
        <f t="shared" si="175"/>
        <v>0</v>
      </c>
      <c r="V1401" s="195">
        <f t="shared" si="176"/>
        <v>0</v>
      </c>
      <c r="W1401" s="196" t="e">
        <f t="shared" si="177"/>
        <v>#DIV/0!</v>
      </c>
      <c r="X1401" s="197" t="e">
        <f t="shared" si="178"/>
        <v>#DIV/0!</v>
      </c>
    </row>
    <row r="1402" ht="11.4" hidden="1" customHeight="1" spans="1:24">
      <c r="A1402" s="184" t="s">
        <v>3131</v>
      </c>
      <c r="B1402" s="184" t="s">
        <v>405</v>
      </c>
      <c r="C1402" s="184" t="s">
        <v>404</v>
      </c>
      <c r="D1402" s="185" t="s">
        <v>700</v>
      </c>
      <c r="E1402" s="186" t="s">
        <v>3010</v>
      </c>
      <c r="F1402" s="186" t="s">
        <v>3112</v>
      </c>
      <c r="G1402" s="186" t="s">
        <v>3127</v>
      </c>
      <c r="H1402" s="186" t="s">
        <v>3132</v>
      </c>
      <c r="I1402" s="187" t="s">
        <v>2797</v>
      </c>
      <c r="J1402" s="187" t="s">
        <v>2798</v>
      </c>
      <c r="K1402" s="188"/>
      <c r="L1402" s="188"/>
      <c r="M1402" s="189" t="s">
        <v>2308</v>
      </c>
      <c r="N1402" s="190">
        <v>1399.38</v>
      </c>
      <c r="O1402" s="190">
        <f t="shared" si="171"/>
        <v>1525.32</v>
      </c>
      <c r="P1402" s="191">
        <f t="shared" si="172"/>
        <v>0</v>
      </c>
      <c r="Q1402" s="192">
        <f t="shared" si="173"/>
        <v>0</v>
      </c>
      <c r="R1402" s="193"/>
      <c r="S1402" s="194"/>
      <c r="T1402" s="195">
        <f t="shared" si="174"/>
        <v>0</v>
      </c>
      <c r="U1402" s="195">
        <f t="shared" si="175"/>
        <v>0</v>
      </c>
      <c r="V1402" s="195">
        <f t="shared" si="176"/>
        <v>0</v>
      </c>
      <c r="W1402" s="196" t="e">
        <f t="shared" si="177"/>
        <v>#DIV/0!</v>
      </c>
      <c r="X1402" s="197" t="e">
        <f t="shared" si="178"/>
        <v>#DIV/0!</v>
      </c>
    </row>
    <row r="1403" ht="11.4" hidden="1" customHeight="1" spans="1:24">
      <c r="A1403" s="184" t="s">
        <v>3131</v>
      </c>
      <c r="B1403" s="184" t="s">
        <v>405</v>
      </c>
      <c r="C1403" s="184" t="s">
        <v>404</v>
      </c>
      <c r="D1403" s="185" t="s">
        <v>700</v>
      </c>
      <c r="E1403" s="186" t="s">
        <v>3010</v>
      </c>
      <c r="F1403" s="186" t="s">
        <v>3112</v>
      </c>
      <c r="G1403" s="186" t="s">
        <v>3127</v>
      </c>
      <c r="H1403" s="186" t="s">
        <v>3132</v>
      </c>
      <c r="I1403" s="187" t="s">
        <v>2803</v>
      </c>
      <c r="J1403" s="187" t="s">
        <v>2804</v>
      </c>
      <c r="K1403" s="188"/>
      <c r="L1403" s="188"/>
      <c r="M1403" s="189" t="s">
        <v>2308</v>
      </c>
      <c r="N1403" s="190">
        <v>1400</v>
      </c>
      <c r="O1403" s="190">
        <f t="shared" si="171"/>
        <v>1526</v>
      </c>
      <c r="P1403" s="191">
        <f t="shared" si="172"/>
        <v>0</v>
      </c>
      <c r="Q1403" s="192">
        <f t="shared" si="173"/>
        <v>0</v>
      </c>
      <c r="R1403" s="193"/>
      <c r="S1403" s="194"/>
      <c r="T1403" s="195">
        <f t="shared" si="174"/>
        <v>0</v>
      </c>
      <c r="U1403" s="195">
        <f t="shared" si="175"/>
        <v>0</v>
      </c>
      <c r="V1403" s="195">
        <f t="shared" si="176"/>
        <v>0</v>
      </c>
      <c r="W1403" s="196" t="e">
        <f t="shared" si="177"/>
        <v>#DIV/0!</v>
      </c>
      <c r="X1403" s="197" t="e">
        <f t="shared" si="178"/>
        <v>#DIV/0!</v>
      </c>
    </row>
    <row r="1404" ht="11.4" hidden="1" customHeight="1" spans="1:24">
      <c r="A1404" s="184" t="s">
        <v>3133</v>
      </c>
      <c r="B1404" s="184" t="s">
        <v>378</v>
      </c>
      <c r="C1404" s="184" t="s">
        <v>2763</v>
      </c>
      <c r="D1404" s="185" t="s">
        <v>700</v>
      </c>
      <c r="E1404" s="186" t="s">
        <v>3010</v>
      </c>
      <c r="F1404" s="186" t="s">
        <v>3112</v>
      </c>
      <c r="G1404" s="186" t="s">
        <v>3127</v>
      </c>
      <c r="H1404" s="186" t="s">
        <v>570</v>
      </c>
      <c r="I1404" s="187" t="s">
        <v>2764</v>
      </c>
      <c r="J1404" s="187" t="s">
        <v>2765</v>
      </c>
      <c r="K1404" s="188"/>
      <c r="L1404" s="188"/>
      <c r="M1404" s="189" t="s">
        <v>1018</v>
      </c>
      <c r="N1404" s="190">
        <v>262.5</v>
      </c>
      <c r="O1404" s="190">
        <f t="shared" si="171"/>
        <v>286.13</v>
      </c>
      <c r="P1404" s="191">
        <f t="shared" si="172"/>
        <v>0</v>
      </c>
      <c r="Q1404" s="192">
        <f t="shared" si="173"/>
        <v>0</v>
      </c>
      <c r="R1404" s="193"/>
      <c r="S1404" s="194"/>
      <c r="T1404" s="195">
        <f t="shared" si="174"/>
        <v>0</v>
      </c>
      <c r="U1404" s="195">
        <f t="shared" si="175"/>
        <v>0</v>
      </c>
      <c r="V1404" s="195">
        <f t="shared" si="176"/>
        <v>0</v>
      </c>
      <c r="W1404" s="196" t="e">
        <f t="shared" si="177"/>
        <v>#DIV/0!</v>
      </c>
      <c r="X1404" s="197" t="e">
        <f t="shared" si="178"/>
        <v>#DIV/0!</v>
      </c>
    </row>
    <row r="1405" ht="11.4" hidden="1" customHeight="1" spans="1:24">
      <c r="A1405" s="184" t="s">
        <v>3133</v>
      </c>
      <c r="B1405" s="184" t="s">
        <v>378</v>
      </c>
      <c r="C1405" s="184" t="s">
        <v>2763</v>
      </c>
      <c r="D1405" s="185" t="s">
        <v>700</v>
      </c>
      <c r="E1405" s="186" t="s">
        <v>3010</v>
      </c>
      <c r="F1405" s="186" t="s">
        <v>3112</v>
      </c>
      <c r="G1405" s="186" t="s">
        <v>3127</v>
      </c>
      <c r="H1405" s="186" t="s">
        <v>570</v>
      </c>
      <c r="I1405" s="187" t="s">
        <v>2766</v>
      </c>
      <c r="J1405" s="187" t="s">
        <v>2767</v>
      </c>
      <c r="K1405" s="188"/>
      <c r="L1405" s="188"/>
      <c r="M1405" s="189" t="s">
        <v>1018</v>
      </c>
      <c r="N1405" s="190">
        <v>220.5</v>
      </c>
      <c r="O1405" s="190">
        <f t="shared" si="171"/>
        <v>240.35</v>
      </c>
      <c r="P1405" s="191">
        <f t="shared" si="172"/>
        <v>0</v>
      </c>
      <c r="Q1405" s="192">
        <f t="shared" si="173"/>
        <v>0</v>
      </c>
      <c r="R1405" s="193"/>
      <c r="S1405" s="194"/>
      <c r="T1405" s="195">
        <f t="shared" si="174"/>
        <v>0</v>
      </c>
      <c r="U1405" s="195">
        <f t="shared" si="175"/>
        <v>0</v>
      </c>
      <c r="V1405" s="195">
        <f t="shared" si="176"/>
        <v>0</v>
      </c>
      <c r="W1405" s="196" t="e">
        <f t="shared" si="177"/>
        <v>#DIV/0!</v>
      </c>
      <c r="X1405" s="197" t="e">
        <f t="shared" si="178"/>
        <v>#DIV/0!</v>
      </c>
    </row>
    <row r="1406" ht="11.4" hidden="1" customHeight="1" spans="1:24">
      <c r="A1406" s="184" t="s">
        <v>3133</v>
      </c>
      <c r="B1406" s="184" t="s">
        <v>378</v>
      </c>
      <c r="C1406" s="184" t="s">
        <v>573</v>
      </c>
      <c r="D1406" s="185" t="s">
        <v>700</v>
      </c>
      <c r="E1406" s="186" t="s">
        <v>3010</v>
      </c>
      <c r="F1406" s="186" t="s">
        <v>3112</v>
      </c>
      <c r="G1406" s="186" t="s">
        <v>3127</v>
      </c>
      <c r="H1406" s="186" t="s">
        <v>570</v>
      </c>
      <c r="I1406" s="187" t="s">
        <v>2760</v>
      </c>
      <c r="J1406" s="187" t="s">
        <v>2761</v>
      </c>
      <c r="K1406" s="188"/>
      <c r="L1406" s="188"/>
      <c r="M1406" s="189" t="s">
        <v>2308</v>
      </c>
      <c r="N1406" s="190">
        <v>1133.63</v>
      </c>
      <c r="O1406" s="190">
        <f t="shared" si="171"/>
        <v>1235.66</v>
      </c>
      <c r="P1406" s="191">
        <f t="shared" si="172"/>
        <v>0</v>
      </c>
      <c r="Q1406" s="192">
        <f t="shared" si="173"/>
        <v>0</v>
      </c>
      <c r="R1406" s="193"/>
      <c r="S1406" s="194"/>
      <c r="T1406" s="195">
        <f t="shared" si="174"/>
        <v>0</v>
      </c>
      <c r="U1406" s="195">
        <f t="shared" si="175"/>
        <v>0</v>
      </c>
      <c r="V1406" s="195">
        <f t="shared" si="176"/>
        <v>0</v>
      </c>
      <c r="W1406" s="196" t="e">
        <f t="shared" si="177"/>
        <v>#DIV/0!</v>
      </c>
      <c r="X1406" s="197" t="e">
        <f t="shared" si="178"/>
        <v>#DIV/0!</v>
      </c>
    </row>
    <row r="1407" ht="11.4" hidden="1" customHeight="1" spans="1:24">
      <c r="A1407" s="184" t="s">
        <v>212</v>
      </c>
      <c r="B1407" s="184" t="s">
        <v>425</v>
      </c>
      <c r="C1407" s="184" t="s">
        <v>424</v>
      </c>
      <c r="D1407" s="185" t="s">
        <v>700</v>
      </c>
      <c r="E1407" s="186" t="s">
        <v>3010</v>
      </c>
      <c r="F1407" s="186" t="s">
        <v>3112</v>
      </c>
      <c r="G1407" s="186" t="s">
        <v>3127</v>
      </c>
      <c r="H1407" s="186" t="s">
        <v>2813</v>
      </c>
      <c r="I1407" s="187" t="s">
        <v>2814</v>
      </c>
      <c r="J1407" s="187" t="s">
        <v>2815</v>
      </c>
      <c r="K1407" s="188"/>
      <c r="L1407" s="188"/>
      <c r="M1407" s="189" t="s">
        <v>847</v>
      </c>
      <c r="N1407" s="190">
        <v>298</v>
      </c>
      <c r="O1407" s="190">
        <f t="shared" si="171"/>
        <v>324.82</v>
      </c>
      <c r="P1407" s="191">
        <f t="shared" si="172"/>
        <v>0</v>
      </c>
      <c r="Q1407" s="192">
        <f t="shared" si="173"/>
        <v>0</v>
      </c>
      <c r="R1407" s="193"/>
      <c r="S1407" s="194"/>
      <c r="T1407" s="195">
        <f t="shared" si="174"/>
        <v>0</v>
      </c>
      <c r="U1407" s="195">
        <f t="shared" si="175"/>
        <v>0</v>
      </c>
      <c r="V1407" s="195">
        <f t="shared" si="176"/>
        <v>0</v>
      </c>
      <c r="W1407" s="196" t="e">
        <f t="shared" si="177"/>
        <v>#DIV/0!</v>
      </c>
      <c r="X1407" s="197" t="e">
        <f t="shared" si="178"/>
        <v>#DIV/0!</v>
      </c>
    </row>
    <row r="1408" ht="11.4" hidden="1" customHeight="1" spans="1:24">
      <c r="A1408" s="184" t="s">
        <v>212</v>
      </c>
      <c r="B1408" s="184" t="s">
        <v>425</v>
      </c>
      <c r="C1408" s="184" t="s">
        <v>424</v>
      </c>
      <c r="D1408" s="185" t="s">
        <v>700</v>
      </c>
      <c r="E1408" s="186" t="s">
        <v>3010</v>
      </c>
      <c r="F1408" s="186" t="s">
        <v>3112</v>
      </c>
      <c r="G1408" s="186" t="s">
        <v>3127</v>
      </c>
      <c r="H1408" s="186" t="s">
        <v>2813</v>
      </c>
      <c r="I1408" s="187" t="s">
        <v>2816</v>
      </c>
      <c r="J1408" s="187" t="s">
        <v>2817</v>
      </c>
      <c r="K1408" s="188"/>
      <c r="L1408" s="188"/>
      <c r="M1408" s="189" t="s">
        <v>2308</v>
      </c>
      <c r="N1408" s="190">
        <v>2330</v>
      </c>
      <c r="O1408" s="190">
        <f t="shared" si="171"/>
        <v>2539.7</v>
      </c>
      <c r="P1408" s="191">
        <f t="shared" si="172"/>
        <v>0</v>
      </c>
      <c r="Q1408" s="192">
        <f t="shared" si="173"/>
        <v>0</v>
      </c>
      <c r="R1408" s="193"/>
      <c r="S1408" s="194"/>
      <c r="T1408" s="195">
        <f t="shared" si="174"/>
        <v>0</v>
      </c>
      <c r="U1408" s="195">
        <f t="shared" si="175"/>
        <v>0</v>
      </c>
      <c r="V1408" s="195">
        <f t="shared" si="176"/>
        <v>0</v>
      </c>
      <c r="W1408" s="196" t="e">
        <f t="shared" si="177"/>
        <v>#DIV/0!</v>
      </c>
      <c r="X1408" s="197" t="e">
        <f t="shared" si="178"/>
        <v>#DIV/0!</v>
      </c>
    </row>
    <row r="1409" ht="11.4" hidden="1" customHeight="1" spans="1:24">
      <c r="A1409" s="184" t="s">
        <v>3134</v>
      </c>
      <c r="B1409" s="184" t="s">
        <v>113</v>
      </c>
      <c r="C1409" s="184" t="s">
        <v>1101</v>
      </c>
      <c r="D1409" s="185" t="s">
        <v>703</v>
      </c>
      <c r="E1409" s="186" t="s">
        <v>24</v>
      </c>
      <c r="F1409" s="186" t="s">
        <v>24</v>
      </c>
      <c r="G1409" s="186" t="s">
        <v>3135</v>
      </c>
      <c r="H1409" s="186" t="s">
        <v>3135</v>
      </c>
      <c r="I1409" s="187" t="s">
        <v>3136</v>
      </c>
      <c r="J1409" s="187" t="s">
        <v>3137</v>
      </c>
      <c r="K1409" s="188"/>
      <c r="L1409" s="188"/>
      <c r="M1409" s="189" t="s">
        <v>1018</v>
      </c>
      <c r="N1409" s="190">
        <v>626.33</v>
      </c>
      <c r="O1409" s="190">
        <f t="shared" si="171"/>
        <v>682.7</v>
      </c>
      <c r="P1409" s="191">
        <f t="shared" si="172"/>
        <v>0</v>
      </c>
      <c r="Q1409" s="192">
        <f t="shared" si="173"/>
        <v>0</v>
      </c>
      <c r="R1409" s="193"/>
      <c r="S1409" s="194"/>
      <c r="T1409" s="195">
        <f t="shared" si="174"/>
        <v>0</v>
      </c>
      <c r="U1409" s="195">
        <f t="shared" si="175"/>
        <v>0</v>
      </c>
      <c r="V1409" s="195">
        <f t="shared" si="176"/>
        <v>0</v>
      </c>
      <c r="W1409" s="196" t="e">
        <f t="shared" si="177"/>
        <v>#DIV/0!</v>
      </c>
      <c r="X1409" s="197" t="e">
        <f t="shared" si="178"/>
        <v>#DIV/0!</v>
      </c>
    </row>
    <row r="1410" ht="11.4" hidden="1" customHeight="1" spans="1:24">
      <c r="A1410" s="184" t="s">
        <v>3134</v>
      </c>
      <c r="B1410" s="184" t="s">
        <v>113</v>
      </c>
      <c r="C1410" s="184" t="s">
        <v>1101</v>
      </c>
      <c r="D1410" s="185" t="s">
        <v>703</v>
      </c>
      <c r="E1410" s="186" t="s">
        <v>24</v>
      </c>
      <c r="F1410" s="186" t="s">
        <v>24</v>
      </c>
      <c r="G1410" s="186" t="s">
        <v>3135</v>
      </c>
      <c r="H1410" s="186" t="s">
        <v>3135</v>
      </c>
      <c r="I1410" s="187" t="s">
        <v>3138</v>
      </c>
      <c r="J1410" s="187" t="s">
        <v>3139</v>
      </c>
      <c r="K1410" s="188"/>
      <c r="L1410" s="188"/>
      <c r="M1410" s="189" t="s">
        <v>1778</v>
      </c>
      <c r="N1410" s="190">
        <v>4984.35</v>
      </c>
      <c r="O1410" s="190">
        <f t="shared" si="171"/>
        <v>5432.94</v>
      </c>
      <c r="P1410" s="191">
        <f t="shared" si="172"/>
        <v>0</v>
      </c>
      <c r="Q1410" s="192">
        <f t="shared" si="173"/>
        <v>0</v>
      </c>
      <c r="R1410" s="193"/>
      <c r="S1410" s="194"/>
      <c r="T1410" s="195">
        <f t="shared" si="174"/>
        <v>0</v>
      </c>
      <c r="U1410" s="195">
        <f t="shared" si="175"/>
        <v>0</v>
      </c>
      <c r="V1410" s="195">
        <f t="shared" si="176"/>
        <v>0</v>
      </c>
      <c r="W1410" s="196" t="e">
        <f t="shared" si="177"/>
        <v>#DIV/0!</v>
      </c>
      <c r="X1410" s="197" t="e">
        <f t="shared" si="178"/>
        <v>#DIV/0!</v>
      </c>
    </row>
    <row r="1411" ht="11.4" hidden="1" customHeight="1" spans="1:24">
      <c r="A1411" s="184" t="s">
        <v>3134</v>
      </c>
      <c r="B1411" s="184" t="s">
        <v>113</v>
      </c>
      <c r="C1411" s="184" t="s">
        <v>1101</v>
      </c>
      <c r="D1411" s="185" t="s">
        <v>703</v>
      </c>
      <c r="E1411" s="186" t="s">
        <v>24</v>
      </c>
      <c r="F1411" s="186" t="s">
        <v>24</v>
      </c>
      <c r="G1411" s="186" t="s">
        <v>3135</v>
      </c>
      <c r="H1411" s="186" t="s">
        <v>3135</v>
      </c>
      <c r="I1411" s="187" t="s">
        <v>3140</v>
      </c>
      <c r="J1411" s="187" t="s">
        <v>3141</v>
      </c>
      <c r="K1411" s="188"/>
      <c r="L1411" s="188"/>
      <c r="M1411" s="189" t="s">
        <v>793</v>
      </c>
      <c r="N1411" s="190">
        <v>291.62</v>
      </c>
      <c r="O1411" s="190">
        <f t="shared" si="171"/>
        <v>317.87</v>
      </c>
      <c r="P1411" s="191">
        <f t="shared" si="172"/>
        <v>0</v>
      </c>
      <c r="Q1411" s="192">
        <f t="shared" si="173"/>
        <v>0</v>
      </c>
      <c r="R1411" s="193"/>
      <c r="S1411" s="194"/>
      <c r="T1411" s="195">
        <f t="shared" si="174"/>
        <v>0</v>
      </c>
      <c r="U1411" s="195">
        <f t="shared" si="175"/>
        <v>0</v>
      </c>
      <c r="V1411" s="195">
        <f t="shared" si="176"/>
        <v>0</v>
      </c>
      <c r="W1411" s="196" t="e">
        <f t="shared" si="177"/>
        <v>#DIV/0!</v>
      </c>
      <c r="X1411" s="197" t="e">
        <f t="shared" si="178"/>
        <v>#DIV/0!</v>
      </c>
    </row>
    <row r="1412" ht="11.4" hidden="1" customHeight="1" spans="1:24">
      <c r="A1412" s="184" t="s">
        <v>3134</v>
      </c>
      <c r="B1412" s="184" t="s">
        <v>113</v>
      </c>
      <c r="C1412" s="184" t="s">
        <v>1101</v>
      </c>
      <c r="D1412" s="185" t="s">
        <v>703</v>
      </c>
      <c r="E1412" s="186" t="s">
        <v>24</v>
      </c>
      <c r="F1412" s="186" t="s">
        <v>24</v>
      </c>
      <c r="G1412" s="186" t="s">
        <v>3135</v>
      </c>
      <c r="H1412" s="186" t="s">
        <v>3135</v>
      </c>
      <c r="I1412" s="187" t="s">
        <v>3142</v>
      </c>
      <c r="J1412" s="187" t="s">
        <v>3143</v>
      </c>
      <c r="K1412" s="188">
        <v>1</v>
      </c>
      <c r="L1412" s="188">
        <v>1</v>
      </c>
      <c r="M1412" s="189" t="s">
        <v>793</v>
      </c>
      <c r="N1412" s="190">
        <v>1193.65</v>
      </c>
      <c r="O1412" s="190">
        <f t="shared" si="171"/>
        <v>1301.08</v>
      </c>
      <c r="P1412" s="191">
        <f t="shared" si="172"/>
        <v>1193.65</v>
      </c>
      <c r="Q1412" s="192">
        <f t="shared" si="173"/>
        <v>1193.65</v>
      </c>
      <c r="R1412" s="193"/>
      <c r="S1412" s="194"/>
      <c r="T1412" s="195">
        <f t="shared" si="174"/>
        <v>0</v>
      </c>
      <c r="U1412" s="195">
        <f t="shared" si="175"/>
        <v>0</v>
      </c>
      <c r="V1412" s="195">
        <f t="shared" si="176"/>
        <v>0</v>
      </c>
      <c r="W1412" s="196">
        <f t="shared" si="177"/>
        <v>0</v>
      </c>
      <c r="X1412" s="197">
        <f t="shared" si="178"/>
        <v>0</v>
      </c>
    </row>
    <row r="1413" ht="11.4" hidden="1" customHeight="1" spans="1:24">
      <c r="A1413" s="184" t="s">
        <v>3144</v>
      </c>
      <c r="B1413" s="184" t="s">
        <v>115</v>
      </c>
      <c r="C1413" s="184" t="s">
        <v>1101</v>
      </c>
      <c r="D1413" s="185" t="s">
        <v>703</v>
      </c>
      <c r="E1413" s="186" t="s">
        <v>24</v>
      </c>
      <c r="F1413" s="186" t="s">
        <v>24</v>
      </c>
      <c r="G1413" s="186" t="s">
        <v>3135</v>
      </c>
      <c r="H1413" s="186" t="s">
        <v>3135</v>
      </c>
      <c r="I1413" s="187" t="s">
        <v>1381</v>
      </c>
      <c r="J1413" s="187" t="s">
        <v>1382</v>
      </c>
      <c r="K1413" s="188"/>
      <c r="L1413" s="188"/>
      <c r="M1413" s="189" t="s">
        <v>847</v>
      </c>
      <c r="N1413" s="190">
        <v>250.08</v>
      </c>
      <c r="O1413" s="190">
        <f t="shared" si="171"/>
        <v>272.59</v>
      </c>
      <c r="P1413" s="191">
        <f t="shared" si="172"/>
        <v>0</v>
      </c>
      <c r="Q1413" s="192">
        <f t="shared" si="173"/>
        <v>0</v>
      </c>
      <c r="R1413" s="193"/>
      <c r="S1413" s="194"/>
      <c r="T1413" s="195">
        <f t="shared" si="174"/>
        <v>0</v>
      </c>
      <c r="U1413" s="195">
        <f t="shared" si="175"/>
        <v>0</v>
      </c>
      <c r="V1413" s="195">
        <f t="shared" si="176"/>
        <v>0</v>
      </c>
      <c r="W1413" s="196" t="e">
        <f t="shared" si="177"/>
        <v>#DIV/0!</v>
      </c>
      <c r="X1413" s="197" t="e">
        <f t="shared" si="178"/>
        <v>#DIV/0!</v>
      </c>
    </row>
    <row r="1414" ht="11.4" hidden="1" customHeight="1" spans="1:24">
      <c r="A1414" s="184" t="s">
        <v>3144</v>
      </c>
      <c r="B1414" s="184" t="s">
        <v>115</v>
      </c>
      <c r="C1414" s="184" t="s">
        <v>1101</v>
      </c>
      <c r="D1414" s="185" t="s">
        <v>703</v>
      </c>
      <c r="E1414" s="186" t="s">
        <v>24</v>
      </c>
      <c r="F1414" s="186" t="s">
        <v>24</v>
      </c>
      <c r="G1414" s="186" t="s">
        <v>3135</v>
      </c>
      <c r="H1414" s="186" t="s">
        <v>3135</v>
      </c>
      <c r="I1414" s="187" t="s">
        <v>1384</v>
      </c>
      <c r="J1414" s="187" t="s">
        <v>1385</v>
      </c>
      <c r="K1414" s="188"/>
      <c r="L1414" s="188"/>
      <c r="M1414" s="189" t="s">
        <v>847</v>
      </c>
      <c r="N1414" s="190">
        <v>139.73</v>
      </c>
      <c r="O1414" s="190">
        <f t="shared" si="171"/>
        <v>152.31</v>
      </c>
      <c r="P1414" s="191">
        <f t="shared" si="172"/>
        <v>0</v>
      </c>
      <c r="Q1414" s="192">
        <f t="shared" si="173"/>
        <v>0</v>
      </c>
      <c r="R1414" s="193"/>
      <c r="S1414" s="194"/>
      <c r="T1414" s="195">
        <f t="shared" si="174"/>
        <v>0</v>
      </c>
      <c r="U1414" s="195">
        <f t="shared" si="175"/>
        <v>0</v>
      </c>
      <c r="V1414" s="195">
        <f t="shared" si="176"/>
        <v>0</v>
      </c>
      <c r="W1414" s="196" t="e">
        <f t="shared" si="177"/>
        <v>#DIV/0!</v>
      </c>
      <c r="X1414" s="197" t="e">
        <f t="shared" si="178"/>
        <v>#DIV/0!</v>
      </c>
    </row>
    <row r="1415" ht="11.4" hidden="1" customHeight="1" spans="1:24">
      <c r="A1415" s="184" t="s">
        <v>3144</v>
      </c>
      <c r="B1415" s="184" t="s">
        <v>115</v>
      </c>
      <c r="C1415" s="184" t="s">
        <v>1101</v>
      </c>
      <c r="D1415" s="185" t="s">
        <v>703</v>
      </c>
      <c r="E1415" s="186" t="s">
        <v>24</v>
      </c>
      <c r="F1415" s="186" t="s">
        <v>24</v>
      </c>
      <c r="G1415" s="186" t="s">
        <v>3135</v>
      </c>
      <c r="H1415" s="186" t="s">
        <v>3135</v>
      </c>
      <c r="I1415" s="187" t="s">
        <v>1336</v>
      </c>
      <c r="J1415" s="187" t="s">
        <v>1337</v>
      </c>
      <c r="K1415" s="188"/>
      <c r="L1415" s="188"/>
      <c r="M1415" s="189" t="s">
        <v>847</v>
      </c>
      <c r="N1415" s="190">
        <v>62.19</v>
      </c>
      <c r="O1415" s="190">
        <f t="shared" si="171"/>
        <v>67.79</v>
      </c>
      <c r="P1415" s="191">
        <f t="shared" si="172"/>
        <v>0</v>
      </c>
      <c r="Q1415" s="192">
        <f t="shared" si="173"/>
        <v>0</v>
      </c>
      <c r="R1415" s="193"/>
      <c r="S1415" s="194"/>
      <c r="T1415" s="195">
        <f t="shared" si="174"/>
        <v>0</v>
      </c>
      <c r="U1415" s="195">
        <f t="shared" si="175"/>
        <v>0</v>
      </c>
      <c r="V1415" s="195">
        <f t="shared" si="176"/>
        <v>0</v>
      </c>
      <c r="W1415" s="196" t="e">
        <f t="shared" si="177"/>
        <v>#DIV/0!</v>
      </c>
      <c r="X1415" s="197" t="e">
        <f t="shared" si="178"/>
        <v>#DIV/0!</v>
      </c>
    </row>
    <row r="1416" ht="11.4" hidden="1" customHeight="1" spans="1:24">
      <c r="A1416" s="184" t="s">
        <v>3145</v>
      </c>
      <c r="B1416" s="184" t="s">
        <v>111</v>
      </c>
      <c r="C1416" s="184" t="s">
        <v>1101</v>
      </c>
      <c r="D1416" s="185" t="s">
        <v>703</v>
      </c>
      <c r="E1416" s="186" t="s">
        <v>24</v>
      </c>
      <c r="F1416" s="186" t="s">
        <v>24</v>
      </c>
      <c r="G1416" s="186" t="s">
        <v>3135</v>
      </c>
      <c r="H1416" s="186" t="s">
        <v>3135</v>
      </c>
      <c r="I1416" s="187" t="s">
        <v>1104</v>
      </c>
      <c r="J1416" s="187" t="s">
        <v>1105</v>
      </c>
      <c r="K1416" s="188"/>
      <c r="L1416" s="188"/>
      <c r="M1416" s="189" t="s">
        <v>847</v>
      </c>
      <c r="N1416" s="190">
        <v>180.78</v>
      </c>
      <c r="O1416" s="190">
        <f t="shared" si="171"/>
        <v>197.05</v>
      </c>
      <c r="P1416" s="191">
        <f t="shared" si="172"/>
        <v>0</v>
      </c>
      <c r="Q1416" s="192">
        <f t="shared" si="173"/>
        <v>0</v>
      </c>
      <c r="R1416" s="193"/>
      <c r="S1416" s="194"/>
      <c r="T1416" s="195">
        <f t="shared" si="174"/>
        <v>0</v>
      </c>
      <c r="U1416" s="195">
        <f t="shared" si="175"/>
        <v>0</v>
      </c>
      <c r="V1416" s="195">
        <f t="shared" si="176"/>
        <v>0</v>
      </c>
      <c r="W1416" s="196" t="e">
        <f t="shared" si="177"/>
        <v>#DIV/0!</v>
      </c>
      <c r="X1416" s="197" t="e">
        <f t="shared" si="178"/>
        <v>#DIV/0!</v>
      </c>
    </row>
    <row r="1417" ht="11.4" hidden="1" customHeight="1" spans="1:24">
      <c r="A1417" s="184" t="s">
        <v>3145</v>
      </c>
      <c r="B1417" s="184" t="s">
        <v>111</v>
      </c>
      <c r="C1417" s="184" t="s">
        <v>1101</v>
      </c>
      <c r="D1417" s="185" t="s">
        <v>703</v>
      </c>
      <c r="E1417" s="186" t="s">
        <v>24</v>
      </c>
      <c r="F1417" s="186" t="s">
        <v>24</v>
      </c>
      <c r="G1417" s="186" t="s">
        <v>3135</v>
      </c>
      <c r="H1417" s="186" t="s">
        <v>3135</v>
      </c>
      <c r="I1417" s="187" t="s">
        <v>1106</v>
      </c>
      <c r="J1417" s="187" t="s">
        <v>1107</v>
      </c>
      <c r="K1417" s="188"/>
      <c r="L1417" s="188"/>
      <c r="M1417" s="189" t="s">
        <v>807</v>
      </c>
      <c r="N1417" s="190">
        <v>41.36</v>
      </c>
      <c r="O1417" s="190">
        <f t="shared" si="171"/>
        <v>45.08</v>
      </c>
      <c r="P1417" s="191">
        <f t="shared" si="172"/>
        <v>0</v>
      </c>
      <c r="Q1417" s="192">
        <f t="shared" si="173"/>
        <v>0</v>
      </c>
      <c r="R1417" s="193"/>
      <c r="S1417" s="194"/>
      <c r="T1417" s="195">
        <f t="shared" si="174"/>
        <v>0</v>
      </c>
      <c r="U1417" s="195">
        <f t="shared" si="175"/>
        <v>0</v>
      </c>
      <c r="V1417" s="195">
        <f t="shared" si="176"/>
        <v>0</v>
      </c>
      <c r="W1417" s="196" t="e">
        <f t="shared" si="177"/>
        <v>#DIV/0!</v>
      </c>
      <c r="X1417" s="197" t="e">
        <f t="shared" si="178"/>
        <v>#DIV/0!</v>
      </c>
    </row>
    <row r="1418" ht="11.4" hidden="1" customHeight="1" spans="1:24">
      <c r="A1418" s="184" t="s">
        <v>3145</v>
      </c>
      <c r="B1418" s="184" t="s">
        <v>111</v>
      </c>
      <c r="C1418" s="184" t="s">
        <v>1101</v>
      </c>
      <c r="D1418" s="185" t="s">
        <v>703</v>
      </c>
      <c r="E1418" s="186" t="s">
        <v>24</v>
      </c>
      <c r="F1418" s="186" t="s">
        <v>24</v>
      </c>
      <c r="G1418" s="186" t="s">
        <v>3135</v>
      </c>
      <c r="H1418" s="186" t="s">
        <v>3135</v>
      </c>
      <c r="I1418" s="187" t="s">
        <v>1109</v>
      </c>
      <c r="J1418" s="187" t="s">
        <v>1110</v>
      </c>
      <c r="K1418" s="188"/>
      <c r="L1418" s="188"/>
      <c r="M1418" s="189" t="s">
        <v>847</v>
      </c>
      <c r="N1418" s="190">
        <v>160.21</v>
      </c>
      <c r="O1418" s="190">
        <f t="shared" si="171"/>
        <v>174.63</v>
      </c>
      <c r="P1418" s="191">
        <f t="shared" si="172"/>
        <v>0</v>
      </c>
      <c r="Q1418" s="192">
        <f t="shared" si="173"/>
        <v>0</v>
      </c>
      <c r="R1418" s="193"/>
      <c r="S1418" s="194"/>
      <c r="T1418" s="195">
        <f t="shared" si="174"/>
        <v>0</v>
      </c>
      <c r="U1418" s="195">
        <f t="shared" si="175"/>
        <v>0</v>
      </c>
      <c r="V1418" s="195">
        <f t="shared" si="176"/>
        <v>0</v>
      </c>
      <c r="W1418" s="196" t="e">
        <f t="shared" si="177"/>
        <v>#DIV/0!</v>
      </c>
      <c r="X1418" s="197" t="e">
        <f t="shared" si="178"/>
        <v>#DIV/0!</v>
      </c>
    </row>
    <row r="1419" ht="11.4" hidden="1" customHeight="1" spans="1:24">
      <c r="A1419" s="184" t="s">
        <v>3145</v>
      </c>
      <c r="B1419" s="184" t="s">
        <v>111</v>
      </c>
      <c r="C1419" s="184" t="s">
        <v>1101</v>
      </c>
      <c r="D1419" s="185" t="s">
        <v>703</v>
      </c>
      <c r="E1419" s="186" t="s">
        <v>24</v>
      </c>
      <c r="F1419" s="186" t="s">
        <v>24</v>
      </c>
      <c r="G1419" s="186" t="s">
        <v>3135</v>
      </c>
      <c r="H1419" s="186" t="s">
        <v>3135</v>
      </c>
      <c r="I1419" s="187" t="s">
        <v>1111</v>
      </c>
      <c r="J1419" s="187" t="s">
        <v>1112</v>
      </c>
      <c r="K1419" s="188"/>
      <c r="L1419" s="188"/>
      <c r="M1419" s="189" t="s">
        <v>807</v>
      </c>
      <c r="N1419" s="190">
        <v>38.94</v>
      </c>
      <c r="O1419" s="190">
        <f t="shared" si="171"/>
        <v>42.44</v>
      </c>
      <c r="P1419" s="191">
        <f t="shared" si="172"/>
        <v>0</v>
      </c>
      <c r="Q1419" s="192">
        <f t="shared" si="173"/>
        <v>0</v>
      </c>
      <c r="R1419" s="193"/>
      <c r="S1419" s="194"/>
      <c r="T1419" s="195">
        <f t="shared" si="174"/>
        <v>0</v>
      </c>
      <c r="U1419" s="195">
        <f t="shared" si="175"/>
        <v>0</v>
      </c>
      <c r="V1419" s="195">
        <f t="shared" si="176"/>
        <v>0</v>
      </c>
      <c r="W1419" s="196" t="e">
        <f t="shared" si="177"/>
        <v>#DIV/0!</v>
      </c>
      <c r="X1419" s="197" t="e">
        <f t="shared" si="178"/>
        <v>#DIV/0!</v>
      </c>
    </row>
    <row r="1420" ht="11.4" hidden="1" customHeight="1" spans="1:24">
      <c r="A1420" s="184" t="s">
        <v>3145</v>
      </c>
      <c r="B1420" s="184" t="s">
        <v>111</v>
      </c>
      <c r="C1420" s="184" t="s">
        <v>1101</v>
      </c>
      <c r="D1420" s="185" t="s">
        <v>703</v>
      </c>
      <c r="E1420" s="186" t="s">
        <v>24</v>
      </c>
      <c r="F1420" s="186" t="s">
        <v>24</v>
      </c>
      <c r="G1420" s="186" t="s">
        <v>3135</v>
      </c>
      <c r="H1420" s="186" t="s">
        <v>3135</v>
      </c>
      <c r="I1420" s="187" t="s">
        <v>1113</v>
      </c>
      <c r="J1420" s="187" t="s">
        <v>1114</v>
      </c>
      <c r="K1420" s="188"/>
      <c r="L1420" s="188"/>
      <c r="M1420" s="189" t="s">
        <v>847</v>
      </c>
      <c r="N1420" s="190">
        <v>181.99</v>
      </c>
      <c r="O1420" s="190">
        <f t="shared" si="171"/>
        <v>198.37</v>
      </c>
      <c r="P1420" s="191">
        <f t="shared" si="172"/>
        <v>0</v>
      </c>
      <c r="Q1420" s="192">
        <f t="shared" si="173"/>
        <v>0</v>
      </c>
      <c r="R1420" s="193"/>
      <c r="S1420" s="194"/>
      <c r="T1420" s="195">
        <f t="shared" si="174"/>
        <v>0</v>
      </c>
      <c r="U1420" s="195">
        <f t="shared" si="175"/>
        <v>0</v>
      </c>
      <c r="V1420" s="195">
        <f t="shared" si="176"/>
        <v>0</v>
      </c>
      <c r="W1420" s="196" t="e">
        <f t="shared" si="177"/>
        <v>#DIV/0!</v>
      </c>
      <c r="X1420" s="197" t="e">
        <f t="shared" si="178"/>
        <v>#DIV/0!</v>
      </c>
    </row>
    <row r="1421" ht="11.4" hidden="1" customHeight="1" spans="1:24">
      <c r="A1421" s="184" t="s">
        <v>3145</v>
      </c>
      <c r="B1421" s="184" t="s">
        <v>111</v>
      </c>
      <c r="C1421" s="184" t="s">
        <v>1101</v>
      </c>
      <c r="D1421" s="185" t="s">
        <v>703</v>
      </c>
      <c r="E1421" s="186" t="s">
        <v>24</v>
      </c>
      <c r="F1421" s="186" t="s">
        <v>24</v>
      </c>
      <c r="G1421" s="186" t="s">
        <v>3135</v>
      </c>
      <c r="H1421" s="186" t="s">
        <v>3135</v>
      </c>
      <c r="I1421" s="187" t="s">
        <v>1115</v>
      </c>
      <c r="J1421" s="187" t="s">
        <v>1116</v>
      </c>
      <c r="K1421" s="188"/>
      <c r="L1421" s="188"/>
      <c r="M1421" s="189" t="s">
        <v>807</v>
      </c>
      <c r="N1421" s="190">
        <v>42.57</v>
      </c>
      <c r="O1421" s="190">
        <f t="shared" ref="O1421:O1484" si="179">ROUND(N1421*(1+$F$10),2)</f>
        <v>46.4</v>
      </c>
      <c r="P1421" s="191">
        <f t="shared" ref="P1421:P1484" si="180">ROUND(K1421*N1421,2)</f>
        <v>0</v>
      </c>
      <c r="Q1421" s="192">
        <f t="shared" si="173"/>
        <v>0</v>
      </c>
      <c r="R1421" s="193"/>
      <c r="S1421" s="194"/>
      <c r="T1421" s="195">
        <f t="shared" si="174"/>
        <v>0</v>
      </c>
      <c r="U1421" s="195">
        <f t="shared" si="175"/>
        <v>0</v>
      </c>
      <c r="V1421" s="195">
        <f t="shared" si="176"/>
        <v>0</v>
      </c>
      <c r="W1421" s="196" t="e">
        <f t="shared" si="177"/>
        <v>#DIV/0!</v>
      </c>
      <c r="X1421" s="197" t="e">
        <f t="shared" si="178"/>
        <v>#DIV/0!</v>
      </c>
    </row>
    <row r="1422" ht="11.4" hidden="1" customHeight="1" spans="1:24">
      <c r="A1422" s="184" t="s">
        <v>3145</v>
      </c>
      <c r="B1422" s="184" t="s">
        <v>111</v>
      </c>
      <c r="C1422" s="184" t="s">
        <v>1101</v>
      </c>
      <c r="D1422" s="185" t="s">
        <v>703</v>
      </c>
      <c r="E1422" s="186" t="s">
        <v>24</v>
      </c>
      <c r="F1422" s="186" t="s">
        <v>24</v>
      </c>
      <c r="G1422" s="186" t="s">
        <v>3135</v>
      </c>
      <c r="H1422" s="186" t="s">
        <v>3135</v>
      </c>
      <c r="I1422" s="187" t="s">
        <v>1117</v>
      </c>
      <c r="J1422" s="187" t="s">
        <v>1118</v>
      </c>
      <c r="K1422" s="188"/>
      <c r="L1422" s="188"/>
      <c r="M1422" s="189" t="s">
        <v>847</v>
      </c>
      <c r="N1422" s="190">
        <v>187.98</v>
      </c>
      <c r="O1422" s="190">
        <f t="shared" si="179"/>
        <v>204.9</v>
      </c>
      <c r="P1422" s="191">
        <f t="shared" si="180"/>
        <v>0</v>
      </c>
      <c r="Q1422" s="192">
        <f t="shared" ref="Q1422:Q1485" si="181">ROUND(L1422*N1422,2)</f>
        <v>0</v>
      </c>
      <c r="R1422" s="193"/>
      <c r="S1422" s="194"/>
      <c r="T1422" s="195">
        <f t="shared" ref="T1422:T1485" si="182">K1422-L1422</f>
        <v>0</v>
      </c>
      <c r="U1422" s="195">
        <f t="shared" ref="U1422:U1485" si="183">P1422-Q1422</f>
        <v>0</v>
      </c>
      <c r="V1422" s="195">
        <f t="shared" ref="V1422:V1485" si="184">ABS(U1422)</f>
        <v>0</v>
      </c>
      <c r="W1422" s="196" t="e">
        <f t="shared" ref="W1422:W1485" si="185">T1422/L1422</f>
        <v>#DIV/0!</v>
      </c>
      <c r="X1422" s="197" t="e">
        <f t="shared" ref="X1422:X1485" si="186">ABS(W1422)</f>
        <v>#DIV/0!</v>
      </c>
    </row>
    <row r="1423" ht="11.4" hidden="1" customHeight="1" spans="1:24">
      <c r="A1423" s="184" t="s">
        <v>3145</v>
      </c>
      <c r="B1423" s="184" t="s">
        <v>111</v>
      </c>
      <c r="C1423" s="184" t="s">
        <v>1101</v>
      </c>
      <c r="D1423" s="185" t="s">
        <v>703</v>
      </c>
      <c r="E1423" s="186" t="s">
        <v>24</v>
      </c>
      <c r="F1423" s="186" t="s">
        <v>24</v>
      </c>
      <c r="G1423" s="186" t="s">
        <v>3135</v>
      </c>
      <c r="H1423" s="186" t="s">
        <v>3135</v>
      </c>
      <c r="I1423" s="187" t="s">
        <v>1119</v>
      </c>
      <c r="J1423" s="187" t="s">
        <v>1120</v>
      </c>
      <c r="K1423" s="188"/>
      <c r="L1423" s="188"/>
      <c r="M1423" s="189" t="s">
        <v>847</v>
      </c>
      <c r="N1423" s="190">
        <v>171.66</v>
      </c>
      <c r="O1423" s="190">
        <f t="shared" si="179"/>
        <v>187.11</v>
      </c>
      <c r="P1423" s="191">
        <f t="shared" si="180"/>
        <v>0</v>
      </c>
      <c r="Q1423" s="192">
        <f t="shared" si="181"/>
        <v>0</v>
      </c>
      <c r="R1423" s="193"/>
      <c r="S1423" s="194"/>
      <c r="T1423" s="195">
        <f t="shared" si="182"/>
        <v>0</v>
      </c>
      <c r="U1423" s="195">
        <f t="shared" si="183"/>
        <v>0</v>
      </c>
      <c r="V1423" s="195">
        <f t="shared" si="184"/>
        <v>0</v>
      </c>
      <c r="W1423" s="196" t="e">
        <f t="shared" si="185"/>
        <v>#DIV/0!</v>
      </c>
      <c r="X1423" s="197" t="e">
        <f t="shared" si="186"/>
        <v>#DIV/0!</v>
      </c>
    </row>
    <row r="1424" ht="11.4" hidden="1" customHeight="1" spans="1:24">
      <c r="A1424" s="184" t="s">
        <v>3145</v>
      </c>
      <c r="B1424" s="184" t="s">
        <v>111</v>
      </c>
      <c r="C1424" s="184" t="s">
        <v>1101</v>
      </c>
      <c r="D1424" s="185" t="s">
        <v>703</v>
      </c>
      <c r="E1424" s="186" t="s">
        <v>24</v>
      </c>
      <c r="F1424" s="186" t="s">
        <v>24</v>
      </c>
      <c r="G1424" s="186" t="s">
        <v>3135</v>
      </c>
      <c r="H1424" s="186" t="s">
        <v>3135</v>
      </c>
      <c r="I1424" s="187" t="s">
        <v>1121</v>
      </c>
      <c r="J1424" s="187" t="s">
        <v>1122</v>
      </c>
      <c r="K1424" s="188"/>
      <c r="L1424" s="188"/>
      <c r="M1424" s="189" t="s">
        <v>847</v>
      </c>
      <c r="N1424" s="190">
        <v>189.15</v>
      </c>
      <c r="O1424" s="190">
        <f t="shared" si="179"/>
        <v>206.17</v>
      </c>
      <c r="P1424" s="191">
        <f t="shared" si="180"/>
        <v>0</v>
      </c>
      <c r="Q1424" s="192">
        <f t="shared" si="181"/>
        <v>0</v>
      </c>
      <c r="R1424" s="193"/>
      <c r="S1424" s="194"/>
      <c r="T1424" s="195">
        <f t="shared" si="182"/>
        <v>0</v>
      </c>
      <c r="U1424" s="195">
        <f t="shared" si="183"/>
        <v>0</v>
      </c>
      <c r="V1424" s="195">
        <f t="shared" si="184"/>
        <v>0</v>
      </c>
      <c r="W1424" s="196" t="e">
        <f t="shared" si="185"/>
        <v>#DIV/0!</v>
      </c>
      <c r="X1424" s="197" t="e">
        <f t="shared" si="186"/>
        <v>#DIV/0!</v>
      </c>
    </row>
    <row r="1425" ht="11.4" hidden="1" customHeight="1" spans="1:24">
      <c r="A1425" s="184" t="s">
        <v>3145</v>
      </c>
      <c r="B1425" s="184" t="s">
        <v>111</v>
      </c>
      <c r="C1425" s="184" t="s">
        <v>1101</v>
      </c>
      <c r="D1425" s="185" t="s">
        <v>703</v>
      </c>
      <c r="E1425" s="186" t="s">
        <v>24</v>
      </c>
      <c r="F1425" s="186" t="s">
        <v>24</v>
      </c>
      <c r="G1425" s="186" t="s">
        <v>3135</v>
      </c>
      <c r="H1425" s="186" t="s">
        <v>3135</v>
      </c>
      <c r="I1425" s="187" t="s">
        <v>1123</v>
      </c>
      <c r="J1425" s="187" t="s">
        <v>1124</v>
      </c>
      <c r="K1425" s="188"/>
      <c r="L1425" s="188"/>
      <c r="M1425" s="189" t="s">
        <v>807</v>
      </c>
      <c r="N1425" s="190">
        <v>41.36</v>
      </c>
      <c r="O1425" s="190">
        <f t="shared" si="179"/>
        <v>45.08</v>
      </c>
      <c r="P1425" s="191">
        <f t="shared" si="180"/>
        <v>0</v>
      </c>
      <c r="Q1425" s="192">
        <f t="shared" si="181"/>
        <v>0</v>
      </c>
      <c r="R1425" s="193"/>
      <c r="S1425" s="194"/>
      <c r="T1425" s="195">
        <f t="shared" si="182"/>
        <v>0</v>
      </c>
      <c r="U1425" s="195">
        <f t="shared" si="183"/>
        <v>0</v>
      </c>
      <c r="V1425" s="195">
        <f t="shared" si="184"/>
        <v>0</v>
      </c>
      <c r="W1425" s="196" t="e">
        <f t="shared" si="185"/>
        <v>#DIV/0!</v>
      </c>
      <c r="X1425" s="197" t="e">
        <f t="shared" si="186"/>
        <v>#DIV/0!</v>
      </c>
    </row>
    <row r="1426" ht="11.4" hidden="1" customHeight="1" spans="1:24">
      <c r="A1426" s="184" t="s">
        <v>3145</v>
      </c>
      <c r="B1426" s="184" t="s">
        <v>111</v>
      </c>
      <c r="C1426" s="184" t="s">
        <v>1101</v>
      </c>
      <c r="D1426" s="185" t="s">
        <v>703</v>
      </c>
      <c r="E1426" s="186" t="s">
        <v>24</v>
      </c>
      <c r="F1426" s="186" t="s">
        <v>24</v>
      </c>
      <c r="G1426" s="186" t="s">
        <v>3135</v>
      </c>
      <c r="H1426" s="186" t="s">
        <v>3135</v>
      </c>
      <c r="I1426" s="187" t="s">
        <v>1125</v>
      </c>
      <c r="J1426" s="187" t="s">
        <v>1126</v>
      </c>
      <c r="K1426" s="188"/>
      <c r="L1426" s="188"/>
      <c r="M1426" s="189" t="s">
        <v>807</v>
      </c>
      <c r="N1426" s="190">
        <v>38.94</v>
      </c>
      <c r="O1426" s="190">
        <f t="shared" si="179"/>
        <v>42.44</v>
      </c>
      <c r="P1426" s="191">
        <f t="shared" si="180"/>
        <v>0</v>
      </c>
      <c r="Q1426" s="192">
        <f t="shared" si="181"/>
        <v>0</v>
      </c>
      <c r="R1426" s="193"/>
      <c r="S1426" s="194"/>
      <c r="T1426" s="195">
        <f t="shared" si="182"/>
        <v>0</v>
      </c>
      <c r="U1426" s="195">
        <f t="shared" si="183"/>
        <v>0</v>
      </c>
      <c r="V1426" s="195">
        <f t="shared" si="184"/>
        <v>0</v>
      </c>
      <c r="W1426" s="196" t="e">
        <f t="shared" si="185"/>
        <v>#DIV/0!</v>
      </c>
      <c r="X1426" s="197" t="e">
        <f t="shared" si="186"/>
        <v>#DIV/0!</v>
      </c>
    </row>
    <row r="1427" ht="11.4" hidden="1" customHeight="1" spans="1:24">
      <c r="A1427" s="184" t="s">
        <v>3145</v>
      </c>
      <c r="B1427" s="184" t="s">
        <v>111</v>
      </c>
      <c r="C1427" s="184" t="s">
        <v>1101</v>
      </c>
      <c r="D1427" s="185" t="s">
        <v>703</v>
      </c>
      <c r="E1427" s="186" t="s">
        <v>24</v>
      </c>
      <c r="F1427" s="186" t="s">
        <v>24</v>
      </c>
      <c r="G1427" s="186" t="s">
        <v>3135</v>
      </c>
      <c r="H1427" s="186" t="s">
        <v>3135</v>
      </c>
      <c r="I1427" s="187" t="s">
        <v>1127</v>
      </c>
      <c r="J1427" s="187" t="s">
        <v>1128</v>
      </c>
      <c r="K1427" s="188"/>
      <c r="L1427" s="188"/>
      <c r="M1427" s="189" t="s">
        <v>807</v>
      </c>
      <c r="N1427" s="190">
        <v>40.15</v>
      </c>
      <c r="O1427" s="190">
        <f t="shared" si="179"/>
        <v>43.76</v>
      </c>
      <c r="P1427" s="191">
        <f t="shared" si="180"/>
        <v>0</v>
      </c>
      <c r="Q1427" s="192">
        <f t="shared" si="181"/>
        <v>0</v>
      </c>
      <c r="R1427" s="193"/>
      <c r="S1427" s="194"/>
      <c r="T1427" s="195">
        <f t="shared" si="182"/>
        <v>0</v>
      </c>
      <c r="U1427" s="195">
        <f t="shared" si="183"/>
        <v>0</v>
      </c>
      <c r="V1427" s="195">
        <f t="shared" si="184"/>
        <v>0</v>
      </c>
      <c r="W1427" s="196" t="e">
        <f t="shared" si="185"/>
        <v>#DIV/0!</v>
      </c>
      <c r="X1427" s="197" t="e">
        <f t="shared" si="186"/>
        <v>#DIV/0!</v>
      </c>
    </row>
    <row r="1428" ht="11.4" hidden="1" customHeight="1" spans="1:24">
      <c r="A1428" s="184" t="s">
        <v>3145</v>
      </c>
      <c r="B1428" s="184" t="s">
        <v>111</v>
      </c>
      <c r="C1428" s="184" t="s">
        <v>1101</v>
      </c>
      <c r="D1428" s="185" t="s">
        <v>703</v>
      </c>
      <c r="E1428" s="186" t="s">
        <v>24</v>
      </c>
      <c r="F1428" s="186" t="s">
        <v>24</v>
      </c>
      <c r="G1428" s="186" t="s">
        <v>3135</v>
      </c>
      <c r="H1428" s="186" t="s">
        <v>3135</v>
      </c>
      <c r="I1428" s="187" t="s">
        <v>1129</v>
      </c>
      <c r="J1428" s="187" t="s">
        <v>1130</v>
      </c>
      <c r="K1428" s="188"/>
      <c r="L1428" s="188"/>
      <c r="M1428" s="189" t="s">
        <v>847</v>
      </c>
      <c r="N1428" s="190">
        <v>219.86</v>
      </c>
      <c r="O1428" s="190">
        <f t="shared" si="179"/>
        <v>239.65</v>
      </c>
      <c r="P1428" s="191">
        <f t="shared" si="180"/>
        <v>0</v>
      </c>
      <c r="Q1428" s="192">
        <f t="shared" si="181"/>
        <v>0</v>
      </c>
      <c r="R1428" s="193"/>
      <c r="S1428" s="194"/>
      <c r="T1428" s="195">
        <f t="shared" si="182"/>
        <v>0</v>
      </c>
      <c r="U1428" s="195">
        <f t="shared" si="183"/>
        <v>0</v>
      </c>
      <c r="V1428" s="195">
        <f t="shared" si="184"/>
        <v>0</v>
      </c>
      <c r="W1428" s="196" t="e">
        <f t="shared" si="185"/>
        <v>#DIV/0!</v>
      </c>
      <c r="X1428" s="197" t="e">
        <f t="shared" si="186"/>
        <v>#DIV/0!</v>
      </c>
    </row>
    <row r="1429" ht="11.4" hidden="1" customHeight="1" spans="1:24">
      <c r="A1429" s="184" t="s">
        <v>3145</v>
      </c>
      <c r="B1429" s="184" t="s">
        <v>111</v>
      </c>
      <c r="C1429" s="184" t="s">
        <v>1101</v>
      </c>
      <c r="D1429" s="185" t="s">
        <v>703</v>
      </c>
      <c r="E1429" s="186" t="s">
        <v>24</v>
      </c>
      <c r="F1429" s="186" t="s">
        <v>24</v>
      </c>
      <c r="G1429" s="186" t="s">
        <v>3135</v>
      </c>
      <c r="H1429" s="186" t="s">
        <v>3135</v>
      </c>
      <c r="I1429" s="187" t="s">
        <v>1131</v>
      </c>
      <c r="J1429" s="187" t="s">
        <v>1132</v>
      </c>
      <c r="K1429" s="188"/>
      <c r="L1429" s="188"/>
      <c r="M1429" s="189" t="s">
        <v>847</v>
      </c>
      <c r="N1429" s="190">
        <v>203.42</v>
      </c>
      <c r="O1429" s="190">
        <f t="shared" si="179"/>
        <v>221.73</v>
      </c>
      <c r="P1429" s="191">
        <f t="shared" si="180"/>
        <v>0</v>
      </c>
      <c r="Q1429" s="192">
        <f t="shared" si="181"/>
        <v>0</v>
      </c>
      <c r="R1429" s="193"/>
      <c r="S1429" s="194"/>
      <c r="T1429" s="195">
        <f t="shared" si="182"/>
        <v>0</v>
      </c>
      <c r="U1429" s="195">
        <f t="shared" si="183"/>
        <v>0</v>
      </c>
      <c r="V1429" s="195">
        <f t="shared" si="184"/>
        <v>0</v>
      </c>
      <c r="W1429" s="196" t="e">
        <f t="shared" si="185"/>
        <v>#DIV/0!</v>
      </c>
      <c r="X1429" s="197" t="e">
        <f t="shared" si="186"/>
        <v>#DIV/0!</v>
      </c>
    </row>
    <row r="1430" ht="11.4" hidden="1" customHeight="1" spans="1:24">
      <c r="A1430" s="184" t="s">
        <v>3145</v>
      </c>
      <c r="B1430" s="184" t="s">
        <v>111</v>
      </c>
      <c r="C1430" s="184" t="s">
        <v>1101</v>
      </c>
      <c r="D1430" s="185" t="s">
        <v>703</v>
      </c>
      <c r="E1430" s="186" t="s">
        <v>24</v>
      </c>
      <c r="F1430" s="186" t="s">
        <v>24</v>
      </c>
      <c r="G1430" s="186" t="s">
        <v>3135</v>
      </c>
      <c r="H1430" s="186" t="s">
        <v>3135</v>
      </c>
      <c r="I1430" s="187" t="s">
        <v>1133</v>
      </c>
      <c r="J1430" s="187" t="s">
        <v>1134</v>
      </c>
      <c r="K1430" s="188"/>
      <c r="L1430" s="188"/>
      <c r="M1430" s="189" t="s">
        <v>847</v>
      </c>
      <c r="N1430" s="190">
        <v>222.39</v>
      </c>
      <c r="O1430" s="190">
        <f t="shared" si="179"/>
        <v>242.41</v>
      </c>
      <c r="P1430" s="191">
        <f t="shared" si="180"/>
        <v>0</v>
      </c>
      <c r="Q1430" s="192">
        <f t="shared" si="181"/>
        <v>0</v>
      </c>
      <c r="R1430" s="193"/>
      <c r="S1430" s="194"/>
      <c r="T1430" s="195">
        <f t="shared" si="182"/>
        <v>0</v>
      </c>
      <c r="U1430" s="195">
        <f t="shared" si="183"/>
        <v>0</v>
      </c>
      <c r="V1430" s="195">
        <f t="shared" si="184"/>
        <v>0</v>
      </c>
      <c r="W1430" s="196" t="e">
        <f t="shared" si="185"/>
        <v>#DIV/0!</v>
      </c>
      <c r="X1430" s="197" t="e">
        <f t="shared" si="186"/>
        <v>#DIV/0!</v>
      </c>
    </row>
    <row r="1431" ht="11.4" hidden="1" customHeight="1" spans="1:24">
      <c r="A1431" s="184" t="s">
        <v>3145</v>
      </c>
      <c r="B1431" s="184" t="s">
        <v>111</v>
      </c>
      <c r="C1431" s="184" t="s">
        <v>1101</v>
      </c>
      <c r="D1431" s="185" t="s">
        <v>703</v>
      </c>
      <c r="E1431" s="186" t="s">
        <v>24</v>
      </c>
      <c r="F1431" s="186" t="s">
        <v>24</v>
      </c>
      <c r="G1431" s="186" t="s">
        <v>3135</v>
      </c>
      <c r="H1431" s="186" t="s">
        <v>3135</v>
      </c>
      <c r="I1431" s="187" t="s">
        <v>1135</v>
      </c>
      <c r="J1431" s="187" t="s">
        <v>1136</v>
      </c>
      <c r="K1431" s="188"/>
      <c r="L1431" s="188"/>
      <c r="M1431" s="189" t="s">
        <v>807</v>
      </c>
      <c r="N1431" s="190">
        <v>41.36</v>
      </c>
      <c r="O1431" s="190">
        <f t="shared" si="179"/>
        <v>45.08</v>
      </c>
      <c r="P1431" s="191">
        <f t="shared" si="180"/>
        <v>0</v>
      </c>
      <c r="Q1431" s="192">
        <f t="shared" si="181"/>
        <v>0</v>
      </c>
      <c r="R1431" s="193"/>
      <c r="S1431" s="194"/>
      <c r="T1431" s="195">
        <f t="shared" si="182"/>
        <v>0</v>
      </c>
      <c r="U1431" s="195">
        <f t="shared" si="183"/>
        <v>0</v>
      </c>
      <c r="V1431" s="195">
        <f t="shared" si="184"/>
        <v>0</v>
      </c>
      <c r="W1431" s="196" t="e">
        <f t="shared" si="185"/>
        <v>#DIV/0!</v>
      </c>
      <c r="X1431" s="197" t="e">
        <f t="shared" si="186"/>
        <v>#DIV/0!</v>
      </c>
    </row>
    <row r="1432" ht="11.4" hidden="1" customHeight="1" spans="1:24">
      <c r="A1432" s="184" t="s">
        <v>3145</v>
      </c>
      <c r="B1432" s="184" t="s">
        <v>111</v>
      </c>
      <c r="C1432" s="184" t="s">
        <v>1101</v>
      </c>
      <c r="D1432" s="185" t="s">
        <v>703</v>
      </c>
      <c r="E1432" s="186" t="s">
        <v>24</v>
      </c>
      <c r="F1432" s="186" t="s">
        <v>24</v>
      </c>
      <c r="G1432" s="186" t="s">
        <v>3135</v>
      </c>
      <c r="H1432" s="186" t="s">
        <v>3135</v>
      </c>
      <c r="I1432" s="187" t="s">
        <v>1137</v>
      </c>
      <c r="J1432" s="187" t="s">
        <v>1138</v>
      </c>
      <c r="K1432" s="188"/>
      <c r="L1432" s="188"/>
      <c r="M1432" s="189" t="s">
        <v>807</v>
      </c>
      <c r="N1432" s="190">
        <v>40.15</v>
      </c>
      <c r="O1432" s="190">
        <f t="shared" si="179"/>
        <v>43.76</v>
      </c>
      <c r="P1432" s="191">
        <f t="shared" si="180"/>
        <v>0</v>
      </c>
      <c r="Q1432" s="192">
        <f t="shared" si="181"/>
        <v>0</v>
      </c>
      <c r="R1432" s="193"/>
      <c r="S1432" s="194"/>
      <c r="T1432" s="195">
        <f t="shared" si="182"/>
        <v>0</v>
      </c>
      <c r="U1432" s="195">
        <f t="shared" si="183"/>
        <v>0</v>
      </c>
      <c r="V1432" s="195">
        <f t="shared" si="184"/>
        <v>0</v>
      </c>
      <c r="W1432" s="196" t="e">
        <f t="shared" si="185"/>
        <v>#DIV/0!</v>
      </c>
      <c r="X1432" s="197" t="e">
        <f t="shared" si="186"/>
        <v>#DIV/0!</v>
      </c>
    </row>
    <row r="1433" ht="11.4" hidden="1" customHeight="1" spans="1:24">
      <c r="A1433" s="184" t="s">
        <v>3145</v>
      </c>
      <c r="B1433" s="184" t="s">
        <v>111</v>
      </c>
      <c r="C1433" s="184" t="s">
        <v>1101</v>
      </c>
      <c r="D1433" s="185" t="s">
        <v>703</v>
      </c>
      <c r="E1433" s="186" t="s">
        <v>24</v>
      </c>
      <c r="F1433" s="186" t="s">
        <v>24</v>
      </c>
      <c r="G1433" s="186" t="s">
        <v>3135</v>
      </c>
      <c r="H1433" s="186" t="s">
        <v>3135</v>
      </c>
      <c r="I1433" s="187" t="s">
        <v>1139</v>
      </c>
      <c r="J1433" s="187" t="s">
        <v>2898</v>
      </c>
      <c r="K1433" s="188"/>
      <c r="L1433" s="188"/>
      <c r="M1433" s="189" t="s">
        <v>807</v>
      </c>
      <c r="N1433" s="190">
        <v>41.36</v>
      </c>
      <c r="O1433" s="190">
        <f t="shared" si="179"/>
        <v>45.08</v>
      </c>
      <c r="P1433" s="191">
        <f t="shared" si="180"/>
        <v>0</v>
      </c>
      <c r="Q1433" s="192">
        <f t="shared" si="181"/>
        <v>0</v>
      </c>
      <c r="R1433" s="193"/>
      <c r="S1433" s="194"/>
      <c r="T1433" s="195">
        <f t="shared" si="182"/>
        <v>0</v>
      </c>
      <c r="U1433" s="195">
        <f t="shared" si="183"/>
        <v>0</v>
      </c>
      <c r="V1433" s="195">
        <f t="shared" si="184"/>
        <v>0</v>
      </c>
      <c r="W1433" s="196" t="e">
        <f t="shared" si="185"/>
        <v>#DIV/0!</v>
      </c>
      <c r="X1433" s="197" t="e">
        <f t="shared" si="186"/>
        <v>#DIV/0!</v>
      </c>
    </row>
    <row r="1434" ht="11.4" hidden="1" customHeight="1" spans="1:24">
      <c r="A1434" s="184" t="s">
        <v>3145</v>
      </c>
      <c r="B1434" s="184" t="s">
        <v>111</v>
      </c>
      <c r="C1434" s="184" t="s">
        <v>1101</v>
      </c>
      <c r="D1434" s="185" t="s">
        <v>703</v>
      </c>
      <c r="E1434" s="186" t="s">
        <v>24</v>
      </c>
      <c r="F1434" s="186" t="s">
        <v>24</v>
      </c>
      <c r="G1434" s="186" t="s">
        <v>3135</v>
      </c>
      <c r="H1434" s="186" t="s">
        <v>3135</v>
      </c>
      <c r="I1434" s="187" t="s">
        <v>1141</v>
      </c>
      <c r="J1434" s="187" t="s">
        <v>1142</v>
      </c>
      <c r="K1434" s="188"/>
      <c r="L1434" s="188"/>
      <c r="M1434" s="189" t="s">
        <v>847</v>
      </c>
      <c r="N1434" s="190">
        <v>196.14</v>
      </c>
      <c r="O1434" s="190">
        <f t="shared" si="179"/>
        <v>213.79</v>
      </c>
      <c r="P1434" s="191">
        <f t="shared" si="180"/>
        <v>0</v>
      </c>
      <c r="Q1434" s="192">
        <f t="shared" si="181"/>
        <v>0</v>
      </c>
      <c r="R1434" s="193"/>
      <c r="S1434" s="194"/>
      <c r="T1434" s="195">
        <f t="shared" si="182"/>
        <v>0</v>
      </c>
      <c r="U1434" s="195">
        <f t="shared" si="183"/>
        <v>0</v>
      </c>
      <c r="V1434" s="195">
        <f t="shared" si="184"/>
        <v>0</v>
      </c>
      <c r="W1434" s="196" t="e">
        <f t="shared" si="185"/>
        <v>#DIV/0!</v>
      </c>
      <c r="X1434" s="197" t="e">
        <f t="shared" si="186"/>
        <v>#DIV/0!</v>
      </c>
    </row>
    <row r="1435" ht="11.4" hidden="1" customHeight="1" spans="1:24">
      <c r="A1435" s="184" t="s">
        <v>3145</v>
      </c>
      <c r="B1435" s="184" t="s">
        <v>111</v>
      </c>
      <c r="C1435" s="184" t="s">
        <v>1101</v>
      </c>
      <c r="D1435" s="185" t="s">
        <v>703</v>
      </c>
      <c r="E1435" s="186" t="s">
        <v>24</v>
      </c>
      <c r="F1435" s="186" t="s">
        <v>24</v>
      </c>
      <c r="G1435" s="186" t="s">
        <v>3135</v>
      </c>
      <c r="H1435" s="186" t="s">
        <v>3135</v>
      </c>
      <c r="I1435" s="187" t="s">
        <v>1143</v>
      </c>
      <c r="J1435" s="187" t="s">
        <v>1144</v>
      </c>
      <c r="K1435" s="188"/>
      <c r="L1435" s="188"/>
      <c r="M1435" s="189" t="s">
        <v>807</v>
      </c>
      <c r="N1435" s="190">
        <v>41.47</v>
      </c>
      <c r="O1435" s="190">
        <f t="shared" si="179"/>
        <v>45.2</v>
      </c>
      <c r="P1435" s="191">
        <f t="shared" si="180"/>
        <v>0</v>
      </c>
      <c r="Q1435" s="192">
        <f t="shared" si="181"/>
        <v>0</v>
      </c>
      <c r="R1435" s="193"/>
      <c r="S1435" s="194"/>
      <c r="T1435" s="195">
        <f t="shared" si="182"/>
        <v>0</v>
      </c>
      <c r="U1435" s="195">
        <f t="shared" si="183"/>
        <v>0</v>
      </c>
      <c r="V1435" s="195">
        <f t="shared" si="184"/>
        <v>0</v>
      </c>
      <c r="W1435" s="196" t="e">
        <f t="shared" si="185"/>
        <v>#DIV/0!</v>
      </c>
      <c r="X1435" s="197" t="e">
        <f t="shared" si="186"/>
        <v>#DIV/0!</v>
      </c>
    </row>
    <row r="1436" ht="11.4" hidden="1" customHeight="1" spans="1:24">
      <c r="A1436" s="184" t="s">
        <v>3145</v>
      </c>
      <c r="B1436" s="184" t="s">
        <v>111</v>
      </c>
      <c r="C1436" s="184" t="s">
        <v>1101</v>
      </c>
      <c r="D1436" s="185" t="s">
        <v>703</v>
      </c>
      <c r="E1436" s="186" t="s">
        <v>24</v>
      </c>
      <c r="F1436" s="186" t="s">
        <v>24</v>
      </c>
      <c r="G1436" s="186" t="s">
        <v>3135</v>
      </c>
      <c r="H1436" s="186" t="s">
        <v>3135</v>
      </c>
      <c r="I1436" s="187" t="s">
        <v>1145</v>
      </c>
      <c r="J1436" s="187" t="s">
        <v>1146</v>
      </c>
      <c r="K1436" s="188"/>
      <c r="L1436" s="188"/>
      <c r="M1436" s="189" t="s">
        <v>847</v>
      </c>
      <c r="N1436" s="190">
        <v>179.82</v>
      </c>
      <c r="O1436" s="190">
        <f t="shared" si="179"/>
        <v>196</v>
      </c>
      <c r="P1436" s="191">
        <f t="shared" si="180"/>
        <v>0</v>
      </c>
      <c r="Q1436" s="192">
        <f t="shared" si="181"/>
        <v>0</v>
      </c>
      <c r="R1436" s="193"/>
      <c r="S1436" s="194"/>
      <c r="T1436" s="195">
        <f t="shared" si="182"/>
        <v>0</v>
      </c>
      <c r="U1436" s="195">
        <f t="shared" si="183"/>
        <v>0</v>
      </c>
      <c r="V1436" s="195">
        <f t="shared" si="184"/>
        <v>0</v>
      </c>
      <c r="W1436" s="196" t="e">
        <f t="shared" si="185"/>
        <v>#DIV/0!</v>
      </c>
      <c r="X1436" s="197" t="e">
        <f t="shared" si="186"/>
        <v>#DIV/0!</v>
      </c>
    </row>
    <row r="1437" ht="11.4" hidden="1" customHeight="1" spans="1:24">
      <c r="A1437" s="184" t="s">
        <v>3145</v>
      </c>
      <c r="B1437" s="184" t="s">
        <v>111</v>
      </c>
      <c r="C1437" s="184" t="s">
        <v>1101</v>
      </c>
      <c r="D1437" s="185" t="s">
        <v>703</v>
      </c>
      <c r="E1437" s="186" t="s">
        <v>24</v>
      </c>
      <c r="F1437" s="186" t="s">
        <v>24</v>
      </c>
      <c r="G1437" s="186" t="s">
        <v>3135</v>
      </c>
      <c r="H1437" s="186" t="s">
        <v>3135</v>
      </c>
      <c r="I1437" s="187" t="s">
        <v>1147</v>
      </c>
      <c r="J1437" s="187" t="s">
        <v>1148</v>
      </c>
      <c r="K1437" s="188"/>
      <c r="L1437" s="188"/>
      <c r="M1437" s="189" t="s">
        <v>807</v>
      </c>
      <c r="N1437" s="190">
        <v>37.84</v>
      </c>
      <c r="O1437" s="190">
        <f t="shared" si="179"/>
        <v>41.25</v>
      </c>
      <c r="P1437" s="191">
        <f t="shared" si="180"/>
        <v>0</v>
      </c>
      <c r="Q1437" s="192">
        <f t="shared" si="181"/>
        <v>0</v>
      </c>
      <c r="R1437" s="193"/>
      <c r="S1437" s="194"/>
      <c r="T1437" s="195">
        <f t="shared" si="182"/>
        <v>0</v>
      </c>
      <c r="U1437" s="195">
        <f t="shared" si="183"/>
        <v>0</v>
      </c>
      <c r="V1437" s="195">
        <f t="shared" si="184"/>
        <v>0</v>
      </c>
      <c r="W1437" s="196" t="e">
        <f t="shared" si="185"/>
        <v>#DIV/0!</v>
      </c>
      <c r="X1437" s="197" t="e">
        <f t="shared" si="186"/>
        <v>#DIV/0!</v>
      </c>
    </row>
    <row r="1438" ht="11.4" hidden="1" customHeight="1" spans="1:24">
      <c r="A1438" s="184" t="s">
        <v>3145</v>
      </c>
      <c r="B1438" s="184" t="s">
        <v>111</v>
      </c>
      <c r="C1438" s="184" t="s">
        <v>1101</v>
      </c>
      <c r="D1438" s="185" t="s">
        <v>703</v>
      </c>
      <c r="E1438" s="186" t="s">
        <v>24</v>
      </c>
      <c r="F1438" s="186" t="s">
        <v>24</v>
      </c>
      <c r="G1438" s="186" t="s">
        <v>3135</v>
      </c>
      <c r="H1438" s="186" t="s">
        <v>3135</v>
      </c>
      <c r="I1438" s="187" t="s">
        <v>1149</v>
      </c>
      <c r="J1438" s="187" t="s">
        <v>1150</v>
      </c>
      <c r="K1438" s="188"/>
      <c r="L1438" s="188"/>
      <c r="M1438" s="189" t="s">
        <v>847</v>
      </c>
      <c r="N1438" s="190">
        <v>193.81</v>
      </c>
      <c r="O1438" s="190">
        <f t="shared" si="179"/>
        <v>211.25</v>
      </c>
      <c r="P1438" s="191">
        <f t="shared" si="180"/>
        <v>0</v>
      </c>
      <c r="Q1438" s="192">
        <f t="shared" si="181"/>
        <v>0</v>
      </c>
      <c r="R1438" s="193"/>
      <c r="S1438" s="194"/>
      <c r="T1438" s="195">
        <f t="shared" si="182"/>
        <v>0</v>
      </c>
      <c r="U1438" s="195">
        <f t="shared" si="183"/>
        <v>0</v>
      </c>
      <c r="V1438" s="195">
        <f t="shared" si="184"/>
        <v>0</v>
      </c>
      <c r="W1438" s="196" t="e">
        <f t="shared" si="185"/>
        <v>#DIV/0!</v>
      </c>
      <c r="X1438" s="197" t="e">
        <f t="shared" si="186"/>
        <v>#DIV/0!</v>
      </c>
    </row>
    <row r="1439" ht="11.4" hidden="1" customHeight="1" spans="1:24">
      <c r="A1439" s="184" t="s">
        <v>3145</v>
      </c>
      <c r="B1439" s="184" t="s">
        <v>111</v>
      </c>
      <c r="C1439" s="184" t="s">
        <v>1101</v>
      </c>
      <c r="D1439" s="185" t="s">
        <v>703</v>
      </c>
      <c r="E1439" s="186" t="s">
        <v>24</v>
      </c>
      <c r="F1439" s="186" t="s">
        <v>24</v>
      </c>
      <c r="G1439" s="186" t="s">
        <v>3135</v>
      </c>
      <c r="H1439" s="186" t="s">
        <v>3135</v>
      </c>
      <c r="I1439" s="187" t="s">
        <v>1151</v>
      </c>
      <c r="J1439" s="187" t="s">
        <v>1152</v>
      </c>
      <c r="K1439" s="188"/>
      <c r="L1439" s="188"/>
      <c r="M1439" s="189" t="s">
        <v>807</v>
      </c>
      <c r="N1439" s="190">
        <v>39.05</v>
      </c>
      <c r="O1439" s="190">
        <f t="shared" si="179"/>
        <v>42.56</v>
      </c>
      <c r="P1439" s="191">
        <f t="shared" si="180"/>
        <v>0</v>
      </c>
      <c r="Q1439" s="192">
        <f t="shared" si="181"/>
        <v>0</v>
      </c>
      <c r="R1439" s="193"/>
      <c r="S1439" s="194"/>
      <c r="T1439" s="195">
        <f t="shared" si="182"/>
        <v>0</v>
      </c>
      <c r="U1439" s="195">
        <f t="shared" si="183"/>
        <v>0</v>
      </c>
      <c r="V1439" s="195">
        <f t="shared" si="184"/>
        <v>0</v>
      </c>
      <c r="W1439" s="196" t="e">
        <f t="shared" si="185"/>
        <v>#DIV/0!</v>
      </c>
      <c r="X1439" s="197" t="e">
        <f t="shared" si="186"/>
        <v>#DIV/0!</v>
      </c>
    </row>
    <row r="1440" ht="11.4" hidden="1" customHeight="1" spans="1:24">
      <c r="A1440" s="184" t="s">
        <v>3145</v>
      </c>
      <c r="B1440" s="184" t="s">
        <v>111</v>
      </c>
      <c r="C1440" s="184" t="s">
        <v>1101</v>
      </c>
      <c r="D1440" s="185" t="s">
        <v>703</v>
      </c>
      <c r="E1440" s="186" t="s">
        <v>24</v>
      </c>
      <c r="F1440" s="186" t="s">
        <v>24</v>
      </c>
      <c r="G1440" s="186" t="s">
        <v>3135</v>
      </c>
      <c r="H1440" s="186" t="s">
        <v>3135</v>
      </c>
      <c r="I1440" s="187" t="s">
        <v>1153</v>
      </c>
      <c r="J1440" s="187" t="s">
        <v>1154</v>
      </c>
      <c r="K1440" s="188"/>
      <c r="L1440" s="188"/>
      <c r="M1440" s="189" t="s">
        <v>847</v>
      </c>
      <c r="N1440" s="190">
        <v>178.2</v>
      </c>
      <c r="O1440" s="190">
        <f t="shared" si="179"/>
        <v>194.24</v>
      </c>
      <c r="P1440" s="191">
        <f t="shared" si="180"/>
        <v>0</v>
      </c>
      <c r="Q1440" s="192">
        <f t="shared" si="181"/>
        <v>0</v>
      </c>
      <c r="R1440" s="193"/>
      <c r="S1440" s="194"/>
      <c r="T1440" s="195">
        <f t="shared" si="182"/>
        <v>0</v>
      </c>
      <c r="U1440" s="195">
        <f t="shared" si="183"/>
        <v>0</v>
      </c>
      <c r="V1440" s="195">
        <f t="shared" si="184"/>
        <v>0</v>
      </c>
      <c r="W1440" s="196" t="e">
        <f t="shared" si="185"/>
        <v>#DIV/0!</v>
      </c>
      <c r="X1440" s="197" t="e">
        <f t="shared" si="186"/>
        <v>#DIV/0!</v>
      </c>
    </row>
    <row r="1441" ht="11.4" hidden="1" customHeight="1" spans="1:24">
      <c r="A1441" s="184" t="s">
        <v>3145</v>
      </c>
      <c r="B1441" s="184" t="s">
        <v>111</v>
      </c>
      <c r="C1441" s="184" t="s">
        <v>1101</v>
      </c>
      <c r="D1441" s="185" t="s">
        <v>703</v>
      </c>
      <c r="E1441" s="186" t="s">
        <v>24</v>
      </c>
      <c r="F1441" s="186" t="s">
        <v>24</v>
      </c>
      <c r="G1441" s="186" t="s">
        <v>3135</v>
      </c>
      <c r="H1441" s="186" t="s">
        <v>3135</v>
      </c>
      <c r="I1441" s="187" t="s">
        <v>1155</v>
      </c>
      <c r="J1441" s="187" t="s">
        <v>1156</v>
      </c>
      <c r="K1441" s="188"/>
      <c r="L1441" s="188"/>
      <c r="M1441" s="189" t="s">
        <v>847</v>
      </c>
      <c r="N1441" s="190">
        <v>170.67</v>
      </c>
      <c r="O1441" s="190">
        <f t="shared" si="179"/>
        <v>186.03</v>
      </c>
      <c r="P1441" s="191">
        <f t="shared" si="180"/>
        <v>0</v>
      </c>
      <c r="Q1441" s="192">
        <f t="shared" si="181"/>
        <v>0</v>
      </c>
      <c r="R1441" s="193"/>
      <c r="S1441" s="194"/>
      <c r="T1441" s="195">
        <f t="shared" si="182"/>
        <v>0</v>
      </c>
      <c r="U1441" s="195">
        <f t="shared" si="183"/>
        <v>0</v>
      </c>
      <c r="V1441" s="195">
        <f t="shared" si="184"/>
        <v>0</v>
      </c>
      <c r="W1441" s="196" t="e">
        <f t="shared" si="185"/>
        <v>#DIV/0!</v>
      </c>
      <c r="X1441" s="197" t="e">
        <f t="shared" si="186"/>
        <v>#DIV/0!</v>
      </c>
    </row>
    <row r="1442" ht="11.4" hidden="1" customHeight="1" spans="1:24">
      <c r="A1442" s="184" t="s">
        <v>3145</v>
      </c>
      <c r="B1442" s="184" t="s">
        <v>111</v>
      </c>
      <c r="C1442" s="184" t="s">
        <v>1101</v>
      </c>
      <c r="D1442" s="185" t="s">
        <v>703</v>
      </c>
      <c r="E1442" s="186" t="s">
        <v>24</v>
      </c>
      <c r="F1442" s="186" t="s">
        <v>24</v>
      </c>
      <c r="G1442" s="186" t="s">
        <v>3135</v>
      </c>
      <c r="H1442" s="186" t="s">
        <v>3135</v>
      </c>
      <c r="I1442" s="187" t="s">
        <v>1157</v>
      </c>
      <c r="J1442" s="187" t="s">
        <v>1158</v>
      </c>
      <c r="K1442" s="188"/>
      <c r="L1442" s="188"/>
      <c r="M1442" s="189" t="s">
        <v>847</v>
      </c>
      <c r="N1442" s="190">
        <v>181.7</v>
      </c>
      <c r="O1442" s="190">
        <f t="shared" si="179"/>
        <v>198.05</v>
      </c>
      <c r="P1442" s="191">
        <f t="shared" si="180"/>
        <v>0</v>
      </c>
      <c r="Q1442" s="192">
        <f t="shared" si="181"/>
        <v>0</v>
      </c>
      <c r="R1442" s="193"/>
      <c r="S1442" s="194"/>
      <c r="T1442" s="195">
        <f t="shared" si="182"/>
        <v>0</v>
      </c>
      <c r="U1442" s="195">
        <f t="shared" si="183"/>
        <v>0</v>
      </c>
      <c r="V1442" s="195">
        <f t="shared" si="184"/>
        <v>0</v>
      </c>
      <c r="W1442" s="196" t="e">
        <f t="shared" si="185"/>
        <v>#DIV/0!</v>
      </c>
      <c r="X1442" s="197" t="e">
        <f t="shared" si="186"/>
        <v>#DIV/0!</v>
      </c>
    </row>
    <row r="1443" ht="11.4" hidden="1" customHeight="1" spans="1:24">
      <c r="A1443" s="184" t="s">
        <v>3145</v>
      </c>
      <c r="B1443" s="184" t="s">
        <v>111</v>
      </c>
      <c r="C1443" s="184" t="s">
        <v>1101</v>
      </c>
      <c r="D1443" s="185" t="s">
        <v>703</v>
      </c>
      <c r="E1443" s="186" t="s">
        <v>24</v>
      </c>
      <c r="F1443" s="186" t="s">
        <v>24</v>
      </c>
      <c r="G1443" s="186" t="s">
        <v>3135</v>
      </c>
      <c r="H1443" s="186" t="s">
        <v>3135</v>
      </c>
      <c r="I1443" s="187" t="s">
        <v>1159</v>
      </c>
      <c r="J1443" s="187" t="s">
        <v>1160</v>
      </c>
      <c r="K1443" s="188"/>
      <c r="L1443" s="188"/>
      <c r="M1443" s="189" t="s">
        <v>847</v>
      </c>
      <c r="N1443" s="190">
        <v>180.78</v>
      </c>
      <c r="O1443" s="190">
        <f t="shared" si="179"/>
        <v>197.05</v>
      </c>
      <c r="P1443" s="191">
        <f t="shared" si="180"/>
        <v>0</v>
      </c>
      <c r="Q1443" s="192">
        <f t="shared" si="181"/>
        <v>0</v>
      </c>
      <c r="R1443" s="193"/>
      <c r="S1443" s="194"/>
      <c r="T1443" s="195">
        <f t="shared" si="182"/>
        <v>0</v>
      </c>
      <c r="U1443" s="195">
        <f t="shared" si="183"/>
        <v>0</v>
      </c>
      <c r="V1443" s="195">
        <f t="shared" si="184"/>
        <v>0</v>
      </c>
      <c r="W1443" s="196" t="e">
        <f t="shared" si="185"/>
        <v>#DIV/0!</v>
      </c>
      <c r="X1443" s="197" t="e">
        <f t="shared" si="186"/>
        <v>#DIV/0!</v>
      </c>
    </row>
    <row r="1444" ht="11.4" hidden="1" customHeight="1" spans="1:24">
      <c r="A1444" s="184" t="s">
        <v>3145</v>
      </c>
      <c r="B1444" s="184" t="s">
        <v>111</v>
      </c>
      <c r="C1444" s="184" t="s">
        <v>1101</v>
      </c>
      <c r="D1444" s="185" t="s">
        <v>703</v>
      </c>
      <c r="E1444" s="186" t="s">
        <v>24</v>
      </c>
      <c r="F1444" s="186" t="s">
        <v>24</v>
      </c>
      <c r="G1444" s="186" t="s">
        <v>3135</v>
      </c>
      <c r="H1444" s="186" t="s">
        <v>3135</v>
      </c>
      <c r="I1444" s="187" t="s">
        <v>1161</v>
      </c>
      <c r="J1444" s="187" t="s">
        <v>1162</v>
      </c>
      <c r="K1444" s="188"/>
      <c r="L1444" s="188"/>
      <c r="M1444" s="189" t="s">
        <v>847</v>
      </c>
      <c r="N1444" s="190">
        <v>162.63</v>
      </c>
      <c r="O1444" s="190">
        <f t="shared" si="179"/>
        <v>177.27</v>
      </c>
      <c r="P1444" s="191">
        <f t="shared" si="180"/>
        <v>0</v>
      </c>
      <c r="Q1444" s="192">
        <f t="shared" si="181"/>
        <v>0</v>
      </c>
      <c r="R1444" s="193"/>
      <c r="S1444" s="194"/>
      <c r="T1444" s="195">
        <f t="shared" si="182"/>
        <v>0</v>
      </c>
      <c r="U1444" s="195">
        <f t="shared" si="183"/>
        <v>0</v>
      </c>
      <c r="V1444" s="195">
        <f t="shared" si="184"/>
        <v>0</v>
      </c>
      <c r="W1444" s="196" t="e">
        <f t="shared" si="185"/>
        <v>#DIV/0!</v>
      </c>
      <c r="X1444" s="197" t="e">
        <f t="shared" si="186"/>
        <v>#DIV/0!</v>
      </c>
    </row>
    <row r="1445" ht="11.4" hidden="1" customHeight="1" spans="1:24">
      <c r="A1445" s="184" t="s">
        <v>3145</v>
      </c>
      <c r="B1445" s="184" t="s">
        <v>111</v>
      </c>
      <c r="C1445" s="184" t="s">
        <v>1101</v>
      </c>
      <c r="D1445" s="185" t="s">
        <v>703</v>
      </c>
      <c r="E1445" s="186" t="s">
        <v>24</v>
      </c>
      <c r="F1445" s="186" t="s">
        <v>24</v>
      </c>
      <c r="G1445" s="186" t="s">
        <v>3135</v>
      </c>
      <c r="H1445" s="186" t="s">
        <v>3135</v>
      </c>
      <c r="I1445" s="187" t="s">
        <v>1163</v>
      </c>
      <c r="J1445" s="187" t="s">
        <v>1164</v>
      </c>
      <c r="K1445" s="188"/>
      <c r="L1445" s="188"/>
      <c r="M1445" s="189" t="s">
        <v>847</v>
      </c>
      <c r="N1445" s="190">
        <v>183.2</v>
      </c>
      <c r="O1445" s="190">
        <f t="shared" si="179"/>
        <v>199.69</v>
      </c>
      <c r="P1445" s="191">
        <f t="shared" si="180"/>
        <v>0</v>
      </c>
      <c r="Q1445" s="192">
        <f t="shared" si="181"/>
        <v>0</v>
      </c>
      <c r="R1445" s="193"/>
      <c r="S1445" s="194"/>
      <c r="T1445" s="195">
        <f t="shared" si="182"/>
        <v>0</v>
      </c>
      <c r="U1445" s="195">
        <f t="shared" si="183"/>
        <v>0</v>
      </c>
      <c r="V1445" s="195">
        <f t="shared" si="184"/>
        <v>0</v>
      </c>
      <c r="W1445" s="196" t="e">
        <f t="shared" si="185"/>
        <v>#DIV/0!</v>
      </c>
      <c r="X1445" s="197" t="e">
        <f t="shared" si="186"/>
        <v>#DIV/0!</v>
      </c>
    </row>
    <row r="1446" ht="11.4" hidden="1" customHeight="1" spans="1:24">
      <c r="A1446" s="184" t="s">
        <v>3145</v>
      </c>
      <c r="B1446" s="184" t="s">
        <v>111</v>
      </c>
      <c r="C1446" s="184" t="s">
        <v>1101</v>
      </c>
      <c r="D1446" s="185" t="s">
        <v>703</v>
      </c>
      <c r="E1446" s="186" t="s">
        <v>24</v>
      </c>
      <c r="F1446" s="186" t="s">
        <v>24</v>
      </c>
      <c r="G1446" s="186" t="s">
        <v>3135</v>
      </c>
      <c r="H1446" s="186" t="s">
        <v>3135</v>
      </c>
      <c r="I1446" s="187" t="s">
        <v>1708</v>
      </c>
      <c r="J1446" s="187" t="s">
        <v>1709</v>
      </c>
      <c r="K1446" s="188"/>
      <c r="L1446" s="188"/>
      <c r="M1446" s="189" t="s">
        <v>847</v>
      </c>
      <c r="N1446" s="190">
        <v>203.87</v>
      </c>
      <c r="O1446" s="190">
        <f t="shared" si="179"/>
        <v>222.22</v>
      </c>
      <c r="P1446" s="191">
        <f t="shared" si="180"/>
        <v>0</v>
      </c>
      <c r="Q1446" s="192">
        <f t="shared" si="181"/>
        <v>0</v>
      </c>
      <c r="R1446" s="193"/>
      <c r="S1446" s="194"/>
      <c r="T1446" s="195">
        <f t="shared" si="182"/>
        <v>0</v>
      </c>
      <c r="U1446" s="195">
        <f t="shared" si="183"/>
        <v>0</v>
      </c>
      <c r="V1446" s="195">
        <f t="shared" si="184"/>
        <v>0</v>
      </c>
      <c r="W1446" s="196" t="e">
        <f t="shared" si="185"/>
        <v>#DIV/0!</v>
      </c>
      <c r="X1446" s="197" t="e">
        <f t="shared" si="186"/>
        <v>#DIV/0!</v>
      </c>
    </row>
    <row r="1447" ht="11.4" hidden="1" customHeight="1" spans="1:24">
      <c r="A1447" s="184" t="s">
        <v>3145</v>
      </c>
      <c r="B1447" s="184" t="s">
        <v>111</v>
      </c>
      <c r="C1447" s="184" t="s">
        <v>1101</v>
      </c>
      <c r="D1447" s="185" t="s">
        <v>703</v>
      </c>
      <c r="E1447" s="186" t="s">
        <v>24</v>
      </c>
      <c r="F1447" s="186" t="s">
        <v>24</v>
      </c>
      <c r="G1447" s="186" t="s">
        <v>3135</v>
      </c>
      <c r="H1447" s="186" t="s">
        <v>3135</v>
      </c>
      <c r="I1447" s="187" t="s">
        <v>1710</v>
      </c>
      <c r="J1447" s="187" t="s">
        <v>1711</v>
      </c>
      <c r="K1447" s="188"/>
      <c r="L1447" s="188"/>
      <c r="M1447" s="189" t="s">
        <v>807</v>
      </c>
      <c r="N1447" s="190">
        <v>101.27</v>
      </c>
      <c r="O1447" s="190">
        <f t="shared" si="179"/>
        <v>110.38</v>
      </c>
      <c r="P1447" s="191">
        <f t="shared" si="180"/>
        <v>0</v>
      </c>
      <c r="Q1447" s="192">
        <f t="shared" si="181"/>
        <v>0</v>
      </c>
      <c r="R1447" s="193"/>
      <c r="S1447" s="194"/>
      <c r="T1447" s="195">
        <f t="shared" si="182"/>
        <v>0</v>
      </c>
      <c r="U1447" s="195">
        <f t="shared" si="183"/>
        <v>0</v>
      </c>
      <c r="V1447" s="195">
        <f t="shared" si="184"/>
        <v>0</v>
      </c>
      <c r="W1447" s="196" t="e">
        <f t="shared" si="185"/>
        <v>#DIV/0!</v>
      </c>
      <c r="X1447" s="197" t="e">
        <f t="shared" si="186"/>
        <v>#DIV/0!</v>
      </c>
    </row>
    <row r="1448" ht="11.4" hidden="1" customHeight="1" spans="1:24">
      <c r="A1448" s="184" t="s">
        <v>3145</v>
      </c>
      <c r="B1448" s="184" t="s">
        <v>111</v>
      </c>
      <c r="C1448" s="184" t="s">
        <v>1101</v>
      </c>
      <c r="D1448" s="185" t="s">
        <v>703</v>
      </c>
      <c r="E1448" s="186" t="s">
        <v>24</v>
      </c>
      <c r="F1448" s="186" t="s">
        <v>24</v>
      </c>
      <c r="G1448" s="186" t="s">
        <v>3135</v>
      </c>
      <c r="H1448" s="186" t="s">
        <v>3135</v>
      </c>
      <c r="I1448" s="187" t="s">
        <v>1712</v>
      </c>
      <c r="J1448" s="187" t="s">
        <v>1713</v>
      </c>
      <c r="K1448" s="188"/>
      <c r="L1448" s="188"/>
      <c r="M1448" s="189" t="s">
        <v>847</v>
      </c>
      <c r="N1448" s="190">
        <v>194.19</v>
      </c>
      <c r="O1448" s="190">
        <f t="shared" si="179"/>
        <v>211.67</v>
      </c>
      <c r="P1448" s="191">
        <f t="shared" si="180"/>
        <v>0</v>
      </c>
      <c r="Q1448" s="192">
        <f t="shared" si="181"/>
        <v>0</v>
      </c>
      <c r="R1448" s="193"/>
      <c r="S1448" s="194"/>
      <c r="T1448" s="195">
        <f t="shared" si="182"/>
        <v>0</v>
      </c>
      <c r="U1448" s="195">
        <f t="shared" si="183"/>
        <v>0</v>
      </c>
      <c r="V1448" s="195">
        <f t="shared" si="184"/>
        <v>0</v>
      </c>
      <c r="W1448" s="196" t="e">
        <f t="shared" si="185"/>
        <v>#DIV/0!</v>
      </c>
      <c r="X1448" s="197" t="e">
        <f t="shared" si="186"/>
        <v>#DIV/0!</v>
      </c>
    </row>
    <row r="1449" ht="11.4" hidden="1" customHeight="1" spans="1:24">
      <c r="A1449" s="184" t="s">
        <v>3145</v>
      </c>
      <c r="B1449" s="184" t="s">
        <v>111</v>
      </c>
      <c r="C1449" s="184" t="s">
        <v>1101</v>
      </c>
      <c r="D1449" s="185" t="s">
        <v>703</v>
      </c>
      <c r="E1449" s="186" t="s">
        <v>24</v>
      </c>
      <c r="F1449" s="186" t="s">
        <v>24</v>
      </c>
      <c r="G1449" s="186" t="s">
        <v>3135</v>
      </c>
      <c r="H1449" s="186" t="s">
        <v>3135</v>
      </c>
      <c r="I1449" s="187" t="s">
        <v>1714</v>
      </c>
      <c r="J1449" s="187" t="s">
        <v>1715</v>
      </c>
      <c r="K1449" s="188"/>
      <c r="L1449" s="188"/>
      <c r="M1449" s="189" t="s">
        <v>807</v>
      </c>
      <c r="N1449" s="190">
        <v>83.12</v>
      </c>
      <c r="O1449" s="190">
        <f t="shared" si="179"/>
        <v>90.6</v>
      </c>
      <c r="P1449" s="191">
        <f t="shared" si="180"/>
        <v>0</v>
      </c>
      <c r="Q1449" s="192">
        <f t="shared" si="181"/>
        <v>0</v>
      </c>
      <c r="R1449" s="193"/>
      <c r="S1449" s="194"/>
      <c r="T1449" s="195">
        <f t="shared" si="182"/>
        <v>0</v>
      </c>
      <c r="U1449" s="195">
        <f t="shared" si="183"/>
        <v>0</v>
      </c>
      <c r="V1449" s="195">
        <f t="shared" si="184"/>
        <v>0</v>
      </c>
      <c r="W1449" s="196" t="e">
        <f t="shared" si="185"/>
        <v>#DIV/0!</v>
      </c>
      <c r="X1449" s="197" t="e">
        <f t="shared" si="186"/>
        <v>#DIV/0!</v>
      </c>
    </row>
    <row r="1450" ht="11.4" hidden="1" customHeight="1" spans="1:24">
      <c r="A1450" s="184" t="s">
        <v>3145</v>
      </c>
      <c r="B1450" s="184" t="s">
        <v>111</v>
      </c>
      <c r="C1450" s="184" t="s">
        <v>1101</v>
      </c>
      <c r="D1450" s="185" t="s">
        <v>703</v>
      </c>
      <c r="E1450" s="186" t="s">
        <v>24</v>
      </c>
      <c r="F1450" s="186" t="s">
        <v>24</v>
      </c>
      <c r="G1450" s="186" t="s">
        <v>3135</v>
      </c>
      <c r="H1450" s="186" t="s">
        <v>3135</v>
      </c>
      <c r="I1450" s="187" t="s">
        <v>1716</v>
      </c>
      <c r="J1450" s="187" t="s">
        <v>1717</v>
      </c>
      <c r="K1450" s="221">
        <v>3.73</v>
      </c>
      <c r="L1450" s="188"/>
      <c r="M1450" s="189" t="s">
        <v>847</v>
      </c>
      <c r="N1450" s="190">
        <v>202.66</v>
      </c>
      <c r="O1450" s="190">
        <f t="shared" si="179"/>
        <v>220.9</v>
      </c>
      <c r="P1450" s="191">
        <f t="shared" si="180"/>
        <v>755.92</v>
      </c>
      <c r="Q1450" s="192">
        <f t="shared" si="181"/>
        <v>0</v>
      </c>
      <c r="R1450" s="193"/>
      <c r="S1450" s="194"/>
      <c r="T1450" s="195">
        <f t="shared" si="182"/>
        <v>3.73</v>
      </c>
      <c r="U1450" s="195">
        <f t="shared" si="183"/>
        <v>755.92</v>
      </c>
      <c r="V1450" s="195">
        <f t="shared" si="184"/>
        <v>755.92</v>
      </c>
      <c r="W1450" s="196" t="e">
        <f t="shared" si="185"/>
        <v>#DIV/0!</v>
      </c>
      <c r="X1450" s="197" t="e">
        <f t="shared" si="186"/>
        <v>#DIV/0!</v>
      </c>
    </row>
    <row r="1451" ht="11.4" hidden="1" customHeight="1" spans="1:24">
      <c r="A1451" s="184" t="s">
        <v>3145</v>
      </c>
      <c r="B1451" s="184" t="s">
        <v>111</v>
      </c>
      <c r="C1451" s="184" t="s">
        <v>1101</v>
      </c>
      <c r="D1451" s="185" t="s">
        <v>703</v>
      </c>
      <c r="E1451" s="186" t="s">
        <v>24</v>
      </c>
      <c r="F1451" s="186" t="s">
        <v>24</v>
      </c>
      <c r="G1451" s="186" t="s">
        <v>3135</v>
      </c>
      <c r="H1451" s="186" t="s">
        <v>3135</v>
      </c>
      <c r="I1451" s="187" t="s">
        <v>1718</v>
      </c>
      <c r="J1451" s="198" t="s">
        <v>1719</v>
      </c>
      <c r="K1451" s="188"/>
      <c r="L1451" s="188"/>
      <c r="M1451" s="189" t="s">
        <v>807</v>
      </c>
      <c r="N1451" s="190">
        <v>101.27</v>
      </c>
      <c r="O1451" s="190">
        <f t="shared" si="179"/>
        <v>110.38</v>
      </c>
      <c r="P1451" s="191">
        <f t="shared" si="180"/>
        <v>0</v>
      </c>
      <c r="Q1451" s="192">
        <f t="shared" si="181"/>
        <v>0</v>
      </c>
      <c r="R1451" s="193"/>
      <c r="S1451" s="194"/>
      <c r="T1451" s="195">
        <f t="shared" si="182"/>
        <v>0</v>
      </c>
      <c r="U1451" s="195">
        <f t="shared" si="183"/>
        <v>0</v>
      </c>
      <c r="V1451" s="195">
        <f t="shared" si="184"/>
        <v>0</v>
      </c>
      <c r="W1451" s="196" t="e">
        <f t="shared" si="185"/>
        <v>#DIV/0!</v>
      </c>
      <c r="X1451" s="197" t="e">
        <f t="shared" si="186"/>
        <v>#DIV/0!</v>
      </c>
    </row>
    <row r="1452" ht="11.4" hidden="1" customHeight="1" spans="1:24">
      <c r="A1452" s="184" t="s">
        <v>3134</v>
      </c>
      <c r="B1452" s="184" t="s">
        <v>113</v>
      </c>
      <c r="C1452" s="184" t="s">
        <v>1101</v>
      </c>
      <c r="D1452" s="185" t="s">
        <v>703</v>
      </c>
      <c r="E1452" s="186" t="s">
        <v>24</v>
      </c>
      <c r="F1452" s="186" t="s">
        <v>24</v>
      </c>
      <c r="G1452" s="186" t="s">
        <v>3135</v>
      </c>
      <c r="H1452" s="186" t="s">
        <v>3135</v>
      </c>
      <c r="I1452" s="187" t="s">
        <v>3146</v>
      </c>
      <c r="J1452" s="187" t="s">
        <v>3147</v>
      </c>
      <c r="K1452" s="188"/>
      <c r="L1452" s="188"/>
      <c r="M1452" s="189" t="s">
        <v>847</v>
      </c>
      <c r="N1452" s="190">
        <v>167.98</v>
      </c>
      <c r="O1452" s="190">
        <f t="shared" si="179"/>
        <v>183.1</v>
      </c>
      <c r="P1452" s="191">
        <f t="shared" si="180"/>
        <v>0</v>
      </c>
      <c r="Q1452" s="192">
        <f t="shared" si="181"/>
        <v>0</v>
      </c>
      <c r="R1452" s="193"/>
      <c r="S1452" s="194"/>
      <c r="T1452" s="195">
        <f t="shared" si="182"/>
        <v>0</v>
      </c>
      <c r="U1452" s="195">
        <f t="shared" si="183"/>
        <v>0</v>
      </c>
      <c r="V1452" s="195">
        <f t="shared" si="184"/>
        <v>0</v>
      </c>
      <c r="W1452" s="196" t="e">
        <f t="shared" si="185"/>
        <v>#DIV/0!</v>
      </c>
      <c r="X1452" s="197" t="e">
        <f t="shared" si="186"/>
        <v>#DIV/0!</v>
      </c>
    </row>
    <row r="1453" ht="11.4" hidden="1" customHeight="1" spans="1:24">
      <c r="A1453" s="184" t="s">
        <v>3134</v>
      </c>
      <c r="B1453" s="184" t="s">
        <v>113</v>
      </c>
      <c r="C1453" s="184" t="s">
        <v>1101</v>
      </c>
      <c r="D1453" s="185" t="s">
        <v>703</v>
      </c>
      <c r="E1453" s="186" t="s">
        <v>24</v>
      </c>
      <c r="F1453" s="186" t="s">
        <v>24</v>
      </c>
      <c r="G1453" s="186" t="s">
        <v>3135</v>
      </c>
      <c r="H1453" s="186" t="s">
        <v>3135</v>
      </c>
      <c r="I1453" s="187" t="s">
        <v>3148</v>
      </c>
      <c r="J1453" s="187" t="s">
        <v>3149</v>
      </c>
      <c r="K1453" s="188"/>
      <c r="L1453" s="188"/>
      <c r="M1453" s="189" t="s">
        <v>847</v>
      </c>
      <c r="N1453" s="190">
        <v>147.41</v>
      </c>
      <c r="O1453" s="190">
        <f t="shared" si="179"/>
        <v>160.68</v>
      </c>
      <c r="P1453" s="191">
        <f t="shared" si="180"/>
        <v>0</v>
      </c>
      <c r="Q1453" s="192">
        <f t="shared" si="181"/>
        <v>0</v>
      </c>
      <c r="R1453" s="193"/>
      <c r="S1453" s="194"/>
      <c r="T1453" s="195">
        <f t="shared" si="182"/>
        <v>0</v>
      </c>
      <c r="U1453" s="195">
        <f t="shared" si="183"/>
        <v>0</v>
      </c>
      <c r="V1453" s="195">
        <f t="shared" si="184"/>
        <v>0</v>
      </c>
      <c r="W1453" s="196" t="e">
        <f t="shared" si="185"/>
        <v>#DIV/0!</v>
      </c>
      <c r="X1453" s="197" t="e">
        <f t="shared" si="186"/>
        <v>#DIV/0!</v>
      </c>
    </row>
    <row r="1454" ht="11.4" hidden="1" customHeight="1" spans="1:24">
      <c r="A1454" s="184" t="s">
        <v>3134</v>
      </c>
      <c r="B1454" s="184" t="s">
        <v>113</v>
      </c>
      <c r="C1454" s="184" t="s">
        <v>1101</v>
      </c>
      <c r="D1454" s="185" t="s">
        <v>703</v>
      </c>
      <c r="E1454" s="186" t="s">
        <v>24</v>
      </c>
      <c r="F1454" s="186" t="s">
        <v>24</v>
      </c>
      <c r="G1454" s="186" t="s">
        <v>3135</v>
      </c>
      <c r="H1454" s="186" t="s">
        <v>3135</v>
      </c>
      <c r="I1454" s="187" t="s">
        <v>3150</v>
      </c>
      <c r="J1454" s="187" t="s">
        <v>3151</v>
      </c>
      <c r="K1454" s="188"/>
      <c r="L1454" s="188"/>
      <c r="M1454" s="189" t="s">
        <v>847</v>
      </c>
      <c r="N1454" s="190">
        <v>169.19</v>
      </c>
      <c r="O1454" s="190">
        <f t="shared" si="179"/>
        <v>184.42</v>
      </c>
      <c r="P1454" s="191">
        <f t="shared" si="180"/>
        <v>0</v>
      </c>
      <c r="Q1454" s="192">
        <f t="shared" si="181"/>
        <v>0</v>
      </c>
      <c r="R1454" s="193"/>
      <c r="S1454" s="194"/>
      <c r="T1454" s="195">
        <f t="shared" si="182"/>
        <v>0</v>
      </c>
      <c r="U1454" s="195">
        <f t="shared" si="183"/>
        <v>0</v>
      </c>
      <c r="V1454" s="195">
        <f t="shared" si="184"/>
        <v>0</v>
      </c>
      <c r="W1454" s="196" t="e">
        <f t="shared" si="185"/>
        <v>#DIV/0!</v>
      </c>
      <c r="X1454" s="197" t="e">
        <f t="shared" si="186"/>
        <v>#DIV/0!</v>
      </c>
    </row>
    <row r="1455" ht="11.4" hidden="1" customHeight="1" spans="1:24">
      <c r="A1455" s="184" t="s">
        <v>3134</v>
      </c>
      <c r="B1455" s="184" t="s">
        <v>113</v>
      </c>
      <c r="C1455" s="184" t="s">
        <v>1101</v>
      </c>
      <c r="D1455" s="185" t="s">
        <v>703</v>
      </c>
      <c r="E1455" s="186" t="s">
        <v>24</v>
      </c>
      <c r="F1455" s="186" t="s">
        <v>24</v>
      </c>
      <c r="G1455" s="186" t="s">
        <v>3135</v>
      </c>
      <c r="H1455" s="186" t="s">
        <v>3135</v>
      </c>
      <c r="I1455" s="187" t="s">
        <v>3152</v>
      </c>
      <c r="J1455" s="187" t="s">
        <v>3153</v>
      </c>
      <c r="K1455" s="188"/>
      <c r="L1455" s="188"/>
      <c r="M1455" s="189" t="s">
        <v>847</v>
      </c>
      <c r="N1455" s="190">
        <v>182.5</v>
      </c>
      <c r="O1455" s="190">
        <f t="shared" si="179"/>
        <v>198.93</v>
      </c>
      <c r="P1455" s="191">
        <f t="shared" si="180"/>
        <v>0</v>
      </c>
      <c r="Q1455" s="192">
        <f t="shared" si="181"/>
        <v>0</v>
      </c>
      <c r="R1455" s="193"/>
      <c r="S1455" s="194"/>
      <c r="T1455" s="195">
        <f t="shared" si="182"/>
        <v>0</v>
      </c>
      <c r="U1455" s="195">
        <f t="shared" si="183"/>
        <v>0</v>
      </c>
      <c r="V1455" s="195">
        <f t="shared" si="184"/>
        <v>0</v>
      </c>
      <c r="W1455" s="196" t="e">
        <f t="shared" si="185"/>
        <v>#DIV/0!</v>
      </c>
      <c r="X1455" s="197" t="e">
        <f t="shared" si="186"/>
        <v>#DIV/0!</v>
      </c>
    </row>
    <row r="1456" ht="11.4" hidden="1" customHeight="1" spans="1:24">
      <c r="A1456" s="184" t="s">
        <v>3134</v>
      </c>
      <c r="B1456" s="184" t="s">
        <v>113</v>
      </c>
      <c r="C1456" s="184" t="s">
        <v>1101</v>
      </c>
      <c r="D1456" s="185" t="s">
        <v>703</v>
      </c>
      <c r="E1456" s="186" t="s">
        <v>24</v>
      </c>
      <c r="F1456" s="186" t="s">
        <v>24</v>
      </c>
      <c r="G1456" s="186" t="s">
        <v>3135</v>
      </c>
      <c r="H1456" s="186" t="s">
        <v>3135</v>
      </c>
      <c r="I1456" s="187" t="s">
        <v>3154</v>
      </c>
      <c r="J1456" s="187" t="s">
        <v>3155</v>
      </c>
      <c r="K1456" s="188"/>
      <c r="L1456" s="188"/>
      <c r="M1456" s="189" t="s">
        <v>847</v>
      </c>
      <c r="N1456" s="190">
        <v>182.5</v>
      </c>
      <c r="O1456" s="190">
        <f t="shared" si="179"/>
        <v>198.93</v>
      </c>
      <c r="P1456" s="191">
        <f t="shared" si="180"/>
        <v>0</v>
      </c>
      <c r="Q1456" s="192">
        <f t="shared" si="181"/>
        <v>0</v>
      </c>
      <c r="R1456" s="193"/>
      <c r="S1456" s="194"/>
      <c r="T1456" s="195">
        <f t="shared" si="182"/>
        <v>0</v>
      </c>
      <c r="U1456" s="195">
        <f t="shared" si="183"/>
        <v>0</v>
      </c>
      <c r="V1456" s="195">
        <f t="shared" si="184"/>
        <v>0</v>
      </c>
      <c r="W1456" s="196" t="e">
        <f t="shared" si="185"/>
        <v>#DIV/0!</v>
      </c>
      <c r="X1456" s="197" t="e">
        <f t="shared" si="186"/>
        <v>#DIV/0!</v>
      </c>
    </row>
    <row r="1457" ht="11.4" hidden="1" customHeight="1" spans="1:24">
      <c r="A1457" s="184" t="s">
        <v>3134</v>
      </c>
      <c r="B1457" s="184" t="s">
        <v>113</v>
      </c>
      <c r="C1457" s="184" t="s">
        <v>1101</v>
      </c>
      <c r="D1457" s="185" t="s">
        <v>703</v>
      </c>
      <c r="E1457" s="186" t="s">
        <v>24</v>
      </c>
      <c r="F1457" s="186" t="s">
        <v>24</v>
      </c>
      <c r="G1457" s="186" t="s">
        <v>3135</v>
      </c>
      <c r="H1457" s="186" t="s">
        <v>3135</v>
      </c>
      <c r="I1457" s="187" t="s">
        <v>3156</v>
      </c>
      <c r="J1457" s="187" t="s">
        <v>3157</v>
      </c>
      <c r="K1457" s="188"/>
      <c r="L1457" s="188"/>
      <c r="M1457" s="189" t="s">
        <v>847</v>
      </c>
      <c r="N1457" s="190">
        <v>170.4</v>
      </c>
      <c r="O1457" s="190">
        <f t="shared" si="179"/>
        <v>185.74</v>
      </c>
      <c r="P1457" s="191">
        <f t="shared" si="180"/>
        <v>0</v>
      </c>
      <c r="Q1457" s="192">
        <f t="shared" si="181"/>
        <v>0</v>
      </c>
      <c r="R1457" s="193"/>
      <c r="S1457" s="194"/>
      <c r="T1457" s="195">
        <f t="shared" si="182"/>
        <v>0</v>
      </c>
      <c r="U1457" s="195">
        <f t="shared" si="183"/>
        <v>0</v>
      </c>
      <c r="V1457" s="195">
        <f t="shared" si="184"/>
        <v>0</v>
      </c>
      <c r="W1457" s="196" t="e">
        <f t="shared" si="185"/>
        <v>#DIV/0!</v>
      </c>
      <c r="X1457" s="197" t="e">
        <f t="shared" si="186"/>
        <v>#DIV/0!</v>
      </c>
    </row>
    <row r="1458" ht="11.4" hidden="1" customHeight="1" spans="1:24">
      <c r="A1458" s="184" t="s">
        <v>3134</v>
      </c>
      <c r="B1458" s="184" t="s">
        <v>113</v>
      </c>
      <c r="C1458" s="184" t="s">
        <v>1101</v>
      </c>
      <c r="D1458" s="185" t="s">
        <v>703</v>
      </c>
      <c r="E1458" s="186" t="s">
        <v>24</v>
      </c>
      <c r="F1458" s="186" t="s">
        <v>24</v>
      </c>
      <c r="G1458" s="186" t="s">
        <v>3135</v>
      </c>
      <c r="H1458" s="186" t="s">
        <v>3135</v>
      </c>
      <c r="I1458" s="187" t="s">
        <v>1314</v>
      </c>
      <c r="J1458" s="187" t="s">
        <v>1315</v>
      </c>
      <c r="K1458" s="188"/>
      <c r="L1458" s="188"/>
      <c r="M1458" s="189" t="s">
        <v>847</v>
      </c>
      <c r="N1458" s="190">
        <v>179.53</v>
      </c>
      <c r="O1458" s="190">
        <f t="shared" si="179"/>
        <v>195.69</v>
      </c>
      <c r="P1458" s="191">
        <f t="shared" si="180"/>
        <v>0</v>
      </c>
      <c r="Q1458" s="192">
        <f t="shared" si="181"/>
        <v>0</v>
      </c>
      <c r="R1458" s="193"/>
      <c r="S1458" s="194"/>
      <c r="T1458" s="195">
        <f t="shared" si="182"/>
        <v>0</v>
      </c>
      <c r="U1458" s="195">
        <f t="shared" si="183"/>
        <v>0</v>
      </c>
      <c r="V1458" s="195">
        <f t="shared" si="184"/>
        <v>0</v>
      </c>
      <c r="W1458" s="196" t="e">
        <f t="shared" si="185"/>
        <v>#DIV/0!</v>
      </c>
      <c r="X1458" s="197" t="e">
        <f t="shared" si="186"/>
        <v>#DIV/0!</v>
      </c>
    </row>
    <row r="1459" ht="11.4" hidden="1" customHeight="1" spans="1:24">
      <c r="A1459" s="184" t="s">
        <v>3134</v>
      </c>
      <c r="B1459" s="184" t="s">
        <v>113</v>
      </c>
      <c r="C1459" s="184" t="s">
        <v>1101</v>
      </c>
      <c r="D1459" s="185" t="s">
        <v>703</v>
      </c>
      <c r="E1459" s="186" t="s">
        <v>24</v>
      </c>
      <c r="F1459" s="186" t="s">
        <v>24</v>
      </c>
      <c r="G1459" s="186" t="s">
        <v>3135</v>
      </c>
      <c r="H1459" s="186" t="s">
        <v>3135</v>
      </c>
      <c r="I1459" s="187" t="s">
        <v>1318</v>
      </c>
      <c r="J1459" s="187" t="s">
        <v>1319</v>
      </c>
      <c r="K1459" s="188"/>
      <c r="L1459" s="188"/>
      <c r="M1459" s="189" t="s">
        <v>847</v>
      </c>
      <c r="N1459" s="190">
        <v>179.53</v>
      </c>
      <c r="O1459" s="190">
        <f t="shared" si="179"/>
        <v>195.69</v>
      </c>
      <c r="P1459" s="191">
        <f t="shared" si="180"/>
        <v>0</v>
      </c>
      <c r="Q1459" s="192">
        <f t="shared" si="181"/>
        <v>0</v>
      </c>
      <c r="R1459" s="193"/>
      <c r="S1459" s="194"/>
      <c r="T1459" s="195">
        <f t="shared" si="182"/>
        <v>0</v>
      </c>
      <c r="U1459" s="195">
        <f t="shared" si="183"/>
        <v>0</v>
      </c>
      <c r="V1459" s="195">
        <f t="shared" si="184"/>
        <v>0</v>
      </c>
      <c r="W1459" s="196" t="e">
        <f t="shared" si="185"/>
        <v>#DIV/0!</v>
      </c>
      <c r="X1459" s="197" t="e">
        <f t="shared" si="186"/>
        <v>#DIV/0!</v>
      </c>
    </row>
    <row r="1460" ht="11.4" hidden="1" customHeight="1" spans="1:24">
      <c r="A1460" s="184" t="s">
        <v>3134</v>
      </c>
      <c r="B1460" s="184" t="s">
        <v>113</v>
      </c>
      <c r="C1460" s="184" t="s">
        <v>1101</v>
      </c>
      <c r="D1460" s="185" t="s">
        <v>703</v>
      </c>
      <c r="E1460" s="186" t="s">
        <v>24</v>
      </c>
      <c r="F1460" s="186" t="s">
        <v>24</v>
      </c>
      <c r="G1460" s="186" t="s">
        <v>3135</v>
      </c>
      <c r="H1460" s="186" t="s">
        <v>3135</v>
      </c>
      <c r="I1460" s="187" t="s">
        <v>1316</v>
      </c>
      <c r="J1460" s="187" t="s">
        <v>1317</v>
      </c>
      <c r="K1460" s="188"/>
      <c r="L1460" s="188"/>
      <c r="M1460" s="189" t="s">
        <v>847</v>
      </c>
      <c r="N1460" s="190">
        <v>168.64</v>
      </c>
      <c r="O1460" s="190">
        <f t="shared" si="179"/>
        <v>183.82</v>
      </c>
      <c r="P1460" s="191">
        <f t="shared" si="180"/>
        <v>0</v>
      </c>
      <c r="Q1460" s="192">
        <f t="shared" si="181"/>
        <v>0</v>
      </c>
      <c r="R1460" s="193"/>
      <c r="S1460" s="194"/>
      <c r="T1460" s="195">
        <f t="shared" si="182"/>
        <v>0</v>
      </c>
      <c r="U1460" s="195">
        <f t="shared" si="183"/>
        <v>0</v>
      </c>
      <c r="V1460" s="195">
        <f t="shared" si="184"/>
        <v>0</v>
      </c>
      <c r="W1460" s="196" t="e">
        <f t="shared" si="185"/>
        <v>#DIV/0!</v>
      </c>
      <c r="X1460" s="197" t="e">
        <f t="shared" si="186"/>
        <v>#DIV/0!</v>
      </c>
    </row>
    <row r="1461" ht="11.4" hidden="1" customHeight="1" spans="1:24">
      <c r="A1461" s="184" t="s">
        <v>3134</v>
      </c>
      <c r="B1461" s="184" t="s">
        <v>113</v>
      </c>
      <c r="C1461" s="184" t="s">
        <v>1101</v>
      </c>
      <c r="D1461" s="185" t="s">
        <v>703</v>
      </c>
      <c r="E1461" s="186" t="s">
        <v>24</v>
      </c>
      <c r="F1461" s="186" t="s">
        <v>24</v>
      </c>
      <c r="G1461" s="186" t="s">
        <v>3135</v>
      </c>
      <c r="H1461" s="186" t="s">
        <v>3135</v>
      </c>
      <c r="I1461" s="187" t="s">
        <v>1320</v>
      </c>
      <c r="J1461" s="187" t="s">
        <v>1321</v>
      </c>
      <c r="K1461" s="188"/>
      <c r="L1461" s="188"/>
      <c r="M1461" s="189" t="s">
        <v>847</v>
      </c>
      <c r="N1461" s="190">
        <v>169.85</v>
      </c>
      <c r="O1461" s="190">
        <f t="shared" si="179"/>
        <v>185.14</v>
      </c>
      <c r="P1461" s="191">
        <f t="shared" si="180"/>
        <v>0</v>
      </c>
      <c r="Q1461" s="192">
        <f t="shared" si="181"/>
        <v>0</v>
      </c>
      <c r="R1461" s="193"/>
      <c r="S1461" s="194"/>
      <c r="T1461" s="195">
        <f t="shared" si="182"/>
        <v>0</v>
      </c>
      <c r="U1461" s="195">
        <f t="shared" si="183"/>
        <v>0</v>
      </c>
      <c r="V1461" s="195">
        <f t="shared" si="184"/>
        <v>0</v>
      </c>
      <c r="W1461" s="196" t="e">
        <f t="shared" si="185"/>
        <v>#DIV/0!</v>
      </c>
      <c r="X1461" s="197" t="e">
        <f t="shared" si="186"/>
        <v>#DIV/0!</v>
      </c>
    </row>
    <row r="1462" ht="11.4" hidden="1" customHeight="1" spans="1:24">
      <c r="A1462" s="184" t="s">
        <v>3134</v>
      </c>
      <c r="B1462" s="184" t="s">
        <v>113</v>
      </c>
      <c r="C1462" s="184" t="s">
        <v>1101</v>
      </c>
      <c r="D1462" s="185" t="s">
        <v>703</v>
      </c>
      <c r="E1462" s="186" t="s">
        <v>24</v>
      </c>
      <c r="F1462" s="186" t="s">
        <v>24</v>
      </c>
      <c r="G1462" s="186" t="s">
        <v>3135</v>
      </c>
      <c r="H1462" s="186" t="s">
        <v>3135</v>
      </c>
      <c r="I1462" s="187" t="s">
        <v>1322</v>
      </c>
      <c r="J1462" s="187" t="s">
        <v>1323</v>
      </c>
      <c r="K1462" s="188"/>
      <c r="L1462" s="188"/>
      <c r="M1462" s="189" t="s">
        <v>847</v>
      </c>
      <c r="N1462" s="190">
        <v>165.01</v>
      </c>
      <c r="O1462" s="190">
        <f t="shared" si="179"/>
        <v>179.86</v>
      </c>
      <c r="P1462" s="191">
        <f t="shared" si="180"/>
        <v>0</v>
      </c>
      <c r="Q1462" s="192">
        <f t="shared" si="181"/>
        <v>0</v>
      </c>
      <c r="R1462" s="193"/>
      <c r="S1462" s="194"/>
      <c r="T1462" s="195">
        <f t="shared" si="182"/>
        <v>0</v>
      </c>
      <c r="U1462" s="195">
        <f t="shared" si="183"/>
        <v>0</v>
      </c>
      <c r="V1462" s="195">
        <f t="shared" si="184"/>
        <v>0</v>
      </c>
      <c r="W1462" s="196" t="e">
        <f t="shared" si="185"/>
        <v>#DIV/0!</v>
      </c>
      <c r="X1462" s="197" t="e">
        <f t="shared" si="186"/>
        <v>#DIV/0!</v>
      </c>
    </row>
    <row r="1463" ht="11.4" hidden="1" customHeight="1" spans="1:24">
      <c r="A1463" s="184" t="s">
        <v>3134</v>
      </c>
      <c r="B1463" s="184" t="s">
        <v>113</v>
      </c>
      <c r="C1463" s="184" t="s">
        <v>1101</v>
      </c>
      <c r="D1463" s="185" t="s">
        <v>703</v>
      </c>
      <c r="E1463" s="186" t="s">
        <v>24</v>
      </c>
      <c r="F1463" s="186" t="s">
        <v>24</v>
      </c>
      <c r="G1463" s="186" t="s">
        <v>3135</v>
      </c>
      <c r="H1463" s="186" t="s">
        <v>3135</v>
      </c>
      <c r="I1463" s="187" t="s">
        <v>1324</v>
      </c>
      <c r="J1463" s="187" t="s">
        <v>1325</v>
      </c>
      <c r="K1463" s="221">
        <v>15.46</v>
      </c>
      <c r="L1463" s="188"/>
      <c r="M1463" s="189" t="s">
        <v>847</v>
      </c>
      <c r="N1463" s="190">
        <v>169.85</v>
      </c>
      <c r="O1463" s="190">
        <f t="shared" si="179"/>
        <v>185.14</v>
      </c>
      <c r="P1463" s="191">
        <f t="shared" si="180"/>
        <v>2625.88</v>
      </c>
      <c r="Q1463" s="192">
        <f t="shared" si="181"/>
        <v>0</v>
      </c>
      <c r="R1463" s="193"/>
      <c r="S1463" s="194"/>
      <c r="T1463" s="195">
        <f t="shared" si="182"/>
        <v>15.46</v>
      </c>
      <c r="U1463" s="195">
        <f t="shared" si="183"/>
        <v>2625.88</v>
      </c>
      <c r="V1463" s="195">
        <f t="shared" si="184"/>
        <v>2625.88</v>
      </c>
      <c r="W1463" s="196" t="e">
        <f t="shared" si="185"/>
        <v>#DIV/0!</v>
      </c>
      <c r="X1463" s="197" t="e">
        <f t="shared" si="186"/>
        <v>#DIV/0!</v>
      </c>
    </row>
    <row r="1464" ht="11.4" hidden="1" customHeight="1" spans="1:24">
      <c r="A1464" s="184" t="s">
        <v>3134</v>
      </c>
      <c r="B1464" s="184" t="s">
        <v>113</v>
      </c>
      <c r="C1464" s="184" t="s">
        <v>1101</v>
      </c>
      <c r="D1464" s="185" t="s">
        <v>703</v>
      </c>
      <c r="E1464" s="186" t="s">
        <v>24</v>
      </c>
      <c r="F1464" s="186" t="s">
        <v>24</v>
      </c>
      <c r="G1464" s="186" t="s">
        <v>3135</v>
      </c>
      <c r="H1464" s="186" t="s">
        <v>3135</v>
      </c>
      <c r="I1464" s="187" t="s">
        <v>1248</v>
      </c>
      <c r="J1464" s="187" t="s">
        <v>1249</v>
      </c>
      <c r="K1464" s="188"/>
      <c r="L1464" s="188"/>
      <c r="M1464" s="189" t="s">
        <v>847</v>
      </c>
      <c r="N1464" s="190">
        <v>224.5</v>
      </c>
      <c r="O1464" s="190">
        <f t="shared" si="179"/>
        <v>244.71</v>
      </c>
      <c r="P1464" s="191">
        <f t="shared" si="180"/>
        <v>0</v>
      </c>
      <c r="Q1464" s="192">
        <f t="shared" si="181"/>
        <v>0</v>
      </c>
      <c r="R1464" s="193"/>
      <c r="S1464" s="194"/>
      <c r="T1464" s="195">
        <f t="shared" si="182"/>
        <v>0</v>
      </c>
      <c r="U1464" s="195">
        <f t="shared" si="183"/>
        <v>0</v>
      </c>
      <c r="V1464" s="195">
        <f t="shared" si="184"/>
        <v>0</v>
      </c>
      <c r="W1464" s="196" t="e">
        <f t="shared" si="185"/>
        <v>#DIV/0!</v>
      </c>
      <c r="X1464" s="197" t="e">
        <f t="shared" si="186"/>
        <v>#DIV/0!</v>
      </c>
    </row>
    <row r="1465" ht="11.4" hidden="1" customHeight="1" spans="1:24">
      <c r="A1465" s="184" t="s">
        <v>3134</v>
      </c>
      <c r="B1465" s="184" t="s">
        <v>113</v>
      </c>
      <c r="C1465" s="184" t="s">
        <v>1101</v>
      </c>
      <c r="D1465" s="185" t="s">
        <v>703</v>
      </c>
      <c r="E1465" s="186" t="s">
        <v>24</v>
      </c>
      <c r="F1465" s="186" t="s">
        <v>24</v>
      </c>
      <c r="G1465" s="186" t="s">
        <v>3135</v>
      </c>
      <c r="H1465" s="186" t="s">
        <v>3135</v>
      </c>
      <c r="I1465" s="187" t="s">
        <v>1254</v>
      </c>
      <c r="J1465" s="187" t="s">
        <v>1255</v>
      </c>
      <c r="K1465" s="188"/>
      <c r="L1465" s="188"/>
      <c r="M1465" s="189" t="s">
        <v>847</v>
      </c>
      <c r="N1465" s="190">
        <v>195.76</v>
      </c>
      <c r="O1465" s="190">
        <f t="shared" si="179"/>
        <v>213.38</v>
      </c>
      <c r="P1465" s="191">
        <f t="shared" si="180"/>
        <v>0</v>
      </c>
      <c r="Q1465" s="192">
        <f t="shared" si="181"/>
        <v>0</v>
      </c>
      <c r="R1465" s="193"/>
      <c r="S1465" s="194"/>
      <c r="T1465" s="195">
        <f t="shared" si="182"/>
        <v>0</v>
      </c>
      <c r="U1465" s="195">
        <f t="shared" si="183"/>
        <v>0</v>
      </c>
      <c r="V1465" s="195">
        <f t="shared" si="184"/>
        <v>0</v>
      </c>
      <c r="W1465" s="196" t="e">
        <f t="shared" si="185"/>
        <v>#DIV/0!</v>
      </c>
      <c r="X1465" s="197" t="e">
        <f t="shared" si="186"/>
        <v>#DIV/0!</v>
      </c>
    </row>
    <row r="1466" ht="11.4" hidden="1" customHeight="1" spans="1:24">
      <c r="A1466" s="184" t="s">
        <v>3134</v>
      </c>
      <c r="B1466" s="184" t="s">
        <v>113</v>
      </c>
      <c r="C1466" s="184" t="s">
        <v>1101</v>
      </c>
      <c r="D1466" s="185" t="s">
        <v>703</v>
      </c>
      <c r="E1466" s="186" t="s">
        <v>24</v>
      </c>
      <c r="F1466" s="186" t="s">
        <v>24</v>
      </c>
      <c r="G1466" s="186" t="s">
        <v>3135</v>
      </c>
      <c r="H1466" s="186" t="s">
        <v>3135</v>
      </c>
      <c r="I1466" s="187" t="s">
        <v>1260</v>
      </c>
      <c r="J1466" s="187" t="s">
        <v>1261</v>
      </c>
      <c r="K1466" s="188"/>
      <c r="L1466" s="188"/>
      <c r="M1466" s="189" t="s">
        <v>847</v>
      </c>
      <c r="N1466" s="190">
        <v>224.5</v>
      </c>
      <c r="O1466" s="190">
        <f t="shared" si="179"/>
        <v>244.71</v>
      </c>
      <c r="P1466" s="191">
        <f t="shared" si="180"/>
        <v>0</v>
      </c>
      <c r="Q1466" s="192">
        <f t="shared" si="181"/>
        <v>0</v>
      </c>
      <c r="R1466" s="193"/>
      <c r="S1466" s="194"/>
      <c r="T1466" s="195">
        <f t="shared" si="182"/>
        <v>0</v>
      </c>
      <c r="U1466" s="195">
        <f t="shared" si="183"/>
        <v>0</v>
      </c>
      <c r="V1466" s="195">
        <f t="shared" si="184"/>
        <v>0</v>
      </c>
      <c r="W1466" s="196" t="e">
        <f t="shared" si="185"/>
        <v>#DIV/0!</v>
      </c>
      <c r="X1466" s="197" t="e">
        <f t="shared" si="186"/>
        <v>#DIV/0!</v>
      </c>
    </row>
    <row r="1467" ht="11.4" hidden="1" customHeight="1" spans="1:24">
      <c r="A1467" s="184" t="s">
        <v>3134</v>
      </c>
      <c r="B1467" s="184" t="s">
        <v>113</v>
      </c>
      <c r="C1467" s="184" t="s">
        <v>1101</v>
      </c>
      <c r="D1467" s="185" t="s">
        <v>703</v>
      </c>
      <c r="E1467" s="186" t="s">
        <v>24</v>
      </c>
      <c r="F1467" s="186" t="s">
        <v>24</v>
      </c>
      <c r="G1467" s="186" t="s">
        <v>3135</v>
      </c>
      <c r="H1467" s="186" t="s">
        <v>3135</v>
      </c>
      <c r="I1467" s="187" t="s">
        <v>1175</v>
      </c>
      <c r="J1467" s="187" t="s">
        <v>1176</v>
      </c>
      <c r="K1467" s="188"/>
      <c r="L1467" s="188"/>
      <c r="M1467" s="189" t="s">
        <v>847</v>
      </c>
      <c r="N1467" s="190">
        <v>114.06</v>
      </c>
      <c r="O1467" s="190">
        <f t="shared" si="179"/>
        <v>124.33</v>
      </c>
      <c r="P1467" s="191">
        <f t="shared" si="180"/>
        <v>0</v>
      </c>
      <c r="Q1467" s="192">
        <f t="shared" si="181"/>
        <v>0</v>
      </c>
      <c r="R1467" s="193"/>
      <c r="S1467" s="194"/>
      <c r="T1467" s="195">
        <f t="shared" si="182"/>
        <v>0</v>
      </c>
      <c r="U1467" s="195">
        <f t="shared" si="183"/>
        <v>0</v>
      </c>
      <c r="V1467" s="195">
        <f t="shared" si="184"/>
        <v>0</v>
      </c>
      <c r="W1467" s="196" t="e">
        <f t="shared" si="185"/>
        <v>#DIV/0!</v>
      </c>
      <c r="X1467" s="197" t="e">
        <f t="shared" si="186"/>
        <v>#DIV/0!</v>
      </c>
    </row>
    <row r="1468" ht="11.4" hidden="1" customHeight="1" spans="1:24">
      <c r="A1468" s="184" t="s">
        <v>3134</v>
      </c>
      <c r="B1468" s="184" t="s">
        <v>113</v>
      </c>
      <c r="C1468" s="184" t="s">
        <v>1101</v>
      </c>
      <c r="D1468" s="185" t="s">
        <v>703</v>
      </c>
      <c r="E1468" s="186" t="s">
        <v>24</v>
      </c>
      <c r="F1468" s="186" t="s">
        <v>24</v>
      </c>
      <c r="G1468" s="186" t="s">
        <v>3135</v>
      </c>
      <c r="H1468" s="186" t="s">
        <v>3135</v>
      </c>
      <c r="I1468" s="187" t="s">
        <v>1178</v>
      </c>
      <c r="J1468" s="187" t="s">
        <v>1179</v>
      </c>
      <c r="K1468" s="188"/>
      <c r="L1468" s="188"/>
      <c r="M1468" s="189" t="s">
        <v>847</v>
      </c>
      <c r="N1468" s="190">
        <v>197.83</v>
      </c>
      <c r="O1468" s="190">
        <f t="shared" si="179"/>
        <v>215.63</v>
      </c>
      <c r="P1468" s="191">
        <f t="shared" si="180"/>
        <v>0</v>
      </c>
      <c r="Q1468" s="192">
        <f t="shared" si="181"/>
        <v>0</v>
      </c>
      <c r="R1468" s="193"/>
      <c r="S1468" s="194"/>
      <c r="T1468" s="195">
        <f t="shared" si="182"/>
        <v>0</v>
      </c>
      <c r="U1468" s="195">
        <f t="shared" si="183"/>
        <v>0</v>
      </c>
      <c r="V1468" s="195">
        <f t="shared" si="184"/>
        <v>0</v>
      </c>
      <c r="W1468" s="196" t="e">
        <f t="shared" si="185"/>
        <v>#DIV/0!</v>
      </c>
      <c r="X1468" s="197" t="e">
        <f t="shared" si="186"/>
        <v>#DIV/0!</v>
      </c>
    </row>
    <row r="1469" ht="11.4" hidden="1" customHeight="1" spans="1:24">
      <c r="A1469" s="184" t="s">
        <v>3134</v>
      </c>
      <c r="B1469" s="184" t="s">
        <v>113</v>
      </c>
      <c r="C1469" s="184" t="s">
        <v>1101</v>
      </c>
      <c r="D1469" s="185" t="s">
        <v>703</v>
      </c>
      <c r="E1469" s="186" t="s">
        <v>24</v>
      </c>
      <c r="F1469" s="186" t="s">
        <v>24</v>
      </c>
      <c r="G1469" s="186" t="s">
        <v>3135</v>
      </c>
      <c r="H1469" s="186" t="s">
        <v>3135</v>
      </c>
      <c r="I1469" s="187" t="s">
        <v>1181</v>
      </c>
      <c r="J1469" s="187" t="s">
        <v>1182</v>
      </c>
      <c r="K1469" s="188"/>
      <c r="L1469" s="188"/>
      <c r="M1469" s="189" t="s">
        <v>847</v>
      </c>
      <c r="N1469" s="190">
        <v>182.9</v>
      </c>
      <c r="O1469" s="190">
        <f t="shared" si="179"/>
        <v>199.36</v>
      </c>
      <c r="P1469" s="191">
        <f t="shared" si="180"/>
        <v>0</v>
      </c>
      <c r="Q1469" s="192">
        <f t="shared" si="181"/>
        <v>0</v>
      </c>
      <c r="R1469" s="193"/>
      <c r="S1469" s="194"/>
      <c r="T1469" s="195">
        <f t="shared" si="182"/>
        <v>0</v>
      </c>
      <c r="U1469" s="195">
        <f t="shared" si="183"/>
        <v>0</v>
      </c>
      <c r="V1469" s="195">
        <f t="shared" si="184"/>
        <v>0</v>
      </c>
      <c r="W1469" s="196" t="e">
        <f t="shared" si="185"/>
        <v>#DIV/0!</v>
      </c>
      <c r="X1469" s="197" t="e">
        <f t="shared" si="186"/>
        <v>#DIV/0!</v>
      </c>
    </row>
    <row r="1470" ht="11.4" hidden="1" customHeight="1" spans="1:24">
      <c r="A1470" s="184" t="s">
        <v>3134</v>
      </c>
      <c r="B1470" s="184" t="s">
        <v>113</v>
      </c>
      <c r="C1470" s="184" t="s">
        <v>1101</v>
      </c>
      <c r="D1470" s="185" t="s">
        <v>703</v>
      </c>
      <c r="E1470" s="186" t="s">
        <v>24</v>
      </c>
      <c r="F1470" s="186" t="s">
        <v>24</v>
      </c>
      <c r="G1470" s="186" t="s">
        <v>3135</v>
      </c>
      <c r="H1470" s="186" t="s">
        <v>3135</v>
      </c>
      <c r="I1470" s="187" t="s">
        <v>1183</v>
      </c>
      <c r="J1470" s="187" t="s">
        <v>1184</v>
      </c>
      <c r="K1470" s="188"/>
      <c r="L1470" s="188"/>
      <c r="M1470" s="189" t="s">
        <v>847</v>
      </c>
      <c r="N1470" s="190">
        <v>186.66</v>
      </c>
      <c r="O1470" s="190">
        <f t="shared" si="179"/>
        <v>203.46</v>
      </c>
      <c r="P1470" s="191">
        <f t="shared" si="180"/>
        <v>0</v>
      </c>
      <c r="Q1470" s="192">
        <f t="shared" si="181"/>
        <v>0</v>
      </c>
      <c r="R1470" s="193"/>
      <c r="S1470" s="194"/>
      <c r="T1470" s="195">
        <f t="shared" si="182"/>
        <v>0</v>
      </c>
      <c r="U1470" s="195">
        <f t="shared" si="183"/>
        <v>0</v>
      </c>
      <c r="V1470" s="195">
        <f t="shared" si="184"/>
        <v>0</v>
      </c>
      <c r="W1470" s="196" t="e">
        <f t="shared" si="185"/>
        <v>#DIV/0!</v>
      </c>
      <c r="X1470" s="197" t="e">
        <f t="shared" si="186"/>
        <v>#DIV/0!</v>
      </c>
    </row>
    <row r="1471" ht="11.4" hidden="1" customHeight="1" spans="1:24">
      <c r="A1471" s="184" t="s">
        <v>3134</v>
      </c>
      <c r="B1471" s="184" t="s">
        <v>113</v>
      </c>
      <c r="C1471" s="184" t="s">
        <v>1101</v>
      </c>
      <c r="D1471" s="185" t="s">
        <v>703</v>
      </c>
      <c r="E1471" s="186" t="s">
        <v>24</v>
      </c>
      <c r="F1471" s="186" t="s">
        <v>24</v>
      </c>
      <c r="G1471" s="186" t="s">
        <v>3135</v>
      </c>
      <c r="H1471" s="186" t="s">
        <v>3135</v>
      </c>
      <c r="I1471" s="187" t="s">
        <v>1185</v>
      </c>
      <c r="J1471" s="187" t="s">
        <v>1186</v>
      </c>
      <c r="K1471" s="188"/>
      <c r="L1471" s="188"/>
      <c r="M1471" s="189" t="s">
        <v>847</v>
      </c>
      <c r="N1471" s="190">
        <v>174.35</v>
      </c>
      <c r="O1471" s="190">
        <f t="shared" si="179"/>
        <v>190.04</v>
      </c>
      <c r="P1471" s="191">
        <f t="shared" si="180"/>
        <v>0</v>
      </c>
      <c r="Q1471" s="192">
        <f t="shared" si="181"/>
        <v>0</v>
      </c>
      <c r="R1471" s="193"/>
      <c r="S1471" s="194"/>
      <c r="T1471" s="195">
        <f t="shared" si="182"/>
        <v>0</v>
      </c>
      <c r="U1471" s="195">
        <f t="shared" si="183"/>
        <v>0</v>
      </c>
      <c r="V1471" s="195">
        <f t="shared" si="184"/>
        <v>0</v>
      </c>
      <c r="W1471" s="196" t="e">
        <f t="shared" si="185"/>
        <v>#DIV/0!</v>
      </c>
      <c r="X1471" s="197" t="e">
        <f t="shared" si="186"/>
        <v>#DIV/0!</v>
      </c>
    </row>
    <row r="1472" ht="11.4" hidden="1" customHeight="1" spans="1:24">
      <c r="A1472" s="184" t="s">
        <v>3134</v>
      </c>
      <c r="B1472" s="184" t="s">
        <v>113</v>
      </c>
      <c r="C1472" s="184" t="s">
        <v>1101</v>
      </c>
      <c r="D1472" s="185" t="s">
        <v>703</v>
      </c>
      <c r="E1472" s="186" t="s">
        <v>24</v>
      </c>
      <c r="F1472" s="186" t="s">
        <v>24</v>
      </c>
      <c r="G1472" s="186" t="s">
        <v>3135</v>
      </c>
      <c r="H1472" s="186" t="s">
        <v>3135</v>
      </c>
      <c r="I1472" s="187" t="s">
        <v>1206</v>
      </c>
      <c r="J1472" s="187" t="s">
        <v>1207</v>
      </c>
      <c r="K1472" s="188"/>
      <c r="L1472" s="188"/>
      <c r="M1472" s="189" t="s">
        <v>847</v>
      </c>
      <c r="N1472" s="190">
        <v>266.78</v>
      </c>
      <c r="O1472" s="190">
        <f t="shared" si="179"/>
        <v>290.79</v>
      </c>
      <c r="P1472" s="191">
        <f t="shared" si="180"/>
        <v>0</v>
      </c>
      <c r="Q1472" s="192">
        <f t="shared" si="181"/>
        <v>0</v>
      </c>
      <c r="R1472" s="193"/>
      <c r="S1472" s="194"/>
      <c r="T1472" s="195">
        <f t="shared" si="182"/>
        <v>0</v>
      </c>
      <c r="U1472" s="195">
        <f t="shared" si="183"/>
        <v>0</v>
      </c>
      <c r="V1472" s="195">
        <f t="shared" si="184"/>
        <v>0</v>
      </c>
      <c r="W1472" s="196" t="e">
        <f t="shared" si="185"/>
        <v>#DIV/0!</v>
      </c>
      <c r="X1472" s="197" t="e">
        <f t="shared" si="186"/>
        <v>#DIV/0!</v>
      </c>
    </row>
    <row r="1473" ht="11.4" hidden="1" customHeight="1" spans="1:24">
      <c r="A1473" s="184" t="s">
        <v>3134</v>
      </c>
      <c r="B1473" s="184" t="s">
        <v>113</v>
      </c>
      <c r="C1473" s="184" t="s">
        <v>1101</v>
      </c>
      <c r="D1473" s="185" t="s">
        <v>703</v>
      </c>
      <c r="E1473" s="186" t="s">
        <v>24</v>
      </c>
      <c r="F1473" s="186" t="s">
        <v>24</v>
      </c>
      <c r="G1473" s="186" t="s">
        <v>3135</v>
      </c>
      <c r="H1473" s="186" t="s">
        <v>3135</v>
      </c>
      <c r="I1473" s="187" t="s">
        <v>1210</v>
      </c>
      <c r="J1473" s="187" t="s">
        <v>1211</v>
      </c>
      <c r="K1473" s="188"/>
      <c r="L1473" s="188"/>
      <c r="M1473" s="189" t="s">
        <v>847</v>
      </c>
      <c r="N1473" s="190">
        <v>288.72</v>
      </c>
      <c r="O1473" s="190">
        <f t="shared" si="179"/>
        <v>314.7</v>
      </c>
      <c r="P1473" s="191">
        <f t="shared" si="180"/>
        <v>0</v>
      </c>
      <c r="Q1473" s="192">
        <f t="shared" si="181"/>
        <v>0</v>
      </c>
      <c r="R1473" s="193"/>
      <c r="S1473" s="194"/>
      <c r="T1473" s="195">
        <f t="shared" si="182"/>
        <v>0</v>
      </c>
      <c r="U1473" s="195">
        <f t="shared" si="183"/>
        <v>0</v>
      </c>
      <c r="V1473" s="195">
        <f t="shared" si="184"/>
        <v>0</v>
      </c>
      <c r="W1473" s="196" t="e">
        <f t="shared" si="185"/>
        <v>#DIV/0!</v>
      </c>
      <c r="X1473" s="197" t="e">
        <f t="shared" si="186"/>
        <v>#DIV/0!</v>
      </c>
    </row>
    <row r="1474" ht="11.4" hidden="1" customHeight="1" spans="1:24">
      <c r="A1474" s="184" t="s">
        <v>3158</v>
      </c>
      <c r="B1474" s="184" t="s">
        <v>139</v>
      </c>
      <c r="C1474" s="184" t="s">
        <v>1880</v>
      </c>
      <c r="D1474" s="185" t="s">
        <v>703</v>
      </c>
      <c r="E1474" s="186" t="s">
        <v>24</v>
      </c>
      <c r="F1474" s="186" t="s">
        <v>24</v>
      </c>
      <c r="G1474" s="186" t="s">
        <v>3159</v>
      </c>
      <c r="H1474" s="186" t="s">
        <v>3159</v>
      </c>
      <c r="I1474" s="187" t="s">
        <v>3160</v>
      </c>
      <c r="J1474" s="187" t="s">
        <v>3161</v>
      </c>
      <c r="K1474" s="188">
        <v>2</v>
      </c>
      <c r="L1474" s="188">
        <v>2</v>
      </c>
      <c r="M1474" s="189" t="s">
        <v>1778</v>
      </c>
      <c r="N1474" s="190">
        <v>486.16</v>
      </c>
      <c r="O1474" s="190">
        <f t="shared" si="179"/>
        <v>529.91</v>
      </c>
      <c r="P1474" s="191">
        <f t="shared" si="180"/>
        <v>972.32</v>
      </c>
      <c r="Q1474" s="192">
        <f t="shared" si="181"/>
        <v>972.32</v>
      </c>
      <c r="R1474" s="193"/>
      <c r="S1474" s="194"/>
      <c r="T1474" s="195">
        <f t="shared" si="182"/>
        <v>0</v>
      </c>
      <c r="U1474" s="195">
        <f t="shared" si="183"/>
        <v>0</v>
      </c>
      <c r="V1474" s="195">
        <f t="shared" si="184"/>
        <v>0</v>
      </c>
      <c r="W1474" s="196">
        <f t="shared" si="185"/>
        <v>0</v>
      </c>
      <c r="X1474" s="197">
        <f t="shared" si="186"/>
        <v>0</v>
      </c>
    </row>
    <row r="1475" ht="11.4" hidden="1" customHeight="1" spans="1:24">
      <c r="A1475" s="184" t="s">
        <v>3158</v>
      </c>
      <c r="B1475" s="184" t="s">
        <v>139</v>
      </c>
      <c r="C1475" s="184" t="s">
        <v>1880</v>
      </c>
      <c r="D1475" s="185" t="s">
        <v>703</v>
      </c>
      <c r="E1475" s="186" t="s">
        <v>24</v>
      </c>
      <c r="F1475" s="186" t="s">
        <v>24</v>
      </c>
      <c r="G1475" s="186" t="s">
        <v>3159</v>
      </c>
      <c r="H1475" s="186" t="s">
        <v>3159</v>
      </c>
      <c r="I1475" s="187" t="s">
        <v>3162</v>
      </c>
      <c r="J1475" s="187" t="s">
        <v>3163</v>
      </c>
      <c r="K1475" s="188">
        <v>4</v>
      </c>
      <c r="L1475" s="188">
        <v>4</v>
      </c>
      <c r="M1475" s="189" t="s">
        <v>1018</v>
      </c>
      <c r="N1475" s="190">
        <v>105.21</v>
      </c>
      <c r="O1475" s="190">
        <f t="shared" si="179"/>
        <v>114.68</v>
      </c>
      <c r="P1475" s="191">
        <f t="shared" si="180"/>
        <v>420.84</v>
      </c>
      <c r="Q1475" s="192">
        <f t="shared" si="181"/>
        <v>420.84</v>
      </c>
      <c r="R1475" s="193"/>
      <c r="S1475" s="194"/>
      <c r="T1475" s="195">
        <f t="shared" si="182"/>
        <v>0</v>
      </c>
      <c r="U1475" s="195">
        <f t="shared" si="183"/>
        <v>0</v>
      </c>
      <c r="V1475" s="195">
        <f t="shared" si="184"/>
        <v>0</v>
      </c>
      <c r="W1475" s="196">
        <f t="shared" si="185"/>
        <v>0</v>
      </c>
      <c r="X1475" s="197">
        <f t="shared" si="186"/>
        <v>0</v>
      </c>
    </row>
    <row r="1476" ht="11.4" hidden="1" customHeight="1" spans="1:24">
      <c r="A1476" s="184" t="s">
        <v>3158</v>
      </c>
      <c r="B1476" s="184" t="s">
        <v>139</v>
      </c>
      <c r="C1476" s="184" t="s">
        <v>1880</v>
      </c>
      <c r="D1476" s="185" t="s">
        <v>703</v>
      </c>
      <c r="E1476" s="186" t="s">
        <v>24</v>
      </c>
      <c r="F1476" s="186" t="s">
        <v>24</v>
      </c>
      <c r="G1476" s="186" t="s">
        <v>3159</v>
      </c>
      <c r="H1476" s="186" t="s">
        <v>3159</v>
      </c>
      <c r="I1476" s="187" t="s">
        <v>3164</v>
      </c>
      <c r="J1476" s="187" t="s">
        <v>3165</v>
      </c>
      <c r="K1476" s="188">
        <v>1</v>
      </c>
      <c r="L1476" s="188">
        <v>1</v>
      </c>
      <c r="M1476" s="189" t="s">
        <v>793</v>
      </c>
      <c r="N1476" s="190">
        <v>872.06</v>
      </c>
      <c r="O1476" s="190">
        <f t="shared" si="179"/>
        <v>950.55</v>
      </c>
      <c r="P1476" s="191">
        <f t="shared" si="180"/>
        <v>872.06</v>
      </c>
      <c r="Q1476" s="192">
        <f t="shared" si="181"/>
        <v>872.06</v>
      </c>
      <c r="R1476" s="193"/>
      <c r="S1476" s="194"/>
      <c r="T1476" s="195">
        <f t="shared" si="182"/>
        <v>0</v>
      </c>
      <c r="U1476" s="195">
        <f t="shared" si="183"/>
        <v>0</v>
      </c>
      <c r="V1476" s="195">
        <f t="shared" si="184"/>
        <v>0</v>
      </c>
      <c r="W1476" s="196">
        <f t="shared" si="185"/>
        <v>0</v>
      </c>
      <c r="X1476" s="197">
        <f t="shared" si="186"/>
        <v>0</v>
      </c>
    </row>
    <row r="1477" ht="11.4" hidden="1" customHeight="1" spans="1:24">
      <c r="A1477" s="184" t="s">
        <v>3158</v>
      </c>
      <c r="B1477" s="184" t="s">
        <v>139</v>
      </c>
      <c r="C1477" s="184" t="s">
        <v>1880</v>
      </c>
      <c r="D1477" s="185" t="s">
        <v>703</v>
      </c>
      <c r="E1477" s="186" t="s">
        <v>24</v>
      </c>
      <c r="F1477" s="186" t="s">
        <v>24</v>
      </c>
      <c r="G1477" s="186" t="s">
        <v>3159</v>
      </c>
      <c r="H1477" s="186" t="s">
        <v>3159</v>
      </c>
      <c r="I1477" s="187" t="s">
        <v>3166</v>
      </c>
      <c r="J1477" s="187" t="s">
        <v>3167</v>
      </c>
      <c r="K1477" s="188"/>
      <c r="L1477" s="188"/>
      <c r="M1477" s="189" t="s">
        <v>1018</v>
      </c>
      <c r="N1477" s="190">
        <v>40.91</v>
      </c>
      <c r="O1477" s="190">
        <f t="shared" si="179"/>
        <v>44.59</v>
      </c>
      <c r="P1477" s="191">
        <f t="shared" si="180"/>
        <v>0</v>
      </c>
      <c r="Q1477" s="192">
        <f t="shared" si="181"/>
        <v>0</v>
      </c>
      <c r="R1477" s="193"/>
      <c r="S1477" s="194"/>
      <c r="T1477" s="195">
        <f t="shared" si="182"/>
        <v>0</v>
      </c>
      <c r="U1477" s="195">
        <f t="shared" si="183"/>
        <v>0</v>
      </c>
      <c r="V1477" s="195">
        <f t="shared" si="184"/>
        <v>0</v>
      </c>
      <c r="W1477" s="196" t="e">
        <f t="shared" si="185"/>
        <v>#DIV/0!</v>
      </c>
      <c r="X1477" s="197" t="e">
        <f t="shared" si="186"/>
        <v>#DIV/0!</v>
      </c>
    </row>
    <row r="1478" ht="11.4" hidden="1" customHeight="1" spans="1:24">
      <c r="A1478" s="184" t="s">
        <v>3168</v>
      </c>
      <c r="B1478" s="184" t="s">
        <v>800</v>
      </c>
      <c r="C1478" s="184" t="s">
        <v>801</v>
      </c>
      <c r="D1478" s="185" t="s">
        <v>704</v>
      </c>
      <c r="E1478" s="186" t="s">
        <v>802</v>
      </c>
      <c r="F1478" s="186" t="s">
        <v>803</v>
      </c>
      <c r="G1478" s="186" t="s">
        <v>804</v>
      </c>
      <c r="H1478" s="186" t="s">
        <v>804</v>
      </c>
      <c r="I1478" s="187" t="s">
        <v>805</v>
      </c>
      <c r="J1478" s="187" t="s">
        <v>806</v>
      </c>
      <c r="K1478" s="188"/>
      <c r="L1478" s="188"/>
      <c r="M1478" s="189" t="s">
        <v>807</v>
      </c>
      <c r="N1478" s="190">
        <v>1000.44</v>
      </c>
      <c r="O1478" s="190">
        <f t="shared" si="179"/>
        <v>1090.48</v>
      </c>
      <c r="P1478" s="191">
        <f t="shared" si="180"/>
        <v>0</v>
      </c>
      <c r="Q1478" s="192">
        <f t="shared" si="181"/>
        <v>0</v>
      </c>
      <c r="R1478" s="193"/>
      <c r="S1478" s="194"/>
      <c r="T1478" s="195">
        <f t="shared" si="182"/>
        <v>0</v>
      </c>
      <c r="U1478" s="195">
        <f t="shared" si="183"/>
        <v>0</v>
      </c>
      <c r="V1478" s="195">
        <f t="shared" si="184"/>
        <v>0</v>
      </c>
      <c r="W1478" s="196" t="e">
        <f t="shared" si="185"/>
        <v>#DIV/0!</v>
      </c>
      <c r="X1478" s="197" t="e">
        <f t="shared" si="186"/>
        <v>#DIV/0!</v>
      </c>
    </row>
    <row r="1479" ht="11.4" hidden="1" customHeight="1" spans="1:24">
      <c r="A1479" s="184" t="s">
        <v>3168</v>
      </c>
      <c r="B1479" s="184" t="s">
        <v>800</v>
      </c>
      <c r="C1479" s="184" t="s">
        <v>801</v>
      </c>
      <c r="D1479" s="185" t="s">
        <v>704</v>
      </c>
      <c r="E1479" s="186" t="s">
        <v>802</v>
      </c>
      <c r="F1479" s="186" t="s">
        <v>803</v>
      </c>
      <c r="G1479" s="186" t="s">
        <v>804</v>
      </c>
      <c r="H1479" s="186" t="s">
        <v>804</v>
      </c>
      <c r="I1479" s="187" t="s">
        <v>808</v>
      </c>
      <c r="J1479" s="187" t="s">
        <v>809</v>
      </c>
      <c r="K1479" s="188"/>
      <c r="L1479" s="188"/>
      <c r="M1479" s="189" t="s">
        <v>807</v>
      </c>
      <c r="N1479" s="190">
        <v>872.84</v>
      </c>
      <c r="O1479" s="190">
        <f t="shared" si="179"/>
        <v>951.4</v>
      </c>
      <c r="P1479" s="191">
        <f t="shared" si="180"/>
        <v>0</v>
      </c>
      <c r="Q1479" s="192">
        <f t="shared" si="181"/>
        <v>0</v>
      </c>
      <c r="R1479" s="193"/>
      <c r="S1479" s="194"/>
      <c r="T1479" s="195">
        <f t="shared" si="182"/>
        <v>0</v>
      </c>
      <c r="U1479" s="195">
        <f t="shared" si="183"/>
        <v>0</v>
      </c>
      <c r="V1479" s="195">
        <f t="shared" si="184"/>
        <v>0</v>
      </c>
      <c r="W1479" s="196" t="e">
        <f t="shared" si="185"/>
        <v>#DIV/0!</v>
      </c>
      <c r="X1479" s="197" t="e">
        <f t="shared" si="186"/>
        <v>#DIV/0!</v>
      </c>
    </row>
    <row r="1480" ht="11.4" hidden="1" customHeight="1" spans="1:24">
      <c r="A1480" s="184" t="s">
        <v>3168</v>
      </c>
      <c r="B1480" s="184" t="s">
        <v>800</v>
      </c>
      <c r="C1480" s="184" t="s">
        <v>801</v>
      </c>
      <c r="D1480" s="185" t="s">
        <v>704</v>
      </c>
      <c r="E1480" s="186" t="s">
        <v>802</v>
      </c>
      <c r="F1480" s="186" t="s">
        <v>803</v>
      </c>
      <c r="G1480" s="186" t="s">
        <v>804</v>
      </c>
      <c r="H1480" s="186" t="s">
        <v>804</v>
      </c>
      <c r="I1480" s="187" t="s">
        <v>810</v>
      </c>
      <c r="J1480" s="187" t="s">
        <v>811</v>
      </c>
      <c r="K1480" s="188"/>
      <c r="L1480" s="188"/>
      <c r="M1480" s="189" t="s">
        <v>807</v>
      </c>
      <c r="N1480" s="190">
        <v>1000.44</v>
      </c>
      <c r="O1480" s="190">
        <f t="shared" si="179"/>
        <v>1090.48</v>
      </c>
      <c r="P1480" s="191">
        <f t="shared" si="180"/>
        <v>0</v>
      </c>
      <c r="Q1480" s="192">
        <f t="shared" si="181"/>
        <v>0</v>
      </c>
      <c r="R1480" s="193"/>
      <c r="S1480" s="194"/>
      <c r="T1480" s="195">
        <f t="shared" si="182"/>
        <v>0</v>
      </c>
      <c r="U1480" s="195">
        <f t="shared" si="183"/>
        <v>0</v>
      </c>
      <c r="V1480" s="195">
        <f t="shared" si="184"/>
        <v>0</v>
      </c>
      <c r="W1480" s="196" t="e">
        <f t="shared" si="185"/>
        <v>#DIV/0!</v>
      </c>
      <c r="X1480" s="197" t="e">
        <f t="shared" si="186"/>
        <v>#DIV/0!</v>
      </c>
    </row>
    <row r="1481" ht="11.4" hidden="1" customHeight="1" spans="1:24">
      <c r="A1481" s="184" t="s">
        <v>3168</v>
      </c>
      <c r="B1481" s="184" t="s">
        <v>800</v>
      </c>
      <c r="C1481" s="184" t="s">
        <v>801</v>
      </c>
      <c r="D1481" s="185" t="s">
        <v>704</v>
      </c>
      <c r="E1481" s="186" t="s">
        <v>802</v>
      </c>
      <c r="F1481" s="186" t="s">
        <v>803</v>
      </c>
      <c r="G1481" s="186" t="s">
        <v>804</v>
      </c>
      <c r="H1481" s="186" t="s">
        <v>804</v>
      </c>
      <c r="I1481" s="187" t="s">
        <v>812</v>
      </c>
      <c r="J1481" s="187" t="s">
        <v>813</v>
      </c>
      <c r="K1481" s="188"/>
      <c r="L1481" s="188"/>
      <c r="M1481" s="189" t="s">
        <v>807</v>
      </c>
      <c r="N1481" s="190">
        <v>872.84</v>
      </c>
      <c r="O1481" s="190">
        <f t="shared" si="179"/>
        <v>951.4</v>
      </c>
      <c r="P1481" s="191">
        <f t="shared" si="180"/>
        <v>0</v>
      </c>
      <c r="Q1481" s="192">
        <f t="shared" si="181"/>
        <v>0</v>
      </c>
      <c r="R1481" s="193"/>
      <c r="S1481" s="194"/>
      <c r="T1481" s="195">
        <f t="shared" si="182"/>
        <v>0</v>
      </c>
      <c r="U1481" s="195">
        <f t="shared" si="183"/>
        <v>0</v>
      </c>
      <c r="V1481" s="195">
        <f t="shared" si="184"/>
        <v>0</v>
      </c>
      <c r="W1481" s="196" t="e">
        <f t="shared" si="185"/>
        <v>#DIV/0!</v>
      </c>
      <c r="X1481" s="197" t="e">
        <f t="shared" si="186"/>
        <v>#DIV/0!</v>
      </c>
    </row>
    <row r="1482" ht="11.4" hidden="1" customHeight="1" spans="1:24">
      <c r="A1482" s="184" t="s">
        <v>3168</v>
      </c>
      <c r="B1482" s="184" t="s">
        <v>800</v>
      </c>
      <c r="C1482" s="184" t="s">
        <v>801</v>
      </c>
      <c r="D1482" s="185" t="s">
        <v>704</v>
      </c>
      <c r="E1482" s="186" t="s">
        <v>802</v>
      </c>
      <c r="F1482" s="186" t="s">
        <v>803</v>
      </c>
      <c r="G1482" s="186" t="s">
        <v>804</v>
      </c>
      <c r="H1482" s="186" t="s">
        <v>804</v>
      </c>
      <c r="I1482" s="187" t="s">
        <v>814</v>
      </c>
      <c r="J1482" s="187" t="s">
        <v>815</v>
      </c>
      <c r="K1482" s="188"/>
      <c r="L1482" s="188"/>
      <c r="M1482" s="189" t="s">
        <v>807</v>
      </c>
      <c r="N1482" s="190">
        <v>135.14</v>
      </c>
      <c r="O1482" s="190">
        <f t="shared" si="179"/>
        <v>147.3</v>
      </c>
      <c r="P1482" s="191">
        <f t="shared" si="180"/>
        <v>0</v>
      </c>
      <c r="Q1482" s="192">
        <f t="shared" si="181"/>
        <v>0</v>
      </c>
      <c r="R1482" s="193"/>
      <c r="S1482" s="194"/>
      <c r="T1482" s="195">
        <f t="shared" si="182"/>
        <v>0</v>
      </c>
      <c r="U1482" s="195">
        <f t="shared" si="183"/>
        <v>0</v>
      </c>
      <c r="V1482" s="195">
        <f t="shared" si="184"/>
        <v>0</v>
      </c>
      <c r="W1482" s="196" t="e">
        <f t="shared" si="185"/>
        <v>#DIV/0!</v>
      </c>
      <c r="X1482" s="197" t="e">
        <f t="shared" si="186"/>
        <v>#DIV/0!</v>
      </c>
    </row>
    <row r="1483" ht="11.4" hidden="1" customHeight="1" spans="1:24">
      <c r="A1483" s="184" t="s">
        <v>3169</v>
      </c>
      <c r="B1483" s="184" t="s">
        <v>817</v>
      </c>
      <c r="C1483" s="184" t="s">
        <v>818</v>
      </c>
      <c r="D1483" s="185" t="s">
        <v>704</v>
      </c>
      <c r="E1483" s="186" t="s">
        <v>802</v>
      </c>
      <c r="F1483" s="186" t="s">
        <v>819</v>
      </c>
      <c r="G1483" s="186" t="s">
        <v>820</v>
      </c>
      <c r="H1483" s="186" t="s">
        <v>820</v>
      </c>
      <c r="I1483" s="187" t="s">
        <v>821</v>
      </c>
      <c r="J1483" s="187" t="s">
        <v>822</v>
      </c>
      <c r="K1483" s="188"/>
      <c r="L1483" s="188"/>
      <c r="M1483" s="189" t="s">
        <v>807</v>
      </c>
      <c r="N1483" s="190">
        <v>96.36</v>
      </c>
      <c r="O1483" s="190">
        <f t="shared" si="179"/>
        <v>105.03</v>
      </c>
      <c r="P1483" s="191">
        <f t="shared" si="180"/>
        <v>0</v>
      </c>
      <c r="Q1483" s="192">
        <f t="shared" si="181"/>
        <v>0</v>
      </c>
      <c r="R1483" s="193"/>
      <c r="S1483" s="194"/>
      <c r="T1483" s="195">
        <f t="shared" si="182"/>
        <v>0</v>
      </c>
      <c r="U1483" s="195">
        <f t="shared" si="183"/>
        <v>0</v>
      </c>
      <c r="V1483" s="195">
        <f t="shared" si="184"/>
        <v>0</v>
      </c>
      <c r="W1483" s="196" t="e">
        <f t="shared" si="185"/>
        <v>#DIV/0!</v>
      </c>
      <c r="X1483" s="197" t="e">
        <f t="shared" si="186"/>
        <v>#DIV/0!</v>
      </c>
    </row>
    <row r="1484" ht="11.4" hidden="1" customHeight="1" spans="1:24">
      <c r="A1484" s="184" t="s">
        <v>3169</v>
      </c>
      <c r="B1484" s="184" t="s">
        <v>817</v>
      </c>
      <c r="C1484" s="184" t="s">
        <v>818</v>
      </c>
      <c r="D1484" s="185" t="s">
        <v>704</v>
      </c>
      <c r="E1484" s="186" t="s">
        <v>802</v>
      </c>
      <c r="F1484" s="186" t="s">
        <v>819</v>
      </c>
      <c r="G1484" s="186" t="s">
        <v>820</v>
      </c>
      <c r="H1484" s="186" t="s">
        <v>820</v>
      </c>
      <c r="I1484" s="187" t="s">
        <v>823</v>
      </c>
      <c r="J1484" s="187" t="s">
        <v>824</v>
      </c>
      <c r="K1484" s="188"/>
      <c r="L1484" s="188"/>
      <c r="M1484" s="189" t="s">
        <v>807</v>
      </c>
      <c r="N1484" s="190">
        <v>92.09</v>
      </c>
      <c r="O1484" s="190">
        <f t="shared" si="179"/>
        <v>100.38</v>
      </c>
      <c r="P1484" s="191">
        <f t="shared" si="180"/>
        <v>0</v>
      </c>
      <c r="Q1484" s="192">
        <f t="shared" si="181"/>
        <v>0</v>
      </c>
      <c r="R1484" s="193"/>
      <c r="S1484" s="194"/>
      <c r="T1484" s="195">
        <f t="shared" si="182"/>
        <v>0</v>
      </c>
      <c r="U1484" s="195">
        <f t="shared" si="183"/>
        <v>0</v>
      </c>
      <c r="V1484" s="195">
        <f t="shared" si="184"/>
        <v>0</v>
      </c>
      <c r="W1484" s="196" t="e">
        <f t="shared" si="185"/>
        <v>#DIV/0!</v>
      </c>
      <c r="X1484" s="197" t="e">
        <f t="shared" si="186"/>
        <v>#DIV/0!</v>
      </c>
    </row>
    <row r="1485" ht="11.4" hidden="1" customHeight="1" spans="1:24">
      <c r="A1485" s="184" t="s">
        <v>3170</v>
      </c>
      <c r="B1485" s="184" t="s">
        <v>826</v>
      </c>
      <c r="C1485" s="184" t="s">
        <v>827</v>
      </c>
      <c r="D1485" s="185" t="s">
        <v>704</v>
      </c>
      <c r="E1485" s="186" t="s">
        <v>802</v>
      </c>
      <c r="F1485" s="186" t="s">
        <v>828</v>
      </c>
      <c r="G1485" s="186" t="s">
        <v>829</v>
      </c>
      <c r="H1485" s="186" t="s">
        <v>829</v>
      </c>
      <c r="I1485" s="187" t="s">
        <v>830</v>
      </c>
      <c r="J1485" s="187" t="s">
        <v>829</v>
      </c>
      <c r="K1485" s="188"/>
      <c r="L1485" s="188"/>
      <c r="M1485" s="189" t="s">
        <v>793</v>
      </c>
      <c r="N1485" s="190">
        <v>1801.8</v>
      </c>
      <c r="O1485" s="190">
        <f t="shared" ref="O1485:O1548" si="187">ROUND(N1485*(1+$F$10),2)</f>
        <v>1963.96</v>
      </c>
      <c r="P1485" s="191">
        <f t="shared" ref="P1485:P1548" si="188">ROUND(K1485*N1485,2)</f>
        <v>0</v>
      </c>
      <c r="Q1485" s="192">
        <f t="shared" si="181"/>
        <v>0</v>
      </c>
      <c r="R1485" s="193"/>
      <c r="S1485" s="194"/>
      <c r="T1485" s="195">
        <f t="shared" si="182"/>
        <v>0</v>
      </c>
      <c r="U1485" s="195">
        <f t="shared" si="183"/>
        <v>0</v>
      </c>
      <c r="V1485" s="195">
        <f t="shared" si="184"/>
        <v>0</v>
      </c>
      <c r="W1485" s="196" t="e">
        <f t="shared" si="185"/>
        <v>#DIV/0!</v>
      </c>
      <c r="X1485" s="197" t="e">
        <f t="shared" si="186"/>
        <v>#DIV/0!</v>
      </c>
    </row>
    <row r="1486" ht="11.4" hidden="1" customHeight="1" spans="1:24">
      <c r="A1486" s="184" t="s">
        <v>3171</v>
      </c>
      <c r="B1486" s="184" t="s">
        <v>832</v>
      </c>
      <c r="C1486" s="184" t="s">
        <v>833</v>
      </c>
      <c r="D1486" s="185" t="s">
        <v>704</v>
      </c>
      <c r="E1486" s="186" t="s">
        <v>802</v>
      </c>
      <c r="F1486" s="186" t="s">
        <v>834</v>
      </c>
      <c r="G1486" s="186" t="s">
        <v>835</v>
      </c>
      <c r="H1486" s="186" t="s">
        <v>835</v>
      </c>
      <c r="I1486" s="187" t="s">
        <v>836</v>
      </c>
      <c r="J1486" s="187" t="s">
        <v>837</v>
      </c>
      <c r="K1486" s="188"/>
      <c r="L1486" s="188"/>
      <c r="M1486" s="189" t="s">
        <v>793</v>
      </c>
      <c r="N1486" s="190">
        <v>1351.35</v>
      </c>
      <c r="O1486" s="190">
        <f t="shared" si="187"/>
        <v>1472.97</v>
      </c>
      <c r="P1486" s="191">
        <f t="shared" si="188"/>
        <v>0</v>
      </c>
      <c r="Q1486" s="192">
        <f t="shared" ref="Q1486:Q1549" si="189">ROUND(L1486*N1486,2)</f>
        <v>0</v>
      </c>
      <c r="R1486" s="193"/>
      <c r="S1486" s="194"/>
      <c r="T1486" s="195">
        <f t="shared" ref="T1486:T1549" si="190">K1486-L1486</f>
        <v>0</v>
      </c>
      <c r="U1486" s="195">
        <f t="shared" ref="U1486:U1549" si="191">P1486-Q1486</f>
        <v>0</v>
      </c>
      <c r="V1486" s="195">
        <f t="shared" ref="V1486:V1549" si="192">ABS(U1486)</f>
        <v>0</v>
      </c>
      <c r="W1486" s="196" t="e">
        <f t="shared" ref="W1486:W1549" si="193">T1486/L1486</f>
        <v>#DIV/0!</v>
      </c>
      <c r="X1486" s="197" t="e">
        <f t="shared" ref="X1486:X1549" si="194">ABS(W1486)</f>
        <v>#DIV/0!</v>
      </c>
    </row>
    <row r="1487" ht="11.4" hidden="1" customHeight="1" spans="1:24">
      <c r="A1487" s="184" t="s">
        <v>3171</v>
      </c>
      <c r="B1487" s="184" t="s">
        <v>832</v>
      </c>
      <c r="C1487" s="184" t="s">
        <v>833</v>
      </c>
      <c r="D1487" s="185" t="s">
        <v>704</v>
      </c>
      <c r="E1487" s="186" t="s">
        <v>802</v>
      </c>
      <c r="F1487" s="186" t="s">
        <v>834</v>
      </c>
      <c r="G1487" s="186" t="s">
        <v>835</v>
      </c>
      <c r="H1487" s="186" t="s">
        <v>835</v>
      </c>
      <c r="I1487" s="187" t="s">
        <v>838</v>
      </c>
      <c r="J1487" s="187" t="s">
        <v>839</v>
      </c>
      <c r="K1487" s="188"/>
      <c r="L1487" s="188"/>
      <c r="M1487" s="189" t="s">
        <v>793</v>
      </c>
      <c r="N1487" s="190"/>
      <c r="O1487" s="190">
        <f t="shared" si="187"/>
        <v>0</v>
      </c>
      <c r="P1487" s="191">
        <f t="shared" si="188"/>
        <v>0</v>
      </c>
      <c r="Q1487" s="192">
        <f t="shared" si="189"/>
        <v>0</v>
      </c>
      <c r="R1487" s="193"/>
      <c r="S1487" s="194"/>
      <c r="T1487" s="195">
        <f t="shared" si="190"/>
        <v>0</v>
      </c>
      <c r="U1487" s="195">
        <f t="shared" si="191"/>
        <v>0</v>
      </c>
      <c r="V1487" s="195">
        <f t="shared" si="192"/>
        <v>0</v>
      </c>
      <c r="W1487" s="196" t="e">
        <f t="shared" si="193"/>
        <v>#DIV/0!</v>
      </c>
      <c r="X1487" s="197" t="e">
        <f t="shared" si="194"/>
        <v>#DIV/0!</v>
      </c>
    </row>
    <row r="1488" ht="11.4" hidden="1" customHeight="1" spans="1:24">
      <c r="A1488" s="184" t="s">
        <v>3172</v>
      </c>
      <c r="B1488" s="184" t="s">
        <v>73</v>
      </c>
      <c r="C1488" s="184" t="s">
        <v>841</v>
      </c>
      <c r="D1488" s="185" t="s">
        <v>704</v>
      </c>
      <c r="E1488" s="186" t="s">
        <v>842</v>
      </c>
      <c r="F1488" s="186" t="s">
        <v>843</v>
      </c>
      <c r="G1488" s="186" t="s">
        <v>844</v>
      </c>
      <c r="H1488" s="186" t="s">
        <v>844</v>
      </c>
      <c r="I1488" s="187" t="s">
        <v>845</v>
      </c>
      <c r="J1488" s="187" t="s">
        <v>846</v>
      </c>
      <c r="K1488" s="188"/>
      <c r="L1488" s="188"/>
      <c r="M1488" s="189" t="s">
        <v>847</v>
      </c>
      <c r="N1488" s="190">
        <v>27.2</v>
      </c>
      <c r="O1488" s="190">
        <f t="shared" si="187"/>
        <v>29.65</v>
      </c>
      <c r="P1488" s="191">
        <f t="shared" si="188"/>
        <v>0</v>
      </c>
      <c r="Q1488" s="192">
        <f t="shared" si="189"/>
        <v>0</v>
      </c>
      <c r="R1488" s="193"/>
      <c r="S1488" s="194"/>
      <c r="T1488" s="195">
        <f t="shared" si="190"/>
        <v>0</v>
      </c>
      <c r="U1488" s="195">
        <f t="shared" si="191"/>
        <v>0</v>
      </c>
      <c r="V1488" s="195">
        <f t="shared" si="192"/>
        <v>0</v>
      </c>
      <c r="W1488" s="196" t="e">
        <f t="shared" si="193"/>
        <v>#DIV/0!</v>
      </c>
      <c r="X1488" s="197" t="e">
        <f t="shared" si="194"/>
        <v>#DIV/0!</v>
      </c>
    </row>
    <row r="1489" ht="11.4" hidden="1" customHeight="1" spans="1:24">
      <c r="A1489" s="184" t="s">
        <v>3172</v>
      </c>
      <c r="B1489" s="184" t="s">
        <v>73</v>
      </c>
      <c r="C1489" s="184" t="s">
        <v>841</v>
      </c>
      <c r="D1489" s="185" t="s">
        <v>704</v>
      </c>
      <c r="E1489" s="186" t="s">
        <v>842</v>
      </c>
      <c r="F1489" s="186" t="s">
        <v>843</v>
      </c>
      <c r="G1489" s="186" t="s">
        <v>844</v>
      </c>
      <c r="H1489" s="186" t="s">
        <v>844</v>
      </c>
      <c r="I1489" s="187" t="s">
        <v>848</v>
      </c>
      <c r="J1489" s="187" t="s">
        <v>849</v>
      </c>
      <c r="K1489" s="188"/>
      <c r="L1489" s="188"/>
      <c r="M1489" s="189" t="s">
        <v>847</v>
      </c>
      <c r="N1489" s="190">
        <v>73</v>
      </c>
      <c r="O1489" s="190">
        <f t="shared" si="187"/>
        <v>79.57</v>
      </c>
      <c r="P1489" s="191">
        <f t="shared" si="188"/>
        <v>0</v>
      </c>
      <c r="Q1489" s="192">
        <f t="shared" si="189"/>
        <v>0</v>
      </c>
      <c r="R1489" s="193"/>
      <c r="S1489" s="194"/>
      <c r="T1489" s="195">
        <f t="shared" si="190"/>
        <v>0</v>
      </c>
      <c r="U1489" s="195">
        <f t="shared" si="191"/>
        <v>0</v>
      </c>
      <c r="V1489" s="195">
        <f t="shared" si="192"/>
        <v>0</v>
      </c>
      <c r="W1489" s="196" t="e">
        <f t="shared" si="193"/>
        <v>#DIV/0!</v>
      </c>
      <c r="X1489" s="197" t="e">
        <f t="shared" si="194"/>
        <v>#DIV/0!</v>
      </c>
    </row>
    <row r="1490" ht="11.4" hidden="1" customHeight="1" spans="1:24">
      <c r="A1490" s="184" t="s">
        <v>3172</v>
      </c>
      <c r="B1490" s="184" t="s">
        <v>73</v>
      </c>
      <c r="C1490" s="184" t="s">
        <v>841</v>
      </c>
      <c r="D1490" s="185" t="s">
        <v>704</v>
      </c>
      <c r="E1490" s="186" t="s">
        <v>842</v>
      </c>
      <c r="F1490" s="186" t="s">
        <v>843</v>
      </c>
      <c r="G1490" s="186" t="s">
        <v>844</v>
      </c>
      <c r="H1490" s="186" t="s">
        <v>844</v>
      </c>
      <c r="I1490" s="187" t="s">
        <v>850</v>
      </c>
      <c r="J1490" s="187" t="s">
        <v>851</v>
      </c>
      <c r="K1490" s="188"/>
      <c r="L1490" s="188"/>
      <c r="M1490" s="189" t="s">
        <v>847</v>
      </c>
      <c r="N1490" s="190">
        <v>109</v>
      </c>
      <c r="O1490" s="190">
        <f t="shared" si="187"/>
        <v>118.81</v>
      </c>
      <c r="P1490" s="191">
        <f t="shared" si="188"/>
        <v>0</v>
      </c>
      <c r="Q1490" s="192">
        <f t="shared" si="189"/>
        <v>0</v>
      </c>
      <c r="R1490" s="193"/>
      <c r="S1490" s="194"/>
      <c r="T1490" s="195">
        <f t="shared" si="190"/>
        <v>0</v>
      </c>
      <c r="U1490" s="195">
        <f t="shared" si="191"/>
        <v>0</v>
      </c>
      <c r="V1490" s="195">
        <f t="shared" si="192"/>
        <v>0</v>
      </c>
      <c r="W1490" s="196" t="e">
        <f t="shared" si="193"/>
        <v>#DIV/0!</v>
      </c>
      <c r="X1490" s="197" t="e">
        <f t="shared" si="194"/>
        <v>#DIV/0!</v>
      </c>
    </row>
    <row r="1491" ht="11.4" hidden="1" customHeight="1" spans="1:24">
      <c r="A1491" s="184" t="s">
        <v>3172</v>
      </c>
      <c r="B1491" s="184" t="s">
        <v>73</v>
      </c>
      <c r="C1491" s="184" t="s">
        <v>841</v>
      </c>
      <c r="D1491" s="185" t="s">
        <v>704</v>
      </c>
      <c r="E1491" s="186" t="s">
        <v>842</v>
      </c>
      <c r="F1491" s="186" t="s">
        <v>843</v>
      </c>
      <c r="G1491" s="186" t="s">
        <v>844</v>
      </c>
      <c r="H1491" s="186" t="s">
        <v>844</v>
      </c>
      <c r="I1491" s="187" t="s">
        <v>852</v>
      </c>
      <c r="J1491" s="187" t="s">
        <v>853</v>
      </c>
      <c r="K1491" s="188"/>
      <c r="L1491" s="188"/>
      <c r="M1491" s="189" t="s">
        <v>847</v>
      </c>
      <c r="N1491" s="190">
        <v>54.5</v>
      </c>
      <c r="O1491" s="190">
        <f t="shared" si="187"/>
        <v>59.41</v>
      </c>
      <c r="P1491" s="191">
        <f t="shared" si="188"/>
        <v>0</v>
      </c>
      <c r="Q1491" s="192">
        <f t="shared" si="189"/>
        <v>0</v>
      </c>
      <c r="R1491" s="193"/>
      <c r="S1491" s="194"/>
      <c r="T1491" s="195">
        <f t="shared" si="190"/>
        <v>0</v>
      </c>
      <c r="U1491" s="195">
        <f t="shared" si="191"/>
        <v>0</v>
      </c>
      <c r="V1491" s="195">
        <f t="shared" si="192"/>
        <v>0</v>
      </c>
      <c r="W1491" s="196" t="e">
        <f t="shared" si="193"/>
        <v>#DIV/0!</v>
      </c>
      <c r="X1491" s="197" t="e">
        <f t="shared" si="194"/>
        <v>#DIV/0!</v>
      </c>
    </row>
    <row r="1492" ht="11.4" hidden="1" customHeight="1" spans="1:24">
      <c r="A1492" s="184" t="s">
        <v>3172</v>
      </c>
      <c r="B1492" s="184" t="s">
        <v>73</v>
      </c>
      <c r="C1492" s="184" t="s">
        <v>841</v>
      </c>
      <c r="D1492" s="185" t="s">
        <v>704</v>
      </c>
      <c r="E1492" s="186" t="s">
        <v>842</v>
      </c>
      <c r="F1492" s="186" t="s">
        <v>843</v>
      </c>
      <c r="G1492" s="186" t="s">
        <v>844</v>
      </c>
      <c r="H1492" s="186" t="s">
        <v>844</v>
      </c>
      <c r="I1492" s="187" t="s">
        <v>854</v>
      </c>
      <c r="J1492" s="187" t="s">
        <v>855</v>
      </c>
      <c r="K1492" s="188"/>
      <c r="L1492" s="188"/>
      <c r="M1492" s="189" t="s">
        <v>847</v>
      </c>
      <c r="N1492" s="190">
        <v>181.5</v>
      </c>
      <c r="O1492" s="190">
        <f t="shared" si="187"/>
        <v>197.84</v>
      </c>
      <c r="P1492" s="191">
        <f t="shared" si="188"/>
        <v>0</v>
      </c>
      <c r="Q1492" s="192">
        <f t="shared" si="189"/>
        <v>0</v>
      </c>
      <c r="R1492" s="193"/>
      <c r="S1492" s="194"/>
      <c r="T1492" s="195">
        <f t="shared" si="190"/>
        <v>0</v>
      </c>
      <c r="U1492" s="195">
        <f t="shared" si="191"/>
        <v>0</v>
      </c>
      <c r="V1492" s="195">
        <f t="shared" si="192"/>
        <v>0</v>
      </c>
      <c r="W1492" s="196" t="e">
        <f t="shared" si="193"/>
        <v>#DIV/0!</v>
      </c>
      <c r="X1492" s="197" t="e">
        <f t="shared" si="194"/>
        <v>#DIV/0!</v>
      </c>
    </row>
    <row r="1493" ht="11.4" hidden="1" customHeight="1" spans="1:24">
      <c r="A1493" s="184" t="s">
        <v>3172</v>
      </c>
      <c r="B1493" s="184" t="s">
        <v>73</v>
      </c>
      <c r="C1493" s="184" t="s">
        <v>841</v>
      </c>
      <c r="D1493" s="185" t="s">
        <v>704</v>
      </c>
      <c r="E1493" s="186" t="s">
        <v>842</v>
      </c>
      <c r="F1493" s="186" t="s">
        <v>843</v>
      </c>
      <c r="G1493" s="186" t="s">
        <v>844</v>
      </c>
      <c r="H1493" s="186" t="s">
        <v>844</v>
      </c>
      <c r="I1493" s="187" t="s">
        <v>856</v>
      </c>
      <c r="J1493" s="187" t="s">
        <v>857</v>
      </c>
      <c r="K1493" s="188"/>
      <c r="L1493" s="188"/>
      <c r="M1493" s="189" t="s">
        <v>847</v>
      </c>
      <c r="N1493" s="190">
        <v>284.5</v>
      </c>
      <c r="O1493" s="190">
        <f t="shared" si="187"/>
        <v>310.11</v>
      </c>
      <c r="P1493" s="191">
        <f t="shared" si="188"/>
        <v>0</v>
      </c>
      <c r="Q1493" s="192">
        <f t="shared" si="189"/>
        <v>0</v>
      </c>
      <c r="R1493" s="193"/>
      <c r="S1493" s="194"/>
      <c r="T1493" s="195">
        <f t="shared" si="190"/>
        <v>0</v>
      </c>
      <c r="U1493" s="195">
        <f t="shared" si="191"/>
        <v>0</v>
      </c>
      <c r="V1493" s="195">
        <f t="shared" si="192"/>
        <v>0</v>
      </c>
      <c r="W1493" s="196" t="e">
        <f t="shared" si="193"/>
        <v>#DIV/0!</v>
      </c>
      <c r="X1493" s="197" t="e">
        <f t="shared" si="194"/>
        <v>#DIV/0!</v>
      </c>
    </row>
    <row r="1494" ht="11.4" hidden="1" customHeight="1" spans="1:24">
      <c r="A1494" s="184" t="s">
        <v>3172</v>
      </c>
      <c r="B1494" s="184" t="s">
        <v>73</v>
      </c>
      <c r="C1494" s="184" t="s">
        <v>841</v>
      </c>
      <c r="D1494" s="185" t="s">
        <v>704</v>
      </c>
      <c r="E1494" s="186" t="s">
        <v>842</v>
      </c>
      <c r="F1494" s="186" t="s">
        <v>843</v>
      </c>
      <c r="G1494" s="186" t="s">
        <v>844</v>
      </c>
      <c r="H1494" s="186" t="s">
        <v>844</v>
      </c>
      <c r="I1494" s="187" t="s">
        <v>858</v>
      </c>
      <c r="J1494" s="187" t="s">
        <v>859</v>
      </c>
      <c r="K1494" s="188"/>
      <c r="L1494" s="188"/>
      <c r="M1494" s="189" t="s">
        <v>847</v>
      </c>
      <c r="N1494" s="190">
        <v>20</v>
      </c>
      <c r="O1494" s="190">
        <f t="shared" si="187"/>
        <v>21.8</v>
      </c>
      <c r="P1494" s="191">
        <f t="shared" si="188"/>
        <v>0</v>
      </c>
      <c r="Q1494" s="192">
        <f t="shared" si="189"/>
        <v>0</v>
      </c>
      <c r="R1494" s="193"/>
      <c r="S1494" s="194"/>
      <c r="T1494" s="195">
        <f t="shared" si="190"/>
        <v>0</v>
      </c>
      <c r="U1494" s="195">
        <f t="shared" si="191"/>
        <v>0</v>
      </c>
      <c r="V1494" s="195">
        <f t="shared" si="192"/>
        <v>0</v>
      </c>
      <c r="W1494" s="196" t="e">
        <f t="shared" si="193"/>
        <v>#DIV/0!</v>
      </c>
      <c r="X1494" s="197" t="e">
        <f t="shared" si="194"/>
        <v>#DIV/0!</v>
      </c>
    </row>
    <row r="1495" ht="11.4" hidden="1" customHeight="1" spans="1:24">
      <c r="A1495" s="184" t="s">
        <v>3173</v>
      </c>
      <c r="B1495" s="184" t="s">
        <v>75</v>
      </c>
      <c r="C1495" s="184" t="s">
        <v>861</v>
      </c>
      <c r="D1495" s="185" t="s">
        <v>704</v>
      </c>
      <c r="E1495" s="186" t="s">
        <v>842</v>
      </c>
      <c r="F1495" s="186" t="s">
        <v>862</v>
      </c>
      <c r="G1495" s="186" t="s">
        <v>531</v>
      </c>
      <c r="H1495" s="186" t="s">
        <v>531</v>
      </c>
      <c r="I1495" s="187" t="s">
        <v>863</v>
      </c>
      <c r="J1495" s="187" t="s">
        <v>864</v>
      </c>
      <c r="K1495" s="188"/>
      <c r="L1495" s="188"/>
      <c r="M1495" s="189" t="s">
        <v>847</v>
      </c>
      <c r="N1495" s="190">
        <v>58.7</v>
      </c>
      <c r="O1495" s="190">
        <f t="shared" si="187"/>
        <v>63.98</v>
      </c>
      <c r="P1495" s="191">
        <f t="shared" si="188"/>
        <v>0</v>
      </c>
      <c r="Q1495" s="192">
        <f t="shared" si="189"/>
        <v>0</v>
      </c>
      <c r="R1495" s="193"/>
      <c r="S1495" s="194"/>
      <c r="T1495" s="195">
        <f t="shared" si="190"/>
        <v>0</v>
      </c>
      <c r="U1495" s="195">
        <f t="shared" si="191"/>
        <v>0</v>
      </c>
      <c r="V1495" s="195">
        <f t="shared" si="192"/>
        <v>0</v>
      </c>
      <c r="W1495" s="196" t="e">
        <f t="shared" si="193"/>
        <v>#DIV/0!</v>
      </c>
      <c r="X1495" s="197" t="e">
        <f t="shared" si="194"/>
        <v>#DIV/0!</v>
      </c>
    </row>
    <row r="1496" ht="11.4" hidden="1" customHeight="1" spans="1:24">
      <c r="A1496" s="184" t="s">
        <v>3174</v>
      </c>
      <c r="B1496" s="184" t="s">
        <v>81</v>
      </c>
      <c r="C1496" s="184" t="s">
        <v>867</v>
      </c>
      <c r="D1496" s="185" t="s">
        <v>704</v>
      </c>
      <c r="E1496" s="186" t="s">
        <v>868</v>
      </c>
      <c r="F1496" s="186" t="s">
        <v>869</v>
      </c>
      <c r="G1496" s="186" t="s">
        <v>870</v>
      </c>
      <c r="H1496" s="186" t="s">
        <v>871</v>
      </c>
      <c r="I1496" s="187" t="s">
        <v>872</v>
      </c>
      <c r="J1496" s="187" t="s">
        <v>873</v>
      </c>
      <c r="K1496" s="188"/>
      <c r="L1496" s="188"/>
      <c r="M1496" s="189" t="s">
        <v>793</v>
      </c>
      <c r="N1496" s="190">
        <v>15380</v>
      </c>
      <c r="O1496" s="190">
        <f t="shared" si="187"/>
        <v>16764.2</v>
      </c>
      <c r="P1496" s="191">
        <f t="shared" si="188"/>
        <v>0</v>
      </c>
      <c r="Q1496" s="192">
        <f t="shared" si="189"/>
        <v>0</v>
      </c>
      <c r="R1496" s="193"/>
      <c r="S1496" s="194"/>
      <c r="T1496" s="195">
        <f t="shared" si="190"/>
        <v>0</v>
      </c>
      <c r="U1496" s="195">
        <f t="shared" si="191"/>
        <v>0</v>
      </c>
      <c r="V1496" s="195">
        <f t="shared" si="192"/>
        <v>0</v>
      </c>
      <c r="W1496" s="196" t="e">
        <f t="shared" si="193"/>
        <v>#DIV/0!</v>
      </c>
      <c r="X1496" s="197" t="e">
        <f t="shared" si="194"/>
        <v>#DIV/0!</v>
      </c>
    </row>
    <row r="1497" ht="11.4" hidden="1" customHeight="1" spans="1:24">
      <c r="A1497" s="184" t="s">
        <v>3174</v>
      </c>
      <c r="B1497" s="184" t="s">
        <v>81</v>
      </c>
      <c r="C1497" s="184" t="s">
        <v>867</v>
      </c>
      <c r="D1497" s="185" t="s">
        <v>704</v>
      </c>
      <c r="E1497" s="186" t="s">
        <v>868</v>
      </c>
      <c r="F1497" s="186" t="s">
        <v>869</v>
      </c>
      <c r="G1497" s="186" t="s">
        <v>870</v>
      </c>
      <c r="H1497" s="186" t="s">
        <v>871</v>
      </c>
      <c r="I1497" s="187" t="s">
        <v>874</v>
      </c>
      <c r="J1497" s="187" t="s">
        <v>875</v>
      </c>
      <c r="K1497" s="188"/>
      <c r="L1497" s="188"/>
      <c r="M1497" s="189" t="s">
        <v>793</v>
      </c>
      <c r="N1497" s="190">
        <v>26126.13</v>
      </c>
      <c r="O1497" s="190">
        <f t="shared" si="187"/>
        <v>28477.48</v>
      </c>
      <c r="P1497" s="191">
        <f t="shared" si="188"/>
        <v>0</v>
      </c>
      <c r="Q1497" s="192">
        <f t="shared" si="189"/>
        <v>0</v>
      </c>
      <c r="R1497" s="193"/>
      <c r="S1497" s="194"/>
      <c r="T1497" s="195">
        <f t="shared" si="190"/>
        <v>0</v>
      </c>
      <c r="U1497" s="195">
        <f t="shared" si="191"/>
        <v>0</v>
      </c>
      <c r="V1497" s="195">
        <f t="shared" si="192"/>
        <v>0</v>
      </c>
      <c r="W1497" s="196" t="e">
        <f t="shared" si="193"/>
        <v>#DIV/0!</v>
      </c>
      <c r="X1497" s="197" t="e">
        <f t="shared" si="194"/>
        <v>#DIV/0!</v>
      </c>
    </row>
    <row r="1498" ht="11.4" hidden="1" customHeight="1" spans="1:24">
      <c r="A1498" s="184" t="s">
        <v>3174</v>
      </c>
      <c r="B1498" s="184" t="s">
        <v>81</v>
      </c>
      <c r="C1498" s="184" t="s">
        <v>867</v>
      </c>
      <c r="D1498" s="185" t="s">
        <v>704</v>
      </c>
      <c r="E1498" s="186" t="s">
        <v>868</v>
      </c>
      <c r="F1498" s="186" t="s">
        <v>869</v>
      </c>
      <c r="G1498" s="186" t="s">
        <v>870</v>
      </c>
      <c r="H1498" s="186" t="s">
        <v>871</v>
      </c>
      <c r="I1498" s="187" t="s">
        <v>876</v>
      </c>
      <c r="J1498" s="187" t="s">
        <v>877</v>
      </c>
      <c r="K1498" s="188"/>
      <c r="L1498" s="188"/>
      <c r="M1498" s="189" t="s">
        <v>793</v>
      </c>
      <c r="N1498" s="190">
        <v>18018.02</v>
      </c>
      <c r="O1498" s="190">
        <f t="shared" si="187"/>
        <v>19639.64</v>
      </c>
      <c r="P1498" s="191">
        <f t="shared" si="188"/>
        <v>0</v>
      </c>
      <c r="Q1498" s="192">
        <f t="shared" si="189"/>
        <v>0</v>
      </c>
      <c r="R1498" s="193"/>
      <c r="S1498" s="194"/>
      <c r="T1498" s="195">
        <f t="shared" si="190"/>
        <v>0</v>
      </c>
      <c r="U1498" s="195">
        <f t="shared" si="191"/>
        <v>0</v>
      </c>
      <c r="V1498" s="195">
        <f t="shared" si="192"/>
        <v>0</v>
      </c>
      <c r="W1498" s="196" t="e">
        <f t="shared" si="193"/>
        <v>#DIV/0!</v>
      </c>
      <c r="X1498" s="197" t="e">
        <f t="shared" si="194"/>
        <v>#DIV/0!</v>
      </c>
    </row>
    <row r="1499" ht="11.4" hidden="1" customHeight="1" spans="1:24">
      <c r="A1499" s="184" t="s">
        <v>3174</v>
      </c>
      <c r="B1499" s="184" t="s">
        <v>81</v>
      </c>
      <c r="C1499" s="184" t="s">
        <v>867</v>
      </c>
      <c r="D1499" s="185" t="s">
        <v>704</v>
      </c>
      <c r="E1499" s="186" t="s">
        <v>868</v>
      </c>
      <c r="F1499" s="186" t="s">
        <v>869</v>
      </c>
      <c r="G1499" s="186" t="s">
        <v>870</v>
      </c>
      <c r="H1499" s="186" t="s">
        <v>871</v>
      </c>
      <c r="I1499" s="187" t="s">
        <v>878</v>
      </c>
      <c r="J1499" s="187" t="s">
        <v>879</v>
      </c>
      <c r="K1499" s="188"/>
      <c r="L1499" s="188"/>
      <c r="M1499" s="189" t="s">
        <v>793</v>
      </c>
      <c r="N1499" s="190"/>
      <c r="O1499" s="190">
        <f t="shared" si="187"/>
        <v>0</v>
      </c>
      <c r="P1499" s="191">
        <f t="shared" si="188"/>
        <v>0</v>
      </c>
      <c r="Q1499" s="192">
        <f t="shared" si="189"/>
        <v>0</v>
      </c>
      <c r="R1499" s="193"/>
      <c r="S1499" s="194"/>
      <c r="T1499" s="195">
        <f t="shared" si="190"/>
        <v>0</v>
      </c>
      <c r="U1499" s="195">
        <f t="shared" si="191"/>
        <v>0</v>
      </c>
      <c r="V1499" s="195">
        <f t="shared" si="192"/>
        <v>0</v>
      </c>
      <c r="W1499" s="196" t="e">
        <f t="shared" si="193"/>
        <v>#DIV/0!</v>
      </c>
      <c r="X1499" s="197" t="e">
        <f t="shared" si="194"/>
        <v>#DIV/0!</v>
      </c>
    </row>
    <row r="1500" ht="11.4" hidden="1" customHeight="1" spans="1:24">
      <c r="A1500" s="184" t="s">
        <v>3174</v>
      </c>
      <c r="B1500" s="184" t="s">
        <v>81</v>
      </c>
      <c r="C1500" s="184" t="s">
        <v>867</v>
      </c>
      <c r="D1500" s="185" t="s">
        <v>704</v>
      </c>
      <c r="E1500" s="186" t="s">
        <v>868</v>
      </c>
      <c r="F1500" s="186" t="s">
        <v>869</v>
      </c>
      <c r="G1500" s="186" t="s">
        <v>870</v>
      </c>
      <c r="H1500" s="186" t="s">
        <v>880</v>
      </c>
      <c r="I1500" s="187" t="s">
        <v>881</v>
      </c>
      <c r="J1500" s="187" t="s">
        <v>882</v>
      </c>
      <c r="K1500" s="188"/>
      <c r="L1500" s="188"/>
      <c r="M1500" s="189" t="s">
        <v>847</v>
      </c>
      <c r="N1500" s="190">
        <v>88.25</v>
      </c>
      <c r="O1500" s="190">
        <f t="shared" si="187"/>
        <v>96.19</v>
      </c>
      <c r="P1500" s="191">
        <f t="shared" si="188"/>
        <v>0</v>
      </c>
      <c r="Q1500" s="192">
        <f t="shared" si="189"/>
        <v>0</v>
      </c>
      <c r="R1500" s="193"/>
      <c r="S1500" s="194"/>
      <c r="T1500" s="195">
        <f t="shared" si="190"/>
        <v>0</v>
      </c>
      <c r="U1500" s="195">
        <f t="shared" si="191"/>
        <v>0</v>
      </c>
      <c r="V1500" s="195">
        <f t="shared" si="192"/>
        <v>0</v>
      </c>
      <c r="W1500" s="196" t="e">
        <f t="shared" si="193"/>
        <v>#DIV/0!</v>
      </c>
      <c r="X1500" s="197" t="e">
        <f t="shared" si="194"/>
        <v>#DIV/0!</v>
      </c>
    </row>
    <row r="1501" ht="11.4" hidden="1" customHeight="1" spans="1:24">
      <c r="A1501" s="184" t="s">
        <v>3174</v>
      </c>
      <c r="B1501" s="184" t="s">
        <v>81</v>
      </c>
      <c r="C1501" s="184" t="s">
        <v>867</v>
      </c>
      <c r="D1501" s="185" t="s">
        <v>704</v>
      </c>
      <c r="E1501" s="186" t="s">
        <v>868</v>
      </c>
      <c r="F1501" s="186" t="s">
        <v>869</v>
      </c>
      <c r="G1501" s="186" t="s">
        <v>870</v>
      </c>
      <c r="H1501" s="186" t="s">
        <v>880</v>
      </c>
      <c r="I1501" s="187" t="s">
        <v>884</v>
      </c>
      <c r="J1501" s="187" t="s">
        <v>885</v>
      </c>
      <c r="K1501" s="188"/>
      <c r="L1501" s="188"/>
      <c r="M1501" s="189" t="s">
        <v>847</v>
      </c>
      <c r="N1501" s="190">
        <v>52.68</v>
      </c>
      <c r="O1501" s="190">
        <f t="shared" si="187"/>
        <v>57.42</v>
      </c>
      <c r="P1501" s="191">
        <f t="shared" si="188"/>
        <v>0</v>
      </c>
      <c r="Q1501" s="192">
        <f t="shared" si="189"/>
        <v>0</v>
      </c>
      <c r="R1501" s="193"/>
      <c r="S1501" s="194"/>
      <c r="T1501" s="195">
        <f t="shared" si="190"/>
        <v>0</v>
      </c>
      <c r="U1501" s="195">
        <f t="shared" si="191"/>
        <v>0</v>
      </c>
      <c r="V1501" s="195">
        <f t="shared" si="192"/>
        <v>0</v>
      </c>
      <c r="W1501" s="196" t="e">
        <f t="shared" si="193"/>
        <v>#DIV/0!</v>
      </c>
      <c r="X1501" s="197" t="e">
        <f t="shared" si="194"/>
        <v>#DIV/0!</v>
      </c>
    </row>
    <row r="1502" ht="11.4" hidden="1" customHeight="1" spans="1:24">
      <c r="A1502" s="184" t="s">
        <v>3174</v>
      </c>
      <c r="B1502" s="184" t="s">
        <v>81</v>
      </c>
      <c r="C1502" s="184" t="s">
        <v>867</v>
      </c>
      <c r="D1502" s="185" t="s">
        <v>704</v>
      </c>
      <c r="E1502" s="186" t="s">
        <v>868</v>
      </c>
      <c r="F1502" s="186" t="s">
        <v>869</v>
      </c>
      <c r="G1502" s="186" t="s">
        <v>870</v>
      </c>
      <c r="H1502" s="186" t="s">
        <v>886</v>
      </c>
      <c r="I1502" s="187" t="s">
        <v>887</v>
      </c>
      <c r="J1502" s="187" t="s">
        <v>888</v>
      </c>
      <c r="K1502" s="188"/>
      <c r="L1502" s="188"/>
      <c r="M1502" s="189" t="s">
        <v>847</v>
      </c>
      <c r="N1502" s="190">
        <v>60.46</v>
      </c>
      <c r="O1502" s="190">
        <f t="shared" si="187"/>
        <v>65.9</v>
      </c>
      <c r="P1502" s="191">
        <f t="shared" si="188"/>
        <v>0</v>
      </c>
      <c r="Q1502" s="192">
        <f t="shared" si="189"/>
        <v>0</v>
      </c>
      <c r="R1502" s="193"/>
      <c r="S1502" s="194"/>
      <c r="T1502" s="195">
        <f t="shared" si="190"/>
        <v>0</v>
      </c>
      <c r="U1502" s="195">
        <f t="shared" si="191"/>
        <v>0</v>
      </c>
      <c r="V1502" s="195">
        <f t="shared" si="192"/>
        <v>0</v>
      </c>
      <c r="W1502" s="196" t="e">
        <f t="shared" si="193"/>
        <v>#DIV/0!</v>
      </c>
      <c r="X1502" s="197" t="e">
        <f t="shared" si="194"/>
        <v>#DIV/0!</v>
      </c>
    </row>
    <row r="1503" ht="11.4" hidden="1" customHeight="1" spans="1:24">
      <c r="A1503" s="184" t="s">
        <v>3174</v>
      </c>
      <c r="B1503" s="184" t="s">
        <v>81</v>
      </c>
      <c r="C1503" s="184" t="s">
        <v>867</v>
      </c>
      <c r="D1503" s="185" t="s">
        <v>704</v>
      </c>
      <c r="E1503" s="186" t="s">
        <v>868</v>
      </c>
      <c r="F1503" s="186" t="s">
        <v>869</v>
      </c>
      <c r="G1503" s="186" t="s">
        <v>870</v>
      </c>
      <c r="H1503" s="186" t="s">
        <v>886</v>
      </c>
      <c r="I1503" s="187" t="s">
        <v>890</v>
      </c>
      <c r="J1503" s="187" t="s">
        <v>891</v>
      </c>
      <c r="K1503" s="188"/>
      <c r="L1503" s="188"/>
      <c r="M1503" s="189" t="s">
        <v>847</v>
      </c>
      <c r="N1503" s="190">
        <v>71.58</v>
      </c>
      <c r="O1503" s="190">
        <f t="shared" si="187"/>
        <v>78.02</v>
      </c>
      <c r="P1503" s="191">
        <f t="shared" si="188"/>
        <v>0</v>
      </c>
      <c r="Q1503" s="192">
        <f t="shared" si="189"/>
        <v>0</v>
      </c>
      <c r="R1503" s="193"/>
      <c r="S1503" s="194"/>
      <c r="T1503" s="195">
        <f t="shared" si="190"/>
        <v>0</v>
      </c>
      <c r="U1503" s="195">
        <f t="shared" si="191"/>
        <v>0</v>
      </c>
      <c r="V1503" s="195">
        <f t="shared" si="192"/>
        <v>0</v>
      </c>
      <c r="W1503" s="196" t="e">
        <f t="shared" si="193"/>
        <v>#DIV/0!</v>
      </c>
      <c r="X1503" s="197" t="e">
        <f t="shared" si="194"/>
        <v>#DIV/0!</v>
      </c>
    </row>
    <row r="1504" ht="11.4" hidden="1" customHeight="1" spans="1:24">
      <c r="A1504" s="184" t="s">
        <v>3174</v>
      </c>
      <c r="B1504" s="184" t="s">
        <v>81</v>
      </c>
      <c r="C1504" s="184" t="s">
        <v>867</v>
      </c>
      <c r="D1504" s="185" t="s">
        <v>704</v>
      </c>
      <c r="E1504" s="186" t="s">
        <v>868</v>
      </c>
      <c r="F1504" s="186" t="s">
        <v>869</v>
      </c>
      <c r="G1504" s="186" t="s">
        <v>870</v>
      </c>
      <c r="H1504" s="186" t="s">
        <v>886</v>
      </c>
      <c r="I1504" s="187" t="s">
        <v>893</v>
      </c>
      <c r="J1504" s="187" t="s">
        <v>894</v>
      </c>
      <c r="K1504" s="188"/>
      <c r="L1504" s="188"/>
      <c r="M1504" s="189" t="s">
        <v>895</v>
      </c>
      <c r="N1504" s="190">
        <v>11207.21</v>
      </c>
      <c r="O1504" s="190">
        <f t="shared" si="187"/>
        <v>12215.86</v>
      </c>
      <c r="P1504" s="191">
        <f t="shared" si="188"/>
        <v>0</v>
      </c>
      <c r="Q1504" s="192">
        <f t="shared" si="189"/>
        <v>0</v>
      </c>
      <c r="R1504" s="193"/>
      <c r="S1504" s="194"/>
      <c r="T1504" s="195">
        <f t="shared" si="190"/>
        <v>0</v>
      </c>
      <c r="U1504" s="195">
        <f t="shared" si="191"/>
        <v>0</v>
      </c>
      <c r="V1504" s="195">
        <f t="shared" si="192"/>
        <v>0</v>
      </c>
      <c r="W1504" s="196" t="e">
        <f t="shared" si="193"/>
        <v>#DIV/0!</v>
      </c>
      <c r="X1504" s="197" t="e">
        <f t="shared" si="194"/>
        <v>#DIV/0!</v>
      </c>
    </row>
    <row r="1505" ht="11.4" hidden="1" customHeight="1" spans="1:24">
      <c r="A1505" s="184" t="s">
        <v>3175</v>
      </c>
      <c r="B1505" s="184" t="s">
        <v>83</v>
      </c>
      <c r="C1505" s="184" t="s">
        <v>898</v>
      </c>
      <c r="D1505" s="185" t="s">
        <v>704</v>
      </c>
      <c r="E1505" s="186" t="s">
        <v>868</v>
      </c>
      <c r="F1505" s="186" t="s">
        <v>899</v>
      </c>
      <c r="G1505" s="186" t="s">
        <v>900</v>
      </c>
      <c r="H1505" s="186" t="s">
        <v>901</v>
      </c>
      <c r="I1505" s="187" t="s">
        <v>902</v>
      </c>
      <c r="J1505" s="187" t="s">
        <v>903</v>
      </c>
      <c r="K1505" s="188"/>
      <c r="L1505" s="188"/>
      <c r="M1505" s="189" t="s">
        <v>847</v>
      </c>
      <c r="N1505" s="190">
        <v>14</v>
      </c>
      <c r="O1505" s="190">
        <f t="shared" si="187"/>
        <v>15.26</v>
      </c>
      <c r="P1505" s="191">
        <f t="shared" si="188"/>
        <v>0</v>
      </c>
      <c r="Q1505" s="192">
        <f t="shared" si="189"/>
        <v>0</v>
      </c>
      <c r="R1505" s="193"/>
      <c r="S1505" s="194"/>
      <c r="T1505" s="195">
        <f t="shared" si="190"/>
        <v>0</v>
      </c>
      <c r="U1505" s="195">
        <f t="shared" si="191"/>
        <v>0</v>
      </c>
      <c r="V1505" s="195">
        <f t="shared" si="192"/>
        <v>0</v>
      </c>
      <c r="W1505" s="196" t="e">
        <f t="shared" si="193"/>
        <v>#DIV/0!</v>
      </c>
      <c r="X1505" s="197" t="e">
        <f t="shared" si="194"/>
        <v>#DIV/0!</v>
      </c>
    </row>
    <row r="1506" ht="11.4" hidden="1" customHeight="1" spans="1:24">
      <c r="A1506" s="184" t="s">
        <v>3176</v>
      </c>
      <c r="B1506" s="184" t="s">
        <v>153</v>
      </c>
      <c r="C1506" s="184" t="s">
        <v>905</v>
      </c>
      <c r="D1506" s="185" t="s">
        <v>704</v>
      </c>
      <c r="E1506" s="186" t="s">
        <v>906</v>
      </c>
      <c r="F1506" s="186" t="s">
        <v>907</v>
      </c>
      <c r="G1506" s="186" t="s">
        <v>908</v>
      </c>
      <c r="H1506" s="186" t="s">
        <v>909</v>
      </c>
      <c r="I1506" s="187" t="s">
        <v>910</v>
      </c>
      <c r="J1506" s="187" t="s">
        <v>911</v>
      </c>
      <c r="K1506" s="188"/>
      <c r="L1506" s="188"/>
      <c r="M1506" s="189" t="s">
        <v>895</v>
      </c>
      <c r="N1506" s="190">
        <v>8999.8</v>
      </c>
      <c r="O1506" s="190">
        <f t="shared" si="187"/>
        <v>9809.78</v>
      </c>
      <c r="P1506" s="191">
        <f t="shared" si="188"/>
        <v>0</v>
      </c>
      <c r="Q1506" s="192">
        <f t="shared" si="189"/>
        <v>0</v>
      </c>
      <c r="R1506" s="193"/>
      <c r="S1506" s="194"/>
      <c r="T1506" s="195">
        <f t="shared" si="190"/>
        <v>0</v>
      </c>
      <c r="U1506" s="195">
        <f t="shared" si="191"/>
        <v>0</v>
      </c>
      <c r="V1506" s="195">
        <f t="shared" si="192"/>
        <v>0</v>
      </c>
      <c r="W1506" s="196" t="e">
        <f t="shared" si="193"/>
        <v>#DIV/0!</v>
      </c>
      <c r="X1506" s="197" t="e">
        <f t="shared" si="194"/>
        <v>#DIV/0!</v>
      </c>
    </row>
    <row r="1507" ht="11.4" hidden="1" customHeight="1" spans="1:24">
      <c r="A1507" s="184" t="s">
        <v>3176</v>
      </c>
      <c r="B1507" s="184" t="s">
        <v>153</v>
      </c>
      <c r="C1507" s="184" t="s">
        <v>905</v>
      </c>
      <c r="D1507" s="185" t="s">
        <v>704</v>
      </c>
      <c r="E1507" s="186" t="s">
        <v>906</v>
      </c>
      <c r="F1507" s="186" t="s">
        <v>907</v>
      </c>
      <c r="G1507" s="186" t="s">
        <v>908</v>
      </c>
      <c r="H1507" s="186" t="s">
        <v>909</v>
      </c>
      <c r="I1507" s="187" t="s">
        <v>912</v>
      </c>
      <c r="J1507" s="187" t="s">
        <v>913</v>
      </c>
      <c r="K1507" s="188"/>
      <c r="L1507" s="188"/>
      <c r="M1507" s="189" t="s">
        <v>793</v>
      </c>
      <c r="N1507" s="190">
        <v>3313.15</v>
      </c>
      <c r="O1507" s="190">
        <f t="shared" si="187"/>
        <v>3611.33</v>
      </c>
      <c r="P1507" s="191">
        <f t="shared" si="188"/>
        <v>0</v>
      </c>
      <c r="Q1507" s="192">
        <f t="shared" si="189"/>
        <v>0</v>
      </c>
      <c r="R1507" s="193"/>
      <c r="S1507" s="194"/>
      <c r="T1507" s="195">
        <f t="shared" si="190"/>
        <v>0</v>
      </c>
      <c r="U1507" s="195">
        <f t="shared" si="191"/>
        <v>0</v>
      </c>
      <c r="V1507" s="195">
        <f t="shared" si="192"/>
        <v>0</v>
      </c>
      <c r="W1507" s="196" t="e">
        <f t="shared" si="193"/>
        <v>#DIV/0!</v>
      </c>
      <c r="X1507" s="197" t="e">
        <f t="shared" si="194"/>
        <v>#DIV/0!</v>
      </c>
    </row>
    <row r="1508" ht="11.4" hidden="1" customHeight="1" spans="1:24">
      <c r="A1508" s="184" t="s">
        <v>3176</v>
      </c>
      <c r="B1508" s="184" t="s">
        <v>153</v>
      </c>
      <c r="C1508" s="184" t="s">
        <v>905</v>
      </c>
      <c r="D1508" s="185" t="s">
        <v>704</v>
      </c>
      <c r="E1508" s="186" t="s">
        <v>906</v>
      </c>
      <c r="F1508" s="186" t="s">
        <v>907</v>
      </c>
      <c r="G1508" s="186" t="s">
        <v>908</v>
      </c>
      <c r="H1508" s="186" t="s">
        <v>909</v>
      </c>
      <c r="I1508" s="187" t="s">
        <v>914</v>
      </c>
      <c r="J1508" s="187" t="s">
        <v>915</v>
      </c>
      <c r="K1508" s="188"/>
      <c r="L1508" s="188"/>
      <c r="M1508" s="189" t="s">
        <v>847</v>
      </c>
      <c r="N1508" s="190">
        <v>114.79</v>
      </c>
      <c r="O1508" s="190">
        <f t="shared" si="187"/>
        <v>125.12</v>
      </c>
      <c r="P1508" s="191">
        <f t="shared" si="188"/>
        <v>0</v>
      </c>
      <c r="Q1508" s="192">
        <f t="shared" si="189"/>
        <v>0</v>
      </c>
      <c r="R1508" s="193"/>
      <c r="S1508" s="194"/>
      <c r="T1508" s="195">
        <f t="shared" si="190"/>
        <v>0</v>
      </c>
      <c r="U1508" s="195">
        <f t="shared" si="191"/>
        <v>0</v>
      </c>
      <c r="V1508" s="195">
        <f t="shared" si="192"/>
        <v>0</v>
      </c>
      <c r="W1508" s="196" t="e">
        <f t="shared" si="193"/>
        <v>#DIV/0!</v>
      </c>
      <c r="X1508" s="197" t="e">
        <f t="shared" si="194"/>
        <v>#DIV/0!</v>
      </c>
    </row>
    <row r="1509" ht="11.4" hidden="1" customHeight="1" spans="1:24">
      <c r="A1509" s="184" t="s">
        <v>3175</v>
      </c>
      <c r="B1509" s="184" t="s">
        <v>83</v>
      </c>
      <c r="C1509" s="184" t="s">
        <v>898</v>
      </c>
      <c r="D1509" s="185" t="s">
        <v>704</v>
      </c>
      <c r="E1509" s="186" t="s">
        <v>868</v>
      </c>
      <c r="F1509" s="186" t="s">
        <v>899</v>
      </c>
      <c r="G1509" s="186" t="s">
        <v>900</v>
      </c>
      <c r="H1509" s="186" t="s">
        <v>901</v>
      </c>
      <c r="I1509" s="187" t="s">
        <v>916</v>
      </c>
      <c r="J1509" s="187" t="s">
        <v>917</v>
      </c>
      <c r="K1509" s="188"/>
      <c r="L1509" s="188"/>
      <c r="M1509" s="189" t="s">
        <v>793</v>
      </c>
      <c r="N1509" s="190"/>
      <c r="O1509" s="190">
        <f t="shared" si="187"/>
        <v>0</v>
      </c>
      <c r="P1509" s="191">
        <f t="shared" si="188"/>
        <v>0</v>
      </c>
      <c r="Q1509" s="192">
        <f t="shared" si="189"/>
        <v>0</v>
      </c>
      <c r="R1509" s="193"/>
      <c r="S1509" s="194"/>
      <c r="T1509" s="195">
        <f t="shared" si="190"/>
        <v>0</v>
      </c>
      <c r="U1509" s="195">
        <f t="shared" si="191"/>
        <v>0</v>
      </c>
      <c r="V1509" s="195">
        <f t="shared" si="192"/>
        <v>0</v>
      </c>
      <c r="W1509" s="196" t="e">
        <f t="shared" si="193"/>
        <v>#DIV/0!</v>
      </c>
      <c r="X1509" s="197" t="e">
        <f t="shared" si="194"/>
        <v>#DIV/0!</v>
      </c>
    </row>
    <row r="1510" ht="11.4" hidden="1" customHeight="1" spans="1:24">
      <c r="A1510" s="184" t="s">
        <v>3175</v>
      </c>
      <c r="B1510" s="184" t="s">
        <v>83</v>
      </c>
      <c r="C1510" s="184" t="s">
        <v>898</v>
      </c>
      <c r="D1510" s="185" t="s">
        <v>704</v>
      </c>
      <c r="E1510" s="186" t="s">
        <v>868</v>
      </c>
      <c r="F1510" s="186" t="s">
        <v>899</v>
      </c>
      <c r="G1510" s="186" t="s">
        <v>900</v>
      </c>
      <c r="H1510" s="186" t="s">
        <v>900</v>
      </c>
      <c r="I1510" s="187" t="s">
        <v>918</v>
      </c>
      <c r="J1510" s="187" t="s">
        <v>900</v>
      </c>
      <c r="K1510" s="188"/>
      <c r="L1510" s="188"/>
      <c r="M1510" s="189" t="s">
        <v>793</v>
      </c>
      <c r="N1510" s="190"/>
      <c r="O1510" s="190">
        <f t="shared" si="187"/>
        <v>0</v>
      </c>
      <c r="P1510" s="191">
        <f t="shared" si="188"/>
        <v>0</v>
      </c>
      <c r="Q1510" s="192">
        <f t="shared" si="189"/>
        <v>0</v>
      </c>
      <c r="R1510" s="193"/>
      <c r="S1510" s="194"/>
      <c r="T1510" s="195">
        <f t="shared" si="190"/>
        <v>0</v>
      </c>
      <c r="U1510" s="195">
        <f t="shared" si="191"/>
        <v>0</v>
      </c>
      <c r="V1510" s="195">
        <f t="shared" si="192"/>
        <v>0</v>
      </c>
      <c r="W1510" s="196" t="e">
        <f t="shared" si="193"/>
        <v>#DIV/0!</v>
      </c>
      <c r="X1510" s="197" t="e">
        <f t="shared" si="194"/>
        <v>#DIV/0!</v>
      </c>
    </row>
    <row r="1511" ht="11.4" hidden="1" customHeight="1" spans="1:24">
      <c r="A1511" s="184" t="s">
        <v>3177</v>
      </c>
      <c r="B1511" s="184" t="s">
        <v>85</v>
      </c>
      <c r="C1511" s="184" t="s">
        <v>920</v>
      </c>
      <c r="D1511" s="185" t="s">
        <v>704</v>
      </c>
      <c r="E1511" s="186" t="s">
        <v>868</v>
      </c>
      <c r="F1511" s="186" t="s">
        <v>921</v>
      </c>
      <c r="G1511" s="186" t="s">
        <v>534</v>
      </c>
      <c r="H1511" s="186" t="s">
        <v>922</v>
      </c>
      <c r="I1511" s="187" t="s">
        <v>923</v>
      </c>
      <c r="J1511" s="187" t="s">
        <v>924</v>
      </c>
      <c r="K1511" s="188"/>
      <c r="L1511" s="188"/>
      <c r="M1511" s="189" t="s">
        <v>847</v>
      </c>
      <c r="N1511" s="190">
        <v>174.03</v>
      </c>
      <c r="O1511" s="190">
        <f t="shared" si="187"/>
        <v>189.69</v>
      </c>
      <c r="P1511" s="191">
        <f t="shared" si="188"/>
        <v>0</v>
      </c>
      <c r="Q1511" s="192">
        <f t="shared" si="189"/>
        <v>0</v>
      </c>
      <c r="R1511" s="193"/>
      <c r="S1511" s="194"/>
      <c r="T1511" s="195">
        <f t="shared" si="190"/>
        <v>0</v>
      </c>
      <c r="U1511" s="195">
        <f t="shared" si="191"/>
        <v>0</v>
      </c>
      <c r="V1511" s="195">
        <f t="shared" si="192"/>
        <v>0</v>
      </c>
      <c r="W1511" s="196" t="e">
        <f t="shared" si="193"/>
        <v>#DIV/0!</v>
      </c>
      <c r="X1511" s="197" t="e">
        <f t="shared" si="194"/>
        <v>#DIV/0!</v>
      </c>
    </row>
    <row r="1512" ht="11.4" hidden="1" customHeight="1" spans="1:24">
      <c r="A1512" s="184" t="s">
        <v>3177</v>
      </c>
      <c r="B1512" s="184" t="s">
        <v>85</v>
      </c>
      <c r="C1512" s="184" t="s">
        <v>920</v>
      </c>
      <c r="D1512" s="185" t="s">
        <v>704</v>
      </c>
      <c r="E1512" s="186" t="s">
        <v>868</v>
      </c>
      <c r="F1512" s="186" t="s">
        <v>921</v>
      </c>
      <c r="G1512" s="186" t="s">
        <v>534</v>
      </c>
      <c r="H1512" s="186" t="s">
        <v>922</v>
      </c>
      <c r="I1512" s="187" t="s">
        <v>926</v>
      </c>
      <c r="J1512" s="187" t="s">
        <v>927</v>
      </c>
      <c r="K1512" s="188"/>
      <c r="L1512" s="188"/>
      <c r="M1512" s="189" t="s">
        <v>847</v>
      </c>
      <c r="N1512" s="190">
        <v>159.51</v>
      </c>
      <c r="O1512" s="190">
        <f t="shared" si="187"/>
        <v>173.87</v>
      </c>
      <c r="P1512" s="191">
        <f t="shared" si="188"/>
        <v>0</v>
      </c>
      <c r="Q1512" s="192">
        <f t="shared" si="189"/>
        <v>0</v>
      </c>
      <c r="R1512" s="193"/>
      <c r="S1512" s="194"/>
      <c r="T1512" s="195">
        <f t="shared" si="190"/>
        <v>0</v>
      </c>
      <c r="U1512" s="195">
        <f t="shared" si="191"/>
        <v>0</v>
      </c>
      <c r="V1512" s="195">
        <f t="shared" si="192"/>
        <v>0</v>
      </c>
      <c r="W1512" s="196" t="e">
        <f t="shared" si="193"/>
        <v>#DIV/0!</v>
      </c>
      <c r="X1512" s="197" t="e">
        <f t="shared" si="194"/>
        <v>#DIV/0!</v>
      </c>
    </row>
    <row r="1513" ht="11.4" hidden="1" customHeight="1" spans="1:24">
      <c r="A1513" s="184" t="s">
        <v>3177</v>
      </c>
      <c r="B1513" s="184" t="s">
        <v>85</v>
      </c>
      <c r="C1513" s="184" t="s">
        <v>920</v>
      </c>
      <c r="D1513" s="185" t="s">
        <v>704</v>
      </c>
      <c r="E1513" s="186" t="s">
        <v>868</v>
      </c>
      <c r="F1513" s="186" t="s">
        <v>921</v>
      </c>
      <c r="G1513" s="186" t="s">
        <v>534</v>
      </c>
      <c r="H1513" s="186" t="s">
        <v>922</v>
      </c>
      <c r="I1513" s="187" t="s">
        <v>929</v>
      </c>
      <c r="J1513" s="187" t="s">
        <v>930</v>
      </c>
      <c r="K1513" s="188"/>
      <c r="L1513" s="188"/>
      <c r="M1513" s="189" t="s">
        <v>847</v>
      </c>
      <c r="N1513" s="190">
        <v>184.92</v>
      </c>
      <c r="O1513" s="190">
        <f t="shared" si="187"/>
        <v>201.56</v>
      </c>
      <c r="P1513" s="191">
        <f t="shared" si="188"/>
        <v>0</v>
      </c>
      <c r="Q1513" s="192">
        <f t="shared" si="189"/>
        <v>0</v>
      </c>
      <c r="R1513" s="193"/>
      <c r="S1513" s="194"/>
      <c r="T1513" s="195">
        <f t="shared" si="190"/>
        <v>0</v>
      </c>
      <c r="U1513" s="195">
        <f t="shared" si="191"/>
        <v>0</v>
      </c>
      <c r="V1513" s="195">
        <f t="shared" si="192"/>
        <v>0</v>
      </c>
      <c r="W1513" s="196" t="e">
        <f t="shared" si="193"/>
        <v>#DIV/0!</v>
      </c>
      <c r="X1513" s="197" t="e">
        <f t="shared" si="194"/>
        <v>#DIV/0!</v>
      </c>
    </row>
    <row r="1514" ht="11.4" hidden="1" customHeight="1" spans="1:24">
      <c r="A1514" s="184" t="s">
        <v>3177</v>
      </c>
      <c r="B1514" s="184" t="s">
        <v>85</v>
      </c>
      <c r="C1514" s="184" t="s">
        <v>920</v>
      </c>
      <c r="D1514" s="185" t="s">
        <v>704</v>
      </c>
      <c r="E1514" s="186" t="s">
        <v>868</v>
      </c>
      <c r="F1514" s="186" t="s">
        <v>921</v>
      </c>
      <c r="G1514" s="186" t="s">
        <v>534</v>
      </c>
      <c r="H1514" s="186" t="s">
        <v>922</v>
      </c>
      <c r="I1514" s="187" t="s">
        <v>931</v>
      </c>
      <c r="J1514" s="187" t="s">
        <v>932</v>
      </c>
      <c r="K1514" s="188"/>
      <c r="L1514" s="188"/>
      <c r="M1514" s="189" t="s">
        <v>847</v>
      </c>
      <c r="N1514" s="190">
        <v>288.05</v>
      </c>
      <c r="O1514" s="190">
        <f t="shared" si="187"/>
        <v>313.97</v>
      </c>
      <c r="P1514" s="191">
        <f t="shared" si="188"/>
        <v>0</v>
      </c>
      <c r="Q1514" s="192">
        <f t="shared" si="189"/>
        <v>0</v>
      </c>
      <c r="R1514" s="193"/>
      <c r="S1514" s="194"/>
      <c r="T1514" s="195">
        <f t="shared" si="190"/>
        <v>0</v>
      </c>
      <c r="U1514" s="195">
        <f t="shared" si="191"/>
        <v>0</v>
      </c>
      <c r="V1514" s="195">
        <f t="shared" si="192"/>
        <v>0</v>
      </c>
      <c r="W1514" s="196" t="e">
        <f t="shared" si="193"/>
        <v>#DIV/0!</v>
      </c>
      <c r="X1514" s="197" t="e">
        <f t="shared" si="194"/>
        <v>#DIV/0!</v>
      </c>
    </row>
    <row r="1515" ht="11.4" hidden="1" customHeight="1" spans="1:24">
      <c r="A1515" s="184" t="s">
        <v>3177</v>
      </c>
      <c r="B1515" s="184" t="s">
        <v>85</v>
      </c>
      <c r="C1515" s="184" t="s">
        <v>920</v>
      </c>
      <c r="D1515" s="185" t="s">
        <v>704</v>
      </c>
      <c r="E1515" s="186" t="s">
        <v>868</v>
      </c>
      <c r="F1515" s="186" t="s">
        <v>921</v>
      </c>
      <c r="G1515" s="186" t="s">
        <v>534</v>
      </c>
      <c r="H1515" s="186" t="s">
        <v>922</v>
      </c>
      <c r="I1515" s="187" t="s">
        <v>933</v>
      </c>
      <c r="J1515" s="187" t="s">
        <v>934</v>
      </c>
      <c r="K1515" s="188"/>
      <c r="L1515" s="188"/>
      <c r="M1515" s="189" t="s">
        <v>935</v>
      </c>
      <c r="N1515" s="190">
        <v>531.74</v>
      </c>
      <c r="O1515" s="190">
        <f t="shared" si="187"/>
        <v>579.6</v>
      </c>
      <c r="P1515" s="191">
        <f t="shared" si="188"/>
        <v>0</v>
      </c>
      <c r="Q1515" s="192">
        <f t="shared" si="189"/>
        <v>0</v>
      </c>
      <c r="R1515" s="193"/>
      <c r="S1515" s="194"/>
      <c r="T1515" s="195">
        <f t="shared" si="190"/>
        <v>0</v>
      </c>
      <c r="U1515" s="195">
        <f t="shared" si="191"/>
        <v>0</v>
      </c>
      <c r="V1515" s="195">
        <f t="shared" si="192"/>
        <v>0</v>
      </c>
      <c r="W1515" s="196" t="e">
        <f t="shared" si="193"/>
        <v>#DIV/0!</v>
      </c>
      <c r="X1515" s="197" t="e">
        <f t="shared" si="194"/>
        <v>#DIV/0!</v>
      </c>
    </row>
    <row r="1516" ht="11.4" hidden="1" customHeight="1" spans="1:24">
      <c r="A1516" s="184" t="s">
        <v>3177</v>
      </c>
      <c r="B1516" s="184" t="s">
        <v>85</v>
      </c>
      <c r="C1516" s="184" t="s">
        <v>920</v>
      </c>
      <c r="D1516" s="185" t="s">
        <v>704</v>
      </c>
      <c r="E1516" s="186" t="s">
        <v>868</v>
      </c>
      <c r="F1516" s="186" t="s">
        <v>921</v>
      </c>
      <c r="G1516" s="186" t="s">
        <v>534</v>
      </c>
      <c r="H1516" s="186" t="s">
        <v>922</v>
      </c>
      <c r="I1516" s="187" t="s">
        <v>937</v>
      </c>
      <c r="J1516" s="187" t="s">
        <v>938</v>
      </c>
      <c r="K1516" s="188"/>
      <c r="L1516" s="188"/>
      <c r="M1516" s="189" t="s">
        <v>807</v>
      </c>
      <c r="N1516" s="190">
        <v>47.51</v>
      </c>
      <c r="O1516" s="190">
        <f t="shared" si="187"/>
        <v>51.79</v>
      </c>
      <c r="P1516" s="191">
        <f t="shared" si="188"/>
        <v>0</v>
      </c>
      <c r="Q1516" s="192">
        <f t="shared" si="189"/>
        <v>0</v>
      </c>
      <c r="R1516" s="193"/>
      <c r="S1516" s="194"/>
      <c r="T1516" s="195">
        <f t="shared" si="190"/>
        <v>0</v>
      </c>
      <c r="U1516" s="195">
        <f t="shared" si="191"/>
        <v>0</v>
      </c>
      <c r="V1516" s="195">
        <f t="shared" si="192"/>
        <v>0</v>
      </c>
      <c r="W1516" s="196" t="e">
        <f t="shared" si="193"/>
        <v>#DIV/0!</v>
      </c>
      <c r="X1516" s="197" t="e">
        <f t="shared" si="194"/>
        <v>#DIV/0!</v>
      </c>
    </row>
    <row r="1517" ht="11.4" hidden="1" customHeight="1" spans="1:24">
      <c r="A1517" s="184" t="s">
        <v>3177</v>
      </c>
      <c r="B1517" s="184" t="s">
        <v>85</v>
      </c>
      <c r="C1517" s="184" t="s">
        <v>920</v>
      </c>
      <c r="D1517" s="185" t="s">
        <v>704</v>
      </c>
      <c r="E1517" s="186" t="s">
        <v>868</v>
      </c>
      <c r="F1517" s="186" t="s">
        <v>921</v>
      </c>
      <c r="G1517" s="186" t="s">
        <v>534</v>
      </c>
      <c r="H1517" s="186" t="s">
        <v>922</v>
      </c>
      <c r="I1517" s="187" t="s">
        <v>940</v>
      </c>
      <c r="J1517" s="187" t="s">
        <v>941</v>
      </c>
      <c r="K1517" s="188"/>
      <c r="L1517" s="188"/>
      <c r="M1517" s="189" t="s">
        <v>807</v>
      </c>
      <c r="N1517" s="190">
        <v>43.88</v>
      </c>
      <c r="O1517" s="190">
        <f t="shared" si="187"/>
        <v>47.83</v>
      </c>
      <c r="P1517" s="191">
        <f t="shared" si="188"/>
        <v>0</v>
      </c>
      <c r="Q1517" s="192">
        <f t="shared" si="189"/>
        <v>0</v>
      </c>
      <c r="R1517" s="193"/>
      <c r="S1517" s="194"/>
      <c r="T1517" s="195">
        <f t="shared" si="190"/>
        <v>0</v>
      </c>
      <c r="U1517" s="195">
        <f t="shared" si="191"/>
        <v>0</v>
      </c>
      <c r="V1517" s="195">
        <f t="shared" si="192"/>
        <v>0</v>
      </c>
      <c r="W1517" s="196" t="e">
        <f t="shared" si="193"/>
        <v>#DIV/0!</v>
      </c>
      <c r="X1517" s="197" t="e">
        <f t="shared" si="194"/>
        <v>#DIV/0!</v>
      </c>
    </row>
    <row r="1518" ht="11.4" hidden="1" customHeight="1" spans="1:24">
      <c r="A1518" s="184" t="s">
        <v>3177</v>
      </c>
      <c r="B1518" s="184" t="s">
        <v>85</v>
      </c>
      <c r="C1518" s="184" t="s">
        <v>920</v>
      </c>
      <c r="D1518" s="185" t="s">
        <v>704</v>
      </c>
      <c r="E1518" s="186" t="s">
        <v>868</v>
      </c>
      <c r="F1518" s="186" t="s">
        <v>921</v>
      </c>
      <c r="G1518" s="186" t="s">
        <v>534</v>
      </c>
      <c r="H1518" s="186" t="s">
        <v>922</v>
      </c>
      <c r="I1518" s="187" t="s">
        <v>942</v>
      </c>
      <c r="J1518" s="187" t="s">
        <v>943</v>
      </c>
      <c r="K1518" s="188"/>
      <c r="L1518" s="188"/>
      <c r="M1518" s="189" t="s">
        <v>807</v>
      </c>
      <c r="N1518" s="190">
        <v>43.88</v>
      </c>
      <c r="O1518" s="190">
        <f t="shared" si="187"/>
        <v>47.83</v>
      </c>
      <c r="P1518" s="191">
        <f t="shared" si="188"/>
        <v>0</v>
      </c>
      <c r="Q1518" s="192">
        <f t="shared" si="189"/>
        <v>0</v>
      </c>
      <c r="R1518" s="193"/>
      <c r="S1518" s="194"/>
      <c r="T1518" s="195">
        <f t="shared" si="190"/>
        <v>0</v>
      </c>
      <c r="U1518" s="195">
        <f t="shared" si="191"/>
        <v>0</v>
      </c>
      <c r="V1518" s="195">
        <f t="shared" si="192"/>
        <v>0</v>
      </c>
      <c r="W1518" s="196" t="e">
        <f t="shared" si="193"/>
        <v>#DIV/0!</v>
      </c>
      <c r="X1518" s="197" t="e">
        <f t="shared" si="194"/>
        <v>#DIV/0!</v>
      </c>
    </row>
    <row r="1519" ht="11.4" hidden="1" customHeight="1" spans="1:24">
      <c r="A1519" s="184" t="s">
        <v>3177</v>
      </c>
      <c r="B1519" s="184" t="s">
        <v>85</v>
      </c>
      <c r="C1519" s="184" t="s">
        <v>920</v>
      </c>
      <c r="D1519" s="185" t="s">
        <v>704</v>
      </c>
      <c r="E1519" s="186" t="s">
        <v>868</v>
      </c>
      <c r="F1519" s="186" t="s">
        <v>921</v>
      </c>
      <c r="G1519" s="186" t="s">
        <v>534</v>
      </c>
      <c r="H1519" s="186" t="s">
        <v>944</v>
      </c>
      <c r="I1519" s="187" t="s">
        <v>945</v>
      </c>
      <c r="J1519" s="187" t="s">
        <v>946</v>
      </c>
      <c r="K1519" s="188"/>
      <c r="L1519" s="188"/>
      <c r="M1519" s="189" t="s">
        <v>847</v>
      </c>
      <c r="N1519" s="190">
        <v>167.98</v>
      </c>
      <c r="O1519" s="190">
        <f t="shared" si="187"/>
        <v>183.1</v>
      </c>
      <c r="P1519" s="191">
        <f t="shared" si="188"/>
        <v>0</v>
      </c>
      <c r="Q1519" s="192">
        <f t="shared" si="189"/>
        <v>0</v>
      </c>
      <c r="R1519" s="193"/>
      <c r="S1519" s="194"/>
      <c r="T1519" s="195">
        <f t="shared" si="190"/>
        <v>0</v>
      </c>
      <c r="U1519" s="195">
        <f t="shared" si="191"/>
        <v>0</v>
      </c>
      <c r="V1519" s="195">
        <f t="shared" si="192"/>
        <v>0</v>
      </c>
      <c r="W1519" s="196" t="e">
        <f t="shared" si="193"/>
        <v>#DIV/0!</v>
      </c>
      <c r="X1519" s="197" t="e">
        <f t="shared" si="194"/>
        <v>#DIV/0!</v>
      </c>
    </row>
    <row r="1520" ht="11.4" hidden="1" customHeight="1" spans="1:24">
      <c r="A1520" s="184" t="s">
        <v>3177</v>
      </c>
      <c r="B1520" s="184" t="s">
        <v>85</v>
      </c>
      <c r="C1520" s="184" t="s">
        <v>920</v>
      </c>
      <c r="D1520" s="185" t="s">
        <v>704</v>
      </c>
      <c r="E1520" s="186" t="s">
        <v>868</v>
      </c>
      <c r="F1520" s="186" t="s">
        <v>921</v>
      </c>
      <c r="G1520" s="186" t="s">
        <v>534</v>
      </c>
      <c r="H1520" s="186" t="s">
        <v>944</v>
      </c>
      <c r="I1520" s="187" t="s">
        <v>947</v>
      </c>
      <c r="J1520" s="187" t="s">
        <v>948</v>
      </c>
      <c r="K1520" s="188"/>
      <c r="L1520" s="188"/>
      <c r="M1520" s="189" t="s">
        <v>847</v>
      </c>
      <c r="N1520" s="190">
        <v>147.41</v>
      </c>
      <c r="O1520" s="190">
        <f t="shared" si="187"/>
        <v>160.68</v>
      </c>
      <c r="P1520" s="191">
        <f t="shared" si="188"/>
        <v>0</v>
      </c>
      <c r="Q1520" s="192">
        <f t="shared" si="189"/>
        <v>0</v>
      </c>
      <c r="R1520" s="193"/>
      <c r="S1520" s="194"/>
      <c r="T1520" s="195">
        <f t="shared" si="190"/>
        <v>0</v>
      </c>
      <c r="U1520" s="195">
        <f t="shared" si="191"/>
        <v>0</v>
      </c>
      <c r="V1520" s="195">
        <f t="shared" si="192"/>
        <v>0</v>
      </c>
      <c r="W1520" s="196" t="e">
        <f t="shared" si="193"/>
        <v>#DIV/0!</v>
      </c>
      <c r="X1520" s="197" t="e">
        <f t="shared" si="194"/>
        <v>#DIV/0!</v>
      </c>
    </row>
    <row r="1521" ht="11.4" hidden="1" customHeight="1" spans="1:24">
      <c r="A1521" s="184" t="s">
        <v>3177</v>
      </c>
      <c r="B1521" s="184" t="s">
        <v>85</v>
      </c>
      <c r="C1521" s="184" t="s">
        <v>920</v>
      </c>
      <c r="D1521" s="185" t="s">
        <v>704</v>
      </c>
      <c r="E1521" s="186" t="s">
        <v>868</v>
      </c>
      <c r="F1521" s="186" t="s">
        <v>921</v>
      </c>
      <c r="G1521" s="186" t="s">
        <v>534</v>
      </c>
      <c r="H1521" s="186" t="s">
        <v>944</v>
      </c>
      <c r="I1521" s="187" t="s">
        <v>949</v>
      </c>
      <c r="J1521" s="187" t="s">
        <v>950</v>
      </c>
      <c r="K1521" s="188"/>
      <c r="L1521" s="188"/>
      <c r="M1521" s="189" t="s">
        <v>847</v>
      </c>
      <c r="N1521" s="190">
        <v>169.19</v>
      </c>
      <c r="O1521" s="190">
        <f t="shared" si="187"/>
        <v>184.42</v>
      </c>
      <c r="P1521" s="191">
        <f t="shared" si="188"/>
        <v>0</v>
      </c>
      <c r="Q1521" s="192">
        <f t="shared" si="189"/>
        <v>0</v>
      </c>
      <c r="R1521" s="193"/>
      <c r="S1521" s="194"/>
      <c r="T1521" s="195">
        <f t="shared" si="190"/>
        <v>0</v>
      </c>
      <c r="U1521" s="195">
        <f t="shared" si="191"/>
        <v>0</v>
      </c>
      <c r="V1521" s="195">
        <f t="shared" si="192"/>
        <v>0</v>
      </c>
      <c r="W1521" s="196" t="e">
        <f t="shared" si="193"/>
        <v>#DIV/0!</v>
      </c>
      <c r="X1521" s="197" t="e">
        <f t="shared" si="194"/>
        <v>#DIV/0!</v>
      </c>
    </row>
    <row r="1522" ht="11.4" hidden="1" customHeight="1" spans="1:24">
      <c r="A1522" s="184" t="s">
        <v>3177</v>
      </c>
      <c r="B1522" s="184" t="s">
        <v>85</v>
      </c>
      <c r="C1522" s="184" t="s">
        <v>920</v>
      </c>
      <c r="D1522" s="185" t="s">
        <v>704</v>
      </c>
      <c r="E1522" s="186" t="s">
        <v>868</v>
      </c>
      <c r="F1522" s="186" t="s">
        <v>921</v>
      </c>
      <c r="G1522" s="186" t="s">
        <v>534</v>
      </c>
      <c r="H1522" s="186" t="s">
        <v>944</v>
      </c>
      <c r="I1522" s="187" t="s">
        <v>951</v>
      </c>
      <c r="J1522" s="187" t="s">
        <v>952</v>
      </c>
      <c r="K1522" s="188"/>
      <c r="L1522" s="188"/>
      <c r="M1522" s="189" t="s">
        <v>847</v>
      </c>
      <c r="N1522" s="190">
        <v>376.58</v>
      </c>
      <c r="O1522" s="190">
        <f t="shared" si="187"/>
        <v>410.47</v>
      </c>
      <c r="P1522" s="191">
        <f t="shared" si="188"/>
        <v>0</v>
      </c>
      <c r="Q1522" s="192">
        <f t="shared" si="189"/>
        <v>0</v>
      </c>
      <c r="R1522" s="193"/>
      <c r="S1522" s="194"/>
      <c r="T1522" s="195">
        <f t="shared" si="190"/>
        <v>0</v>
      </c>
      <c r="U1522" s="195">
        <f t="shared" si="191"/>
        <v>0</v>
      </c>
      <c r="V1522" s="195">
        <f t="shared" si="192"/>
        <v>0</v>
      </c>
      <c r="W1522" s="196" t="e">
        <f t="shared" si="193"/>
        <v>#DIV/0!</v>
      </c>
      <c r="X1522" s="197" t="e">
        <f t="shared" si="194"/>
        <v>#DIV/0!</v>
      </c>
    </row>
    <row r="1523" ht="11.4" hidden="1" customHeight="1" spans="1:24">
      <c r="A1523" s="184" t="s">
        <v>3177</v>
      </c>
      <c r="B1523" s="184" t="s">
        <v>85</v>
      </c>
      <c r="C1523" s="184" t="s">
        <v>920</v>
      </c>
      <c r="D1523" s="185" t="s">
        <v>704</v>
      </c>
      <c r="E1523" s="186" t="s">
        <v>868</v>
      </c>
      <c r="F1523" s="186" t="s">
        <v>921</v>
      </c>
      <c r="G1523" s="186" t="s">
        <v>534</v>
      </c>
      <c r="H1523" s="186" t="s">
        <v>944</v>
      </c>
      <c r="I1523" s="187" t="s">
        <v>953</v>
      </c>
      <c r="J1523" s="187" t="s">
        <v>954</v>
      </c>
      <c r="K1523" s="188"/>
      <c r="L1523" s="188"/>
      <c r="M1523" s="189" t="s">
        <v>793</v>
      </c>
      <c r="N1523" s="190"/>
      <c r="O1523" s="190">
        <f t="shared" si="187"/>
        <v>0</v>
      </c>
      <c r="P1523" s="191">
        <f t="shared" si="188"/>
        <v>0</v>
      </c>
      <c r="Q1523" s="192">
        <f t="shared" si="189"/>
        <v>0</v>
      </c>
      <c r="R1523" s="193"/>
      <c r="S1523" s="194"/>
      <c r="T1523" s="195">
        <f t="shared" si="190"/>
        <v>0</v>
      </c>
      <c r="U1523" s="195">
        <f t="shared" si="191"/>
        <v>0</v>
      </c>
      <c r="V1523" s="195">
        <f t="shared" si="192"/>
        <v>0</v>
      </c>
      <c r="W1523" s="196" t="e">
        <f t="shared" si="193"/>
        <v>#DIV/0!</v>
      </c>
      <c r="X1523" s="197" t="e">
        <f t="shared" si="194"/>
        <v>#DIV/0!</v>
      </c>
    </row>
    <row r="1524" ht="11.4" hidden="1" customHeight="1" spans="1:24">
      <c r="A1524" s="184" t="s">
        <v>3177</v>
      </c>
      <c r="B1524" s="184" t="s">
        <v>85</v>
      </c>
      <c r="C1524" s="184" t="s">
        <v>920</v>
      </c>
      <c r="D1524" s="185" t="s">
        <v>704</v>
      </c>
      <c r="E1524" s="186" t="s">
        <v>868</v>
      </c>
      <c r="F1524" s="186" t="s">
        <v>921</v>
      </c>
      <c r="G1524" s="186" t="s">
        <v>534</v>
      </c>
      <c r="H1524" s="186" t="s">
        <v>944</v>
      </c>
      <c r="I1524" s="187" t="s">
        <v>955</v>
      </c>
      <c r="J1524" s="187" t="s">
        <v>956</v>
      </c>
      <c r="K1524" s="188"/>
      <c r="L1524" s="188"/>
      <c r="M1524" s="189" t="s">
        <v>793</v>
      </c>
      <c r="N1524" s="190"/>
      <c r="O1524" s="190">
        <f t="shared" si="187"/>
        <v>0</v>
      </c>
      <c r="P1524" s="191">
        <f t="shared" si="188"/>
        <v>0</v>
      </c>
      <c r="Q1524" s="192">
        <f t="shared" si="189"/>
        <v>0</v>
      </c>
      <c r="R1524" s="193"/>
      <c r="S1524" s="194"/>
      <c r="T1524" s="195">
        <f t="shared" si="190"/>
        <v>0</v>
      </c>
      <c r="U1524" s="195">
        <f t="shared" si="191"/>
        <v>0</v>
      </c>
      <c r="V1524" s="195">
        <f t="shared" si="192"/>
        <v>0</v>
      </c>
      <c r="W1524" s="196" t="e">
        <f t="shared" si="193"/>
        <v>#DIV/0!</v>
      </c>
      <c r="X1524" s="197" t="e">
        <f t="shared" si="194"/>
        <v>#DIV/0!</v>
      </c>
    </row>
    <row r="1525" ht="11.4" hidden="1" customHeight="1" spans="1:24">
      <c r="A1525" s="184" t="s">
        <v>3177</v>
      </c>
      <c r="B1525" s="184" t="s">
        <v>85</v>
      </c>
      <c r="C1525" s="184" t="s">
        <v>920</v>
      </c>
      <c r="D1525" s="185" t="s">
        <v>704</v>
      </c>
      <c r="E1525" s="186" t="s">
        <v>868</v>
      </c>
      <c r="F1525" s="186" t="s">
        <v>921</v>
      </c>
      <c r="G1525" s="186" t="s">
        <v>534</v>
      </c>
      <c r="H1525" s="186" t="s">
        <v>957</v>
      </c>
      <c r="I1525" s="187" t="s">
        <v>958</v>
      </c>
      <c r="J1525" s="187" t="s">
        <v>959</v>
      </c>
      <c r="K1525" s="188"/>
      <c r="L1525" s="188"/>
      <c r="M1525" s="189" t="s">
        <v>847</v>
      </c>
      <c r="N1525" s="190">
        <v>172.07</v>
      </c>
      <c r="O1525" s="190">
        <f t="shared" si="187"/>
        <v>187.56</v>
      </c>
      <c r="P1525" s="191">
        <f t="shared" si="188"/>
        <v>0</v>
      </c>
      <c r="Q1525" s="192">
        <f t="shared" si="189"/>
        <v>0</v>
      </c>
      <c r="R1525" s="193"/>
      <c r="S1525" s="194"/>
      <c r="T1525" s="195">
        <f t="shared" si="190"/>
        <v>0</v>
      </c>
      <c r="U1525" s="195">
        <f t="shared" si="191"/>
        <v>0</v>
      </c>
      <c r="V1525" s="195">
        <f t="shared" si="192"/>
        <v>0</v>
      </c>
      <c r="W1525" s="196" t="e">
        <f t="shared" si="193"/>
        <v>#DIV/0!</v>
      </c>
      <c r="X1525" s="197" t="e">
        <f t="shared" si="194"/>
        <v>#DIV/0!</v>
      </c>
    </row>
    <row r="1526" ht="11.4" hidden="1" customHeight="1" spans="1:24">
      <c r="A1526" s="184" t="s">
        <v>3177</v>
      </c>
      <c r="B1526" s="184" t="s">
        <v>85</v>
      </c>
      <c r="C1526" s="184" t="s">
        <v>920</v>
      </c>
      <c r="D1526" s="185" t="s">
        <v>704</v>
      </c>
      <c r="E1526" s="186" t="s">
        <v>868</v>
      </c>
      <c r="F1526" s="186" t="s">
        <v>921</v>
      </c>
      <c r="G1526" s="186" t="s">
        <v>534</v>
      </c>
      <c r="H1526" s="186" t="s">
        <v>960</v>
      </c>
      <c r="I1526" s="187" t="s">
        <v>961</v>
      </c>
      <c r="J1526" s="187" t="s">
        <v>962</v>
      </c>
      <c r="K1526" s="188"/>
      <c r="L1526" s="188"/>
      <c r="M1526" s="189" t="s">
        <v>963</v>
      </c>
      <c r="N1526" s="190">
        <v>1635.14</v>
      </c>
      <c r="O1526" s="190">
        <f t="shared" si="187"/>
        <v>1782.3</v>
      </c>
      <c r="P1526" s="191">
        <f t="shared" si="188"/>
        <v>0</v>
      </c>
      <c r="Q1526" s="192">
        <f t="shared" si="189"/>
        <v>0</v>
      </c>
      <c r="R1526" s="193"/>
      <c r="S1526" s="194"/>
      <c r="T1526" s="195">
        <f t="shared" si="190"/>
        <v>0</v>
      </c>
      <c r="U1526" s="195">
        <f t="shared" si="191"/>
        <v>0</v>
      </c>
      <c r="V1526" s="195">
        <f t="shared" si="192"/>
        <v>0</v>
      </c>
      <c r="W1526" s="196" t="e">
        <f t="shared" si="193"/>
        <v>#DIV/0!</v>
      </c>
      <c r="X1526" s="197" t="e">
        <f t="shared" si="194"/>
        <v>#DIV/0!</v>
      </c>
    </row>
    <row r="1527" ht="11.4" hidden="1" customHeight="1" spans="1:24">
      <c r="A1527" s="184" t="s">
        <v>3177</v>
      </c>
      <c r="B1527" s="184" t="s">
        <v>85</v>
      </c>
      <c r="C1527" s="184" t="s">
        <v>920</v>
      </c>
      <c r="D1527" s="185" t="s">
        <v>704</v>
      </c>
      <c r="E1527" s="186" t="s">
        <v>868</v>
      </c>
      <c r="F1527" s="186" t="s">
        <v>921</v>
      </c>
      <c r="G1527" s="186" t="s">
        <v>534</v>
      </c>
      <c r="H1527" s="186" t="s">
        <v>964</v>
      </c>
      <c r="I1527" s="187" t="s">
        <v>965</v>
      </c>
      <c r="J1527" s="187" t="s">
        <v>966</v>
      </c>
      <c r="K1527" s="188"/>
      <c r="L1527" s="188"/>
      <c r="M1527" s="189" t="s">
        <v>793</v>
      </c>
      <c r="N1527" s="190">
        <v>1355</v>
      </c>
      <c r="O1527" s="190">
        <f t="shared" si="187"/>
        <v>1476.95</v>
      </c>
      <c r="P1527" s="191">
        <f t="shared" si="188"/>
        <v>0</v>
      </c>
      <c r="Q1527" s="192">
        <f t="shared" si="189"/>
        <v>0</v>
      </c>
      <c r="R1527" s="193"/>
      <c r="S1527" s="194"/>
      <c r="T1527" s="195">
        <f t="shared" si="190"/>
        <v>0</v>
      </c>
      <c r="U1527" s="195">
        <f t="shared" si="191"/>
        <v>0</v>
      </c>
      <c r="V1527" s="195">
        <f t="shared" si="192"/>
        <v>0</v>
      </c>
      <c r="W1527" s="196" t="e">
        <f t="shared" si="193"/>
        <v>#DIV/0!</v>
      </c>
      <c r="X1527" s="197" t="e">
        <f t="shared" si="194"/>
        <v>#DIV/0!</v>
      </c>
    </row>
    <row r="1528" ht="11.4" hidden="1" customHeight="1" spans="1:24">
      <c r="A1528" s="184" t="s">
        <v>3178</v>
      </c>
      <c r="B1528" s="184" t="s">
        <v>88</v>
      </c>
      <c r="C1528" s="184" t="s">
        <v>87</v>
      </c>
      <c r="D1528" s="185" t="s">
        <v>704</v>
      </c>
      <c r="E1528" s="186" t="s">
        <v>868</v>
      </c>
      <c r="F1528" s="186" t="s">
        <v>968</v>
      </c>
      <c r="G1528" s="186" t="s">
        <v>969</v>
      </c>
      <c r="H1528" s="186" t="s">
        <v>970</v>
      </c>
      <c r="I1528" s="187" t="s">
        <v>971</v>
      </c>
      <c r="J1528" s="187" t="s">
        <v>972</v>
      </c>
      <c r="K1528" s="188"/>
      <c r="L1528" s="188"/>
      <c r="M1528" s="189" t="s">
        <v>793</v>
      </c>
      <c r="N1528" s="190"/>
      <c r="O1528" s="190">
        <f t="shared" si="187"/>
        <v>0</v>
      </c>
      <c r="P1528" s="191">
        <f t="shared" si="188"/>
        <v>0</v>
      </c>
      <c r="Q1528" s="192">
        <f t="shared" si="189"/>
        <v>0</v>
      </c>
      <c r="R1528" s="193"/>
      <c r="S1528" s="194"/>
      <c r="T1528" s="195">
        <f t="shared" si="190"/>
        <v>0</v>
      </c>
      <c r="U1528" s="195">
        <f t="shared" si="191"/>
        <v>0</v>
      </c>
      <c r="V1528" s="195">
        <f t="shared" si="192"/>
        <v>0</v>
      </c>
      <c r="W1528" s="196" t="e">
        <f t="shared" si="193"/>
        <v>#DIV/0!</v>
      </c>
      <c r="X1528" s="197" t="e">
        <f t="shared" si="194"/>
        <v>#DIV/0!</v>
      </c>
    </row>
    <row r="1529" ht="11.4" hidden="1" customHeight="1" spans="1:24">
      <c r="A1529" s="184" t="s">
        <v>3178</v>
      </c>
      <c r="B1529" s="184" t="s">
        <v>88</v>
      </c>
      <c r="C1529" s="184" t="s">
        <v>87</v>
      </c>
      <c r="D1529" s="185" t="s">
        <v>704</v>
      </c>
      <c r="E1529" s="186" t="s">
        <v>868</v>
      </c>
      <c r="F1529" s="186" t="s">
        <v>968</v>
      </c>
      <c r="G1529" s="186" t="s">
        <v>969</v>
      </c>
      <c r="H1529" s="186" t="s">
        <v>973</v>
      </c>
      <c r="I1529" s="187" t="s">
        <v>974</v>
      </c>
      <c r="J1529" s="187" t="s">
        <v>975</v>
      </c>
      <c r="K1529" s="188"/>
      <c r="L1529" s="188"/>
      <c r="M1529" s="189" t="s">
        <v>793</v>
      </c>
      <c r="N1529" s="190"/>
      <c r="O1529" s="190">
        <f t="shared" si="187"/>
        <v>0</v>
      </c>
      <c r="P1529" s="191">
        <f t="shared" si="188"/>
        <v>0</v>
      </c>
      <c r="Q1529" s="192">
        <f t="shared" si="189"/>
        <v>0</v>
      </c>
      <c r="R1529" s="193"/>
      <c r="S1529" s="194"/>
      <c r="T1529" s="195">
        <f t="shared" si="190"/>
        <v>0</v>
      </c>
      <c r="U1529" s="195">
        <f t="shared" si="191"/>
        <v>0</v>
      </c>
      <c r="V1529" s="195">
        <f t="shared" si="192"/>
        <v>0</v>
      </c>
      <c r="W1529" s="196" t="e">
        <f t="shared" si="193"/>
        <v>#DIV/0!</v>
      </c>
      <c r="X1529" s="197" t="e">
        <f t="shared" si="194"/>
        <v>#DIV/0!</v>
      </c>
    </row>
    <row r="1530" ht="11.4" hidden="1" customHeight="1" spans="1:24">
      <c r="A1530" s="184" t="s">
        <v>3178</v>
      </c>
      <c r="B1530" s="184" t="s">
        <v>88</v>
      </c>
      <c r="C1530" s="184" t="s">
        <v>87</v>
      </c>
      <c r="D1530" s="185" t="s">
        <v>704</v>
      </c>
      <c r="E1530" s="186" t="s">
        <v>868</v>
      </c>
      <c r="F1530" s="186" t="s">
        <v>968</v>
      </c>
      <c r="G1530" s="186" t="s">
        <v>969</v>
      </c>
      <c r="H1530" s="186" t="s">
        <v>976</v>
      </c>
      <c r="I1530" s="187" t="s">
        <v>977</v>
      </c>
      <c r="J1530" s="187" t="s">
        <v>978</v>
      </c>
      <c r="K1530" s="188"/>
      <c r="L1530" s="188"/>
      <c r="M1530" s="189" t="s">
        <v>807</v>
      </c>
      <c r="N1530" s="190">
        <v>101.02</v>
      </c>
      <c r="O1530" s="190">
        <f t="shared" si="187"/>
        <v>110.11</v>
      </c>
      <c r="P1530" s="191">
        <f t="shared" si="188"/>
        <v>0</v>
      </c>
      <c r="Q1530" s="192">
        <f t="shared" si="189"/>
        <v>0</v>
      </c>
      <c r="R1530" s="193"/>
      <c r="S1530" s="194"/>
      <c r="T1530" s="195">
        <f t="shared" si="190"/>
        <v>0</v>
      </c>
      <c r="U1530" s="195">
        <f t="shared" si="191"/>
        <v>0</v>
      </c>
      <c r="V1530" s="195">
        <f t="shared" si="192"/>
        <v>0</v>
      </c>
      <c r="W1530" s="196" t="e">
        <f t="shared" si="193"/>
        <v>#DIV/0!</v>
      </c>
      <c r="X1530" s="197" t="e">
        <f t="shared" si="194"/>
        <v>#DIV/0!</v>
      </c>
    </row>
    <row r="1531" ht="11.4" hidden="1" customHeight="1" spans="1:24">
      <c r="A1531" s="184" t="s">
        <v>3178</v>
      </c>
      <c r="B1531" s="184" t="s">
        <v>88</v>
      </c>
      <c r="C1531" s="184" t="s">
        <v>87</v>
      </c>
      <c r="D1531" s="185" t="s">
        <v>704</v>
      </c>
      <c r="E1531" s="186" t="s">
        <v>868</v>
      </c>
      <c r="F1531" s="186" t="s">
        <v>968</v>
      </c>
      <c r="G1531" s="186" t="s">
        <v>969</v>
      </c>
      <c r="H1531" s="186" t="s">
        <v>976</v>
      </c>
      <c r="I1531" s="187" t="s">
        <v>979</v>
      </c>
      <c r="J1531" s="187" t="s">
        <v>980</v>
      </c>
      <c r="K1531" s="188"/>
      <c r="L1531" s="188"/>
      <c r="M1531" s="189" t="s">
        <v>847</v>
      </c>
      <c r="N1531" s="190">
        <v>108.25</v>
      </c>
      <c r="O1531" s="190">
        <f t="shared" si="187"/>
        <v>117.99</v>
      </c>
      <c r="P1531" s="191">
        <f t="shared" si="188"/>
        <v>0</v>
      </c>
      <c r="Q1531" s="192">
        <f t="shared" si="189"/>
        <v>0</v>
      </c>
      <c r="R1531" s="193"/>
      <c r="S1531" s="194"/>
      <c r="T1531" s="195">
        <f t="shared" si="190"/>
        <v>0</v>
      </c>
      <c r="U1531" s="195">
        <f t="shared" si="191"/>
        <v>0</v>
      </c>
      <c r="V1531" s="195">
        <f t="shared" si="192"/>
        <v>0</v>
      </c>
      <c r="W1531" s="196" t="e">
        <f t="shared" si="193"/>
        <v>#DIV/0!</v>
      </c>
      <c r="X1531" s="197" t="e">
        <f t="shared" si="194"/>
        <v>#DIV/0!</v>
      </c>
    </row>
    <row r="1532" ht="11.4" hidden="1" customHeight="1" spans="1:24">
      <c r="A1532" s="184" t="s">
        <v>3178</v>
      </c>
      <c r="B1532" s="184" t="s">
        <v>88</v>
      </c>
      <c r="C1532" s="184" t="s">
        <v>87</v>
      </c>
      <c r="D1532" s="185" t="s">
        <v>704</v>
      </c>
      <c r="E1532" s="186" t="s">
        <v>868</v>
      </c>
      <c r="F1532" s="186" t="s">
        <v>968</v>
      </c>
      <c r="G1532" s="186" t="s">
        <v>969</v>
      </c>
      <c r="H1532" s="186" t="s">
        <v>976</v>
      </c>
      <c r="I1532" s="187" t="s">
        <v>981</v>
      </c>
      <c r="J1532" s="187" t="s">
        <v>982</v>
      </c>
      <c r="K1532" s="188"/>
      <c r="L1532" s="188"/>
      <c r="M1532" s="189" t="s">
        <v>847</v>
      </c>
      <c r="N1532" s="190">
        <v>119.55</v>
      </c>
      <c r="O1532" s="190">
        <f t="shared" si="187"/>
        <v>130.31</v>
      </c>
      <c r="P1532" s="191">
        <f t="shared" si="188"/>
        <v>0</v>
      </c>
      <c r="Q1532" s="192">
        <f t="shared" si="189"/>
        <v>0</v>
      </c>
      <c r="R1532" s="193"/>
      <c r="S1532" s="194"/>
      <c r="T1532" s="195">
        <f t="shared" si="190"/>
        <v>0</v>
      </c>
      <c r="U1532" s="195">
        <f t="shared" si="191"/>
        <v>0</v>
      </c>
      <c r="V1532" s="195">
        <f t="shared" si="192"/>
        <v>0</v>
      </c>
      <c r="W1532" s="196" t="e">
        <f t="shared" si="193"/>
        <v>#DIV/0!</v>
      </c>
      <c r="X1532" s="197" t="e">
        <f t="shared" si="194"/>
        <v>#DIV/0!</v>
      </c>
    </row>
    <row r="1533" ht="11.4" hidden="1" customHeight="1" spans="1:24">
      <c r="A1533" s="184" t="s">
        <v>3178</v>
      </c>
      <c r="B1533" s="184" t="s">
        <v>88</v>
      </c>
      <c r="C1533" s="184" t="s">
        <v>87</v>
      </c>
      <c r="D1533" s="185" t="s">
        <v>704</v>
      </c>
      <c r="E1533" s="186" t="s">
        <v>868</v>
      </c>
      <c r="F1533" s="186" t="s">
        <v>968</v>
      </c>
      <c r="G1533" s="186" t="s">
        <v>969</v>
      </c>
      <c r="H1533" s="186" t="s">
        <v>976</v>
      </c>
      <c r="I1533" s="187" t="s">
        <v>983</v>
      </c>
      <c r="J1533" s="187" t="s">
        <v>984</v>
      </c>
      <c r="K1533" s="188"/>
      <c r="L1533" s="188"/>
      <c r="M1533" s="189" t="s">
        <v>847</v>
      </c>
      <c r="N1533" s="190">
        <v>140.3</v>
      </c>
      <c r="O1533" s="190">
        <f t="shared" si="187"/>
        <v>152.93</v>
      </c>
      <c r="P1533" s="191">
        <f t="shared" si="188"/>
        <v>0</v>
      </c>
      <c r="Q1533" s="192">
        <f t="shared" si="189"/>
        <v>0</v>
      </c>
      <c r="R1533" s="193"/>
      <c r="S1533" s="194"/>
      <c r="T1533" s="195">
        <f t="shared" si="190"/>
        <v>0</v>
      </c>
      <c r="U1533" s="195">
        <f t="shared" si="191"/>
        <v>0</v>
      </c>
      <c r="V1533" s="195">
        <f t="shared" si="192"/>
        <v>0</v>
      </c>
      <c r="W1533" s="196" t="e">
        <f t="shared" si="193"/>
        <v>#DIV/0!</v>
      </c>
      <c r="X1533" s="197" t="e">
        <f t="shared" si="194"/>
        <v>#DIV/0!</v>
      </c>
    </row>
    <row r="1534" ht="11.4" hidden="1" customHeight="1" spans="1:24">
      <c r="A1534" s="184" t="s">
        <v>3178</v>
      </c>
      <c r="B1534" s="184" t="s">
        <v>88</v>
      </c>
      <c r="C1534" s="184" t="s">
        <v>87</v>
      </c>
      <c r="D1534" s="185" t="s">
        <v>704</v>
      </c>
      <c r="E1534" s="186" t="s">
        <v>868</v>
      </c>
      <c r="F1534" s="186" t="s">
        <v>968</v>
      </c>
      <c r="G1534" s="186" t="s">
        <v>969</v>
      </c>
      <c r="H1534" s="186" t="s">
        <v>976</v>
      </c>
      <c r="I1534" s="187" t="s">
        <v>985</v>
      </c>
      <c r="J1534" s="187" t="s">
        <v>986</v>
      </c>
      <c r="K1534" s="188"/>
      <c r="L1534" s="188"/>
      <c r="M1534" s="189" t="s">
        <v>847</v>
      </c>
      <c r="N1534" s="190">
        <v>28.27</v>
      </c>
      <c r="O1534" s="190">
        <f t="shared" si="187"/>
        <v>30.81</v>
      </c>
      <c r="P1534" s="191">
        <f t="shared" si="188"/>
        <v>0</v>
      </c>
      <c r="Q1534" s="192">
        <f t="shared" si="189"/>
        <v>0</v>
      </c>
      <c r="R1534" s="193"/>
      <c r="S1534" s="194"/>
      <c r="T1534" s="195">
        <f t="shared" si="190"/>
        <v>0</v>
      </c>
      <c r="U1534" s="195">
        <f t="shared" si="191"/>
        <v>0</v>
      </c>
      <c r="V1534" s="195">
        <f t="shared" si="192"/>
        <v>0</v>
      </c>
      <c r="W1534" s="196" t="e">
        <f t="shared" si="193"/>
        <v>#DIV/0!</v>
      </c>
      <c r="X1534" s="197" t="e">
        <f t="shared" si="194"/>
        <v>#DIV/0!</v>
      </c>
    </row>
    <row r="1535" ht="11.4" hidden="1" customHeight="1" spans="1:24">
      <c r="A1535" s="184" t="s">
        <v>3178</v>
      </c>
      <c r="B1535" s="184" t="s">
        <v>88</v>
      </c>
      <c r="C1535" s="184" t="s">
        <v>87</v>
      </c>
      <c r="D1535" s="185" t="s">
        <v>704</v>
      </c>
      <c r="E1535" s="186" t="s">
        <v>868</v>
      </c>
      <c r="F1535" s="186" t="s">
        <v>968</v>
      </c>
      <c r="G1535" s="186" t="s">
        <v>969</v>
      </c>
      <c r="H1535" s="186" t="s">
        <v>976</v>
      </c>
      <c r="I1535" s="187" t="s">
        <v>987</v>
      </c>
      <c r="J1535" s="187" t="s">
        <v>988</v>
      </c>
      <c r="K1535" s="188"/>
      <c r="L1535" s="188"/>
      <c r="M1535" s="189" t="s">
        <v>989</v>
      </c>
      <c r="N1535" s="190">
        <v>106.03</v>
      </c>
      <c r="O1535" s="190">
        <f t="shared" si="187"/>
        <v>115.57</v>
      </c>
      <c r="P1535" s="191">
        <f t="shared" si="188"/>
        <v>0</v>
      </c>
      <c r="Q1535" s="192">
        <f t="shared" si="189"/>
        <v>0</v>
      </c>
      <c r="R1535" s="193"/>
      <c r="S1535" s="194"/>
      <c r="T1535" s="195">
        <f t="shared" si="190"/>
        <v>0</v>
      </c>
      <c r="U1535" s="195">
        <f t="shared" si="191"/>
        <v>0</v>
      </c>
      <c r="V1535" s="195">
        <f t="shared" si="192"/>
        <v>0</v>
      </c>
      <c r="W1535" s="196" t="e">
        <f t="shared" si="193"/>
        <v>#DIV/0!</v>
      </c>
      <c r="X1535" s="197" t="e">
        <f t="shared" si="194"/>
        <v>#DIV/0!</v>
      </c>
    </row>
    <row r="1536" ht="11.4" hidden="1" customHeight="1" spans="1:24">
      <c r="A1536" s="184" t="s">
        <v>3178</v>
      </c>
      <c r="B1536" s="184" t="s">
        <v>88</v>
      </c>
      <c r="C1536" s="184" t="s">
        <v>87</v>
      </c>
      <c r="D1536" s="185" t="s">
        <v>704</v>
      </c>
      <c r="E1536" s="186" t="s">
        <v>868</v>
      </c>
      <c r="F1536" s="186" t="s">
        <v>968</v>
      </c>
      <c r="G1536" s="186" t="s">
        <v>969</v>
      </c>
      <c r="H1536" s="186" t="s">
        <v>976</v>
      </c>
      <c r="I1536" s="187" t="s">
        <v>991</v>
      </c>
      <c r="J1536" s="187" t="s">
        <v>992</v>
      </c>
      <c r="K1536" s="188"/>
      <c r="L1536" s="188"/>
      <c r="M1536" s="189" t="s">
        <v>793</v>
      </c>
      <c r="N1536" s="190">
        <v>15300</v>
      </c>
      <c r="O1536" s="190">
        <f t="shared" si="187"/>
        <v>16677</v>
      </c>
      <c r="P1536" s="191">
        <f t="shared" si="188"/>
        <v>0</v>
      </c>
      <c r="Q1536" s="192">
        <f t="shared" si="189"/>
        <v>0</v>
      </c>
      <c r="R1536" s="193"/>
      <c r="S1536" s="194"/>
      <c r="T1536" s="195">
        <f t="shared" si="190"/>
        <v>0</v>
      </c>
      <c r="U1536" s="195">
        <f t="shared" si="191"/>
        <v>0</v>
      </c>
      <c r="V1536" s="195">
        <f t="shared" si="192"/>
        <v>0</v>
      </c>
      <c r="W1536" s="196" t="e">
        <f t="shared" si="193"/>
        <v>#DIV/0!</v>
      </c>
      <c r="X1536" s="197" t="e">
        <f t="shared" si="194"/>
        <v>#DIV/0!</v>
      </c>
    </row>
    <row r="1537" ht="11.4" hidden="1" customHeight="1" spans="1:24">
      <c r="A1537" s="184" t="s">
        <v>3178</v>
      </c>
      <c r="B1537" s="184" t="s">
        <v>88</v>
      </c>
      <c r="C1537" s="184" t="s">
        <v>87</v>
      </c>
      <c r="D1537" s="185" t="s">
        <v>704</v>
      </c>
      <c r="E1537" s="186" t="s">
        <v>868</v>
      </c>
      <c r="F1537" s="186" t="s">
        <v>968</v>
      </c>
      <c r="G1537" s="186" t="s">
        <v>969</v>
      </c>
      <c r="H1537" s="186" t="s">
        <v>976</v>
      </c>
      <c r="I1537" s="187" t="s">
        <v>993</v>
      </c>
      <c r="J1537" s="187" t="s">
        <v>994</v>
      </c>
      <c r="K1537" s="188"/>
      <c r="L1537" s="188"/>
      <c r="M1537" s="189" t="s">
        <v>989</v>
      </c>
      <c r="N1537" s="190">
        <v>60.99</v>
      </c>
      <c r="O1537" s="190">
        <f t="shared" si="187"/>
        <v>66.48</v>
      </c>
      <c r="P1537" s="191">
        <f t="shared" si="188"/>
        <v>0</v>
      </c>
      <c r="Q1537" s="192">
        <f t="shared" si="189"/>
        <v>0</v>
      </c>
      <c r="R1537" s="193"/>
      <c r="S1537" s="194"/>
      <c r="T1537" s="195">
        <f t="shared" si="190"/>
        <v>0</v>
      </c>
      <c r="U1537" s="195">
        <f t="shared" si="191"/>
        <v>0</v>
      </c>
      <c r="V1537" s="195">
        <f t="shared" si="192"/>
        <v>0</v>
      </c>
      <c r="W1537" s="196" t="e">
        <f t="shared" si="193"/>
        <v>#DIV/0!</v>
      </c>
      <c r="X1537" s="197" t="e">
        <f t="shared" si="194"/>
        <v>#DIV/0!</v>
      </c>
    </row>
    <row r="1538" ht="11.4" hidden="1" customHeight="1" spans="1:24">
      <c r="A1538" s="184" t="s">
        <v>3178</v>
      </c>
      <c r="B1538" s="184" t="s">
        <v>88</v>
      </c>
      <c r="C1538" s="184" t="s">
        <v>87</v>
      </c>
      <c r="D1538" s="185" t="s">
        <v>704</v>
      </c>
      <c r="E1538" s="186" t="s">
        <v>868</v>
      </c>
      <c r="F1538" s="186" t="s">
        <v>968</v>
      </c>
      <c r="G1538" s="186" t="s">
        <v>969</v>
      </c>
      <c r="H1538" s="186" t="s">
        <v>976</v>
      </c>
      <c r="I1538" s="187" t="s">
        <v>995</v>
      </c>
      <c r="J1538" s="187" t="s">
        <v>996</v>
      </c>
      <c r="K1538" s="188"/>
      <c r="L1538" s="188"/>
      <c r="M1538" s="189" t="s">
        <v>807</v>
      </c>
      <c r="N1538" s="190">
        <v>146.19</v>
      </c>
      <c r="O1538" s="190">
        <f t="shared" si="187"/>
        <v>159.35</v>
      </c>
      <c r="P1538" s="191">
        <f t="shared" si="188"/>
        <v>0</v>
      </c>
      <c r="Q1538" s="192">
        <f t="shared" si="189"/>
        <v>0</v>
      </c>
      <c r="R1538" s="193"/>
      <c r="S1538" s="194"/>
      <c r="T1538" s="195">
        <f t="shared" si="190"/>
        <v>0</v>
      </c>
      <c r="U1538" s="195">
        <f t="shared" si="191"/>
        <v>0</v>
      </c>
      <c r="V1538" s="195">
        <f t="shared" si="192"/>
        <v>0</v>
      </c>
      <c r="W1538" s="196" t="e">
        <f t="shared" si="193"/>
        <v>#DIV/0!</v>
      </c>
      <c r="X1538" s="197" t="e">
        <f t="shared" si="194"/>
        <v>#DIV/0!</v>
      </c>
    </row>
    <row r="1539" ht="11.4" hidden="1" customHeight="1" spans="1:24">
      <c r="A1539" s="184" t="s">
        <v>3178</v>
      </c>
      <c r="B1539" s="184" t="s">
        <v>88</v>
      </c>
      <c r="C1539" s="184" t="s">
        <v>87</v>
      </c>
      <c r="D1539" s="185" t="s">
        <v>704</v>
      </c>
      <c r="E1539" s="186" t="s">
        <v>868</v>
      </c>
      <c r="F1539" s="186" t="s">
        <v>968</v>
      </c>
      <c r="G1539" s="186" t="s">
        <v>969</v>
      </c>
      <c r="H1539" s="186" t="s">
        <v>998</v>
      </c>
      <c r="I1539" s="187" t="s">
        <v>999</v>
      </c>
      <c r="J1539" s="187" t="s">
        <v>1000</v>
      </c>
      <c r="K1539" s="188"/>
      <c r="L1539" s="188"/>
      <c r="M1539" s="189" t="s">
        <v>847</v>
      </c>
      <c r="N1539" s="190">
        <v>265.42</v>
      </c>
      <c r="O1539" s="190">
        <f t="shared" si="187"/>
        <v>289.31</v>
      </c>
      <c r="P1539" s="191">
        <f t="shared" si="188"/>
        <v>0</v>
      </c>
      <c r="Q1539" s="192">
        <f t="shared" si="189"/>
        <v>0</v>
      </c>
      <c r="R1539" s="193"/>
      <c r="S1539" s="194"/>
      <c r="T1539" s="195">
        <f t="shared" si="190"/>
        <v>0</v>
      </c>
      <c r="U1539" s="195">
        <f t="shared" si="191"/>
        <v>0</v>
      </c>
      <c r="V1539" s="195">
        <f t="shared" si="192"/>
        <v>0</v>
      </c>
      <c r="W1539" s="196" t="e">
        <f t="shared" si="193"/>
        <v>#DIV/0!</v>
      </c>
      <c r="X1539" s="197" t="e">
        <f t="shared" si="194"/>
        <v>#DIV/0!</v>
      </c>
    </row>
    <row r="1540" ht="11.4" hidden="1" customHeight="1" spans="1:24">
      <c r="A1540" s="184" t="s">
        <v>3178</v>
      </c>
      <c r="B1540" s="184" t="s">
        <v>88</v>
      </c>
      <c r="C1540" s="184" t="s">
        <v>87</v>
      </c>
      <c r="D1540" s="185" t="s">
        <v>704</v>
      </c>
      <c r="E1540" s="186" t="s">
        <v>868</v>
      </c>
      <c r="F1540" s="186" t="s">
        <v>968</v>
      </c>
      <c r="G1540" s="186" t="s">
        <v>969</v>
      </c>
      <c r="H1540" s="186" t="s">
        <v>998</v>
      </c>
      <c r="I1540" s="187" t="s">
        <v>1001</v>
      </c>
      <c r="J1540" s="187" t="s">
        <v>1002</v>
      </c>
      <c r="K1540" s="188"/>
      <c r="L1540" s="188"/>
      <c r="M1540" s="189" t="s">
        <v>847</v>
      </c>
      <c r="N1540" s="190">
        <v>40.55</v>
      </c>
      <c r="O1540" s="190">
        <f t="shared" si="187"/>
        <v>44.2</v>
      </c>
      <c r="P1540" s="191">
        <f t="shared" si="188"/>
        <v>0</v>
      </c>
      <c r="Q1540" s="192">
        <f t="shared" si="189"/>
        <v>0</v>
      </c>
      <c r="R1540" s="193"/>
      <c r="S1540" s="194"/>
      <c r="T1540" s="195">
        <f t="shared" si="190"/>
        <v>0</v>
      </c>
      <c r="U1540" s="195">
        <f t="shared" si="191"/>
        <v>0</v>
      </c>
      <c r="V1540" s="195">
        <f t="shared" si="192"/>
        <v>0</v>
      </c>
      <c r="W1540" s="196" t="e">
        <f t="shared" si="193"/>
        <v>#DIV/0!</v>
      </c>
      <c r="X1540" s="197" t="e">
        <f t="shared" si="194"/>
        <v>#DIV/0!</v>
      </c>
    </row>
    <row r="1541" ht="11.4" hidden="1" customHeight="1" spans="1:24">
      <c r="A1541" s="184" t="s">
        <v>3178</v>
      </c>
      <c r="B1541" s="184" t="s">
        <v>88</v>
      </c>
      <c r="C1541" s="184" t="s">
        <v>87</v>
      </c>
      <c r="D1541" s="185" t="s">
        <v>704</v>
      </c>
      <c r="E1541" s="186" t="s">
        <v>868</v>
      </c>
      <c r="F1541" s="186" t="s">
        <v>968</v>
      </c>
      <c r="G1541" s="186" t="s">
        <v>969</v>
      </c>
      <c r="H1541" s="186" t="s">
        <v>1003</v>
      </c>
      <c r="I1541" s="187" t="s">
        <v>1004</v>
      </c>
      <c r="J1541" s="187" t="s">
        <v>1005</v>
      </c>
      <c r="K1541" s="188"/>
      <c r="L1541" s="188"/>
      <c r="M1541" s="189" t="s">
        <v>963</v>
      </c>
      <c r="N1541" s="190">
        <v>257.95</v>
      </c>
      <c r="O1541" s="190">
        <f t="shared" si="187"/>
        <v>281.17</v>
      </c>
      <c r="P1541" s="191">
        <f t="shared" si="188"/>
        <v>0</v>
      </c>
      <c r="Q1541" s="192">
        <f t="shared" si="189"/>
        <v>0</v>
      </c>
      <c r="R1541" s="193"/>
      <c r="S1541" s="194"/>
      <c r="T1541" s="195">
        <f t="shared" si="190"/>
        <v>0</v>
      </c>
      <c r="U1541" s="195">
        <f t="shared" si="191"/>
        <v>0</v>
      </c>
      <c r="V1541" s="195">
        <f t="shared" si="192"/>
        <v>0</v>
      </c>
      <c r="W1541" s="196" t="e">
        <f t="shared" si="193"/>
        <v>#DIV/0!</v>
      </c>
      <c r="X1541" s="197" t="e">
        <f t="shared" si="194"/>
        <v>#DIV/0!</v>
      </c>
    </row>
    <row r="1542" ht="11.4" hidden="1" customHeight="1" spans="1:24">
      <c r="A1542" s="184" t="s">
        <v>3178</v>
      </c>
      <c r="B1542" s="184" t="s">
        <v>88</v>
      </c>
      <c r="C1542" s="184" t="s">
        <v>87</v>
      </c>
      <c r="D1542" s="185" t="s">
        <v>704</v>
      </c>
      <c r="E1542" s="186" t="s">
        <v>868</v>
      </c>
      <c r="F1542" s="186" t="s">
        <v>968</v>
      </c>
      <c r="G1542" s="186" t="s">
        <v>969</v>
      </c>
      <c r="H1542" s="186" t="s">
        <v>1003</v>
      </c>
      <c r="I1542" s="187" t="s">
        <v>1006</v>
      </c>
      <c r="J1542" s="187" t="s">
        <v>1007</v>
      </c>
      <c r="K1542" s="188"/>
      <c r="L1542" s="188"/>
      <c r="M1542" s="189" t="s">
        <v>963</v>
      </c>
      <c r="N1542" s="190">
        <v>81.83</v>
      </c>
      <c r="O1542" s="190">
        <f t="shared" si="187"/>
        <v>89.19</v>
      </c>
      <c r="P1542" s="191">
        <f t="shared" si="188"/>
        <v>0</v>
      </c>
      <c r="Q1542" s="192">
        <f t="shared" si="189"/>
        <v>0</v>
      </c>
      <c r="R1542" s="193"/>
      <c r="S1542" s="194"/>
      <c r="T1542" s="195">
        <f t="shared" si="190"/>
        <v>0</v>
      </c>
      <c r="U1542" s="195">
        <f t="shared" si="191"/>
        <v>0</v>
      </c>
      <c r="V1542" s="195">
        <f t="shared" si="192"/>
        <v>0</v>
      </c>
      <c r="W1542" s="196" t="e">
        <f t="shared" si="193"/>
        <v>#DIV/0!</v>
      </c>
      <c r="X1542" s="197" t="e">
        <f t="shared" si="194"/>
        <v>#DIV/0!</v>
      </c>
    </row>
    <row r="1543" ht="11.4" hidden="1" customHeight="1" spans="1:24">
      <c r="A1543" s="184" t="s">
        <v>3178</v>
      </c>
      <c r="B1543" s="184" t="s">
        <v>88</v>
      </c>
      <c r="C1543" s="184" t="s">
        <v>87</v>
      </c>
      <c r="D1543" s="185" t="s">
        <v>704</v>
      </c>
      <c r="E1543" s="186" t="s">
        <v>868</v>
      </c>
      <c r="F1543" s="186" t="s">
        <v>968</v>
      </c>
      <c r="G1543" s="186" t="s">
        <v>969</v>
      </c>
      <c r="H1543" s="186" t="s">
        <v>1008</v>
      </c>
      <c r="I1543" s="187" t="s">
        <v>1009</v>
      </c>
      <c r="J1543" s="187" t="s">
        <v>1010</v>
      </c>
      <c r="K1543" s="188"/>
      <c r="L1543" s="188"/>
      <c r="M1543" s="189" t="s">
        <v>807</v>
      </c>
      <c r="N1543" s="190">
        <v>35.3</v>
      </c>
      <c r="O1543" s="190">
        <f t="shared" si="187"/>
        <v>38.48</v>
      </c>
      <c r="P1543" s="191">
        <f t="shared" si="188"/>
        <v>0</v>
      </c>
      <c r="Q1543" s="192">
        <f t="shared" si="189"/>
        <v>0</v>
      </c>
      <c r="R1543" s="193"/>
      <c r="S1543" s="194"/>
      <c r="T1543" s="195">
        <f t="shared" si="190"/>
        <v>0</v>
      </c>
      <c r="U1543" s="195">
        <f t="shared" si="191"/>
        <v>0</v>
      </c>
      <c r="V1543" s="195">
        <f t="shared" si="192"/>
        <v>0</v>
      </c>
      <c r="W1543" s="196" t="e">
        <f t="shared" si="193"/>
        <v>#DIV/0!</v>
      </c>
      <c r="X1543" s="197" t="e">
        <f t="shared" si="194"/>
        <v>#DIV/0!</v>
      </c>
    </row>
    <row r="1544" ht="11.4" hidden="1" customHeight="1" spans="1:24">
      <c r="A1544" s="184" t="s">
        <v>3179</v>
      </c>
      <c r="B1544" s="184" t="s">
        <v>91</v>
      </c>
      <c r="C1544" s="184" t="s">
        <v>90</v>
      </c>
      <c r="D1544" s="185" t="s">
        <v>704</v>
      </c>
      <c r="E1544" s="186" t="s">
        <v>868</v>
      </c>
      <c r="F1544" s="186" t="s">
        <v>1013</v>
      </c>
      <c r="G1544" s="186" t="s">
        <v>1014</v>
      </c>
      <c r="H1544" s="186" t="s">
        <v>1015</v>
      </c>
      <c r="I1544" s="187" t="s">
        <v>1016</v>
      </c>
      <c r="J1544" s="187" t="s">
        <v>1017</v>
      </c>
      <c r="K1544" s="188"/>
      <c r="L1544" s="188"/>
      <c r="M1544" s="189" t="s">
        <v>1018</v>
      </c>
      <c r="N1544" s="190">
        <v>723.44</v>
      </c>
      <c r="O1544" s="190">
        <f t="shared" si="187"/>
        <v>788.55</v>
      </c>
      <c r="P1544" s="191">
        <f t="shared" si="188"/>
        <v>0</v>
      </c>
      <c r="Q1544" s="192">
        <f t="shared" si="189"/>
        <v>0</v>
      </c>
      <c r="R1544" s="193"/>
      <c r="S1544" s="194"/>
      <c r="T1544" s="195">
        <f t="shared" si="190"/>
        <v>0</v>
      </c>
      <c r="U1544" s="195">
        <f t="shared" si="191"/>
        <v>0</v>
      </c>
      <c r="V1544" s="195">
        <f t="shared" si="192"/>
        <v>0</v>
      </c>
      <c r="W1544" s="196" t="e">
        <f t="shared" si="193"/>
        <v>#DIV/0!</v>
      </c>
      <c r="X1544" s="197" t="e">
        <f t="shared" si="194"/>
        <v>#DIV/0!</v>
      </c>
    </row>
    <row r="1545" ht="11.4" hidden="1" customHeight="1" spans="1:24">
      <c r="A1545" s="184" t="s">
        <v>3179</v>
      </c>
      <c r="B1545" s="184" t="s">
        <v>91</v>
      </c>
      <c r="C1545" s="184" t="s">
        <v>90</v>
      </c>
      <c r="D1545" s="185" t="s">
        <v>704</v>
      </c>
      <c r="E1545" s="186" t="s">
        <v>868</v>
      </c>
      <c r="F1545" s="186" t="s">
        <v>1013</v>
      </c>
      <c r="G1545" s="186" t="s">
        <v>1014</v>
      </c>
      <c r="H1545" s="186" t="s">
        <v>1015</v>
      </c>
      <c r="I1545" s="187" t="s">
        <v>1019</v>
      </c>
      <c r="J1545" s="187" t="s">
        <v>1020</v>
      </c>
      <c r="K1545" s="188"/>
      <c r="L1545" s="188"/>
      <c r="M1545" s="189" t="s">
        <v>1018</v>
      </c>
      <c r="N1545" s="190">
        <v>723.44</v>
      </c>
      <c r="O1545" s="190">
        <f t="shared" si="187"/>
        <v>788.55</v>
      </c>
      <c r="P1545" s="191">
        <f t="shared" si="188"/>
        <v>0</v>
      </c>
      <c r="Q1545" s="192">
        <f t="shared" si="189"/>
        <v>0</v>
      </c>
      <c r="R1545" s="193"/>
      <c r="S1545" s="194"/>
      <c r="T1545" s="195">
        <f t="shared" si="190"/>
        <v>0</v>
      </c>
      <c r="U1545" s="195">
        <f t="shared" si="191"/>
        <v>0</v>
      </c>
      <c r="V1545" s="195">
        <f t="shared" si="192"/>
        <v>0</v>
      </c>
      <c r="W1545" s="196" t="e">
        <f t="shared" si="193"/>
        <v>#DIV/0!</v>
      </c>
      <c r="X1545" s="197" t="e">
        <f t="shared" si="194"/>
        <v>#DIV/0!</v>
      </c>
    </row>
    <row r="1546" ht="11.4" hidden="1" customHeight="1" spans="1:24">
      <c r="A1546" s="184" t="s">
        <v>3179</v>
      </c>
      <c r="B1546" s="184" t="s">
        <v>91</v>
      </c>
      <c r="C1546" s="184" t="s">
        <v>90</v>
      </c>
      <c r="D1546" s="185" t="s">
        <v>704</v>
      </c>
      <c r="E1546" s="186" t="s">
        <v>868</v>
      </c>
      <c r="F1546" s="186" t="s">
        <v>1013</v>
      </c>
      <c r="G1546" s="186" t="s">
        <v>1014</v>
      </c>
      <c r="H1546" s="186" t="s">
        <v>1015</v>
      </c>
      <c r="I1546" s="187" t="s">
        <v>1021</v>
      </c>
      <c r="J1546" s="187" t="s">
        <v>1022</v>
      </c>
      <c r="K1546" s="188"/>
      <c r="L1546" s="188"/>
      <c r="M1546" s="189" t="s">
        <v>1018</v>
      </c>
      <c r="N1546" s="190">
        <v>137.35</v>
      </c>
      <c r="O1546" s="190">
        <f t="shared" si="187"/>
        <v>149.71</v>
      </c>
      <c r="P1546" s="191">
        <f t="shared" si="188"/>
        <v>0</v>
      </c>
      <c r="Q1546" s="192">
        <f t="shared" si="189"/>
        <v>0</v>
      </c>
      <c r="R1546" s="193"/>
      <c r="S1546" s="194"/>
      <c r="T1546" s="195">
        <f t="shared" si="190"/>
        <v>0</v>
      </c>
      <c r="U1546" s="195">
        <f t="shared" si="191"/>
        <v>0</v>
      </c>
      <c r="V1546" s="195">
        <f t="shared" si="192"/>
        <v>0</v>
      </c>
      <c r="W1546" s="196" t="e">
        <f t="shared" si="193"/>
        <v>#DIV/0!</v>
      </c>
      <c r="X1546" s="197" t="e">
        <f t="shared" si="194"/>
        <v>#DIV/0!</v>
      </c>
    </row>
    <row r="1547" ht="11.4" hidden="1" customHeight="1" spans="1:24">
      <c r="A1547" s="184" t="s">
        <v>3179</v>
      </c>
      <c r="B1547" s="184" t="s">
        <v>91</v>
      </c>
      <c r="C1547" s="184" t="s">
        <v>90</v>
      </c>
      <c r="D1547" s="185" t="s">
        <v>704</v>
      </c>
      <c r="E1547" s="186" t="s">
        <v>868</v>
      </c>
      <c r="F1547" s="186" t="s">
        <v>1013</v>
      </c>
      <c r="G1547" s="186" t="s">
        <v>1014</v>
      </c>
      <c r="H1547" s="186" t="s">
        <v>1015</v>
      </c>
      <c r="I1547" s="187" t="s">
        <v>1023</v>
      </c>
      <c r="J1547" s="187" t="s">
        <v>1024</v>
      </c>
      <c r="K1547" s="188"/>
      <c r="L1547" s="188"/>
      <c r="M1547" s="189" t="s">
        <v>1018</v>
      </c>
      <c r="N1547" s="190">
        <v>151.65</v>
      </c>
      <c r="O1547" s="190">
        <f t="shared" si="187"/>
        <v>165.3</v>
      </c>
      <c r="P1547" s="191">
        <f t="shared" si="188"/>
        <v>0</v>
      </c>
      <c r="Q1547" s="192">
        <f t="shared" si="189"/>
        <v>0</v>
      </c>
      <c r="R1547" s="193"/>
      <c r="S1547" s="194"/>
      <c r="T1547" s="195">
        <f t="shared" si="190"/>
        <v>0</v>
      </c>
      <c r="U1547" s="195">
        <f t="shared" si="191"/>
        <v>0</v>
      </c>
      <c r="V1547" s="195">
        <f t="shared" si="192"/>
        <v>0</v>
      </c>
      <c r="W1547" s="196" t="e">
        <f t="shared" si="193"/>
        <v>#DIV/0!</v>
      </c>
      <c r="X1547" s="197" t="e">
        <f t="shared" si="194"/>
        <v>#DIV/0!</v>
      </c>
    </row>
    <row r="1548" ht="11.4" hidden="1" customHeight="1" spans="1:24">
      <c r="A1548" s="184" t="s">
        <v>3179</v>
      </c>
      <c r="B1548" s="184" t="s">
        <v>91</v>
      </c>
      <c r="C1548" s="184" t="s">
        <v>90</v>
      </c>
      <c r="D1548" s="185" t="s">
        <v>704</v>
      </c>
      <c r="E1548" s="186" t="s">
        <v>868</v>
      </c>
      <c r="F1548" s="186" t="s">
        <v>1013</v>
      </c>
      <c r="G1548" s="186" t="s">
        <v>1014</v>
      </c>
      <c r="H1548" s="186" t="s">
        <v>1015</v>
      </c>
      <c r="I1548" s="187" t="s">
        <v>1025</v>
      </c>
      <c r="J1548" s="187" t="s">
        <v>1026</v>
      </c>
      <c r="K1548" s="188"/>
      <c r="L1548" s="188"/>
      <c r="M1548" s="189" t="s">
        <v>1018</v>
      </c>
      <c r="N1548" s="190">
        <v>151.65</v>
      </c>
      <c r="O1548" s="190">
        <f t="shared" si="187"/>
        <v>165.3</v>
      </c>
      <c r="P1548" s="191">
        <f t="shared" si="188"/>
        <v>0</v>
      </c>
      <c r="Q1548" s="192">
        <f t="shared" si="189"/>
        <v>0</v>
      </c>
      <c r="R1548" s="193"/>
      <c r="S1548" s="194"/>
      <c r="T1548" s="195">
        <f t="shared" si="190"/>
        <v>0</v>
      </c>
      <c r="U1548" s="195">
        <f t="shared" si="191"/>
        <v>0</v>
      </c>
      <c r="V1548" s="195">
        <f t="shared" si="192"/>
        <v>0</v>
      </c>
      <c r="W1548" s="196" t="e">
        <f t="shared" si="193"/>
        <v>#DIV/0!</v>
      </c>
      <c r="X1548" s="197" t="e">
        <f t="shared" si="194"/>
        <v>#DIV/0!</v>
      </c>
    </row>
    <row r="1549" ht="11.4" hidden="1" customHeight="1" spans="1:24">
      <c r="A1549" s="184" t="s">
        <v>3179</v>
      </c>
      <c r="B1549" s="184" t="s">
        <v>91</v>
      </c>
      <c r="C1549" s="184" t="s">
        <v>90</v>
      </c>
      <c r="D1549" s="185" t="s">
        <v>704</v>
      </c>
      <c r="E1549" s="186" t="s">
        <v>868</v>
      </c>
      <c r="F1549" s="186" t="s">
        <v>1013</v>
      </c>
      <c r="G1549" s="186" t="s">
        <v>1014</v>
      </c>
      <c r="H1549" s="186" t="s">
        <v>1027</v>
      </c>
      <c r="I1549" s="187" t="s">
        <v>1028</v>
      </c>
      <c r="J1549" s="187" t="s">
        <v>1029</v>
      </c>
      <c r="K1549" s="188"/>
      <c r="L1549" s="188"/>
      <c r="M1549" s="189" t="s">
        <v>807</v>
      </c>
      <c r="N1549" s="190">
        <v>56.98</v>
      </c>
      <c r="O1549" s="190">
        <f t="shared" ref="O1549:O1612" si="195">ROUND(N1549*(1+$F$10),2)</f>
        <v>62.11</v>
      </c>
      <c r="P1549" s="191">
        <f t="shared" ref="P1549:P1612" si="196">ROUND(K1549*N1549,2)</f>
        <v>0</v>
      </c>
      <c r="Q1549" s="192">
        <f t="shared" si="189"/>
        <v>0</v>
      </c>
      <c r="R1549" s="193"/>
      <c r="S1549" s="194"/>
      <c r="T1549" s="195">
        <f t="shared" si="190"/>
        <v>0</v>
      </c>
      <c r="U1549" s="195">
        <f t="shared" si="191"/>
        <v>0</v>
      </c>
      <c r="V1549" s="195">
        <f t="shared" si="192"/>
        <v>0</v>
      </c>
      <c r="W1549" s="196" t="e">
        <f t="shared" si="193"/>
        <v>#DIV/0!</v>
      </c>
      <c r="X1549" s="197" t="e">
        <f t="shared" si="194"/>
        <v>#DIV/0!</v>
      </c>
    </row>
    <row r="1550" ht="11.4" hidden="1" customHeight="1" spans="1:24">
      <c r="A1550" s="184" t="s">
        <v>3179</v>
      </c>
      <c r="B1550" s="184" t="s">
        <v>91</v>
      </c>
      <c r="C1550" s="184" t="s">
        <v>90</v>
      </c>
      <c r="D1550" s="185" t="s">
        <v>704</v>
      </c>
      <c r="E1550" s="186" t="s">
        <v>868</v>
      </c>
      <c r="F1550" s="186" t="s">
        <v>1013</v>
      </c>
      <c r="G1550" s="186" t="s">
        <v>1014</v>
      </c>
      <c r="H1550" s="186" t="s">
        <v>1030</v>
      </c>
      <c r="I1550" s="187" t="s">
        <v>1031</v>
      </c>
      <c r="J1550" s="187" t="s">
        <v>1032</v>
      </c>
      <c r="K1550" s="188"/>
      <c r="L1550" s="188"/>
      <c r="M1550" s="189" t="s">
        <v>1018</v>
      </c>
      <c r="N1550" s="190">
        <v>3230.77</v>
      </c>
      <c r="O1550" s="190">
        <f t="shared" si="195"/>
        <v>3521.54</v>
      </c>
      <c r="P1550" s="191">
        <f t="shared" si="196"/>
        <v>0</v>
      </c>
      <c r="Q1550" s="192">
        <f t="shared" ref="Q1550:Q1613" si="197">ROUND(L1550*N1550,2)</f>
        <v>0</v>
      </c>
      <c r="R1550" s="193"/>
      <c r="S1550" s="194"/>
      <c r="T1550" s="195">
        <f t="shared" ref="T1550:T1613" si="198">K1550-L1550</f>
        <v>0</v>
      </c>
      <c r="U1550" s="195">
        <f t="shared" ref="U1550:U1613" si="199">P1550-Q1550</f>
        <v>0</v>
      </c>
      <c r="V1550" s="195">
        <f t="shared" ref="V1550:V1613" si="200">ABS(U1550)</f>
        <v>0</v>
      </c>
      <c r="W1550" s="196" t="e">
        <f t="shared" ref="W1550:W1613" si="201">T1550/L1550</f>
        <v>#DIV/0!</v>
      </c>
      <c r="X1550" s="197" t="e">
        <f t="shared" ref="X1550:X1613" si="202">ABS(W1550)</f>
        <v>#DIV/0!</v>
      </c>
    </row>
    <row r="1551" ht="11.4" hidden="1" customHeight="1" spans="1:24">
      <c r="A1551" s="184" t="s">
        <v>3179</v>
      </c>
      <c r="B1551" s="184" t="s">
        <v>91</v>
      </c>
      <c r="C1551" s="184" t="s">
        <v>90</v>
      </c>
      <c r="D1551" s="185" t="s">
        <v>704</v>
      </c>
      <c r="E1551" s="186" t="s">
        <v>868</v>
      </c>
      <c r="F1551" s="186" t="s">
        <v>1013</v>
      </c>
      <c r="G1551" s="186" t="s">
        <v>1014</v>
      </c>
      <c r="H1551" s="186" t="s">
        <v>1030</v>
      </c>
      <c r="I1551" s="187" t="s">
        <v>1033</v>
      </c>
      <c r="J1551" s="187" t="s">
        <v>1034</v>
      </c>
      <c r="K1551" s="188"/>
      <c r="L1551" s="188"/>
      <c r="M1551" s="189" t="s">
        <v>1018</v>
      </c>
      <c r="N1551" s="190">
        <v>5115.38</v>
      </c>
      <c r="O1551" s="190">
        <f t="shared" si="195"/>
        <v>5575.76</v>
      </c>
      <c r="P1551" s="191">
        <f t="shared" si="196"/>
        <v>0</v>
      </c>
      <c r="Q1551" s="192">
        <f t="shared" si="197"/>
        <v>0</v>
      </c>
      <c r="R1551" s="193"/>
      <c r="S1551" s="194"/>
      <c r="T1551" s="195">
        <f t="shared" si="198"/>
        <v>0</v>
      </c>
      <c r="U1551" s="195">
        <f t="shared" si="199"/>
        <v>0</v>
      </c>
      <c r="V1551" s="195">
        <f t="shared" si="200"/>
        <v>0</v>
      </c>
      <c r="W1551" s="196" t="e">
        <f t="shared" si="201"/>
        <v>#DIV/0!</v>
      </c>
      <c r="X1551" s="197" t="e">
        <f t="shared" si="202"/>
        <v>#DIV/0!</v>
      </c>
    </row>
    <row r="1552" ht="11.4" hidden="1" customHeight="1" spans="1:24">
      <c r="A1552" s="184" t="s">
        <v>3179</v>
      </c>
      <c r="B1552" s="184" t="s">
        <v>91</v>
      </c>
      <c r="C1552" s="184" t="s">
        <v>90</v>
      </c>
      <c r="D1552" s="185" t="s">
        <v>704</v>
      </c>
      <c r="E1552" s="186" t="s">
        <v>868</v>
      </c>
      <c r="F1552" s="186" t="s">
        <v>1013</v>
      </c>
      <c r="G1552" s="186" t="s">
        <v>1014</v>
      </c>
      <c r="H1552" s="186" t="s">
        <v>1030</v>
      </c>
      <c r="I1552" s="187" t="s">
        <v>1035</v>
      </c>
      <c r="J1552" s="187" t="s">
        <v>1036</v>
      </c>
      <c r="K1552" s="188"/>
      <c r="L1552" s="188"/>
      <c r="M1552" s="189" t="s">
        <v>1018</v>
      </c>
      <c r="N1552" s="190">
        <v>565.38</v>
      </c>
      <c r="O1552" s="190">
        <f t="shared" si="195"/>
        <v>616.26</v>
      </c>
      <c r="P1552" s="191">
        <f t="shared" si="196"/>
        <v>0</v>
      </c>
      <c r="Q1552" s="192">
        <f t="shared" si="197"/>
        <v>0</v>
      </c>
      <c r="R1552" s="193"/>
      <c r="S1552" s="194"/>
      <c r="T1552" s="195">
        <f t="shared" si="198"/>
        <v>0</v>
      </c>
      <c r="U1552" s="195">
        <f t="shared" si="199"/>
        <v>0</v>
      </c>
      <c r="V1552" s="195">
        <f t="shared" si="200"/>
        <v>0</v>
      </c>
      <c r="W1552" s="196" t="e">
        <f t="shared" si="201"/>
        <v>#DIV/0!</v>
      </c>
      <c r="X1552" s="197" t="e">
        <f t="shared" si="202"/>
        <v>#DIV/0!</v>
      </c>
    </row>
    <row r="1553" ht="11.4" hidden="1" customHeight="1" spans="1:24">
      <c r="A1553" s="184" t="s">
        <v>3179</v>
      </c>
      <c r="B1553" s="184" t="s">
        <v>91</v>
      </c>
      <c r="C1553" s="184" t="s">
        <v>90</v>
      </c>
      <c r="D1553" s="185" t="s">
        <v>704</v>
      </c>
      <c r="E1553" s="186" t="s">
        <v>868</v>
      </c>
      <c r="F1553" s="186" t="s">
        <v>1013</v>
      </c>
      <c r="G1553" s="186" t="s">
        <v>1014</v>
      </c>
      <c r="H1553" s="186" t="s">
        <v>1030</v>
      </c>
      <c r="I1553" s="187" t="s">
        <v>1037</v>
      </c>
      <c r="J1553" s="187" t="s">
        <v>1038</v>
      </c>
      <c r="K1553" s="188"/>
      <c r="L1553" s="188"/>
      <c r="M1553" s="189" t="s">
        <v>1018</v>
      </c>
      <c r="N1553" s="190">
        <v>2789.23</v>
      </c>
      <c r="O1553" s="190">
        <f t="shared" si="195"/>
        <v>3040.26</v>
      </c>
      <c r="P1553" s="191">
        <f t="shared" si="196"/>
        <v>0</v>
      </c>
      <c r="Q1553" s="192">
        <f t="shared" si="197"/>
        <v>0</v>
      </c>
      <c r="R1553" s="193"/>
      <c r="S1553" s="194"/>
      <c r="T1553" s="195">
        <f t="shared" si="198"/>
        <v>0</v>
      </c>
      <c r="U1553" s="195">
        <f t="shared" si="199"/>
        <v>0</v>
      </c>
      <c r="V1553" s="195">
        <f t="shared" si="200"/>
        <v>0</v>
      </c>
      <c r="W1553" s="196" t="e">
        <f t="shared" si="201"/>
        <v>#DIV/0!</v>
      </c>
      <c r="X1553" s="197" t="e">
        <f t="shared" si="202"/>
        <v>#DIV/0!</v>
      </c>
    </row>
    <row r="1554" ht="11.4" hidden="1" customHeight="1" spans="1:24">
      <c r="A1554" s="184" t="s">
        <v>3179</v>
      </c>
      <c r="B1554" s="184" t="s">
        <v>91</v>
      </c>
      <c r="C1554" s="184" t="s">
        <v>90</v>
      </c>
      <c r="D1554" s="185" t="s">
        <v>704</v>
      </c>
      <c r="E1554" s="186" t="s">
        <v>868</v>
      </c>
      <c r="F1554" s="186" t="s">
        <v>1013</v>
      </c>
      <c r="G1554" s="186" t="s">
        <v>1014</v>
      </c>
      <c r="H1554" s="186" t="s">
        <v>1030</v>
      </c>
      <c r="I1554" s="187" t="s">
        <v>1039</v>
      </c>
      <c r="J1554" s="187" t="s">
        <v>1040</v>
      </c>
      <c r="K1554" s="188"/>
      <c r="L1554" s="188"/>
      <c r="M1554" s="189" t="s">
        <v>1018</v>
      </c>
      <c r="N1554" s="190">
        <v>4173.08</v>
      </c>
      <c r="O1554" s="190">
        <f t="shared" si="195"/>
        <v>4548.66</v>
      </c>
      <c r="P1554" s="191">
        <f t="shared" si="196"/>
        <v>0</v>
      </c>
      <c r="Q1554" s="192">
        <f t="shared" si="197"/>
        <v>0</v>
      </c>
      <c r="R1554" s="193"/>
      <c r="S1554" s="194"/>
      <c r="T1554" s="195">
        <f t="shared" si="198"/>
        <v>0</v>
      </c>
      <c r="U1554" s="195">
        <f t="shared" si="199"/>
        <v>0</v>
      </c>
      <c r="V1554" s="195">
        <f t="shared" si="200"/>
        <v>0</v>
      </c>
      <c r="W1554" s="196" t="e">
        <f t="shared" si="201"/>
        <v>#DIV/0!</v>
      </c>
      <c r="X1554" s="197" t="e">
        <f t="shared" si="202"/>
        <v>#DIV/0!</v>
      </c>
    </row>
    <row r="1555" ht="11.4" hidden="1" customHeight="1" spans="1:24">
      <c r="A1555" s="184" t="s">
        <v>3179</v>
      </c>
      <c r="B1555" s="184" t="s">
        <v>91</v>
      </c>
      <c r="C1555" s="184" t="s">
        <v>90</v>
      </c>
      <c r="D1555" s="185" t="s">
        <v>704</v>
      </c>
      <c r="E1555" s="186" t="s">
        <v>868</v>
      </c>
      <c r="F1555" s="186" t="s">
        <v>1013</v>
      </c>
      <c r="G1555" s="186" t="s">
        <v>1014</v>
      </c>
      <c r="H1555" s="186" t="s">
        <v>1030</v>
      </c>
      <c r="I1555" s="187" t="s">
        <v>1041</v>
      </c>
      <c r="J1555" s="187" t="s">
        <v>1042</v>
      </c>
      <c r="K1555" s="188"/>
      <c r="L1555" s="188"/>
      <c r="M1555" s="189" t="s">
        <v>1018</v>
      </c>
      <c r="N1555" s="190">
        <v>338.78</v>
      </c>
      <c r="O1555" s="190">
        <f t="shared" si="195"/>
        <v>369.27</v>
      </c>
      <c r="P1555" s="191">
        <f t="shared" si="196"/>
        <v>0</v>
      </c>
      <c r="Q1555" s="192">
        <f t="shared" si="197"/>
        <v>0</v>
      </c>
      <c r="R1555" s="193"/>
      <c r="S1555" s="194"/>
      <c r="T1555" s="195">
        <f t="shared" si="198"/>
        <v>0</v>
      </c>
      <c r="U1555" s="195">
        <f t="shared" si="199"/>
        <v>0</v>
      </c>
      <c r="V1555" s="195">
        <f t="shared" si="200"/>
        <v>0</v>
      </c>
      <c r="W1555" s="196" t="e">
        <f t="shared" si="201"/>
        <v>#DIV/0!</v>
      </c>
      <c r="X1555" s="197" t="e">
        <f t="shared" si="202"/>
        <v>#DIV/0!</v>
      </c>
    </row>
    <row r="1556" ht="11.4" hidden="1" customHeight="1" spans="1:24">
      <c r="A1556" s="184" t="s">
        <v>3179</v>
      </c>
      <c r="B1556" s="184" t="s">
        <v>91</v>
      </c>
      <c r="C1556" s="184" t="s">
        <v>90</v>
      </c>
      <c r="D1556" s="185" t="s">
        <v>704</v>
      </c>
      <c r="E1556" s="186" t="s">
        <v>868</v>
      </c>
      <c r="F1556" s="186" t="s">
        <v>1013</v>
      </c>
      <c r="G1556" s="186" t="s">
        <v>1014</v>
      </c>
      <c r="H1556" s="186" t="s">
        <v>1030</v>
      </c>
      <c r="I1556" s="187" t="s">
        <v>1043</v>
      </c>
      <c r="J1556" s="187" t="s">
        <v>1044</v>
      </c>
      <c r="K1556" s="188"/>
      <c r="L1556" s="188"/>
      <c r="M1556" s="189" t="s">
        <v>1018</v>
      </c>
      <c r="N1556" s="190">
        <v>179.49</v>
      </c>
      <c r="O1556" s="190">
        <f t="shared" si="195"/>
        <v>195.64</v>
      </c>
      <c r="P1556" s="191">
        <f t="shared" si="196"/>
        <v>0</v>
      </c>
      <c r="Q1556" s="192">
        <f t="shared" si="197"/>
        <v>0</v>
      </c>
      <c r="R1556" s="193"/>
      <c r="S1556" s="194"/>
      <c r="T1556" s="195">
        <f t="shared" si="198"/>
        <v>0</v>
      </c>
      <c r="U1556" s="195">
        <f t="shared" si="199"/>
        <v>0</v>
      </c>
      <c r="V1556" s="195">
        <f t="shared" si="200"/>
        <v>0</v>
      </c>
      <c r="W1556" s="196" t="e">
        <f t="shared" si="201"/>
        <v>#DIV/0!</v>
      </c>
      <c r="X1556" s="197" t="e">
        <f t="shared" si="202"/>
        <v>#DIV/0!</v>
      </c>
    </row>
    <row r="1557" ht="11.4" hidden="1" customHeight="1" spans="1:24">
      <c r="A1557" s="184" t="s">
        <v>3179</v>
      </c>
      <c r="B1557" s="184" t="s">
        <v>91</v>
      </c>
      <c r="C1557" s="184" t="s">
        <v>90</v>
      </c>
      <c r="D1557" s="185" t="s">
        <v>704</v>
      </c>
      <c r="E1557" s="186" t="s">
        <v>868</v>
      </c>
      <c r="F1557" s="186" t="s">
        <v>1013</v>
      </c>
      <c r="G1557" s="186" t="s">
        <v>1014</v>
      </c>
      <c r="H1557" s="186" t="s">
        <v>1030</v>
      </c>
      <c r="I1557" s="187" t="s">
        <v>1045</v>
      </c>
      <c r="J1557" s="187" t="s">
        <v>1046</v>
      </c>
      <c r="K1557" s="188"/>
      <c r="L1557" s="188"/>
      <c r="M1557" s="189" t="s">
        <v>1018</v>
      </c>
      <c r="N1557" s="190">
        <v>287.18</v>
      </c>
      <c r="O1557" s="190">
        <f t="shared" si="195"/>
        <v>313.03</v>
      </c>
      <c r="P1557" s="191">
        <f t="shared" si="196"/>
        <v>0</v>
      </c>
      <c r="Q1557" s="192">
        <f t="shared" si="197"/>
        <v>0</v>
      </c>
      <c r="R1557" s="193"/>
      <c r="S1557" s="194"/>
      <c r="T1557" s="195">
        <f t="shared" si="198"/>
        <v>0</v>
      </c>
      <c r="U1557" s="195">
        <f t="shared" si="199"/>
        <v>0</v>
      </c>
      <c r="V1557" s="195">
        <f t="shared" si="200"/>
        <v>0</v>
      </c>
      <c r="W1557" s="196" t="e">
        <f t="shared" si="201"/>
        <v>#DIV/0!</v>
      </c>
      <c r="X1557" s="197" t="e">
        <f t="shared" si="202"/>
        <v>#DIV/0!</v>
      </c>
    </row>
    <row r="1558" ht="11.4" hidden="1" customHeight="1" spans="1:24">
      <c r="A1558" s="184" t="s">
        <v>3179</v>
      </c>
      <c r="B1558" s="184" t="s">
        <v>91</v>
      </c>
      <c r="C1558" s="184" t="s">
        <v>90</v>
      </c>
      <c r="D1558" s="185" t="s">
        <v>704</v>
      </c>
      <c r="E1558" s="186" t="s">
        <v>868</v>
      </c>
      <c r="F1558" s="186" t="s">
        <v>1013</v>
      </c>
      <c r="G1558" s="186" t="s">
        <v>1014</v>
      </c>
      <c r="H1558" s="186" t="s">
        <v>1047</v>
      </c>
      <c r="I1558" s="187" t="s">
        <v>1048</v>
      </c>
      <c r="J1558" s="187" t="s">
        <v>1049</v>
      </c>
      <c r="K1558" s="188"/>
      <c r="L1558" s="188"/>
      <c r="M1558" s="189" t="s">
        <v>963</v>
      </c>
      <c r="N1558" s="190">
        <v>537.89</v>
      </c>
      <c r="O1558" s="190">
        <f t="shared" si="195"/>
        <v>586.3</v>
      </c>
      <c r="P1558" s="191">
        <f t="shared" si="196"/>
        <v>0</v>
      </c>
      <c r="Q1558" s="192">
        <f t="shared" si="197"/>
        <v>0</v>
      </c>
      <c r="R1558" s="193"/>
      <c r="S1558" s="194"/>
      <c r="T1558" s="195">
        <f t="shared" si="198"/>
        <v>0</v>
      </c>
      <c r="U1558" s="195">
        <f t="shared" si="199"/>
        <v>0</v>
      </c>
      <c r="V1558" s="195">
        <f t="shared" si="200"/>
        <v>0</v>
      </c>
      <c r="W1558" s="196" t="e">
        <f t="shared" si="201"/>
        <v>#DIV/0!</v>
      </c>
      <c r="X1558" s="197" t="e">
        <f t="shared" si="202"/>
        <v>#DIV/0!</v>
      </c>
    </row>
    <row r="1559" ht="11.4" hidden="1" customHeight="1" spans="1:24">
      <c r="A1559" s="184" t="s">
        <v>3180</v>
      </c>
      <c r="B1559" s="184" t="s">
        <v>94</v>
      </c>
      <c r="C1559" s="184" t="s">
        <v>93</v>
      </c>
      <c r="D1559" s="185" t="s">
        <v>704</v>
      </c>
      <c r="E1559" s="186" t="s">
        <v>868</v>
      </c>
      <c r="F1559" s="186" t="s">
        <v>1051</v>
      </c>
      <c r="G1559" s="186" t="s">
        <v>1052</v>
      </c>
      <c r="H1559" s="186" t="s">
        <v>1053</v>
      </c>
      <c r="I1559" s="187" t="s">
        <v>1054</v>
      </c>
      <c r="J1559" s="187" t="s">
        <v>1055</v>
      </c>
      <c r="K1559" s="188"/>
      <c r="L1559" s="188"/>
      <c r="M1559" s="189" t="s">
        <v>807</v>
      </c>
      <c r="N1559" s="190">
        <v>219.82</v>
      </c>
      <c r="O1559" s="190">
        <f t="shared" si="195"/>
        <v>239.6</v>
      </c>
      <c r="P1559" s="191">
        <f t="shared" si="196"/>
        <v>0</v>
      </c>
      <c r="Q1559" s="192">
        <f t="shared" si="197"/>
        <v>0</v>
      </c>
      <c r="R1559" s="193"/>
      <c r="S1559" s="194"/>
      <c r="T1559" s="195">
        <f t="shared" si="198"/>
        <v>0</v>
      </c>
      <c r="U1559" s="195">
        <f t="shared" si="199"/>
        <v>0</v>
      </c>
      <c r="V1559" s="195">
        <f t="shared" si="200"/>
        <v>0</v>
      </c>
      <c r="W1559" s="196" t="e">
        <f t="shared" si="201"/>
        <v>#DIV/0!</v>
      </c>
      <c r="X1559" s="197" t="e">
        <f t="shared" si="202"/>
        <v>#DIV/0!</v>
      </c>
    </row>
    <row r="1560" ht="11.4" hidden="1" customHeight="1" spans="1:24">
      <c r="A1560" s="184" t="s">
        <v>3180</v>
      </c>
      <c r="B1560" s="184" t="s">
        <v>94</v>
      </c>
      <c r="C1560" s="184" t="s">
        <v>93</v>
      </c>
      <c r="D1560" s="185" t="s">
        <v>704</v>
      </c>
      <c r="E1560" s="186" t="s">
        <v>868</v>
      </c>
      <c r="F1560" s="186" t="s">
        <v>1051</v>
      </c>
      <c r="G1560" s="186" t="s">
        <v>1052</v>
      </c>
      <c r="H1560" s="186" t="s">
        <v>1053</v>
      </c>
      <c r="I1560" s="187" t="s">
        <v>1057</v>
      </c>
      <c r="J1560" s="187" t="s">
        <v>1058</v>
      </c>
      <c r="K1560" s="188"/>
      <c r="L1560" s="188"/>
      <c r="M1560" s="189" t="s">
        <v>807</v>
      </c>
      <c r="N1560" s="190">
        <v>135.14</v>
      </c>
      <c r="O1560" s="190">
        <f t="shared" si="195"/>
        <v>147.3</v>
      </c>
      <c r="P1560" s="191">
        <f t="shared" si="196"/>
        <v>0</v>
      </c>
      <c r="Q1560" s="192">
        <f t="shared" si="197"/>
        <v>0</v>
      </c>
      <c r="R1560" s="193"/>
      <c r="S1560" s="194"/>
      <c r="T1560" s="195">
        <f t="shared" si="198"/>
        <v>0</v>
      </c>
      <c r="U1560" s="195">
        <f t="shared" si="199"/>
        <v>0</v>
      </c>
      <c r="V1560" s="195">
        <f t="shared" si="200"/>
        <v>0</v>
      </c>
      <c r="W1560" s="196" t="e">
        <f t="shared" si="201"/>
        <v>#DIV/0!</v>
      </c>
      <c r="X1560" s="197" t="e">
        <f t="shared" si="202"/>
        <v>#DIV/0!</v>
      </c>
    </row>
    <row r="1561" ht="11.4" hidden="1" customHeight="1" spans="1:24">
      <c r="A1561" s="184" t="s">
        <v>3180</v>
      </c>
      <c r="B1561" s="184" t="s">
        <v>94</v>
      </c>
      <c r="C1561" s="184" t="s">
        <v>93</v>
      </c>
      <c r="D1561" s="185" t="s">
        <v>704</v>
      </c>
      <c r="E1561" s="186" t="s">
        <v>868</v>
      </c>
      <c r="F1561" s="186" t="s">
        <v>1051</v>
      </c>
      <c r="G1561" s="186" t="s">
        <v>1052</v>
      </c>
      <c r="H1561" s="186" t="s">
        <v>1053</v>
      </c>
      <c r="I1561" s="187" t="s">
        <v>1059</v>
      </c>
      <c r="J1561" s="187" t="s">
        <v>1060</v>
      </c>
      <c r="K1561" s="188"/>
      <c r="L1561" s="188"/>
      <c r="M1561" s="189" t="s">
        <v>807</v>
      </c>
      <c r="N1561" s="190">
        <v>68.47</v>
      </c>
      <c r="O1561" s="190">
        <f t="shared" si="195"/>
        <v>74.63</v>
      </c>
      <c r="P1561" s="191">
        <f t="shared" si="196"/>
        <v>0</v>
      </c>
      <c r="Q1561" s="192">
        <f t="shared" si="197"/>
        <v>0</v>
      </c>
      <c r="R1561" s="193"/>
      <c r="S1561" s="194"/>
      <c r="T1561" s="195">
        <f t="shared" si="198"/>
        <v>0</v>
      </c>
      <c r="U1561" s="195">
        <f t="shared" si="199"/>
        <v>0</v>
      </c>
      <c r="V1561" s="195">
        <f t="shared" si="200"/>
        <v>0</v>
      </c>
      <c r="W1561" s="196" t="e">
        <f t="shared" si="201"/>
        <v>#DIV/0!</v>
      </c>
      <c r="X1561" s="197" t="e">
        <f t="shared" si="202"/>
        <v>#DIV/0!</v>
      </c>
    </row>
    <row r="1562" ht="11.4" hidden="1" customHeight="1" spans="1:24">
      <c r="A1562" s="184" t="s">
        <v>3180</v>
      </c>
      <c r="B1562" s="184" t="s">
        <v>94</v>
      </c>
      <c r="C1562" s="184" t="s">
        <v>93</v>
      </c>
      <c r="D1562" s="185" t="s">
        <v>704</v>
      </c>
      <c r="E1562" s="186" t="s">
        <v>868</v>
      </c>
      <c r="F1562" s="186" t="s">
        <v>1051</v>
      </c>
      <c r="G1562" s="186" t="s">
        <v>1052</v>
      </c>
      <c r="H1562" s="186" t="s">
        <v>1053</v>
      </c>
      <c r="I1562" s="187" t="s">
        <v>1061</v>
      </c>
      <c r="J1562" s="187" t="s">
        <v>1062</v>
      </c>
      <c r="K1562" s="188"/>
      <c r="L1562" s="188"/>
      <c r="M1562" s="189" t="s">
        <v>1018</v>
      </c>
      <c r="N1562" s="190">
        <v>3154.85</v>
      </c>
      <c r="O1562" s="190">
        <f t="shared" si="195"/>
        <v>3438.79</v>
      </c>
      <c r="P1562" s="191">
        <f t="shared" si="196"/>
        <v>0</v>
      </c>
      <c r="Q1562" s="192">
        <f t="shared" si="197"/>
        <v>0</v>
      </c>
      <c r="R1562" s="193"/>
      <c r="S1562" s="194"/>
      <c r="T1562" s="195">
        <f t="shared" si="198"/>
        <v>0</v>
      </c>
      <c r="U1562" s="195">
        <f t="shared" si="199"/>
        <v>0</v>
      </c>
      <c r="V1562" s="195">
        <f t="shared" si="200"/>
        <v>0</v>
      </c>
      <c r="W1562" s="196" t="e">
        <f t="shared" si="201"/>
        <v>#DIV/0!</v>
      </c>
      <c r="X1562" s="197" t="e">
        <f t="shared" si="202"/>
        <v>#DIV/0!</v>
      </c>
    </row>
    <row r="1563" ht="11.4" hidden="1" customHeight="1" spans="1:24">
      <c r="A1563" s="184" t="s">
        <v>3180</v>
      </c>
      <c r="B1563" s="184" t="s">
        <v>94</v>
      </c>
      <c r="C1563" s="184" t="s">
        <v>93</v>
      </c>
      <c r="D1563" s="185" t="s">
        <v>704</v>
      </c>
      <c r="E1563" s="186" t="s">
        <v>868</v>
      </c>
      <c r="F1563" s="186" t="s">
        <v>1051</v>
      </c>
      <c r="G1563" s="186" t="s">
        <v>1052</v>
      </c>
      <c r="H1563" s="186" t="s">
        <v>1063</v>
      </c>
      <c r="I1563" s="187" t="s">
        <v>1064</v>
      </c>
      <c r="J1563" s="187" t="s">
        <v>1065</v>
      </c>
      <c r="K1563" s="188"/>
      <c r="L1563" s="188"/>
      <c r="M1563" s="189" t="s">
        <v>807</v>
      </c>
      <c r="N1563" s="190">
        <v>219.82</v>
      </c>
      <c r="O1563" s="190">
        <f t="shared" si="195"/>
        <v>239.6</v>
      </c>
      <c r="P1563" s="191">
        <f t="shared" si="196"/>
        <v>0</v>
      </c>
      <c r="Q1563" s="192">
        <f t="shared" si="197"/>
        <v>0</v>
      </c>
      <c r="R1563" s="193"/>
      <c r="S1563" s="194"/>
      <c r="T1563" s="195">
        <f t="shared" si="198"/>
        <v>0</v>
      </c>
      <c r="U1563" s="195">
        <f t="shared" si="199"/>
        <v>0</v>
      </c>
      <c r="V1563" s="195">
        <f t="shared" si="200"/>
        <v>0</v>
      </c>
      <c r="W1563" s="196" t="e">
        <f t="shared" si="201"/>
        <v>#DIV/0!</v>
      </c>
      <c r="X1563" s="197" t="e">
        <f t="shared" si="202"/>
        <v>#DIV/0!</v>
      </c>
    </row>
    <row r="1564" ht="11.4" hidden="1" customHeight="1" spans="1:24">
      <c r="A1564" s="184" t="s">
        <v>3180</v>
      </c>
      <c r="B1564" s="184" t="s">
        <v>94</v>
      </c>
      <c r="C1564" s="184" t="s">
        <v>93</v>
      </c>
      <c r="D1564" s="185" t="s">
        <v>704</v>
      </c>
      <c r="E1564" s="186" t="s">
        <v>868</v>
      </c>
      <c r="F1564" s="186" t="s">
        <v>1051</v>
      </c>
      <c r="G1564" s="186" t="s">
        <v>1052</v>
      </c>
      <c r="H1564" s="186" t="s">
        <v>1063</v>
      </c>
      <c r="I1564" s="187" t="s">
        <v>1066</v>
      </c>
      <c r="J1564" s="187" t="s">
        <v>1067</v>
      </c>
      <c r="K1564" s="188"/>
      <c r="L1564" s="188"/>
      <c r="M1564" s="189" t="s">
        <v>807</v>
      </c>
      <c r="N1564" s="190">
        <v>135.14</v>
      </c>
      <c r="O1564" s="190">
        <f t="shared" si="195"/>
        <v>147.3</v>
      </c>
      <c r="P1564" s="191">
        <f t="shared" si="196"/>
        <v>0</v>
      </c>
      <c r="Q1564" s="192">
        <f t="shared" si="197"/>
        <v>0</v>
      </c>
      <c r="R1564" s="193"/>
      <c r="S1564" s="194"/>
      <c r="T1564" s="195">
        <f t="shared" si="198"/>
        <v>0</v>
      </c>
      <c r="U1564" s="195">
        <f t="shared" si="199"/>
        <v>0</v>
      </c>
      <c r="V1564" s="195">
        <f t="shared" si="200"/>
        <v>0</v>
      </c>
      <c r="W1564" s="196" t="e">
        <f t="shared" si="201"/>
        <v>#DIV/0!</v>
      </c>
      <c r="X1564" s="197" t="e">
        <f t="shared" si="202"/>
        <v>#DIV/0!</v>
      </c>
    </row>
    <row r="1565" ht="11.4" hidden="1" customHeight="1" spans="1:24">
      <c r="A1565" s="184" t="s">
        <v>3180</v>
      </c>
      <c r="B1565" s="184" t="s">
        <v>94</v>
      </c>
      <c r="C1565" s="184" t="s">
        <v>93</v>
      </c>
      <c r="D1565" s="185" t="s">
        <v>704</v>
      </c>
      <c r="E1565" s="186" t="s">
        <v>868</v>
      </c>
      <c r="F1565" s="186" t="s">
        <v>1051</v>
      </c>
      <c r="G1565" s="186" t="s">
        <v>1052</v>
      </c>
      <c r="H1565" s="186" t="s">
        <v>1063</v>
      </c>
      <c r="I1565" s="187" t="s">
        <v>1068</v>
      </c>
      <c r="J1565" s="187" t="s">
        <v>1069</v>
      </c>
      <c r="K1565" s="188"/>
      <c r="L1565" s="188"/>
      <c r="M1565" s="189" t="s">
        <v>807</v>
      </c>
      <c r="N1565" s="190">
        <v>68.47</v>
      </c>
      <c r="O1565" s="190">
        <f t="shared" si="195"/>
        <v>74.63</v>
      </c>
      <c r="P1565" s="191">
        <f t="shared" si="196"/>
        <v>0</v>
      </c>
      <c r="Q1565" s="192">
        <f t="shared" si="197"/>
        <v>0</v>
      </c>
      <c r="R1565" s="193"/>
      <c r="S1565" s="194"/>
      <c r="T1565" s="195">
        <f t="shared" si="198"/>
        <v>0</v>
      </c>
      <c r="U1565" s="195">
        <f t="shared" si="199"/>
        <v>0</v>
      </c>
      <c r="V1565" s="195">
        <f t="shared" si="200"/>
        <v>0</v>
      </c>
      <c r="W1565" s="196" t="e">
        <f t="shared" si="201"/>
        <v>#DIV/0!</v>
      </c>
      <c r="X1565" s="197" t="e">
        <f t="shared" si="202"/>
        <v>#DIV/0!</v>
      </c>
    </row>
    <row r="1566" ht="11.4" hidden="1" customHeight="1" spans="1:24">
      <c r="A1566" s="184" t="s">
        <v>3180</v>
      </c>
      <c r="B1566" s="184" t="s">
        <v>94</v>
      </c>
      <c r="C1566" s="184" t="s">
        <v>93</v>
      </c>
      <c r="D1566" s="185" t="s">
        <v>704</v>
      </c>
      <c r="E1566" s="186" t="s">
        <v>868</v>
      </c>
      <c r="F1566" s="186" t="s">
        <v>1051</v>
      </c>
      <c r="G1566" s="186" t="s">
        <v>1052</v>
      </c>
      <c r="H1566" s="186" t="s">
        <v>1063</v>
      </c>
      <c r="I1566" s="187" t="s">
        <v>1070</v>
      </c>
      <c r="J1566" s="187" t="s">
        <v>1071</v>
      </c>
      <c r="K1566" s="188"/>
      <c r="L1566" s="188"/>
      <c r="M1566" s="189" t="s">
        <v>1018</v>
      </c>
      <c r="N1566" s="190">
        <v>3154.85</v>
      </c>
      <c r="O1566" s="190">
        <f t="shared" si="195"/>
        <v>3438.79</v>
      </c>
      <c r="P1566" s="191">
        <f t="shared" si="196"/>
        <v>0</v>
      </c>
      <c r="Q1566" s="192">
        <f t="shared" si="197"/>
        <v>0</v>
      </c>
      <c r="R1566" s="193"/>
      <c r="S1566" s="194"/>
      <c r="T1566" s="195">
        <f t="shared" si="198"/>
        <v>0</v>
      </c>
      <c r="U1566" s="195">
        <f t="shared" si="199"/>
        <v>0</v>
      </c>
      <c r="V1566" s="195">
        <f t="shared" si="200"/>
        <v>0</v>
      </c>
      <c r="W1566" s="196" t="e">
        <f t="shared" si="201"/>
        <v>#DIV/0!</v>
      </c>
      <c r="X1566" s="197" t="e">
        <f t="shared" si="202"/>
        <v>#DIV/0!</v>
      </c>
    </row>
    <row r="1567" ht="11.4" hidden="1" customHeight="1" spans="1:24">
      <c r="A1567" s="184" t="s">
        <v>3180</v>
      </c>
      <c r="B1567" s="184" t="s">
        <v>94</v>
      </c>
      <c r="C1567" s="184" t="s">
        <v>93</v>
      </c>
      <c r="D1567" s="185" t="s">
        <v>704</v>
      </c>
      <c r="E1567" s="186" t="s">
        <v>868</v>
      </c>
      <c r="F1567" s="186" t="s">
        <v>1051</v>
      </c>
      <c r="G1567" s="186" t="s">
        <v>1052</v>
      </c>
      <c r="H1567" s="186" t="s">
        <v>1063</v>
      </c>
      <c r="I1567" s="187" t="s">
        <v>1072</v>
      </c>
      <c r="J1567" s="187" t="s">
        <v>1073</v>
      </c>
      <c r="K1567" s="188"/>
      <c r="L1567" s="188"/>
      <c r="M1567" s="189" t="s">
        <v>1018</v>
      </c>
      <c r="N1567" s="190">
        <v>63.96</v>
      </c>
      <c r="O1567" s="190">
        <f t="shared" si="195"/>
        <v>69.72</v>
      </c>
      <c r="P1567" s="191">
        <f t="shared" si="196"/>
        <v>0</v>
      </c>
      <c r="Q1567" s="192">
        <f t="shared" si="197"/>
        <v>0</v>
      </c>
      <c r="R1567" s="193"/>
      <c r="S1567" s="194"/>
      <c r="T1567" s="195">
        <f t="shared" si="198"/>
        <v>0</v>
      </c>
      <c r="U1567" s="195">
        <f t="shared" si="199"/>
        <v>0</v>
      </c>
      <c r="V1567" s="195">
        <f t="shared" si="200"/>
        <v>0</v>
      </c>
      <c r="W1567" s="196" t="e">
        <f t="shared" si="201"/>
        <v>#DIV/0!</v>
      </c>
      <c r="X1567" s="197" t="e">
        <f t="shared" si="202"/>
        <v>#DIV/0!</v>
      </c>
    </row>
    <row r="1568" ht="11.4" hidden="1" customHeight="1" spans="1:24">
      <c r="A1568" s="184" t="s">
        <v>3180</v>
      </c>
      <c r="B1568" s="184" t="s">
        <v>94</v>
      </c>
      <c r="C1568" s="184" t="s">
        <v>93</v>
      </c>
      <c r="D1568" s="185" t="s">
        <v>704</v>
      </c>
      <c r="E1568" s="186" t="s">
        <v>868</v>
      </c>
      <c r="F1568" s="186" t="s">
        <v>1051</v>
      </c>
      <c r="G1568" s="186" t="s">
        <v>1052</v>
      </c>
      <c r="H1568" s="186" t="s">
        <v>1074</v>
      </c>
      <c r="I1568" s="187" t="s">
        <v>1075</v>
      </c>
      <c r="J1568" s="187" t="s">
        <v>1076</v>
      </c>
      <c r="K1568" s="188"/>
      <c r="L1568" s="188"/>
      <c r="M1568" s="189" t="s">
        <v>807</v>
      </c>
      <c r="N1568" s="190">
        <v>81.08</v>
      </c>
      <c r="O1568" s="190">
        <f t="shared" si="195"/>
        <v>88.38</v>
      </c>
      <c r="P1568" s="191">
        <f t="shared" si="196"/>
        <v>0</v>
      </c>
      <c r="Q1568" s="192">
        <f t="shared" si="197"/>
        <v>0</v>
      </c>
      <c r="R1568" s="193"/>
      <c r="S1568" s="194"/>
      <c r="T1568" s="195">
        <f t="shared" si="198"/>
        <v>0</v>
      </c>
      <c r="U1568" s="195">
        <f t="shared" si="199"/>
        <v>0</v>
      </c>
      <c r="V1568" s="195">
        <f t="shared" si="200"/>
        <v>0</v>
      </c>
      <c r="W1568" s="196" t="e">
        <f t="shared" si="201"/>
        <v>#DIV/0!</v>
      </c>
      <c r="X1568" s="197" t="e">
        <f t="shared" si="202"/>
        <v>#DIV/0!</v>
      </c>
    </row>
    <row r="1569" ht="11.4" hidden="1" customHeight="1" spans="1:24">
      <c r="A1569" s="184" t="s">
        <v>3180</v>
      </c>
      <c r="B1569" s="184" t="s">
        <v>94</v>
      </c>
      <c r="C1569" s="184" t="s">
        <v>93</v>
      </c>
      <c r="D1569" s="185" t="s">
        <v>704</v>
      </c>
      <c r="E1569" s="186" t="s">
        <v>868</v>
      </c>
      <c r="F1569" s="186" t="s">
        <v>1051</v>
      </c>
      <c r="G1569" s="186" t="s">
        <v>1052</v>
      </c>
      <c r="H1569" s="186" t="s">
        <v>1074</v>
      </c>
      <c r="I1569" s="187" t="s">
        <v>1077</v>
      </c>
      <c r="J1569" s="187" t="s">
        <v>1078</v>
      </c>
      <c r="K1569" s="188"/>
      <c r="L1569" s="188"/>
      <c r="M1569" s="189" t="s">
        <v>807</v>
      </c>
      <c r="N1569" s="190">
        <v>70.27</v>
      </c>
      <c r="O1569" s="190">
        <f t="shared" si="195"/>
        <v>76.59</v>
      </c>
      <c r="P1569" s="191">
        <f t="shared" si="196"/>
        <v>0</v>
      </c>
      <c r="Q1569" s="192">
        <f t="shared" si="197"/>
        <v>0</v>
      </c>
      <c r="R1569" s="193"/>
      <c r="S1569" s="194"/>
      <c r="T1569" s="195">
        <f t="shared" si="198"/>
        <v>0</v>
      </c>
      <c r="U1569" s="195">
        <f t="shared" si="199"/>
        <v>0</v>
      </c>
      <c r="V1569" s="195">
        <f t="shared" si="200"/>
        <v>0</v>
      </c>
      <c r="W1569" s="196" t="e">
        <f t="shared" si="201"/>
        <v>#DIV/0!</v>
      </c>
      <c r="X1569" s="197" t="e">
        <f t="shared" si="202"/>
        <v>#DIV/0!</v>
      </c>
    </row>
    <row r="1570" ht="11.4" hidden="1" customHeight="1" spans="1:24">
      <c r="A1570" s="184" t="s">
        <v>3180</v>
      </c>
      <c r="B1570" s="184" t="s">
        <v>94</v>
      </c>
      <c r="C1570" s="184" t="s">
        <v>93</v>
      </c>
      <c r="D1570" s="185" t="s">
        <v>704</v>
      </c>
      <c r="E1570" s="186" t="s">
        <v>868</v>
      </c>
      <c r="F1570" s="186" t="s">
        <v>1051</v>
      </c>
      <c r="G1570" s="186" t="s">
        <v>1052</v>
      </c>
      <c r="H1570" s="186" t="s">
        <v>1074</v>
      </c>
      <c r="I1570" s="187" t="s">
        <v>1079</v>
      </c>
      <c r="J1570" s="187" t="s">
        <v>1080</v>
      </c>
      <c r="K1570" s="188"/>
      <c r="L1570" s="188"/>
      <c r="M1570" s="189" t="s">
        <v>807</v>
      </c>
      <c r="N1570" s="190">
        <v>63.06</v>
      </c>
      <c r="O1570" s="190">
        <f t="shared" si="195"/>
        <v>68.74</v>
      </c>
      <c r="P1570" s="191">
        <f t="shared" si="196"/>
        <v>0</v>
      </c>
      <c r="Q1570" s="192">
        <f t="shared" si="197"/>
        <v>0</v>
      </c>
      <c r="R1570" s="193"/>
      <c r="S1570" s="194"/>
      <c r="T1570" s="195">
        <f t="shared" si="198"/>
        <v>0</v>
      </c>
      <c r="U1570" s="195">
        <f t="shared" si="199"/>
        <v>0</v>
      </c>
      <c r="V1570" s="195">
        <f t="shared" si="200"/>
        <v>0</v>
      </c>
      <c r="W1570" s="196" t="e">
        <f t="shared" si="201"/>
        <v>#DIV/0!</v>
      </c>
      <c r="X1570" s="197" t="e">
        <f t="shared" si="202"/>
        <v>#DIV/0!</v>
      </c>
    </row>
    <row r="1571" ht="11.4" hidden="1" customHeight="1" spans="1:24">
      <c r="A1571" s="184" t="s">
        <v>3180</v>
      </c>
      <c r="B1571" s="184" t="s">
        <v>94</v>
      </c>
      <c r="C1571" s="184" t="s">
        <v>93</v>
      </c>
      <c r="D1571" s="185" t="s">
        <v>704</v>
      </c>
      <c r="E1571" s="186" t="s">
        <v>868</v>
      </c>
      <c r="F1571" s="186" t="s">
        <v>1051</v>
      </c>
      <c r="G1571" s="186" t="s">
        <v>1052</v>
      </c>
      <c r="H1571" s="186" t="s">
        <v>1074</v>
      </c>
      <c r="I1571" s="187" t="s">
        <v>1081</v>
      </c>
      <c r="J1571" s="187" t="s">
        <v>1082</v>
      </c>
      <c r="K1571" s="188"/>
      <c r="L1571" s="188"/>
      <c r="M1571" s="189" t="s">
        <v>989</v>
      </c>
      <c r="N1571" s="190">
        <v>891.89</v>
      </c>
      <c r="O1571" s="190">
        <f t="shared" si="195"/>
        <v>972.16</v>
      </c>
      <c r="P1571" s="191">
        <f t="shared" si="196"/>
        <v>0</v>
      </c>
      <c r="Q1571" s="192">
        <f t="shared" si="197"/>
        <v>0</v>
      </c>
      <c r="R1571" s="193"/>
      <c r="S1571" s="194"/>
      <c r="T1571" s="195">
        <f t="shared" si="198"/>
        <v>0</v>
      </c>
      <c r="U1571" s="195">
        <f t="shared" si="199"/>
        <v>0</v>
      </c>
      <c r="V1571" s="195">
        <f t="shared" si="200"/>
        <v>0</v>
      </c>
      <c r="W1571" s="196" t="e">
        <f t="shared" si="201"/>
        <v>#DIV/0!</v>
      </c>
      <c r="X1571" s="197" t="e">
        <f t="shared" si="202"/>
        <v>#DIV/0!</v>
      </c>
    </row>
    <row r="1572" ht="11.4" hidden="1" customHeight="1" spans="1:24">
      <c r="A1572" s="184" t="s">
        <v>3181</v>
      </c>
      <c r="B1572" s="184" t="s">
        <v>97</v>
      </c>
      <c r="C1572" s="184" t="s">
        <v>96</v>
      </c>
      <c r="D1572" s="185" t="s">
        <v>704</v>
      </c>
      <c r="E1572" s="186" t="s">
        <v>868</v>
      </c>
      <c r="F1572" s="186" t="s">
        <v>1051</v>
      </c>
      <c r="G1572" s="186" t="s">
        <v>1084</v>
      </c>
      <c r="H1572" s="186" t="s">
        <v>1084</v>
      </c>
      <c r="I1572" s="187" t="s">
        <v>1085</v>
      </c>
      <c r="J1572" s="187" t="s">
        <v>1086</v>
      </c>
      <c r="K1572" s="188"/>
      <c r="L1572" s="188"/>
      <c r="M1572" s="189" t="s">
        <v>847</v>
      </c>
      <c r="N1572" s="190">
        <v>172.07</v>
      </c>
      <c r="O1572" s="190">
        <f t="shared" si="195"/>
        <v>187.56</v>
      </c>
      <c r="P1572" s="191">
        <f t="shared" si="196"/>
        <v>0</v>
      </c>
      <c r="Q1572" s="192">
        <f t="shared" si="197"/>
        <v>0</v>
      </c>
      <c r="R1572" s="193"/>
      <c r="S1572" s="194"/>
      <c r="T1572" s="195">
        <f t="shared" si="198"/>
        <v>0</v>
      </c>
      <c r="U1572" s="195">
        <f t="shared" si="199"/>
        <v>0</v>
      </c>
      <c r="V1572" s="195">
        <f t="shared" si="200"/>
        <v>0</v>
      </c>
      <c r="W1572" s="196" t="e">
        <f t="shared" si="201"/>
        <v>#DIV/0!</v>
      </c>
      <c r="X1572" s="197" t="e">
        <f t="shared" si="202"/>
        <v>#DIV/0!</v>
      </c>
    </row>
    <row r="1573" ht="11.4" hidden="1" customHeight="1" spans="1:24">
      <c r="A1573" s="184" t="s">
        <v>3182</v>
      </c>
      <c r="B1573" s="184" t="s">
        <v>99</v>
      </c>
      <c r="C1573" s="184" t="s">
        <v>1088</v>
      </c>
      <c r="D1573" s="185" t="s">
        <v>704</v>
      </c>
      <c r="E1573" s="186" t="s">
        <v>868</v>
      </c>
      <c r="F1573" s="186" t="s">
        <v>1089</v>
      </c>
      <c r="G1573" s="186" t="s">
        <v>1090</v>
      </c>
      <c r="H1573" s="186" t="s">
        <v>1090</v>
      </c>
      <c r="I1573" s="187" t="s">
        <v>1091</v>
      </c>
      <c r="J1573" s="187" t="s">
        <v>1092</v>
      </c>
      <c r="K1573" s="188"/>
      <c r="L1573" s="188"/>
      <c r="M1573" s="189" t="s">
        <v>895</v>
      </c>
      <c r="N1573" s="190">
        <v>9020</v>
      </c>
      <c r="O1573" s="190">
        <f t="shared" si="195"/>
        <v>9831.8</v>
      </c>
      <c r="P1573" s="191">
        <f t="shared" si="196"/>
        <v>0</v>
      </c>
      <c r="Q1573" s="192">
        <f t="shared" si="197"/>
        <v>0</v>
      </c>
      <c r="R1573" s="193"/>
      <c r="S1573" s="194"/>
      <c r="T1573" s="195">
        <f t="shared" si="198"/>
        <v>0</v>
      </c>
      <c r="U1573" s="195">
        <f t="shared" si="199"/>
        <v>0</v>
      </c>
      <c r="V1573" s="195">
        <f t="shared" si="200"/>
        <v>0</v>
      </c>
      <c r="W1573" s="196" t="e">
        <f t="shared" si="201"/>
        <v>#DIV/0!</v>
      </c>
      <c r="X1573" s="197" t="e">
        <f t="shared" si="202"/>
        <v>#DIV/0!</v>
      </c>
    </row>
    <row r="1574" ht="11.4" hidden="1" customHeight="1" spans="1:24">
      <c r="A1574" s="184" t="s">
        <v>3182</v>
      </c>
      <c r="B1574" s="184" t="s">
        <v>99</v>
      </c>
      <c r="C1574" s="184" t="s">
        <v>1088</v>
      </c>
      <c r="D1574" s="185" t="s">
        <v>704</v>
      </c>
      <c r="E1574" s="186" t="s">
        <v>868</v>
      </c>
      <c r="F1574" s="186" t="s">
        <v>1089</v>
      </c>
      <c r="G1574" s="186" t="s">
        <v>1090</v>
      </c>
      <c r="H1574" s="186" t="s">
        <v>1090</v>
      </c>
      <c r="I1574" s="187" t="s">
        <v>1094</v>
      </c>
      <c r="J1574" s="187" t="s">
        <v>1095</v>
      </c>
      <c r="K1574" s="188"/>
      <c r="L1574" s="188"/>
      <c r="M1574" s="189" t="s">
        <v>793</v>
      </c>
      <c r="N1574" s="190"/>
      <c r="O1574" s="190">
        <f t="shared" si="195"/>
        <v>0</v>
      </c>
      <c r="P1574" s="191">
        <f t="shared" si="196"/>
        <v>0</v>
      </c>
      <c r="Q1574" s="192">
        <f t="shared" si="197"/>
        <v>0</v>
      </c>
      <c r="R1574" s="193"/>
      <c r="S1574" s="194"/>
      <c r="T1574" s="195">
        <f t="shared" si="198"/>
        <v>0</v>
      </c>
      <c r="U1574" s="195">
        <f t="shared" si="199"/>
        <v>0</v>
      </c>
      <c r="V1574" s="195">
        <f t="shared" si="200"/>
        <v>0</v>
      </c>
      <c r="W1574" s="196" t="e">
        <f t="shared" si="201"/>
        <v>#DIV/0!</v>
      </c>
      <c r="X1574" s="197" t="e">
        <f t="shared" si="202"/>
        <v>#DIV/0!</v>
      </c>
    </row>
    <row r="1575" ht="11.4" hidden="1" customHeight="1" spans="1:24">
      <c r="A1575" s="184" t="s">
        <v>3182</v>
      </c>
      <c r="B1575" s="184" t="s">
        <v>99</v>
      </c>
      <c r="C1575" s="184" t="s">
        <v>1088</v>
      </c>
      <c r="D1575" s="185" t="s">
        <v>704</v>
      </c>
      <c r="E1575" s="186" t="s">
        <v>868</v>
      </c>
      <c r="F1575" s="186" t="s">
        <v>1089</v>
      </c>
      <c r="G1575" s="186" t="s">
        <v>1090</v>
      </c>
      <c r="H1575" s="186" t="s">
        <v>1090</v>
      </c>
      <c r="I1575" s="187" t="s">
        <v>1096</v>
      </c>
      <c r="J1575" s="187" t="s">
        <v>1097</v>
      </c>
      <c r="K1575" s="188"/>
      <c r="L1575" s="188"/>
      <c r="M1575" s="189" t="s">
        <v>793</v>
      </c>
      <c r="N1575" s="190"/>
      <c r="O1575" s="190">
        <f t="shared" si="195"/>
        <v>0</v>
      </c>
      <c r="P1575" s="191">
        <f t="shared" si="196"/>
        <v>0</v>
      </c>
      <c r="Q1575" s="192">
        <f t="shared" si="197"/>
        <v>0</v>
      </c>
      <c r="R1575" s="193"/>
      <c r="S1575" s="194"/>
      <c r="T1575" s="195">
        <f t="shared" si="198"/>
        <v>0</v>
      </c>
      <c r="U1575" s="195">
        <f t="shared" si="199"/>
        <v>0</v>
      </c>
      <c r="V1575" s="195">
        <f t="shared" si="200"/>
        <v>0</v>
      </c>
      <c r="W1575" s="196" t="e">
        <f t="shared" si="201"/>
        <v>#DIV/0!</v>
      </c>
      <c r="X1575" s="197" t="e">
        <f t="shared" si="202"/>
        <v>#DIV/0!</v>
      </c>
    </row>
    <row r="1576" ht="11.4" hidden="1" customHeight="1" spans="1:24">
      <c r="A1576" s="184" t="s">
        <v>3182</v>
      </c>
      <c r="B1576" s="184" t="s">
        <v>99</v>
      </c>
      <c r="C1576" s="184" t="s">
        <v>1088</v>
      </c>
      <c r="D1576" s="185" t="s">
        <v>704</v>
      </c>
      <c r="E1576" s="186" t="s">
        <v>868</v>
      </c>
      <c r="F1576" s="186" t="s">
        <v>1089</v>
      </c>
      <c r="G1576" s="186" t="s">
        <v>1090</v>
      </c>
      <c r="H1576" s="186" t="s">
        <v>1090</v>
      </c>
      <c r="I1576" s="187" t="s">
        <v>1098</v>
      </c>
      <c r="J1576" s="187" t="s">
        <v>1099</v>
      </c>
      <c r="K1576" s="188"/>
      <c r="L1576" s="188"/>
      <c r="M1576" s="189" t="s">
        <v>793</v>
      </c>
      <c r="N1576" s="190"/>
      <c r="O1576" s="190">
        <f t="shared" si="195"/>
        <v>0</v>
      </c>
      <c r="P1576" s="191">
        <f t="shared" si="196"/>
        <v>0</v>
      </c>
      <c r="Q1576" s="192">
        <f t="shared" si="197"/>
        <v>0</v>
      </c>
      <c r="R1576" s="193"/>
      <c r="S1576" s="194"/>
      <c r="T1576" s="195">
        <f t="shared" si="198"/>
        <v>0</v>
      </c>
      <c r="U1576" s="195">
        <f t="shared" si="199"/>
        <v>0</v>
      </c>
      <c r="V1576" s="195">
        <f t="shared" si="200"/>
        <v>0</v>
      </c>
      <c r="W1576" s="196" t="e">
        <f t="shared" si="201"/>
        <v>#DIV/0!</v>
      </c>
      <c r="X1576" s="197" t="e">
        <f t="shared" si="202"/>
        <v>#DIV/0!</v>
      </c>
    </row>
    <row r="1577" ht="11.4" hidden="1" customHeight="1" spans="1:24">
      <c r="A1577" s="184" t="s">
        <v>3183</v>
      </c>
      <c r="B1577" s="184" t="s">
        <v>111</v>
      </c>
      <c r="C1577" s="184" t="s">
        <v>1101</v>
      </c>
      <c r="D1577" s="185" t="s">
        <v>704</v>
      </c>
      <c r="E1577" s="186" t="s">
        <v>906</v>
      </c>
      <c r="F1577" s="186" t="s">
        <v>907</v>
      </c>
      <c r="G1577" s="186" t="s">
        <v>1102</v>
      </c>
      <c r="H1577" s="186" t="s">
        <v>1103</v>
      </c>
      <c r="I1577" s="187" t="s">
        <v>1104</v>
      </c>
      <c r="J1577" s="187" t="s">
        <v>1105</v>
      </c>
      <c r="K1577" s="188"/>
      <c r="L1577" s="188"/>
      <c r="M1577" s="189" t="s">
        <v>847</v>
      </c>
      <c r="N1577" s="190">
        <v>180.78</v>
      </c>
      <c r="O1577" s="190">
        <f t="shared" si="195"/>
        <v>197.05</v>
      </c>
      <c r="P1577" s="191">
        <f t="shared" si="196"/>
        <v>0</v>
      </c>
      <c r="Q1577" s="192">
        <f t="shared" si="197"/>
        <v>0</v>
      </c>
      <c r="R1577" s="193"/>
      <c r="S1577" s="194"/>
      <c r="T1577" s="195">
        <f t="shared" si="198"/>
        <v>0</v>
      </c>
      <c r="U1577" s="195">
        <f t="shared" si="199"/>
        <v>0</v>
      </c>
      <c r="V1577" s="195">
        <f t="shared" si="200"/>
        <v>0</v>
      </c>
      <c r="W1577" s="196" t="e">
        <f t="shared" si="201"/>
        <v>#DIV/0!</v>
      </c>
      <c r="X1577" s="197" t="e">
        <f t="shared" si="202"/>
        <v>#DIV/0!</v>
      </c>
    </row>
    <row r="1578" ht="11.4" hidden="1" customHeight="1" spans="1:24">
      <c r="A1578" s="184" t="s">
        <v>3183</v>
      </c>
      <c r="B1578" s="184" t="s">
        <v>111</v>
      </c>
      <c r="C1578" s="184" t="s">
        <v>1101</v>
      </c>
      <c r="D1578" s="185" t="s">
        <v>704</v>
      </c>
      <c r="E1578" s="186" t="s">
        <v>906</v>
      </c>
      <c r="F1578" s="186" t="s">
        <v>907</v>
      </c>
      <c r="G1578" s="186" t="s">
        <v>1102</v>
      </c>
      <c r="H1578" s="186" t="s">
        <v>1103</v>
      </c>
      <c r="I1578" s="187" t="s">
        <v>1106</v>
      </c>
      <c r="J1578" s="187" t="s">
        <v>1107</v>
      </c>
      <c r="K1578" s="188"/>
      <c r="L1578" s="188"/>
      <c r="M1578" s="189" t="s">
        <v>807</v>
      </c>
      <c r="N1578" s="190">
        <v>41.36</v>
      </c>
      <c r="O1578" s="190">
        <f t="shared" si="195"/>
        <v>45.08</v>
      </c>
      <c r="P1578" s="191">
        <f t="shared" si="196"/>
        <v>0</v>
      </c>
      <c r="Q1578" s="192">
        <f t="shared" si="197"/>
        <v>0</v>
      </c>
      <c r="R1578" s="193"/>
      <c r="S1578" s="194"/>
      <c r="T1578" s="195">
        <f t="shared" si="198"/>
        <v>0</v>
      </c>
      <c r="U1578" s="195">
        <f t="shared" si="199"/>
        <v>0</v>
      </c>
      <c r="V1578" s="195">
        <f t="shared" si="200"/>
        <v>0</v>
      </c>
      <c r="W1578" s="196" t="e">
        <f t="shared" si="201"/>
        <v>#DIV/0!</v>
      </c>
      <c r="X1578" s="197" t="e">
        <f t="shared" si="202"/>
        <v>#DIV/0!</v>
      </c>
    </row>
    <row r="1579" ht="11.4" hidden="1" customHeight="1" spans="1:24">
      <c r="A1579" s="184" t="s">
        <v>3183</v>
      </c>
      <c r="B1579" s="184" t="s">
        <v>111</v>
      </c>
      <c r="C1579" s="184" t="s">
        <v>1101</v>
      </c>
      <c r="D1579" s="185" t="s">
        <v>704</v>
      </c>
      <c r="E1579" s="186" t="s">
        <v>906</v>
      </c>
      <c r="F1579" s="186" t="s">
        <v>907</v>
      </c>
      <c r="G1579" s="186" t="s">
        <v>1102</v>
      </c>
      <c r="H1579" s="186" t="s">
        <v>1103</v>
      </c>
      <c r="I1579" s="187" t="s">
        <v>1109</v>
      </c>
      <c r="J1579" s="187" t="s">
        <v>1110</v>
      </c>
      <c r="K1579" s="188"/>
      <c r="L1579" s="188"/>
      <c r="M1579" s="189" t="s">
        <v>847</v>
      </c>
      <c r="N1579" s="190">
        <v>160.21</v>
      </c>
      <c r="O1579" s="190">
        <f t="shared" si="195"/>
        <v>174.63</v>
      </c>
      <c r="P1579" s="191">
        <f t="shared" si="196"/>
        <v>0</v>
      </c>
      <c r="Q1579" s="192">
        <f t="shared" si="197"/>
        <v>0</v>
      </c>
      <c r="R1579" s="193"/>
      <c r="S1579" s="194"/>
      <c r="T1579" s="195">
        <f t="shared" si="198"/>
        <v>0</v>
      </c>
      <c r="U1579" s="195">
        <f t="shared" si="199"/>
        <v>0</v>
      </c>
      <c r="V1579" s="195">
        <f t="shared" si="200"/>
        <v>0</v>
      </c>
      <c r="W1579" s="196" t="e">
        <f t="shared" si="201"/>
        <v>#DIV/0!</v>
      </c>
      <c r="X1579" s="197" t="e">
        <f t="shared" si="202"/>
        <v>#DIV/0!</v>
      </c>
    </row>
    <row r="1580" ht="11.4" hidden="1" customHeight="1" spans="1:24">
      <c r="A1580" s="184" t="s">
        <v>3183</v>
      </c>
      <c r="B1580" s="184" t="s">
        <v>111</v>
      </c>
      <c r="C1580" s="184" t="s">
        <v>1101</v>
      </c>
      <c r="D1580" s="185" t="s">
        <v>704</v>
      </c>
      <c r="E1580" s="186" t="s">
        <v>906</v>
      </c>
      <c r="F1580" s="186" t="s">
        <v>907</v>
      </c>
      <c r="G1580" s="186" t="s">
        <v>1102</v>
      </c>
      <c r="H1580" s="186" t="s">
        <v>1103</v>
      </c>
      <c r="I1580" s="187" t="s">
        <v>1111</v>
      </c>
      <c r="J1580" s="187" t="s">
        <v>1112</v>
      </c>
      <c r="K1580" s="188"/>
      <c r="L1580" s="188"/>
      <c r="M1580" s="189" t="s">
        <v>807</v>
      </c>
      <c r="N1580" s="190">
        <v>38.94</v>
      </c>
      <c r="O1580" s="190">
        <f t="shared" si="195"/>
        <v>42.44</v>
      </c>
      <c r="P1580" s="191">
        <f t="shared" si="196"/>
        <v>0</v>
      </c>
      <c r="Q1580" s="192">
        <f t="shared" si="197"/>
        <v>0</v>
      </c>
      <c r="R1580" s="193"/>
      <c r="S1580" s="194"/>
      <c r="T1580" s="195">
        <f t="shared" si="198"/>
        <v>0</v>
      </c>
      <c r="U1580" s="195">
        <f t="shared" si="199"/>
        <v>0</v>
      </c>
      <c r="V1580" s="195">
        <f t="shared" si="200"/>
        <v>0</v>
      </c>
      <c r="W1580" s="196" t="e">
        <f t="shared" si="201"/>
        <v>#DIV/0!</v>
      </c>
      <c r="X1580" s="197" t="e">
        <f t="shared" si="202"/>
        <v>#DIV/0!</v>
      </c>
    </row>
    <row r="1581" ht="11.4" hidden="1" customHeight="1" spans="1:24">
      <c r="A1581" s="184" t="s">
        <v>3183</v>
      </c>
      <c r="B1581" s="184" t="s">
        <v>111</v>
      </c>
      <c r="C1581" s="184" t="s">
        <v>1101</v>
      </c>
      <c r="D1581" s="185" t="s">
        <v>704</v>
      </c>
      <c r="E1581" s="186" t="s">
        <v>906</v>
      </c>
      <c r="F1581" s="186" t="s">
        <v>907</v>
      </c>
      <c r="G1581" s="186" t="s">
        <v>1102</v>
      </c>
      <c r="H1581" s="186" t="s">
        <v>1103</v>
      </c>
      <c r="I1581" s="187" t="s">
        <v>1113</v>
      </c>
      <c r="J1581" s="187" t="s">
        <v>1114</v>
      </c>
      <c r="K1581" s="188"/>
      <c r="L1581" s="188"/>
      <c r="M1581" s="189" t="s">
        <v>847</v>
      </c>
      <c r="N1581" s="190">
        <v>181.99</v>
      </c>
      <c r="O1581" s="190">
        <f t="shared" si="195"/>
        <v>198.37</v>
      </c>
      <c r="P1581" s="191">
        <f t="shared" si="196"/>
        <v>0</v>
      </c>
      <c r="Q1581" s="192">
        <f t="shared" si="197"/>
        <v>0</v>
      </c>
      <c r="R1581" s="193"/>
      <c r="S1581" s="194"/>
      <c r="T1581" s="195">
        <f t="shared" si="198"/>
        <v>0</v>
      </c>
      <c r="U1581" s="195">
        <f t="shared" si="199"/>
        <v>0</v>
      </c>
      <c r="V1581" s="195">
        <f t="shared" si="200"/>
        <v>0</v>
      </c>
      <c r="W1581" s="196" t="e">
        <f t="shared" si="201"/>
        <v>#DIV/0!</v>
      </c>
      <c r="X1581" s="197" t="e">
        <f t="shared" si="202"/>
        <v>#DIV/0!</v>
      </c>
    </row>
    <row r="1582" ht="11.4" hidden="1" customHeight="1" spans="1:24">
      <c r="A1582" s="184" t="s">
        <v>3183</v>
      </c>
      <c r="B1582" s="184" t="s">
        <v>111</v>
      </c>
      <c r="C1582" s="184" t="s">
        <v>1101</v>
      </c>
      <c r="D1582" s="185" t="s">
        <v>704</v>
      </c>
      <c r="E1582" s="186" t="s">
        <v>906</v>
      </c>
      <c r="F1582" s="186" t="s">
        <v>907</v>
      </c>
      <c r="G1582" s="186" t="s">
        <v>1102</v>
      </c>
      <c r="H1582" s="186" t="s">
        <v>1103</v>
      </c>
      <c r="I1582" s="187" t="s">
        <v>1115</v>
      </c>
      <c r="J1582" s="187" t="s">
        <v>1116</v>
      </c>
      <c r="K1582" s="188"/>
      <c r="L1582" s="188"/>
      <c r="M1582" s="189" t="s">
        <v>807</v>
      </c>
      <c r="N1582" s="190">
        <v>42.57</v>
      </c>
      <c r="O1582" s="190">
        <f t="shared" si="195"/>
        <v>46.4</v>
      </c>
      <c r="P1582" s="191">
        <f t="shared" si="196"/>
        <v>0</v>
      </c>
      <c r="Q1582" s="192">
        <f t="shared" si="197"/>
        <v>0</v>
      </c>
      <c r="R1582" s="193"/>
      <c r="S1582" s="194"/>
      <c r="T1582" s="195">
        <f t="shared" si="198"/>
        <v>0</v>
      </c>
      <c r="U1582" s="195">
        <f t="shared" si="199"/>
        <v>0</v>
      </c>
      <c r="V1582" s="195">
        <f t="shared" si="200"/>
        <v>0</v>
      </c>
      <c r="W1582" s="196" t="e">
        <f t="shared" si="201"/>
        <v>#DIV/0!</v>
      </c>
      <c r="X1582" s="197" t="e">
        <f t="shared" si="202"/>
        <v>#DIV/0!</v>
      </c>
    </row>
    <row r="1583" ht="11.4" hidden="1" customHeight="1" spans="1:24">
      <c r="A1583" s="184" t="s">
        <v>3183</v>
      </c>
      <c r="B1583" s="184" t="s">
        <v>111</v>
      </c>
      <c r="C1583" s="184" t="s">
        <v>1101</v>
      </c>
      <c r="D1583" s="185" t="s">
        <v>704</v>
      </c>
      <c r="E1583" s="186" t="s">
        <v>906</v>
      </c>
      <c r="F1583" s="186" t="s">
        <v>907</v>
      </c>
      <c r="G1583" s="186" t="s">
        <v>1102</v>
      </c>
      <c r="H1583" s="186" t="s">
        <v>1103</v>
      </c>
      <c r="I1583" s="187" t="s">
        <v>1117</v>
      </c>
      <c r="J1583" s="187" t="s">
        <v>1118</v>
      </c>
      <c r="K1583" s="188"/>
      <c r="L1583" s="188"/>
      <c r="M1583" s="189" t="s">
        <v>847</v>
      </c>
      <c r="N1583" s="190">
        <v>187.98</v>
      </c>
      <c r="O1583" s="190">
        <f t="shared" si="195"/>
        <v>204.9</v>
      </c>
      <c r="P1583" s="191">
        <f t="shared" si="196"/>
        <v>0</v>
      </c>
      <c r="Q1583" s="192">
        <f t="shared" si="197"/>
        <v>0</v>
      </c>
      <c r="R1583" s="193"/>
      <c r="S1583" s="194"/>
      <c r="T1583" s="195">
        <f t="shared" si="198"/>
        <v>0</v>
      </c>
      <c r="U1583" s="195">
        <f t="shared" si="199"/>
        <v>0</v>
      </c>
      <c r="V1583" s="195">
        <f t="shared" si="200"/>
        <v>0</v>
      </c>
      <c r="W1583" s="196" t="e">
        <f t="shared" si="201"/>
        <v>#DIV/0!</v>
      </c>
      <c r="X1583" s="197" t="e">
        <f t="shared" si="202"/>
        <v>#DIV/0!</v>
      </c>
    </row>
    <row r="1584" ht="11.4" hidden="1" customHeight="1" spans="1:24">
      <c r="A1584" s="184" t="s">
        <v>3183</v>
      </c>
      <c r="B1584" s="184" t="s">
        <v>111</v>
      </c>
      <c r="C1584" s="184" t="s">
        <v>1101</v>
      </c>
      <c r="D1584" s="185" t="s">
        <v>704</v>
      </c>
      <c r="E1584" s="186" t="s">
        <v>906</v>
      </c>
      <c r="F1584" s="186" t="s">
        <v>907</v>
      </c>
      <c r="G1584" s="186" t="s">
        <v>1102</v>
      </c>
      <c r="H1584" s="186" t="s">
        <v>1103</v>
      </c>
      <c r="I1584" s="187" t="s">
        <v>1119</v>
      </c>
      <c r="J1584" s="187" t="s">
        <v>1120</v>
      </c>
      <c r="K1584" s="188"/>
      <c r="L1584" s="188"/>
      <c r="M1584" s="189" t="s">
        <v>847</v>
      </c>
      <c r="N1584" s="190">
        <v>171.66</v>
      </c>
      <c r="O1584" s="190">
        <f t="shared" si="195"/>
        <v>187.11</v>
      </c>
      <c r="P1584" s="191">
        <f t="shared" si="196"/>
        <v>0</v>
      </c>
      <c r="Q1584" s="192">
        <f t="shared" si="197"/>
        <v>0</v>
      </c>
      <c r="R1584" s="193"/>
      <c r="S1584" s="194"/>
      <c r="T1584" s="195">
        <f t="shared" si="198"/>
        <v>0</v>
      </c>
      <c r="U1584" s="195">
        <f t="shared" si="199"/>
        <v>0</v>
      </c>
      <c r="V1584" s="195">
        <f t="shared" si="200"/>
        <v>0</v>
      </c>
      <c r="W1584" s="196" t="e">
        <f t="shared" si="201"/>
        <v>#DIV/0!</v>
      </c>
      <c r="X1584" s="197" t="e">
        <f t="shared" si="202"/>
        <v>#DIV/0!</v>
      </c>
    </row>
    <row r="1585" ht="11.4" hidden="1" customHeight="1" spans="1:24">
      <c r="A1585" s="184" t="s">
        <v>3183</v>
      </c>
      <c r="B1585" s="184" t="s">
        <v>111</v>
      </c>
      <c r="C1585" s="184" t="s">
        <v>1101</v>
      </c>
      <c r="D1585" s="185" t="s">
        <v>704</v>
      </c>
      <c r="E1585" s="186" t="s">
        <v>906</v>
      </c>
      <c r="F1585" s="186" t="s">
        <v>907</v>
      </c>
      <c r="G1585" s="186" t="s">
        <v>1102</v>
      </c>
      <c r="H1585" s="186" t="s">
        <v>1103</v>
      </c>
      <c r="I1585" s="187" t="s">
        <v>1121</v>
      </c>
      <c r="J1585" s="187" t="s">
        <v>1122</v>
      </c>
      <c r="K1585" s="188"/>
      <c r="L1585" s="188"/>
      <c r="M1585" s="189" t="s">
        <v>847</v>
      </c>
      <c r="N1585" s="190">
        <v>189.15</v>
      </c>
      <c r="O1585" s="190">
        <f t="shared" si="195"/>
        <v>206.17</v>
      </c>
      <c r="P1585" s="191">
        <f t="shared" si="196"/>
        <v>0</v>
      </c>
      <c r="Q1585" s="192">
        <f t="shared" si="197"/>
        <v>0</v>
      </c>
      <c r="R1585" s="193"/>
      <c r="S1585" s="194"/>
      <c r="T1585" s="195">
        <f t="shared" si="198"/>
        <v>0</v>
      </c>
      <c r="U1585" s="195">
        <f t="shared" si="199"/>
        <v>0</v>
      </c>
      <c r="V1585" s="195">
        <f t="shared" si="200"/>
        <v>0</v>
      </c>
      <c r="W1585" s="196" t="e">
        <f t="shared" si="201"/>
        <v>#DIV/0!</v>
      </c>
      <c r="X1585" s="197" t="e">
        <f t="shared" si="202"/>
        <v>#DIV/0!</v>
      </c>
    </row>
    <row r="1586" ht="11.4" hidden="1" customHeight="1" spans="1:24">
      <c r="A1586" s="184" t="s">
        <v>3183</v>
      </c>
      <c r="B1586" s="184" t="s">
        <v>111</v>
      </c>
      <c r="C1586" s="184" t="s">
        <v>1101</v>
      </c>
      <c r="D1586" s="185" t="s">
        <v>704</v>
      </c>
      <c r="E1586" s="186" t="s">
        <v>906</v>
      </c>
      <c r="F1586" s="186" t="s">
        <v>907</v>
      </c>
      <c r="G1586" s="186" t="s">
        <v>1102</v>
      </c>
      <c r="H1586" s="186" t="s">
        <v>1103</v>
      </c>
      <c r="I1586" s="187" t="s">
        <v>1123</v>
      </c>
      <c r="J1586" s="187" t="s">
        <v>1124</v>
      </c>
      <c r="K1586" s="188"/>
      <c r="L1586" s="188"/>
      <c r="M1586" s="189" t="s">
        <v>807</v>
      </c>
      <c r="N1586" s="190">
        <v>41.36</v>
      </c>
      <c r="O1586" s="190">
        <f t="shared" si="195"/>
        <v>45.08</v>
      </c>
      <c r="P1586" s="191">
        <f t="shared" si="196"/>
        <v>0</v>
      </c>
      <c r="Q1586" s="192">
        <f t="shared" si="197"/>
        <v>0</v>
      </c>
      <c r="R1586" s="193"/>
      <c r="S1586" s="194"/>
      <c r="T1586" s="195">
        <f t="shared" si="198"/>
        <v>0</v>
      </c>
      <c r="U1586" s="195">
        <f t="shared" si="199"/>
        <v>0</v>
      </c>
      <c r="V1586" s="195">
        <f t="shared" si="200"/>
        <v>0</v>
      </c>
      <c r="W1586" s="196" t="e">
        <f t="shared" si="201"/>
        <v>#DIV/0!</v>
      </c>
      <c r="X1586" s="197" t="e">
        <f t="shared" si="202"/>
        <v>#DIV/0!</v>
      </c>
    </row>
    <row r="1587" ht="11.4" hidden="1" customHeight="1" spans="1:24">
      <c r="A1587" s="184" t="s">
        <v>3183</v>
      </c>
      <c r="B1587" s="184" t="s">
        <v>111</v>
      </c>
      <c r="C1587" s="184" t="s">
        <v>1101</v>
      </c>
      <c r="D1587" s="185" t="s">
        <v>704</v>
      </c>
      <c r="E1587" s="186" t="s">
        <v>906</v>
      </c>
      <c r="F1587" s="186" t="s">
        <v>907</v>
      </c>
      <c r="G1587" s="186" t="s">
        <v>1102</v>
      </c>
      <c r="H1587" s="186" t="s">
        <v>1103</v>
      </c>
      <c r="I1587" s="187" t="s">
        <v>1125</v>
      </c>
      <c r="J1587" s="187" t="s">
        <v>1126</v>
      </c>
      <c r="K1587" s="188"/>
      <c r="L1587" s="188"/>
      <c r="M1587" s="189" t="s">
        <v>807</v>
      </c>
      <c r="N1587" s="190">
        <v>38.94</v>
      </c>
      <c r="O1587" s="190">
        <f t="shared" si="195"/>
        <v>42.44</v>
      </c>
      <c r="P1587" s="191">
        <f t="shared" si="196"/>
        <v>0</v>
      </c>
      <c r="Q1587" s="192">
        <f t="shared" si="197"/>
        <v>0</v>
      </c>
      <c r="R1587" s="193"/>
      <c r="S1587" s="194"/>
      <c r="T1587" s="195">
        <f t="shared" si="198"/>
        <v>0</v>
      </c>
      <c r="U1587" s="195">
        <f t="shared" si="199"/>
        <v>0</v>
      </c>
      <c r="V1587" s="195">
        <f t="shared" si="200"/>
        <v>0</v>
      </c>
      <c r="W1587" s="196" t="e">
        <f t="shared" si="201"/>
        <v>#DIV/0!</v>
      </c>
      <c r="X1587" s="197" t="e">
        <f t="shared" si="202"/>
        <v>#DIV/0!</v>
      </c>
    </row>
    <row r="1588" ht="11.4" hidden="1" customHeight="1" spans="1:24">
      <c r="A1588" s="184" t="s">
        <v>3183</v>
      </c>
      <c r="B1588" s="184" t="s">
        <v>111</v>
      </c>
      <c r="C1588" s="184" t="s">
        <v>1101</v>
      </c>
      <c r="D1588" s="185" t="s">
        <v>704</v>
      </c>
      <c r="E1588" s="186" t="s">
        <v>906</v>
      </c>
      <c r="F1588" s="186" t="s">
        <v>907</v>
      </c>
      <c r="G1588" s="186" t="s">
        <v>1102</v>
      </c>
      <c r="H1588" s="186" t="s">
        <v>1103</v>
      </c>
      <c r="I1588" s="187" t="s">
        <v>1127</v>
      </c>
      <c r="J1588" s="187" t="s">
        <v>1128</v>
      </c>
      <c r="K1588" s="188"/>
      <c r="L1588" s="188"/>
      <c r="M1588" s="189" t="s">
        <v>807</v>
      </c>
      <c r="N1588" s="190">
        <v>40.15</v>
      </c>
      <c r="O1588" s="190">
        <f t="shared" si="195"/>
        <v>43.76</v>
      </c>
      <c r="P1588" s="191">
        <f t="shared" si="196"/>
        <v>0</v>
      </c>
      <c r="Q1588" s="192">
        <f t="shared" si="197"/>
        <v>0</v>
      </c>
      <c r="R1588" s="193"/>
      <c r="S1588" s="194"/>
      <c r="T1588" s="195">
        <f t="shared" si="198"/>
        <v>0</v>
      </c>
      <c r="U1588" s="195">
        <f t="shared" si="199"/>
        <v>0</v>
      </c>
      <c r="V1588" s="195">
        <f t="shared" si="200"/>
        <v>0</v>
      </c>
      <c r="W1588" s="196" t="e">
        <f t="shared" si="201"/>
        <v>#DIV/0!</v>
      </c>
      <c r="X1588" s="197" t="e">
        <f t="shared" si="202"/>
        <v>#DIV/0!</v>
      </c>
    </row>
    <row r="1589" ht="11.4" hidden="1" customHeight="1" spans="1:24">
      <c r="A1589" s="184" t="s">
        <v>3183</v>
      </c>
      <c r="B1589" s="184" t="s">
        <v>111</v>
      </c>
      <c r="C1589" s="184" t="s">
        <v>1101</v>
      </c>
      <c r="D1589" s="185" t="s">
        <v>704</v>
      </c>
      <c r="E1589" s="186" t="s">
        <v>906</v>
      </c>
      <c r="F1589" s="186" t="s">
        <v>907</v>
      </c>
      <c r="G1589" s="186" t="s">
        <v>1102</v>
      </c>
      <c r="H1589" s="186" t="s">
        <v>1103</v>
      </c>
      <c r="I1589" s="187" t="s">
        <v>1129</v>
      </c>
      <c r="J1589" s="187" t="s">
        <v>1130</v>
      </c>
      <c r="K1589" s="188"/>
      <c r="L1589" s="188"/>
      <c r="M1589" s="189" t="s">
        <v>847</v>
      </c>
      <c r="N1589" s="190">
        <v>219.86</v>
      </c>
      <c r="O1589" s="190">
        <f t="shared" si="195"/>
        <v>239.65</v>
      </c>
      <c r="P1589" s="191">
        <f t="shared" si="196"/>
        <v>0</v>
      </c>
      <c r="Q1589" s="192">
        <f t="shared" si="197"/>
        <v>0</v>
      </c>
      <c r="R1589" s="193"/>
      <c r="S1589" s="194"/>
      <c r="T1589" s="195">
        <f t="shared" si="198"/>
        <v>0</v>
      </c>
      <c r="U1589" s="195">
        <f t="shared" si="199"/>
        <v>0</v>
      </c>
      <c r="V1589" s="195">
        <f t="shared" si="200"/>
        <v>0</v>
      </c>
      <c r="W1589" s="196" t="e">
        <f t="shared" si="201"/>
        <v>#DIV/0!</v>
      </c>
      <c r="X1589" s="197" t="e">
        <f t="shared" si="202"/>
        <v>#DIV/0!</v>
      </c>
    </row>
    <row r="1590" ht="11.4" hidden="1" customHeight="1" spans="1:24">
      <c r="A1590" s="184" t="s">
        <v>3183</v>
      </c>
      <c r="B1590" s="184" t="s">
        <v>111</v>
      </c>
      <c r="C1590" s="184" t="s">
        <v>1101</v>
      </c>
      <c r="D1590" s="185" t="s">
        <v>704</v>
      </c>
      <c r="E1590" s="186" t="s">
        <v>906</v>
      </c>
      <c r="F1590" s="186" t="s">
        <v>907</v>
      </c>
      <c r="G1590" s="186" t="s">
        <v>1102</v>
      </c>
      <c r="H1590" s="186" t="s">
        <v>1103</v>
      </c>
      <c r="I1590" s="187" t="s">
        <v>1131</v>
      </c>
      <c r="J1590" s="187" t="s">
        <v>1132</v>
      </c>
      <c r="K1590" s="188"/>
      <c r="L1590" s="188"/>
      <c r="M1590" s="189" t="s">
        <v>847</v>
      </c>
      <c r="N1590" s="190">
        <v>203.42</v>
      </c>
      <c r="O1590" s="190">
        <f t="shared" si="195"/>
        <v>221.73</v>
      </c>
      <c r="P1590" s="191">
        <f t="shared" si="196"/>
        <v>0</v>
      </c>
      <c r="Q1590" s="192">
        <f t="shared" si="197"/>
        <v>0</v>
      </c>
      <c r="R1590" s="193"/>
      <c r="S1590" s="194"/>
      <c r="T1590" s="195">
        <f t="shared" si="198"/>
        <v>0</v>
      </c>
      <c r="U1590" s="195">
        <f t="shared" si="199"/>
        <v>0</v>
      </c>
      <c r="V1590" s="195">
        <f t="shared" si="200"/>
        <v>0</v>
      </c>
      <c r="W1590" s="196" t="e">
        <f t="shared" si="201"/>
        <v>#DIV/0!</v>
      </c>
      <c r="X1590" s="197" t="e">
        <f t="shared" si="202"/>
        <v>#DIV/0!</v>
      </c>
    </row>
    <row r="1591" ht="11.4" hidden="1" customHeight="1" spans="1:24">
      <c r="A1591" s="184" t="s">
        <v>3183</v>
      </c>
      <c r="B1591" s="184" t="s">
        <v>111</v>
      </c>
      <c r="C1591" s="184" t="s">
        <v>1101</v>
      </c>
      <c r="D1591" s="185" t="s">
        <v>704</v>
      </c>
      <c r="E1591" s="186" t="s">
        <v>906</v>
      </c>
      <c r="F1591" s="186" t="s">
        <v>907</v>
      </c>
      <c r="G1591" s="186" t="s">
        <v>1102</v>
      </c>
      <c r="H1591" s="186" t="s">
        <v>1103</v>
      </c>
      <c r="I1591" s="187" t="s">
        <v>1133</v>
      </c>
      <c r="J1591" s="187" t="s">
        <v>1134</v>
      </c>
      <c r="K1591" s="188"/>
      <c r="L1591" s="188"/>
      <c r="M1591" s="189" t="s">
        <v>847</v>
      </c>
      <c r="N1591" s="190">
        <v>222.39</v>
      </c>
      <c r="O1591" s="190">
        <f t="shared" si="195"/>
        <v>242.41</v>
      </c>
      <c r="P1591" s="191">
        <f t="shared" si="196"/>
        <v>0</v>
      </c>
      <c r="Q1591" s="192">
        <f t="shared" si="197"/>
        <v>0</v>
      </c>
      <c r="R1591" s="193"/>
      <c r="S1591" s="194"/>
      <c r="T1591" s="195">
        <f t="shared" si="198"/>
        <v>0</v>
      </c>
      <c r="U1591" s="195">
        <f t="shared" si="199"/>
        <v>0</v>
      </c>
      <c r="V1591" s="195">
        <f t="shared" si="200"/>
        <v>0</v>
      </c>
      <c r="W1591" s="196" t="e">
        <f t="shared" si="201"/>
        <v>#DIV/0!</v>
      </c>
      <c r="X1591" s="197" t="e">
        <f t="shared" si="202"/>
        <v>#DIV/0!</v>
      </c>
    </row>
    <row r="1592" ht="11.4" hidden="1" customHeight="1" spans="1:24">
      <c r="A1592" s="184" t="s">
        <v>3183</v>
      </c>
      <c r="B1592" s="184" t="s">
        <v>111</v>
      </c>
      <c r="C1592" s="184" t="s">
        <v>1101</v>
      </c>
      <c r="D1592" s="185" t="s">
        <v>704</v>
      </c>
      <c r="E1592" s="186" t="s">
        <v>906</v>
      </c>
      <c r="F1592" s="186" t="s">
        <v>907</v>
      </c>
      <c r="G1592" s="186" t="s">
        <v>1102</v>
      </c>
      <c r="H1592" s="186" t="s">
        <v>1103</v>
      </c>
      <c r="I1592" s="187" t="s">
        <v>1135</v>
      </c>
      <c r="J1592" s="187" t="s">
        <v>1136</v>
      </c>
      <c r="K1592" s="188"/>
      <c r="L1592" s="188"/>
      <c r="M1592" s="189" t="s">
        <v>807</v>
      </c>
      <c r="N1592" s="190">
        <v>41.36</v>
      </c>
      <c r="O1592" s="190">
        <f t="shared" si="195"/>
        <v>45.08</v>
      </c>
      <c r="P1592" s="191">
        <f t="shared" si="196"/>
        <v>0</v>
      </c>
      <c r="Q1592" s="192">
        <f t="shared" si="197"/>
        <v>0</v>
      </c>
      <c r="R1592" s="193"/>
      <c r="S1592" s="194"/>
      <c r="T1592" s="195">
        <f t="shared" si="198"/>
        <v>0</v>
      </c>
      <c r="U1592" s="195">
        <f t="shared" si="199"/>
        <v>0</v>
      </c>
      <c r="V1592" s="195">
        <f t="shared" si="200"/>
        <v>0</v>
      </c>
      <c r="W1592" s="196" t="e">
        <f t="shared" si="201"/>
        <v>#DIV/0!</v>
      </c>
      <c r="X1592" s="197" t="e">
        <f t="shared" si="202"/>
        <v>#DIV/0!</v>
      </c>
    </row>
    <row r="1593" ht="11.4" hidden="1" customHeight="1" spans="1:24">
      <c r="A1593" s="184" t="s">
        <v>3183</v>
      </c>
      <c r="B1593" s="184" t="s">
        <v>111</v>
      </c>
      <c r="C1593" s="184" t="s">
        <v>1101</v>
      </c>
      <c r="D1593" s="185" t="s">
        <v>704</v>
      </c>
      <c r="E1593" s="186" t="s">
        <v>906</v>
      </c>
      <c r="F1593" s="186" t="s">
        <v>907</v>
      </c>
      <c r="G1593" s="186" t="s">
        <v>1102</v>
      </c>
      <c r="H1593" s="186" t="s">
        <v>1103</v>
      </c>
      <c r="I1593" s="187" t="s">
        <v>1137</v>
      </c>
      <c r="J1593" s="187" t="s">
        <v>1138</v>
      </c>
      <c r="K1593" s="188"/>
      <c r="L1593" s="188"/>
      <c r="M1593" s="189" t="s">
        <v>807</v>
      </c>
      <c r="N1593" s="190">
        <v>40.15</v>
      </c>
      <c r="O1593" s="190">
        <f t="shared" si="195"/>
        <v>43.76</v>
      </c>
      <c r="P1593" s="191">
        <f t="shared" si="196"/>
        <v>0</v>
      </c>
      <c r="Q1593" s="192">
        <f t="shared" si="197"/>
        <v>0</v>
      </c>
      <c r="R1593" s="193"/>
      <c r="S1593" s="194"/>
      <c r="T1593" s="195">
        <f t="shared" si="198"/>
        <v>0</v>
      </c>
      <c r="U1593" s="195">
        <f t="shared" si="199"/>
        <v>0</v>
      </c>
      <c r="V1593" s="195">
        <f t="shared" si="200"/>
        <v>0</v>
      </c>
      <c r="W1593" s="196" t="e">
        <f t="shared" si="201"/>
        <v>#DIV/0!</v>
      </c>
      <c r="X1593" s="197" t="e">
        <f t="shared" si="202"/>
        <v>#DIV/0!</v>
      </c>
    </row>
    <row r="1594" ht="11.4" hidden="1" customHeight="1" spans="1:24">
      <c r="A1594" s="184" t="s">
        <v>3183</v>
      </c>
      <c r="B1594" s="184" t="s">
        <v>111</v>
      </c>
      <c r="C1594" s="184" t="s">
        <v>1101</v>
      </c>
      <c r="D1594" s="185" t="s">
        <v>704</v>
      </c>
      <c r="E1594" s="186" t="s">
        <v>906</v>
      </c>
      <c r="F1594" s="186" t="s">
        <v>907</v>
      </c>
      <c r="G1594" s="186" t="s">
        <v>1102</v>
      </c>
      <c r="H1594" s="186" t="s">
        <v>1103</v>
      </c>
      <c r="I1594" s="187" t="s">
        <v>1139</v>
      </c>
      <c r="J1594" s="187" t="s">
        <v>2898</v>
      </c>
      <c r="K1594" s="188"/>
      <c r="L1594" s="188"/>
      <c r="M1594" s="189" t="s">
        <v>807</v>
      </c>
      <c r="N1594" s="190">
        <v>41.36</v>
      </c>
      <c r="O1594" s="190">
        <f t="shared" si="195"/>
        <v>45.08</v>
      </c>
      <c r="P1594" s="191">
        <f t="shared" si="196"/>
        <v>0</v>
      </c>
      <c r="Q1594" s="192">
        <f t="shared" si="197"/>
        <v>0</v>
      </c>
      <c r="R1594" s="193"/>
      <c r="S1594" s="194"/>
      <c r="T1594" s="195">
        <f t="shared" si="198"/>
        <v>0</v>
      </c>
      <c r="U1594" s="195">
        <f t="shared" si="199"/>
        <v>0</v>
      </c>
      <c r="V1594" s="195">
        <f t="shared" si="200"/>
        <v>0</v>
      </c>
      <c r="W1594" s="196" t="e">
        <f t="shared" si="201"/>
        <v>#DIV/0!</v>
      </c>
      <c r="X1594" s="197" t="e">
        <f t="shared" si="202"/>
        <v>#DIV/0!</v>
      </c>
    </row>
    <row r="1595" ht="11.4" hidden="1" customHeight="1" spans="1:24">
      <c r="A1595" s="184" t="s">
        <v>3183</v>
      </c>
      <c r="B1595" s="184" t="s">
        <v>111</v>
      </c>
      <c r="C1595" s="184" t="s">
        <v>1101</v>
      </c>
      <c r="D1595" s="185" t="s">
        <v>704</v>
      </c>
      <c r="E1595" s="186" t="s">
        <v>906</v>
      </c>
      <c r="F1595" s="186" t="s">
        <v>907</v>
      </c>
      <c r="G1595" s="186" t="s">
        <v>1102</v>
      </c>
      <c r="H1595" s="186" t="s">
        <v>1103</v>
      </c>
      <c r="I1595" s="187" t="s">
        <v>1141</v>
      </c>
      <c r="J1595" s="187" t="s">
        <v>1142</v>
      </c>
      <c r="K1595" s="188"/>
      <c r="L1595" s="188"/>
      <c r="M1595" s="189" t="s">
        <v>847</v>
      </c>
      <c r="N1595" s="190">
        <v>196.14</v>
      </c>
      <c r="O1595" s="190">
        <f t="shared" si="195"/>
        <v>213.79</v>
      </c>
      <c r="P1595" s="191">
        <f t="shared" si="196"/>
        <v>0</v>
      </c>
      <c r="Q1595" s="192">
        <f t="shared" si="197"/>
        <v>0</v>
      </c>
      <c r="R1595" s="193"/>
      <c r="S1595" s="194"/>
      <c r="T1595" s="195">
        <f t="shared" si="198"/>
        <v>0</v>
      </c>
      <c r="U1595" s="195">
        <f t="shared" si="199"/>
        <v>0</v>
      </c>
      <c r="V1595" s="195">
        <f t="shared" si="200"/>
        <v>0</v>
      </c>
      <c r="W1595" s="196" t="e">
        <f t="shared" si="201"/>
        <v>#DIV/0!</v>
      </c>
      <c r="X1595" s="197" t="e">
        <f t="shared" si="202"/>
        <v>#DIV/0!</v>
      </c>
    </row>
    <row r="1596" ht="11.4" hidden="1" customHeight="1" spans="1:24">
      <c r="A1596" s="184" t="s">
        <v>3183</v>
      </c>
      <c r="B1596" s="184" t="s">
        <v>111</v>
      </c>
      <c r="C1596" s="184" t="s">
        <v>1101</v>
      </c>
      <c r="D1596" s="185" t="s">
        <v>704</v>
      </c>
      <c r="E1596" s="186" t="s">
        <v>906</v>
      </c>
      <c r="F1596" s="186" t="s">
        <v>907</v>
      </c>
      <c r="G1596" s="186" t="s">
        <v>1102</v>
      </c>
      <c r="H1596" s="186" t="s">
        <v>1103</v>
      </c>
      <c r="I1596" s="187" t="s">
        <v>1143</v>
      </c>
      <c r="J1596" s="187" t="s">
        <v>1144</v>
      </c>
      <c r="K1596" s="188"/>
      <c r="L1596" s="188"/>
      <c r="M1596" s="189" t="s">
        <v>807</v>
      </c>
      <c r="N1596" s="190">
        <v>41.47</v>
      </c>
      <c r="O1596" s="190">
        <f t="shared" si="195"/>
        <v>45.2</v>
      </c>
      <c r="P1596" s="191">
        <f t="shared" si="196"/>
        <v>0</v>
      </c>
      <c r="Q1596" s="192">
        <f t="shared" si="197"/>
        <v>0</v>
      </c>
      <c r="R1596" s="193"/>
      <c r="S1596" s="194"/>
      <c r="T1596" s="195">
        <f t="shared" si="198"/>
        <v>0</v>
      </c>
      <c r="U1596" s="195">
        <f t="shared" si="199"/>
        <v>0</v>
      </c>
      <c r="V1596" s="195">
        <f t="shared" si="200"/>
        <v>0</v>
      </c>
      <c r="W1596" s="196" t="e">
        <f t="shared" si="201"/>
        <v>#DIV/0!</v>
      </c>
      <c r="X1596" s="197" t="e">
        <f t="shared" si="202"/>
        <v>#DIV/0!</v>
      </c>
    </row>
    <row r="1597" ht="11.4" hidden="1" customHeight="1" spans="1:24">
      <c r="A1597" s="184" t="s">
        <v>3183</v>
      </c>
      <c r="B1597" s="184" t="s">
        <v>111</v>
      </c>
      <c r="C1597" s="184" t="s">
        <v>1101</v>
      </c>
      <c r="D1597" s="185" t="s">
        <v>704</v>
      </c>
      <c r="E1597" s="186" t="s">
        <v>906</v>
      </c>
      <c r="F1597" s="186" t="s">
        <v>907</v>
      </c>
      <c r="G1597" s="186" t="s">
        <v>1102</v>
      </c>
      <c r="H1597" s="186" t="s">
        <v>1103</v>
      </c>
      <c r="I1597" s="187" t="s">
        <v>1145</v>
      </c>
      <c r="J1597" s="187" t="s">
        <v>1146</v>
      </c>
      <c r="K1597" s="188"/>
      <c r="L1597" s="188"/>
      <c r="M1597" s="189" t="s">
        <v>847</v>
      </c>
      <c r="N1597" s="190">
        <v>179.82</v>
      </c>
      <c r="O1597" s="190">
        <f t="shared" si="195"/>
        <v>196</v>
      </c>
      <c r="P1597" s="191">
        <f t="shared" si="196"/>
        <v>0</v>
      </c>
      <c r="Q1597" s="192">
        <f t="shared" si="197"/>
        <v>0</v>
      </c>
      <c r="R1597" s="193"/>
      <c r="S1597" s="194"/>
      <c r="T1597" s="195">
        <f t="shared" si="198"/>
        <v>0</v>
      </c>
      <c r="U1597" s="195">
        <f t="shared" si="199"/>
        <v>0</v>
      </c>
      <c r="V1597" s="195">
        <f t="shared" si="200"/>
        <v>0</v>
      </c>
      <c r="W1597" s="196" t="e">
        <f t="shared" si="201"/>
        <v>#DIV/0!</v>
      </c>
      <c r="X1597" s="197" t="e">
        <f t="shared" si="202"/>
        <v>#DIV/0!</v>
      </c>
    </row>
    <row r="1598" ht="11.4" hidden="1" customHeight="1" spans="1:24">
      <c r="A1598" s="184" t="s">
        <v>3183</v>
      </c>
      <c r="B1598" s="184" t="s">
        <v>111</v>
      </c>
      <c r="C1598" s="184" t="s">
        <v>1101</v>
      </c>
      <c r="D1598" s="185" t="s">
        <v>704</v>
      </c>
      <c r="E1598" s="186" t="s">
        <v>906</v>
      </c>
      <c r="F1598" s="186" t="s">
        <v>907</v>
      </c>
      <c r="G1598" s="186" t="s">
        <v>1102</v>
      </c>
      <c r="H1598" s="186" t="s">
        <v>1103</v>
      </c>
      <c r="I1598" s="187" t="s">
        <v>1147</v>
      </c>
      <c r="J1598" s="187" t="s">
        <v>1148</v>
      </c>
      <c r="K1598" s="188"/>
      <c r="L1598" s="188"/>
      <c r="M1598" s="189" t="s">
        <v>807</v>
      </c>
      <c r="N1598" s="190">
        <v>37.84</v>
      </c>
      <c r="O1598" s="190">
        <f t="shared" si="195"/>
        <v>41.25</v>
      </c>
      <c r="P1598" s="191">
        <f t="shared" si="196"/>
        <v>0</v>
      </c>
      <c r="Q1598" s="192">
        <f t="shared" si="197"/>
        <v>0</v>
      </c>
      <c r="R1598" s="193"/>
      <c r="S1598" s="194"/>
      <c r="T1598" s="195">
        <f t="shared" si="198"/>
        <v>0</v>
      </c>
      <c r="U1598" s="195">
        <f t="shared" si="199"/>
        <v>0</v>
      </c>
      <c r="V1598" s="195">
        <f t="shared" si="200"/>
        <v>0</v>
      </c>
      <c r="W1598" s="196" t="e">
        <f t="shared" si="201"/>
        <v>#DIV/0!</v>
      </c>
      <c r="X1598" s="197" t="e">
        <f t="shared" si="202"/>
        <v>#DIV/0!</v>
      </c>
    </row>
    <row r="1599" ht="11.4" hidden="1" customHeight="1" spans="1:24">
      <c r="A1599" s="184" t="s">
        <v>3183</v>
      </c>
      <c r="B1599" s="184" t="s">
        <v>111</v>
      </c>
      <c r="C1599" s="184" t="s">
        <v>1101</v>
      </c>
      <c r="D1599" s="185" t="s">
        <v>704</v>
      </c>
      <c r="E1599" s="186" t="s">
        <v>906</v>
      </c>
      <c r="F1599" s="186" t="s">
        <v>907</v>
      </c>
      <c r="G1599" s="186" t="s">
        <v>1102</v>
      </c>
      <c r="H1599" s="186" t="s">
        <v>1103</v>
      </c>
      <c r="I1599" s="187" t="s">
        <v>1149</v>
      </c>
      <c r="J1599" s="187" t="s">
        <v>1150</v>
      </c>
      <c r="K1599" s="188"/>
      <c r="L1599" s="188"/>
      <c r="M1599" s="189" t="s">
        <v>847</v>
      </c>
      <c r="N1599" s="190">
        <v>193.81</v>
      </c>
      <c r="O1599" s="190">
        <f t="shared" si="195"/>
        <v>211.25</v>
      </c>
      <c r="P1599" s="191">
        <f t="shared" si="196"/>
        <v>0</v>
      </c>
      <c r="Q1599" s="192">
        <f t="shared" si="197"/>
        <v>0</v>
      </c>
      <c r="R1599" s="193"/>
      <c r="S1599" s="194"/>
      <c r="T1599" s="195">
        <f t="shared" si="198"/>
        <v>0</v>
      </c>
      <c r="U1599" s="195">
        <f t="shared" si="199"/>
        <v>0</v>
      </c>
      <c r="V1599" s="195">
        <f t="shared" si="200"/>
        <v>0</v>
      </c>
      <c r="W1599" s="196" t="e">
        <f t="shared" si="201"/>
        <v>#DIV/0!</v>
      </c>
      <c r="X1599" s="197" t="e">
        <f t="shared" si="202"/>
        <v>#DIV/0!</v>
      </c>
    </row>
    <row r="1600" ht="11.4" hidden="1" customHeight="1" spans="1:24">
      <c r="A1600" s="184" t="s">
        <v>3183</v>
      </c>
      <c r="B1600" s="184" t="s">
        <v>111</v>
      </c>
      <c r="C1600" s="184" t="s">
        <v>1101</v>
      </c>
      <c r="D1600" s="185" t="s">
        <v>704</v>
      </c>
      <c r="E1600" s="186" t="s">
        <v>906</v>
      </c>
      <c r="F1600" s="186" t="s">
        <v>907</v>
      </c>
      <c r="G1600" s="186" t="s">
        <v>1102</v>
      </c>
      <c r="H1600" s="186" t="s">
        <v>1103</v>
      </c>
      <c r="I1600" s="187" t="s">
        <v>1151</v>
      </c>
      <c r="J1600" s="187" t="s">
        <v>1152</v>
      </c>
      <c r="K1600" s="188"/>
      <c r="L1600" s="188"/>
      <c r="M1600" s="189" t="s">
        <v>807</v>
      </c>
      <c r="N1600" s="190">
        <v>39.05</v>
      </c>
      <c r="O1600" s="190">
        <f t="shared" si="195"/>
        <v>42.56</v>
      </c>
      <c r="P1600" s="191">
        <f t="shared" si="196"/>
        <v>0</v>
      </c>
      <c r="Q1600" s="192">
        <f t="shared" si="197"/>
        <v>0</v>
      </c>
      <c r="R1600" s="193"/>
      <c r="S1600" s="194"/>
      <c r="T1600" s="195">
        <f t="shared" si="198"/>
        <v>0</v>
      </c>
      <c r="U1600" s="195">
        <f t="shared" si="199"/>
        <v>0</v>
      </c>
      <c r="V1600" s="195">
        <f t="shared" si="200"/>
        <v>0</v>
      </c>
      <c r="W1600" s="196" t="e">
        <f t="shared" si="201"/>
        <v>#DIV/0!</v>
      </c>
      <c r="X1600" s="197" t="e">
        <f t="shared" si="202"/>
        <v>#DIV/0!</v>
      </c>
    </row>
    <row r="1601" ht="11.4" hidden="1" customHeight="1" spans="1:24">
      <c r="A1601" s="184" t="s">
        <v>3183</v>
      </c>
      <c r="B1601" s="184" t="s">
        <v>111</v>
      </c>
      <c r="C1601" s="184" t="s">
        <v>1101</v>
      </c>
      <c r="D1601" s="185" t="s">
        <v>704</v>
      </c>
      <c r="E1601" s="186" t="s">
        <v>906</v>
      </c>
      <c r="F1601" s="186" t="s">
        <v>907</v>
      </c>
      <c r="G1601" s="186" t="s">
        <v>1102</v>
      </c>
      <c r="H1601" s="186" t="s">
        <v>1103</v>
      </c>
      <c r="I1601" s="187" t="s">
        <v>1153</v>
      </c>
      <c r="J1601" s="187" t="s">
        <v>1154</v>
      </c>
      <c r="K1601" s="188"/>
      <c r="L1601" s="188"/>
      <c r="M1601" s="189" t="s">
        <v>847</v>
      </c>
      <c r="N1601" s="190">
        <v>178.2</v>
      </c>
      <c r="O1601" s="190">
        <f t="shared" si="195"/>
        <v>194.24</v>
      </c>
      <c r="P1601" s="191">
        <f t="shared" si="196"/>
        <v>0</v>
      </c>
      <c r="Q1601" s="192">
        <f t="shared" si="197"/>
        <v>0</v>
      </c>
      <c r="R1601" s="193"/>
      <c r="S1601" s="194"/>
      <c r="T1601" s="195">
        <f t="shared" si="198"/>
        <v>0</v>
      </c>
      <c r="U1601" s="195">
        <f t="shared" si="199"/>
        <v>0</v>
      </c>
      <c r="V1601" s="195">
        <f t="shared" si="200"/>
        <v>0</v>
      </c>
      <c r="W1601" s="196" t="e">
        <f t="shared" si="201"/>
        <v>#DIV/0!</v>
      </c>
      <c r="X1601" s="197" t="e">
        <f t="shared" si="202"/>
        <v>#DIV/0!</v>
      </c>
    </row>
    <row r="1602" ht="11.4" hidden="1" customHeight="1" spans="1:24">
      <c r="A1602" s="184" t="s">
        <v>3183</v>
      </c>
      <c r="B1602" s="184" t="s">
        <v>111</v>
      </c>
      <c r="C1602" s="184" t="s">
        <v>1101</v>
      </c>
      <c r="D1602" s="185" t="s">
        <v>704</v>
      </c>
      <c r="E1602" s="186" t="s">
        <v>906</v>
      </c>
      <c r="F1602" s="186" t="s">
        <v>907</v>
      </c>
      <c r="G1602" s="186" t="s">
        <v>1102</v>
      </c>
      <c r="H1602" s="186" t="s">
        <v>1103</v>
      </c>
      <c r="I1602" s="187" t="s">
        <v>1155</v>
      </c>
      <c r="J1602" s="187" t="s">
        <v>1156</v>
      </c>
      <c r="K1602" s="188"/>
      <c r="L1602" s="188"/>
      <c r="M1602" s="189" t="s">
        <v>847</v>
      </c>
      <c r="N1602" s="190">
        <v>170.67</v>
      </c>
      <c r="O1602" s="190">
        <f t="shared" si="195"/>
        <v>186.03</v>
      </c>
      <c r="P1602" s="191">
        <f t="shared" si="196"/>
        <v>0</v>
      </c>
      <c r="Q1602" s="192">
        <f t="shared" si="197"/>
        <v>0</v>
      </c>
      <c r="R1602" s="193"/>
      <c r="S1602" s="194"/>
      <c r="T1602" s="195">
        <f t="shared" si="198"/>
        <v>0</v>
      </c>
      <c r="U1602" s="195">
        <f t="shared" si="199"/>
        <v>0</v>
      </c>
      <c r="V1602" s="195">
        <f t="shared" si="200"/>
        <v>0</v>
      </c>
      <c r="W1602" s="196" t="e">
        <f t="shared" si="201"/>
        <v>#DIV/0!</v>
      </c>
      <c r="X1602" s="197" t="e">
        <f t="shared" si="202"/>
        <v>#DIV/0!</v>
      </c>
    </row>
    <row r="1603" ht="11.4" hidden="1" customHeight="1" spans="1:24">
      <c r="A1603" s="184" t="s">
        <v>3183</v>
      </c>
      <c r="B1603" s="184" t="s">
        <v>111</v>
      </c>
      <c r="C1603" s="184" t="s">
        <v>1101</v>
      </c>
      <c r="D1603" s="185" t="s">
        <v>704</v>
      </c>
      <c r="E1603" s="186" t="s">
        <v>906</v>
      </c>
      <c r="F1603" s="186" t="s">
        <v>907</v>
      </c>
      <c r="G1603" s="186" t="s">
        <v>1102</v>
      </c>
      <c r="H1603" s="186" t="s">
        <v>1103</v>
      </c>
      <c r="I1603" s="187" t="s">
        <v>1157</v>
      </c>
      <c r="J1603" s="187" t="s">
        <v>1158</v>
      </c>
      <c r="K1603" s="188"/>
      <c r="L1603" s="188"/>
      <c r="M1603" s="189" t="s">
        <v>847</v>
      </c>
      <c r="N1603" s="190">
        <v>181.7</v>
      </c>
      <c r="O1603" s="190">
        <f t="shared" si="195"/>
        <v>198.05</v>
      </c>
      <c r="P1603" s="191">
        <f t="shared" si="196"/>
        <v>0</v>
      </c>
      <c r="Q1603" s="192">
        <f t="shared" si="197"/>
        <v>0</v>
      </c>
      <c r="R1603" s="193"/>
      <c r="S1603" s="194"/>
      <c r="T1603" s="195">
        <f t="shared" si="198"/>
        <v>0</v>
      </c>
      <c r="U1603" s="195">
        <f t="shared" si="199"/>
        <v>0</v>
      </c>
      <c r="V1603" s="195">
        <f t="shared" si="200"/>
        <v>0</v>
      </c>
      <c r="W1603" s="196" t="e">
        <f t="shared" si="201"/>
        <v>#DIV/0!</v>
      </c>
      <c r="X1603" s="197" t="e">
        <f t="shared" si="202"/>
        <v>#DIV/0!</v>
      </c>
    </row>
    <row r="1604" ht="11.4" hidden="1" customHeight="1" spans="1:24">
      <c r="A1604" s="184" t="s">
        <v>3183</v>
      </c>
      <c r="B1604" s="184" t="s">
        <v>111</v>
      </c>
      <c r="C1604" s="184" t="s">
        <v>1101</v>
      </c>
      <c r="D1604" s="185" t="s">
        <v>704</v>
      </c>
      <c r="E1604" s="186" t="s">
        <v>906</v>
      </c>
      <c r="F1604" s="186" t="s">
        <v>907</v>
      </c>
      <c r="G1604" s="186" t="s">
        <v>1102</v>
      </c>
      <c r="H1604" s="186" t="s">
        <v>1103</v>
      </c>
      <c r="I1604" s="187" t="s">
        <v>1159</v>
      </c>
      <c r="J1604" s="187" t="s">
        <v>1160</v>
      </c>
      <c r="K1604" s="188"/>
      <c r="L1604" s="188"/>
      <c r="M1604" s="189" t="s">
        <v>847</v>
      </c>
      <c r="N1604" s="190">
        <v>180.78</v>
      </c>
      <c r="O1604" s="190">
        <f t="shared" si="195"/>
        <v>197.05</v>
      </c>
      <c r="P1604" s="191">
        <f t="shared" si="196"/>
        <v>0</v>
      </c>
      <c r="Q1604" s="192">
        <f t="shared" si="197"/>
        <v>0</v>
      </c>
      <c r="R1604" s="193"/>
      <c r="S1604" s="194"/>
      <c r="T1604" s="195">
        <f t="shared" si="198"/>
        <v>0</v>
      </c>
      <c r="U1604" s="195">
        <f t="shared" si="199"/>
        <v>0</v>
      </c>
      <c r="V1604" s="195">
        <f t="shared" si="200"/>
        <v>0</v>
      </c>
      <c r="W1604" s="196" t="e">
        <f t="shared" si="201"/>
        <v>#DIV/0!</v>
      </c>
      <c r="X1604" s="197" t="e">
        <f t="shared" si="202"/>
        <v>#DIV/0!</v>
      </c>
    </row>
    <row r="1605" ht="11.4" hidden="1" customHeight="1" spans="1:24">
      <c r="A1605" s="184" t="s">
        <v>3183</v>
      </c>
      <c r="B1605" s="184" t="s">
        <v>111</v>
      </c>
      <c r="C1605" s="184" t="s">
        <v>1101</v>
      </c>
      <c r="D1605" s="185" t="s">
        <v>704</v>
      </c>
      <c r="E1605" s="186" t="s">
        <v>906</v>
      </c>
      <c r="F1605" s="186" t="s">
        <v>907</v>
      </c>
      <c r="G1605" s="186" t="s">
        <v>1102</v>
      </c>
      <c r="H1605" s="186" t="s">
        <v>1103</v>
      </c>
      <c r="I1605" s="187" t="s">
        <v>1161</v>
      </c>
      <c r="J1605" s="187" t="s">
        <v>1162</v>
      </c>
      <c r="K1605" s="188"/>
      <c r="L1605" s="188"/>
      <c r="M1605" s="189" t="s">
        <v>847</v>
      </c>
      <c r="N1605" s="190">
        <v>162.63</v>
      </c>
      <c r="O1605" s="190">
        <f t="shared" si="195"/>
        <v>177.27</v>
      </c>
      <c r="P1605" s="191">
        <f t="shared" si="196"/>
        <v>0</v>
      </c>
      <c r="Q1605" s="192">
        <f t="shared" si="197"/>
        <v>0</v>
      </c>
      <c r="R1605" s="193"/>
      <c r="S1605" s="194"/>
      <c r="T1605" s="195">
        <f t="shared" si="198"/>
        <v>0</v>
      </c>
      <c r="U1605" s="195">
        <f t="shared" si="199"/>
        <v>0</v>
      </c>
      <c r="V1605" s="195">
        <f t="shared" si="200"/>
        <v>0</v>
      </c>
      <c r="W1605" s="196" t="e">
        <f t="shared" si="201"/>
        <v>#DIV/0!</v>
      </c>
      <c r="X1605" s="197" t="e">
        <f t="shared" si="202"/>
        <v>#DIV/0!</v>
      </c>
    </row>
    <row r="1606" ht="11.4" hidden="1" customHeight="1" spans="1:24">
      <c r="A1606" s="184" t="s">
        <v>3183</v>
      </c>
      <c r="B1606" s="184" t="s">
        <v>111</v>
      </c>
      <c r="C1606" s="184" t="s">
        <v>1101</v>
      </c>
      <c r="D1606" s="185" t="s">
        <v>704</v>
      </c>
      <c r="E1606" s="186" t="s">
        <v>906</v>
      </c>
      <c r="F1606" s="186" t="s">
        <v>907</v>
      </c>
      <c r="G1606" s="186" t="s">
        <v>1102</v>
      </c>
      <c r="H1606" s="186" t="s">
        <v>1103</v>
      </c>
      <c r="I1606" s="187" t="s">
        <v>1163</v>
      </c>
      <c r="J1606" s="187" t="s">
        <v>1164</v>
      </c>
      <c r="K1606" s="188"/>
      <c r="L1606" s="188"/>
      <c r="M1606" s="189" t="s">
        <v>847</v>
      </c>
      <c r="N1606" s="190">
        <v>183.2</v>
      </c>
      <c r="O1606" s="190">
        <f t="shared" si="195"/>
        <v>199.69</v>
      </c>
      <c r="P1606" s="191">
        <f t="shared" si="196"/>
        <v>0</v>
      </c>
      <c r="Q1606" s="192">
        <f t="shared" si="197"/>
        <v>0</v>
      </c>
      <c r="R1606" s="193"/>
      <c r="S1606" s="194"/>
      <c r="T1606" s="195">
        <f t="shared" si="198"/>
        <v>0</v>
      </c>
      <c r="U1606" s="195">
        <f t="shared" si="199"/>
        <v>0</v>
      </c>
      <c r="V1606" s="195">
        <f t="shared" si="200"/>
        <v>0</v>
      </c>
      <c r="W1606" s="196" t="e">
        <f t="shared" si="201"/>
        <v>#DIV/0!</v>
      </c>
      <c r="X1606" s="197" t="e">
        <f t="shared" si="202"/>
        <v>#DIV/0!</v>
      </c>
    </row>
    <row r="1607" ht="11.4" hidden="1" customHeight="1" spans="1:24">
      <c r="A1607" s="184" t="s">
        <v>3183</v>
      </c>
      <c r="B1607" s="184" t="s">
        <v>111</v>
      </c>
      <c r="C1607" s="184" t="s">
        <v>1101</v>
      </c>
      <c r="D1607" s="185" t="s">
        <v>704</v>
      </c>
      <c r="E1607" s="186" t="s">
        <v>906</v>
      </c>
      <c r="F1607" s="186" t="s">
        <v>907</v>
      </c>
      <c r="G1607" s="186" t="s">
        <v>1102</v>
      </c>
      <c r="H1607" s="186" t="s">
        <v>1103</v>
      </c>
      <c r="I1607" s="187" t="s">
        <v>1165</v>
      </c>
      <c r="J1607" s="187" t="s">
        <v>1166</v>
      </c>
      <c r="K1607" s="188"/>
      <c r="L1607" s="188"/>
      <c r="M1607" s="189" t="s">
        <v>847</v>
      </c>
      <c r="N1607" s="190">
        <v>205.46</v>
      </c>
      <c r="O1607" s="190">
        <f t="shared" si="195"/>
        <v>223.95</v>
      </c>
      <c r="P1607" s="191">
        <f t="shared" si="196"/>
        <v>0</v>
      </c>
      <c r="Q1607" s="192">
        <f t="shared" si="197"/>
        <v>0</v>
      </c>
      <c r="R1607" s="193"/>
      <c r="S1607" s="194"/>
      <c r="T1607" s="195">
        <f t="shared" si="198"/>
        <v>0</v>
      </c>
      <c r="U1607" s="195">
        <f t="shared" si="199"/>
        <v>0</v>
      </c>
      <c r="V1607" s="195">
        <f t="shared" si="200"/>
        <v>0</v>
      </c>
      <c r="W1607" s="196" t="e">
        <f t="shared" si="201"/>
        <v>#DIV/0!</v>
      </c>
      <c r="X1607" s="197" t="e">
        <f t="shared" si="202"/>
        <v>#DIV/0!</v>
      </c>
    </row>
    <row r="1608" ht="11.4" hidden="1" customHeight="1" spans="1:24">
      <c r="A1608" s="184" t="s">
        <v>3183</v>
      </c>
      <c r="B1608" s="184" t="s">
        <v>111</v>
      </c>
      <c r="C1608" s="184" t="s">
        <v>1101</v>
      </c>
      <c r="D1608" s="185" t="s">
        <v>704</v>
      </c>
      <c r="E1608" s="186" t="s">
        <v>906</v>
      </c>
      <c r="F1608" s="186" t="s">
        <v>907</v>
      </c>
      <c r="G1608" s="186" t="s">
        <v>1102</v>
      </c>
      <c r="H1608" s="186" t="s">
        <v>1103</v>
      </c>
      <c r="I1608" s="187" t="s">
        <v>1167</v>
      </c>
      <c r="J1608" s="187" t="s">
        <v>1168</v>
      </c>
      <c r="K1608" s="188"/>
      <c r="L1608" s="188"/>
      <c r="M1608" s="189" t="s">
        <v>847</v>
      </c>
      <c r="N1608" s="190">
        <v>195.26</v>
      </c>
      <c r="O1608" s="190">
        <f t="shared" si="195"/>
        <v>212.83</v>
      </c>
      <c r="P1608" s="191">
        <f t="shared" si="196"/>
        <v>0</v>
      </c>
      <c r="Q1608" s="192">
        <f t="shared" si="197"/>
        <v>0</v>
      </c>
      <c r="R1608" s="193"/>
      <c r="S1608" s="194"/>
      <c r="T1608" s="195">
        <f t="shared" si="198"/>
        <v>0</v>
      </c>
      <c r="U1608" s="195">
        <f t="shared" si="199"/>
        <v>0</v>
      </c>
      <c r="V1608" s="195">
        <f t="shared" si="200"/>
        <v>0</v>
      </c>
      <c r="W1608" s="196" t="e">
        <f t="shared" si="201"/>
        <v>#DIV/0!</v>
      </c>
      <c r="X1608" s="197" t="e">
        <f t="shared" si="202"/>
        <v>#DIV/0!</v>
      </c>
    </row>
    <row r="1609" ht="11.4" hidden="1" customHeight="1" spans="1:24">
      <c r="A1609" s="184" t="s">
        <v>3183</v>
      </c>
      <c r="B1609" s="184" t="s">
        <v>111</v>
      </c>
      <c r="C1609" s="184" t="s">
        <v>1101</v>
      </c>
      <c r="D1609" s="185" t="s">
        <v>704</v>
      </c>
      <c r="E1609" s="186" t="s">
        <v>906</v>
      </c>
      <c r="F1609" s="186" t="s">
        <v>907</v>
      </c>
      <c r="G1609" s="186" t="s">
        <v>1102</v>
      </c>
      <c r="H1609" s="186" t="s">
        <v>1103</v>
      </c>
      <c r="I1609" s="187" t="s">
        <v>1169</v>
      </c>
      <c r="J1609" s="187" t="s">
        <v>1170</v>
      </c>
      <c r="K1609" s="188"/>
      <c r="L1609" s="188"/>
      <c r="M1609" s="189" t="s">
        <v>847</v>
      </c>
      <c r="N1609" s="190">
        <v>205.46</v>
      </c>
      <c r="O1609" s="190">
        <f t="shared" si="195"/>
        <v>223.95</v>
      </c>
      <c r="P1609" s="191">
        <f t="shared" si="196"/>
        <v>0</v>
      </c>
      <c r="Q1609" s="192">
        <f t="shared" si="197"/>
        <v>0</v>
      </c>
      <c r="R1609" s="193"/>
      <c r="S1609" s="194"/>
      <c r="T1609" s="195">
        <f t="shared" si="198"/>
        <v>0</v>
      </c>
      <c r="U1609" s="195">
        <f t="shared" si="199"/>
        <v>0</v>
      </c>
      <c r="V1609" s="195">
        <f t="shared" si="200"/>
        <v>0</v>
      </c>
      <c r="W1609" s="196" t="e">
        <f t="shared" si="201"/>
        <v>#DIV/0!</v>
      </c>
      <c r="X1609" s="197" t="e">
        <f t="shared" si="202"/>
        <v>#DIV/0!</v>
      </c>
    </row>
    <row r="1610" ht="11.4" hidden="1" customHeight="1" spans="1:24">
      <c r="A1610" s="184" t="s">
        <v>3183</v>
      </c>
      <c r="B1610" s="184" t="s">
        <v>111</v>
      </c>
      <c r="C1610" s="184" t="s">
        <v>1101</v>
      </c>
      <c r="D1610" s="185" t="s">
        <v>704</v>
      </c>
      <c r="E1610" s="186" t="s">
        <v>906</v>
      </c>
      <c r="F1610" s="186" t="s">
        <v>907</v>
      </c>
      <c r="G1610" s="186" t="s">
        <v>1102</v>
      </c>
      <c r="H1610" s="186" t="s">
        <v>1103</v>
      </c>
      <c r="I1610" s="187" t="s">
        <v>1171</v>
      </c>
      <c r="J1610" s="187" t="s">
        <v>1172</v>
      </c>
      <c r="K1610" s="188"/>
      <c r="L1610" s="188"/>
      <c r="M1610" s="189" t="s">
        <v>847</v>
      </c>
      <c r="N1610" s="190">
        <v>607.91</v>
      </c>
      <c r="O1610" s="190">
        <f t="shared" si="195"/>
        <v>662.62</v>
      </c>
      <c r="P1610" s="191">
        <f t="shared" si="196"/>
        <v>0</v>
      </c>
      <c r="Q1610" s="192">
        <f t="shared" si="197"/>
        <v>0</v>
      </c>
      <c r="R1610" s="193"/>
      <c r="S1610" s="194"/>
      <c r="T1610" s="195">
        <f t="shared" si="198"/>
        <v>0</v>
      </c>
      <c r="U1610" s="195">
        <f t="shared" si="199"/>
        <v>0</v>
      </c>
      <c r="V1610" s="195">
        <f t="shared" si="200"/>
        <v>0</v>
      </c>
      <c r="W1610" s="196" t="e">
        <f t="shared" si="201"/>
        <v>#DIV/0!</v>
      </c>
      <c r="X1610" s="197" t="e">
        <f t="shared" si="202"/>
        <v>#DIV/0!</v>
      </c>
    </row>
    <row r="1611" ht="11.4" hidden="1" customHeight="1" spans="1:24">
      <c r="A1611" s="184" t="s">
        <v>3184</v>
      </c>
      <c r="B1611" s="184" t="s">
        <v>113</v>
      </c>
      <c r="C1611" s="184" t="s">
        <v>1101</v>
      </c>
      <c r="D1611" s="185" t="s">
        <v>704</v>
      </c>
      <c r="E1611" s="186" t="s">
        <v>906</v>
      </c>
      <c r="F1611" s="186" t="s">
        <v>907</v>
      </c>
      <c r="G1611" s="186" t="s">
        <v>1102</v>
      </c>
      <c r="H1611" s="186" t="s">
        <v>1174</v>
      </c>
      <c r="I1611" s="187" t="s">
        <v>1175</v>
      </c>
      <c r="J1611" s="187" t="s">
        <v>1176</v>
      </c>
      <c r="K1611" s="188"/>
      <c r="L1611" s="188"/>
      <c r="M1611" s="189" t="s">
        <v>847</v>
      </c>
      <c r="N1611" s="190">
        <v>114.06</v>
      </c>
      <c r="O1611" s="190">
        <f t="shared" si="195"/>
        <v>124.33</v>
      </c>
      <c r="P1611" s="191">
        <f t="shared" si="196"/>
        <v>0</v>
      </c>
      <c r="Q1611" s="192">
        <f t="shared" si="197"/>
        <v>0</v>
      </c>
      <c r="R1611" s="193"/>
      <c r="S1611" s="194"/>
      <c r="T1611" s="195">
        <f t="shared" si="198"/>
        <v>0</v>
      </c>
      <c r="U1611" s="195">
        <f t="shared" si="199"/>
        <v>0</v>
      </c>
      <c r="V1611" s="195">
        <f t="shared" si="200"/>
        <v>0</v>
      </c>
      <c r="W1611" s="196" t="e">
        <f t="shared" si="201"/>
        <v>#DIV/0!</v>
      </c>
      <c r="X1611" s="197" t="e">
        <f t="shared" si="202"/>
        <v>#DIV/0!</v>
      </c>
    </row>
    <row r="1612" ht="11.4" hidden="1" customHeight="1" spans="1:24">
      <c r="A1612" s="184" t="s">
        <v>3184</v>
      </c>
      <c r="B1612" s="184" t="s">
        <v>113</v>
      </c>
      <c r="C1612" s="184" t="s">
        <v>1101</v>
      </c>
      <c r="D1612" s="185" t="s">
        <v>704</v>
      </c>
      <c r="E1612" s="186" t="s">
        <v>906</v>
      </c>
      <c r="F1612" s="186" t="s">
        <v>907</v>
      </c>
      <c r="G1612" s="186" t="s">
        <v>1102</v>
      </c>
      <c r="H1612" s="186" t="s">
        <v>1174</v>
      </c>
      <c r="I1612" s="187" t="s">
        <v>1178</v>
      </c>
      <c r="J1612" s="187" t="s">
        <v>1179</v>
      </c>
      <c r="K1612" s="188"/>
      <c r="L1612" s="188"/>
      <c r="M1612" s="189" t="s">
        <v>847</v>
      </c>
      <c r="N1612" s="190">
        <v>197.83</v>
      </c>
      <c r="O1612" s="190">
        <f t="shared" si="195"/>
        <v>215.63</v>
      </c>
      <c r="P1612" s="191">
        <f t="shared" si="196"/>
        <v>0</v>
      </c>
      <c r="Q1612" s="192">
        <f t="shared" si="197"/>
        <v>0</v>
      </c>
      <c r="R1612" s="193"/>
      <c r="S1612" s="194"/>
      <c r="T1612" s="195">
        <f t="shared" si="198"/>
        <v>0</v>
      </c>
      <c r="U1612" s="195">
        <f t="shared" si="199"/>
        <v>0</v>
      </c>
      <c r="V1612" s="195">
        <f t="shared" si="200"/>
        <v>0</v>
      </c>
      <c r="W1612" s="196" t="e">
        <f t="shared" si="201"/>
        <v>#DIV/0!</v>
      </c>
      <c r="X1612" s="197" t="e">
        <f t="shared" si="202"/>
        <v>#DIV/0!</v>
      </c>
    </row>
    <row r="1613" ht="11.4" hidden="1" customHeight="1" spans="1:24">
      <c r="A1613" s="184" t="s">
        <v>3184</v>
      </c>
      <c r="B1613" s="184" t="s">
        <v>113</v>
      </c>
      <c r="C1613" s="184" t="s">
        <v>1101</v>
      </c>
      <c r="D1613" s="185" t="s">
        <v>704</v>
      </c>
      <c r="E1613" s="186" t="s">
        <v>906</v>
      </c>
      <c r="F1613" s="186" t="s">
        <v>907</v>
      </c>
      <c r="G1613" s="186" t="s">
        <v>1102</v>
      </c>
      <c r="H1613" s="186" t="s">
        <v>1174</v>
      </c>
      <c r="I1613" s="187" t="s">
        <v>1181</v>
      </c>
      <c r="J1613" s="187" t="s">
        <v>1182</v>
      </c>
      <c r="K1613" s="188"/>
      <c r="L1613" s="188"/>
      <c r="M1613" s="189" t="s">
        <v>847</v>
      </c>
      <c r="N1613" s="190">
        <v>182.9</v>
      </c>
      <c r="O1613" s="190">
        <f t="shared" ref="O1613:O1676" si="203">ROUND(N1613*(1+$F$10),2)</f>
        <v>199.36</v>
      </c>
      <c r="P1613" s="191">
        <f t="shared" ref="P1613:P1676" si="204">ROUND(K1613*N1613,2)</f>
        <v>0</v>
      </c>
      <c r="Q1613" s="192">
        <f t="shared" si="197"/>
        <v>0</v>
      </c>
      <c r="R1613" s="193"/>
      <c r="S1613" s="194"/>
      <c r="T1613" s="195">
        <f t="shared" si="198"/>
        <v>0</v>
      </c>
      <c r="U1613" s="195">
        <f t="shared" si="199"/>
        <v>0</v>
      </c>
      <c r="V1613" s="195">
        <f t="shared" si="200"/>
        <v>0</v>
      </c>
      <c r="W1613" s="196" t="e">
        <f t="shared" si="201"/>
        <v>#DIV/0!</v>
      </c>
      <c r="X1613" s="197" t="e">
        <f t="shared" si="202"/>
        <v>#DIV/0!</v>
      </c>
    </row>
    <row r="1614" ht="11.4" hidden="1" customHeight="1" spans="1:24">
      <c r="A1614" s="184" t="s">
        <v>3184</v>
      </c>
      <c r="B1614" s="184" t="s">
        <v>113</v>
      </c>
      <c r="C1614" s="184" t="s">
        <v>1101</v>
      </c>
      <c r="D1614" s="185" t="s">
        <v>704</v>
      </c>
      <c r="E1614" s="186" t="s">
        <v>906</v>
      </c>
      <c r="F1614" s="186" t="s">
        <v>907</v>
      </c>
      <c r="G1614" s="186" t="s">
        <v>1102</v>
      </c>
      <c r="H1614" s="186" t="s">
        <v>1174</v>
      </c>
      <c r="I1614" s="187" t="s">
        <v>1183</v>
      </c>
      <c r="J1614" s="187" t="s">
        <v>1184</v>
      </c>
      <c r="K1614" s="188"/>
      <c r="L1614" s="188"/>
      <c r="M1614" s="189" t="s">
        <v>847</v>
      </c>
      <c r="N1614" s="190">
        <v>186.66</v>
      </c>
      <c r="O1614" s="190">
        <f t="shared" si="203"/>
        <v>203.46</v>
      </c>
      <c r="P1614" s="191">
        <f t="shared" si="204"/>
        <v>0</v>
      </c>
      <c r="Q1614" s="192">
        <f t="shared" ref="Q1614:Q1677" si="205">ROUND(L1614*N1614,2)</f>
        <v>0</v>
      </c>
      <c r="R1614" s="193"/>
      <c r="S1614" s="194"/>
      <c r="T1614" s="195">
        <f t="shared" ref="T1614:T1677" si="206">K1614-L1614</f>
        <v>0</v>
      </c>
      <c r="U1614" s="195">
        <f t="shared" ref="U1614:U1677" si="207">P1614-Q1614</f>
        <v>0</v>
      </c>
      <c r="V1614" s="195">
        <f t="shared" ref="V1614:V1677" si="208">ABS(U1614)</f>
        <v>0</v>
      </c>
      <c r="W1614" s="196" t="e">
        <f t="shared" ref="W1614:W1677" si="209">T1614/L1614</f>
        <v>#DIV/0!</v>
      </c>
      <c r="X1614" s="197" t="e">
        <f t="shared" ref="X1614:X1677" si="210">ABS(W1614)</f>
        <v>#DIV/0!</v>
      </c>
    </row>
    <row r="1615" ht="11.4" hidden="1" customHeight="1" spans="1:24">
      <c r="A1615" s="184" t="s">
        <v>3184</v>
      </c>
      <c r="B1615" s="184" t="s">
        <v>113</v>
      </c>
      <c r="C1615" s="184" t="s">
        <v>1101</v>
      </c>
      <c r="D1615" s="185" t="s">
        <v>704</v>
      </c>
      <c r="E1615" s="186" t="s">
        <v>906</v>
      </c>
      <c r="F1615" s="186" t="s">
        <v>907</v>
      </c>
      <c r="G1615" s="186" t="s">
        <v>1102</v>
      </c>
      <c r="H1615" s="186" t="s">
        <v>1174</v>
      </c>
      <c r="I1615" s="187" t="s">
        <v>1185</v>
      </c>
      <c r="J1615" s="187" t="s">
        <v>1186</v>
      </c>
      <c r="K1615" s="188"/>
      <c r="L1615" s="188"/>
      <c r="M1615" s="189" t="s">
        <v>847</v>
      </c>
      <c r="N1615" s="190">
        <v>174.35</v>
      </c>
      <c r="O1615" s="190">
        <f t="shared" si="203"/>
        <v>190.04</v>
      </c>
      <c r="P1615" s="191">
        <f t="shared" si="204"/>
        <v>0</v>
      </c>
      <c r="Q1615" s="192">
        <f t="shared" si="205"/>
        <v>0</v>
      </c>
      <c r="R1615" s="193"/>
      <c r="S1615" s="194"/>
      <c r="T1615" s="195">
        <f t="shared" si="206"/>
        <v>0</v>
      </c>
      <c r="U1615" s="195">
        <f t="shared" si="207"/>
        <v>0</v>
      </c>
      <c r="V1615" s="195">
        <f t="shared" si="208"/>
        <v>0</v>
      </c>
      <c r="W1615" s="196" t="e">
        <f t="shared" si="209"/>
        <v>#DIV/0!</v>
      </c>
      <c r="X1615" s="197" t="e">
        <f t="shared" si="210"/>
        <v>#DIV/0!</v>
      </c>
    </row>
    <row r="1616" ht="11.4" hidden="1" customHeight="1" spans="1:24">
      <c r="A1616" s="184" t="s">
        <v>3184</v>
      </c>
      <c r="B1616" s="184" t="s">
        <v>113</v>
      </c>
      <c r="C1616" s="184" t="s">
        <v>1101</v>
      </c>
      <c r="D1616" s="185" t="s">
        <v>704</v>
      </c>
      <c r="E1616" s="186" t="s">
        <v>906</v>
      </c>
      <c r="F1616" s="186" t="s">
        <v>907</v>
      </c>
      <c r="G1616" s="186" t="s">
        <v>1102</v>
      </c>
      <c r="H1616" s="186" t="s">
        <v>1174</v>
      </c>
      <c r="I1616" s="187" t="s">
        <v>1187</v>
      </c>
      <c r="J1616" s="187" t="s">
        <v>1188</v>
      </c>
      <c r="K1616" s="188"/>
      <c r="L1616" s="188"/>
      <c r="M1616" s="189" t="s">
        <v>847</v>
      </c>
      <c r="N1616" s="190">
        <v>379.89</v>
      </c>
      <c r="O1616" s="190">
        <f t="shared" si="203"/>
        <v>414.08</v>
      </c>
      <c r="P1616" s="191">
        <f t="shared" si="204"/>
        <v>0</v>
      </c>
      <c r="Q1616" s="192">
        <f t="shared" si="205"/>
        <v>0</v>
      </c>
      <c r="R1616" s="193"/>
      <c r="S1616" s="194"/>
      <c r="T1616" s="195">
        <f t="shared" si="206"/>
        <v>0</v>
      </c>
      <c r="U1616" s="195">
        <f t="shared" si="207"/>
        <v>0</v>
      </c>
      <c r="V1616" s="195">
        <f t="shared" si="208"/>
        <v>0</v>
      </c>
      <c r="W1616" s="196" t="e">
        <f t="shared" si="209"/>
        <v>#DIV/0!</v>
      </c>
      <c r="X1616" s="197" t="e">
        <f t="shared" si="210"/>
        <v>#DIV/0!</v>
      </c>
    </row>
    <row r="1617" ht="11.4" hidden="1" customHeight="1" spans="1:24">
      <c r="A1617" s="184" t="s">
        <v>3184</v>
      </c>
      <c r="B1617" s="184" t="s">
        <v>113</v>
      </c>
      <c r="C1617" s="184" t="s">
        <v>1101</v>
      </c>
      <c r="D1617" s="185" t="s">
        <v>704</v>
      </c>
      <c r="E1617" s="186" t="s">
        <v>906</v>
      </c>
      <c r="F1617" s="186" t="s">
        <v>907</v>
      </c>
      <c r="G1617" s="186" t="s">
        <v>1102</v>
      </c>
      <c r="H1617" s="186" t="s">
        <v>1174</v>
      </c>
      <c r="I1617" s="187" t="s">
        <v>1189</v>
      </c>
      <c r="J1617" s="187" t="s">
        <v>1190</v>
      </c>
      <c r="K1617" s="188"/>
      <c r="L1617" s="188"/>
      <c r="M1617" s="189" t="s">
        <v>847</v>
      </c>
      <c r="N1617" s="190">
        <v>219.2</v>
      </c>
      <c r="O1617" s="190">
        <f t="shared" si="203"/>
        <v>238.93</v>
      </c>
      <c r="P1617" s="191">
        <f t="shared" si="204"/>
        <v>0</v>
      </c>
      <c r="Q1617" s="192">
        <f t="shared" si="205"/>
        <v>0</v>
      </c>
      <c r="R1617" s="193"/>
      <c r="S1617" s="194"/>
      <c r="T1617" s="195">
        <f t="shared" si="206"/>
        <v>0</v>
      </c>
      <c r="U1617" s="195">
        <f t="shared" si="207"/>
        <v>0</v>
      </c>
      <c r="V1617" s="195">
        <f t="shared" si="208"/>
        <v>0</v>
      </c>
      <c r="W1617" s="196" t="e">
        <f t="shared" si="209"/>
        <v>#DIV/0!</v>
      </c>
      <c r="X1617" s="197" t="e">
        <f t="shared" si="210"/>
        <v>#DIV/0!</v>
      </c>
    </row>
    <row r="1618" ht="11.4" hidden="1" customHeight="1" spans="1:24">
      <c r="A1618" s="184" t="s">
        <v>3184</v>
      </c>
      <c r="B1618" s="184" t="s">
        <v>113</v>
      </c>
      <c r="C1618" s="184" t="s">
        <v>1101</v>
      </c>
      <c r="D1618" s="185" t="s">
        <v>704</v>
      </c>
      <c r="E1618" s="186" t="s">
        <v>906</v>
      </c>
      <c r="F1618" s="186" t="s">
        <v>907</v>
      </c>
      <c r="G1618" s="186" t="s">
        <v>1102</v>
      </c>
      <c r="H1618" s="186" t="s">
        <v>1174</v>
      </c>
      <c r="I1618" s="187" t="s">
        <v>1191</v>
      </c>
      <c r="J1618" s="187" t="s">
        <v>1192</v>
      </c>
      <c r="K1618" s="188"/>
      <c r="L1618" s="188"/>
      <c r="M1618" s="189" t="s">
        <v>847</v>
      </c>
      <c r="N1618" s="190">
        <v>402.43</v>
      </c>
      <c r="O1618" s="190">
        <f t="shared" si="203"/>
        <v>438.65</v>
      </c>
      <c r="P1618" s="191">
        <f t="shared" si="204"/>
        <v>0</v>
      </c>
      <c r="Q1618" s="192">
        <f t="shared" si="205"/>
        <v>0</v>
      </c>
      <c r="R1618" s="193"/>
      <c r="S1618" s="194"/>
      <c r="T1618" s="195">
        <f t="shared" si="206"/>
        <v>0</v>
      </c>
      <c r="U1618" s="195">
        <f t="shared" si="207"/>
        <v>0</v>
      </c>
      <c r="V1618" s="195">
        <f t="shared" si="208"/>
        <v>0</v>
      </c>
      <c r="W1618" s="196" t="e">
        <f t="shared" si="209"/>
        <v>#DIV/0!</v>
      </c>
      <c r="X1618" s="197" t="e">
        <f t="shared" si="210"/>
        <v>#DIV/0!</v>
      </c>
    </row>
    <row r="1619" ht="11.4" hidden="1" customHeight="1" spans="1:24">
      <c r="A1619" s="184" t="s">
        <v>3184</v>
      </c>
      <c r="B1619" s="184" t="s">
        <v>113</v>
      </c>
      <c r="C1619" s="184" t="s">
        <v>1101</v>
      </c>
      <c r="D1619" s="185" t="s">
        <v>704</v>
      </c>
      <c r="E1619" s="186" t="s">
        <v>906</v>
      </c>
      <c r="F1619" s="186" t="s">
        <v>907</v>
      </c>
      <c r="G1619" s="186" t="s">
        <v>1102</v>
      </c>
      <c r="H1619" s="186" t="s">
        <v>1174</v>
      </c>
      <c r="I1619" s="187" t="s">
        <v>1193</v>
      </c>
      <c r="J1619" s="187" t="s">
        <v>1194</v>
      </c>
      <c r="K1619" s="188"/>
      <c r="L1619" s="188"/>
      <c r="M1619" s="189" t="s">
        <v>847</v>
      </c>
      <c r="N1619" s="190">
        <v>70.85</v>
      </c>
      <c r="O1619" s="190">
        <f t="shared" si="203"/>
        <v>77.23</v>
      </c>
      <c r="P1619" s="191">
        <f t="shared" si="204"/>
        <v>0</v>
      </c>
      <c r="Q1619" s="192">
        <f t="shared" si="205"/>
        <v>0</v>
      </c>
      <c r="R1619" s="193"/>
      <c r="S1619" s="194"/>
      <c r="T1619" s="195">
        <f t="shared" si="206"/>
        <v>0</v>
      </c>
      <c r="U1619" s="195">
        <f t="shared" si="207"/>
        <v>0</v>
      </c>
      <c r="V1619" s="195">
        <f t="shared" si="208"/>
        <v>0</v>
      </c>
      <c r="W1619" s="196" t="e">
        <f t="shared" si="209"/>
        <v>#DIV/0!</v>
      </c>
      <c r="X1619" s="197" t="e">
        <f t="shared" si="210"/>
        <v>#DIV/0!</v>
      </c>
    </row>
    <row r="1620" ht="11.4" hidden="1" customHeight="1" spans="1:24">
      <c r="A1620" s="184" t="s">
        <v>3184</v>
      </c>
      <c r="B1620" s="184" t="s">
        <v>113</v>
      </c>
      <c r="C1620" s="184" t="s">
        <v>1101</v>
      </c>
      <c r="D1620" s="185" t="s">
        <v>704</v>
      </c>
      <c r="E1620" s="186" t="s">
        <v>906</v>
      </c>
      <c r="F1620" s="186" t="s">
        <v>907</v>
      </c>
      <c r="G1620" s="186" t="s">
        <v>1102</v>
      </c>
      <c r="H1620" s="186" t="s">
        <v>1174</v>
      </c>
      <c r="I1620" s="187" t="s">
        <v>1195</v>
      </c>
      <c r="J1620" s="187" t="s">
        <v>1196</v>
      </c>
      <c r="K1620" s="188"/>
      <c r="L1620" s="188"/>
      <c r="M1620" s="189" t="s">
        <v>847</v>
      </c>
      <c r="N1620" s="190">
        <v>307.56</v>
      </c>
      <c r="O1620" s="190">
        <f t="shared" si="203"/>
        <v>335.24</v>
      </c>
      <c r="P1620" s="191">
        <f t="shared" si="204"/>
        <v>0</v>
      </c>
      <c r="Q1620" s="192">
        <f t="shared" si="205"/>
        <v>0</v>
      </c>
      <c r="R1620" s="193"/>
      <c r="S1620" s="194"/>
      <c r="T1620" s="195">
        <f t="shared" si="206"/>
        <v>0</v>
      </c>
      <c r="U1620" s="195">
        <f t="shared" si="207"/>
        <v>0</v>
      </c>
      <c r="V1620" s="195">
        <f t="shared" si="208"/>
        <v>0</v>
      </c>
      <c r="W1620" s="196" t="e">
        <f t="shared" si="209"/>
        <v>#DIV/0!</v>
      </c>
      <c r="X1620" s="197" t="e">
        <f t="shared" si="210"/>
        <v>#DIV/0!</v>
      </c>
    </row>
    <row r="1621" ht="11.4" hidden="1" customHeight="1" spans="1:24">
      <c r="A1621" s="184" t="s">
        <v>3184</v>
      </c>
      <c r="B1621" s="184" t="s">
        <v>113</v>
      </c>
      <c r="C1621" s="184" t="s">
        <v>1101</v>
      </c>
      <c r="D1621" s="185" t="s">
        <v>704</v>
      </c>
      <c r="E1621" s="186" t="s">
        <v>906</v>
      </c>
      <c r="F1621" s="186" t="s">
        <v>907</v>
      </c>
      <c r="G1621" s="186" t="s">
        <v>1102</v>
      </c>
      <c r="H1621" s="186" t="s">
        <v>1174</v>
      </c>
      <c r="I1621" s="187" t="s">
        <v>1197</v>
      </c>
      <c r="J1621" s="187" t="s">
        <v>1198</v>
      </c>
      <c r="K1621" s="188"/>
      <c r="L1621" s="188"/>
      <c r="M1621" s="189" t="s">
        <v>847</v>
      </c>
      <c r="N1621" s="190">
        <v>39.59</v>
      </c>
      <c r="O1621" s="190">
        <f t="shared" si="203"/>
        <v>43.15</v>
      </c>
      <c r="P1621" s="191">
        <f t="shared" si="204"/>
        <v>0</v>
      </c>
      <c r="Q1621" s="192">
        <f t="shared" si="205"/>
        <v>0</v>
      </c>
      <c r="R1621" s="193"/>
      <c r="S1621" s="194"/>
      <c r="T1621" s="195">
        <f t="shared" si="206"/>
        <v>0</v>
      </c>
      <c r="U1621" s="195">
        <f t="shared" si="207"/>
        <v>0</v>
      </c>
      <c r="V1621" s="195">
        <f t="shared" si="208"/>
        <v>0</v>
      </c>
      <c r="W1621" s="196" t="e">
        <f t="shared" si="209"/>
        <v>#DIV/0!</v>
      </c>
      <c r="X1621" s="197" t="e">
        <f t="shared" si="210"/>
        <v>#DIV/0!</v>
      </c>
    </row>
    <row r="1622" ht="11.4" hidden="1" customHeight="1" spans="1:24">
      <c r="A1622" s="184" t="s">
        <v>3184</v>
      </c>
      <c r="B1622" s="184" t="s">
        <v>113</v>
      </c>
      <c r="C1622" s="184" t="s">
        <v>1101</v>
      </c>
      <c r="D1622" s="185" t="s">
        <v>704</v>
      </c>
      <c r="E1622" s="186" t="s">
        <v>906</v>
      </c>
      <c r="F1622" s="186" t="s">
        <v>907</v>
      </c>
      <c r="G1622" s="186" t="s">
        <v>1102</v>
      </c>
      <c r="H1622" s="186" t="s">
        <v>1174</v>
      </c>
      <c r="I1622" s="187" t="s">
        <v>1199</v>
      </c>
      <c r="J1622" s="187" t="s">
        <v>1200</v>
      </c>
      <c r="K1622" s="188"/>
      <c r="L1622" s="188"/>
      <c r="M1622" s="189" t="s">
        <v>847</v>
      </c>
      <c r="N1622" s="190">
        <v>203.22</v>
      </c>
      <c r="O1622" s="190">
        <f t="shared" si="203"/>
        <v>221.51</v>
      </c>
      <c r="P1622" s="191">
        <f t="shared" si="204"/>
        <v>0</v>
      </c>
      <c r="Q1622" s="192">
        <f t="shared" si="205"/>
        <v>0</v>
      </c>
      <c r="R1622" s="193"/>
      <c r="S1622" s="194"/>
      <c r="T1622" s="195">
        <f t="shared" si="206"/>
        <v>0</v>
      </c>
      <c r="U1622" s="195">
        <f t="shared" si="207"/>
        <v>0</v>
      </c>
      <c r="V1622" s="195">
        <f t="shared" si="208"/>
        <v>0</v>
      </c>
      <c r="W1622" s="196" t="e">
        <f t="shared" si="209"/>
        <v>#DIV/0!</v>
      </c>
      <c r="X1622" s="197" t="e">
        <f t="shared" si="210"/>
        <v>#DIV/0!</v>
      </c>
    </row>
    <row r="1623" ht="11.4" hidden="1" customHeight="1" spans="1:24">
      <c r="A1623" s="184" t="s">
        <v>3184</v>
      </c>
      <c r="B1623" s="184" t="s">
        <v>113</v>
      </c>
      <c r="C1623" s="184" t="s">
        <v>1101</v>
      </c>
      <c r="D1623" s="185" t="s">
        <v>704</v>
      </c>
      <c r="E1623" s="186" t="s">
        <v>906</v>
      </c>
      <c r="F1623" s="186" t="s">
        <v>907</v>
      </c>
      <c r="G1623" s="186" t="s">
        <v>1102</v>
      </c>
      <c r="H1623" s="186" t="s">
        <v>1174</v>
      </c>
      <c r="I1623" s="187" t="s">
        <v>1201</v>
      </c>
      <c r="J1623" s="187" t="s">
        <v>1202</v>
      </c>
      <c r="K1623" s="188"/>
      <c r="L1623" s="188"/>
      <c r="M1623" s="189" t="s">
        <v>847</v>
      </c>
      <c r="N1623" s="190">
        <v>268.9</v>
      </c>
      <c r="O1623" s="190">
        <f t="shared" si="203"/>
        <v>293.1</v>
      </c>
      <c r="P1623" s="191">
        <f t="shared" si="204"/>
        <v>0</v>
      </c>
      <c r="Q1623" s="192">
        <f t="shared" si="205"/>
        <v>0</v>
      </c>
      <c r="R1623" s="193"/>
      <c r="S1623" s="194"/>
      <c r="T1623" s="195">
        <f t="shared" si="206"/>
        <v>0</v>
      </c>
      <c r="U1623" s="195">
        <f t="shared" si="207"/>
        <v>0</v>
      </c>
      <c r="V1623" s="195">
        <f t="shared" si="208"/>
        <v>0</v>
      </c>
      <c r="W1623" s="196" t="e">
        <f t="shared" si="209"/>
        <v>#DIV/0!</v>
      </c>
      <c r="X1623" s="197" t="e">
        <f t="shared" si="210"/>
        <v>#DIV/0!</v>
      </c>
    </row>
    <row r="1624" ht="11.4" hidden="1" customHeight="1" spans="1:24">
      <c r="A1624" s="184" t="s">
        <v>3184</v>
      </c>
      <c r="B1624" s="184" t="s">
        <v>113</v>
      </c>
      <c r="C1624" s="184" t="s">
        <v>1101</v>
      </c>
      <c r="D1624" s="185" t="s">
        <v>704</v>
      </c>
      <c r="E1624" s="186" t="s">
        <v>906</v>
      </c>
      <c r="F1624" s="186" t="s">
        <v>907</v>
      </c>
      <c r="G1624" s="186" t="s">
        <v>1102</v>
      </c>
      <c r="H1624" s="186" t="s">
        <v>1174</v>
      </c>
      <c r="I1624" s="187" t="s">
        <v>1203</v>
      </c>
      <c r="J1624" s="187" t="s">
        <v>1204</v>
      </c>
      <c r="K1624" s="188"/>
      <c r="L1624" s="188"/>
      <c r="M1624" s="189" t="s">
        <v>847</v>
      </c>
      <c r="N1624" s="190">
        <v>17.39</v>
      </c>
      <c r="O1624" s="190">
        <f t="shared" si="203"/>
        <v>18.96</v>
      </c>
      <c r="P1624" s="191">
        <f t="shared" si="204"/>
        <v>0</v>
      </c>
      <c r="Q1624" s="192">
        <f t="shared" si="205"/>
        <v>0</v>
      </c>
      <c r="R1624" s="193"/>
      <c r="S1624" s="194"/>
      <c r="T1624" s="195">
        <f t="shared" si="206"/>
        <v>0</v>
      </c>
      <c r="U1624" s="195">
        <f t="shared" si="207"/>
        <v>0</v>
      </c>
      <c r="V1624" s="195">
        <f t="shared" si="208"/>
        <v>0</v>
      </c>
      <c r="W1624" s="196" t="e">
        <f t="shared" si="209"/>
        <v>#DIV/0!</v>
      </c>
      <c r="X1624" s="197" t="e">
        <f t="shared" si="210"/>
        <v>#DIV/0!</v>
      </c>
    </row>
    <row r="1625" ht="11.4" hidden="1" customHeight="1" spans="1:24">
      <c r="A1625" s="184" t="s">
        <v>3184</v>
      </c>
      <c r="B1625" s="184" t="s">
        <v>113</v>
      </c>
      <c r="C1625" s="184" t="s">
        <v>1101</v>
      </c>
      <c r="D1625" s="185" t="s">
        <v>704</v>
      </c>
      <c r="E1625" s="186" t="s">
        <v>906</v>
      </c>
      <c r="F1625" s="186" t="s">
        <v>907</v>
      </c>
      <c r="G1625" s="186" t="s">
        <v>1102</v>
      </c>
      <c r="H1625" s="186" t="s">
        <v>1174</v>
      </c>
      <c r="I1625" s="187" t="s">
        <v>1206</v>
      </c>
      <c r="J1625" s="187" t="s">
        <v>1207</v>
      </c>
      <c r="K1625" s="188"/>
      <c r="L1625" s="188"/>
      <c r="M1625" s="189" t="s">
        <v>847</v>
      </c>
      <c r="N1625" s="190">
        <v>266.78</v>
      </c>
      <c r="O1625" s="190">
        <f t="shared" si="203"/>
        <v>290.79</v>
      </c>
      <c r="P1625" s="191">
        <f t="shared" si="204"/>
        <v>0</v>
      </c>
      <c r="Q1625" s="192">
        <f t="shared" si="205"/>
        <v>0</v>
      </c>
      <c r="R1625" s="193"/>
      <c r="S1625" s="194"/>
      <c r="T1625" s="195">
        <f t="shared" si="206"/>
        <v>0</v>
      </c>
      <c r="U1625" s="195">
        <f t="shared" si="207"/>
        <v>0</v>
      </c>
      <c r="V1625" s="195">
        <f t="shared" si="208"/>
        <v>0</v>
      </c>
      <c r="W1625" s="196" t="e">
        <f t="shared" si="209"/>
        <v>#DIV/0!</v>
      </c>
      <c r="X1625" s="197" t="e">
        <f t="shared" si="210"/>
        <v>#DIV/0!</v>
      </c>
    </row>
    <row r="1626" ht="11.4" hidden="1" customHeight="1" spans="1:24">
      <c r="A1626" s="184" t="s">
        <v>3184</v>
      </c>
      <c r="B1626" s="184" t="s">
        <v>113</v>
      </c>
      <c r="C1626" s="184" t="s">
        <v>1101</v>
      </c>
      <c r="D1626" s="185" t="s">
        <v>704</v>
      </c>
      <c r="E1626" s="186" t="s">
        <v>906</v>
      </c>
      <c r="F1626" s="186" t="s">
        <v>907</v>
      </c>
      <c r="G1626" s="186" t="s">
        <v>1102</v>
      </c>
      <c r="H1626" s="186" t="s">
        <v>1174</v>
      </c>
      <c r="I1626" s="187" t="s">
        <v>1208</v>
      </c>
      <c r="J1626" s="187" t="s">
        <v>1209</v>
      </c>
      <c r="K1626" s="188"/>
      <c r="L1626" s="188"/>
      <c r="M1626" s="189" t="s">
        <v>847</v>
      </c>
      <c r="N1626" s="190">
        <v>283.28</v>
      </c>
      <c r="O1626" s="190">
        <f t="shared" si="203"/>
        <v>308.78</v>
      </c>
      <c r="P1626" s="191">
        <f t="shared" si="204"/>
        <v>0</v>
      </c>
      <c r="Q1626" s="192">
        <f t="shared" si="205"/>
        <v>0</v>
      </c>
      <c r="R1626" s="193"/>
      <c r="S1626" s="194"/>
      <c r="T1626" s="195">
        <f t="shared" si="206"/>
        <v>0</v>
      </c>
      <c r="U1626" s="195">
        <f t="shared" si="207"/>
        <v>0</v>
      </c>
      <c r="V1626" s="195">
        <f t="shared" si="208"/>
        <v>0</v>
      </c>
      <c r="W1626" s="196" t="e">
        <f t="shared" si="209"/>
        <v>#DIV/0!</v>
      </c>
      <c r="X1626" s="197" t="e">
        <f t="shared" si="210"/>
        <v>#DIV/0!</v>
      </c>
    </row>
    <row r="1627" ht="11.4" hidden="1" customHeight="1" spans="1:24">
      <c r="A1627" s="184" t="s">
        <v>3184</v>
      </c>
      <c r="B1627" s="184" t="s">
        <v>113</v>
      </c>
      <c r="C1627" s="184" t="s">
        <v>1101</v>
      </c>
      <c r="D1627" s="185" t="s">
        <v>704</v>
      </c>
      <c r="E1627" s="186" t="s">
        <v>906</v>
      </c>
      <c r="F1627" s="186" t="s">
        <v>907</v>
      </c>
      <c r="G1627" s="186" t="s">
        <v>1102</v>
      </c>
      <c r="H1627" s="186" t="s">
        <v>1174</v>
      </c>
      <c r="I1627" s="187" t="s">
        <v>1210</v>
      </c>
      <c r="J1627" s="187" t="s">
        <v>1211</v>
      </c>
      <c r="K1627" s="188"/>
      <c r="L1627" s="188"/>
      <c r="M1627" s="189" t="s">
        <v>847</v>
      </c>
      <c r="N1627" s="190">
        <v>288.72</v>
      </c>
      <c r="O1627" s="190">
        <f t="shared" si="203"/>
        <v>314.7</v>
      </c>
      <c r="P1627" s="191">
        <f t="shared" si="204"/>
        <v>0</v>
      </c>
      <c r="Q1627" s="192">
        <f t="shared" si="205"/>
        <v>0</v>
      </c>
      <c r="R1627" s="193"/>
      <c r="S1627" s="194"/>
      <c r="T1627" s="195">
        <f t="shared" si="206"/>
        <v>0</v>
      </c>
      <c r="U1627" s="195">
        <f t="shared" si="207"/>
        <v>0</v>
      </c>
      <c r="V1627" s="195">
        <f t="shared" si="208"/>
        <v>0</v>
      </c>
      <c r="W1627" s="196" t="e">
        <f t="shared" si="209"/>
        <v>#DIV/0!</v>
      </c>
      <c r="X1627" s="197" t="e">
        <f t="shared" si="210"/>
        <v>#DIV/0!</v>
      </c>
    </row>
    <row r="1628" ht="11.4" hidden="1" customHeight="1" spans="1:24">
      <c r="A1628" s="184" t="s">
        <v>3184</v>
      </c>
      <c r="B1628" s="184" t="s">
        <v>113</v>
      </c>
      <c r="C1628" s="184" t="s">
        <v>1101</v>
      </c>
      <c r="D1628" s="185" t="s">
        <v>704</v>
      </c>
      <c r="E1628" s="186" t="s">
        <v>906</v>
      </c>
      <c r="F1628" s="186" t="s">
        <v>907</v>
      </c>
      <c r="G1628" s="186" t="s">
        <v>1102</v>
      </c>
      <c r="H1628" s="186" t="s">
        <v>1174</v>
      </c>
      <c r="I1628" s="187" t="s">
        <v>1212</v>
      </c>
      <c r="J1628" s="187" t="s">
        <v>1213</v>
      </c>
      <c r="K1628" s="188"/>
      <c r="L1628" s="188"/>
      <c r="M1628" s="189" t="s">
        <v>847</v>
      </c>
      <c r="N1628" s="190">
        <v>267.97</v>
      </c>
      <c r="O1628" s="190">
        <f t="shared" si="203"/>
        <v>292.09</v>
      </c>
      <c r="P1628" s="191">
        <f t="shared" si="204"/>
        <v>0</v>
      </c>
      <c r="Q1628" s="192">
        <f t="shared" si="205"/>
        <v>0</v>
      </c>
      <c r="R1628" s="193"/>
      <c r="S1628" s="194"/>
      <c r="T1628" s="195">
        <f t="shared" si="206"/>
        <v>0</v>
      </c>
      <c r="U1628" s="195">
        <f t="shared" si="207"/>
        <v>0</v>
      </c>
      <c r="V1628" s="195">
        <f t="shared" si="208"/>
        <v>0</v>
      </c>
      <c r="W1628" s="196" t="e">
        <f t="shared" si="209"/>
        <v>#DIV/0!</v>
      </c>
      <c r="X1628" s="197" t="e">
        <f t="shared" si="210"/>
        <v>#DIV/0!</v>
      </c>
    </row>
    <row r="1629" ht="11.4" hidden="1" customHeight="1" spans="1:24">
      <c r="A1629" s="184" t="s">
        <v>3184</v>
      </c>
      <c r="B1629" s="184" t="s">
        <v>113</v>
      </c>
      <c r="C1629" s="184" t="s">
        <v>1101</v>
      </c>
      <c r="D1629" s="185" t="s">
        <v>704</v>
      </c>
      <c r="E1629" s="186" t="s">
        <v>906</v>
      </c>
      <c r="F1629" s="186" t="s">
        <v>907</v>
      </c>
      <c r="G1629" s="186" t="s">
        <v>1102</v>
      </c>
      <c r="H1629" s="186" t="s">
        <v>1174</v>
      </c>
      <c r="I1629" s="187" t="s">
        <v>1214</v>
      </c>
      <c r="J1629" s="187" t="s">
        <v>1215</v>
      </c>
      <c r="K1629" s="188"/>
      <c r="L1629" s="188"/>
      <c r="M1629" s="189" t="s">
        <v>847</v>
      </c>
      <c r="N1629" s="190">
        <v>284.47</v>
      </c>
      <c r="O1629" s="190">
        <f t="shared" si="203"/>
        <v>310.07</v>
      </c>
      <c r="P1629" s="191">
        <f t="shared" si="204"/>
        <v>0</v>
      </c>
      <c r="Q1629" s="192">
        <f t="shared" si="205"/>
        <v>0</v>
      </c>
      <c r="R1629" s="193"/>
      <c r="S1629" s="194"/>
      <c r="T1629" s="195">
        <f t="shared" si="206"/>
        <v>0</v>
      </c>
      <c r="U1629" s="195">
        <f t="shared" si="207"/>
        <v>0</v>
      </c>
      <c r="V1629" s="195">
        <f t="shared" si="208"/>
        <v>0</v>
      </c>
      <c r="W1629" s="196" t="e">
        <f t="shared" si="209"/>
        <v>#DIV/0!</v>
      </c>
      <c r="X1629" s="197" t="e">
        <f t="shared" si="210"/>
        <v>#DIV/0!</v>
      </c>
    </row>
    <row r="1630" ht="11.4" hidden="1" customHeight="1" spans="1:24">
      <c r="A1630" s="184" t="s">
        <v>3184</v>
      </c>
      <c r="B1630" s="184" t="s">
        <v>113</v>
      </c>
      <c r="C1630" s="184" t="s">
        <v>1101</v>
      </c>
      <c r="D1630" s="185" t="s">
        <v>704</v>
      </c>
      <c r="E1630" s="186" t="s">
        <v>906</v>
      </c>
      <c r="F1630" s="186" t="s">
        <v>907</v>
      </c>
      <c r="G1630" s="186" t="s">
        <v>1102</v>
      </c>
      <c r="H1630" s="186" t="s">
        <v>1174</v>
      </c>
      <c r="I1630" s="187" t="s">
        <v>1216</v>
      </c>
      <c r="J1630" s="187" t="s">
        <v>1217</v>
      </c>
      <c r="K1630" s="188"/>
      <c r="L1630" s="188"/>
      <c r="M1630" s="189" t="s">
        <v>847</v>
      </c>
      <c r="N1630" s="190">
        <v>288.72</v>
      </c>
      <c r="O1630" s="190">
        <f t="shared" si="203"/>
        <v>314.7</v>
      </c>
      <c r="P1630" s="191">
        <f t="shared" si="204"/>
        <v>0</v>
      </c>
      <c r="Q1630" s="192">
        <f t="shared" si="205"/>
        <v>0</v>
      </c>
      <c r="R1630" s="193"/>
      <c r="S1630" s="194"/>
      <c r="T1630" s="195">
        <f t="shared" si="206"/>
        <v>0</v>
      </c>
      <c r="U1630" s="195">
        <f t="shared" si="207"/>
        <v>0</v>
      </c>
      <c r="V1630" s="195">
        <f t="shared" si="208"/>
        <v>0</v>
      </c>
      <c r="W1630" s="196" t="e">
        <f t="shared" si="209"/>
        <v>#DIV/0!</v>
      </c>
      <c r="X1630" s="197" t="e">
        <f t="shared" si="210"/>
        <v>#DIV/0!</v>
      </c>
    </row>
    <row r="1631" ht="11.4" hidden="1" customHeight="1" spans="1:24">
      <c r="A1631" s="184" t="s">
        <v>3184</v>
      </c>
      <c r="B1631" s="184" t="s">
        <v>113</v>
      </c>
      <c r="C1631" s="184" t="s">
        <v>1101</v>
      </c>
      <c r="D1631" s="185" t="s">
        <v>704</v>
      </c>
      <c r="E1631" s="186" t="s">
        <v>906</v>
      </c>
      <c r="F1631" s="186" t="s">
        <v>907</v>
      </c>
      <c r="G1631" s="186" t="s">
        <v>1102</v>
      </c>
      <c r="H1631" s="186" t="s">
        <v>1174</v>
      </c>
      <c r="I1631" s="187" t="s">
        <v>1218</v>
      </c>
      <c r="J1631" s="187" t="s">
        <v>1219</v>
      </c>
      <c r="K1631" s="188"/>
      <c r="L1631" s="188"/>
      <c r="M1631" s="189" t="s">
        <v>847</v>
      </c>
      <c r="N1631" s="190">
        <v>250.15</v>
      </c>
      <c r="O1631" s="190">
        <f t="shared" si="203"/>
        <v>272.66</v>
      </c>
      <c r="P1631" s="191">
        <f t="shared" si="204"/>
        <v>0</v>
      </c>
      <c r="Q1631" s="192">
        <f t="shared" si="205"/>
        <v>0</v>
      </c>
      <c r="R1631" s="193"/>
      <c r="S1631" s="194"/>
      <c r="T1631" s="195">
        <f t="shared" si="206"/>
        <v>0</v>
      </c>
      <c r="U1631" s="195">
        <f t="shared" si="207"/>
        <v>0</v>
      </c>
      <c r="V1631" s="195">
        <f t="shared" si="208"/>
        <v>0</v>
      </c>
      <c r="W1631" s="196" t="e">
        <f t="shared" si="209"/>
        <v>#DIV/0!</v>
      </c>
      <c r="X1631" s="197" t="e">
        <f t="shared" si="210"/>
        <v>#DIV/0!</v>
      </c>
    </row>
    <row r="1632" ht="11.4" hidden="1" customHeight="1" spans="1:24">
      <c r="A1632" s="184" t="s">
        <v>3184</v>
      </c>
      <c r="B1632" s="184" t="s">
        <v>113</v>
      </c>
      <c r="C1632" s="184" t="s">
        <v>1101</v>
      </c>
      <c r="D1632" s="185" t="s">
        <v>704</v>
      </c>
      <c r="E1632" s="186" t="s">
        <v>906</v>
      </c>
      <c r="F1632" s="186" t="s">
        <v>907</v>
      </c>
      <c r="G1632" s="186" t="s">
        <v>1102</v>
      </c>
      <c r="H1632" s="186" t="s">
        <v>1174</v>
      </c>
      <c r="I1632" s="187" t="s">
        <v>1220</v>
      </c>
      <c r="J1632" s="187" t="s">
        <v>1221</v>
      </c>
      <c r="K1632" s="188"/>
      <c r="L1632" s="188"/>
      <c r="M1632" s="189" t="s">
        <v>847</v>
      </c>
      <c r="N1632" s="190">
        <v>288.04</v>
      </c>
      <c r="O1632" s="190">
        <f t="shared" si="203"/>
        <v>313.96</v>
      </c>
      <c r="P1632" s="191">
        <f t="shared" si="204"/>
        <v>0</v>
      </c>
      <c r="Q1632" s="192">
        <f t="shared" si="205"/>
        <v>0</v>
      </c>
      <c r="R1632" s="193"/>
      <c r="S1632" s="194"/>
      <c r="T1632" s="195">
        <f t="shared" si="206"/>
        <v>0</v>
      </c>
      <c r="U1632" s="195">
        <f t="shared" si="207"/>
        <v>0</v>
      </c>
      <c r="V1632" s="195">
        <f t="shared" si="208"/>
        <v>0</v>
      </c>
      <c r="W1632" s="196" t="e">
        <f t="shared" si="209"/>
        <v>#DIV/0!</v>
      </c>
      <c r="X1632" s="197" t="e">
        <f t="shared" si="210"/>
        <v>#DIV/0!</v>
      </c>
    </row>
    <row r="1633" ht="11.4" hidden="1" customHeight="1" spans="1:24">
      <c r="A1633" s="184" t="s">
        <v>3184</v>
      </c>
      <c r="B1633" s="184" t="s">
        <v>113</v>
      </c>
      <c r="C1633" s="184" t="s">
        <v>1101</v>
      </c>
      <c r="D1633" s="185" t="s">
        <v>704</v>
      </c>
      <c r="E1633" s="186" t="s">
        <v>906</v>
      </c>
      <c r="F1633" s="186" t="s">
        <v>907</v>
      </c>
      <c r="G1633" s="186" t="s">
        <v>1102</v>
      </c>
      <c r="H1633" s="186" t="s">
        <v>1174</v>
      </c>
      <c r="I1633" s="187" t="s">
        <v>1222</v>
      </c>
      <c r="J1633" s="187" t="s">
        <v>1223</v>
      </c>
      <c r="K1633" s="188"/>
      <c r="L1633" s="188"/>
      <c r="M1633" s="189" t="s">
        <v>847</v>
      </c>
      <c r="N1633" s="190">
        <v>270.9</v>
      </c>
      <c r="O1633" s="190">
        <f t="shared" si="203"/>
        <v>295.28</v>
      </c>
      <c r="P1633" s="191">
        <f t="shared" si="204"/>
        <v>0</v>
      </c>
      <c r="Q1633" s="192">
        <f t="shared" si="205"/>
        <v>0</v>
      </c>
      <c r="R1633" s="193"/>
      <c r="S1633" s="194"/>
      <c r="T1633" s="195">
        <f t="shared" si="206"/>
        <v>0</v>
      </c>
      <c r="U1633" s="195">
        <f t="shared" si="207"/>
        <v>0</v>
      </c>
      <c r="V1633" s="195">
        <f t="shared" si="208"/>
        <v>0</v>
      </c>
      <c r="W1633" s="196" t="e">
        <f t="shared" si="209"/>
        <v>#DIV/0!</v>
      </c>
      <c r="X1633" s="197" t="e">
        <f t="shared" si="210"/>
        <v>#DIV/0!</v>
      </c>
    </row>
    <row r="1634" ht="11.4" hidden="1" customHeight="1" spans="1:24">
      <c r="A1634" s="184" t="s">
        <v>3184</v>
      </c>
      <c r="B1634" s="184" t="s">
        <v>113</v>
      </c>
      <c r="C1634" s="184" t="s">
        <v>1101</v>
      </c>
      <c r="D1634" s="185" t="s">
        <v>704</v>
      </c>
      <c r="E1634" s="186" t="s">
        <v>906</v>
      </c>
      <c r="F1634" s="186" t="s">
        <v>907</v>
      </c>
      <c r="G1634" s="186" t="s">
        <v>1102</v>
      </c>
      <c r="H1634" s="186" t="s">
        <v>1174</v>
      </c>
      <c r="I1634" s="187" t="s">
        <v>1224</v>
      </c>
      <c r="J1634" s="187" t="s">
        <v>1225</v>
      </c>
      <c r="K1634" s="188"/>
      <c r="L1634" s="188"/>
      <c r="M1634" s="189" t="s">
        <v>847</v>
      </c>
      <c r="N1634" s="190">
        <v>385.58</v>
      </c>
      <c r="O1634" s="190">
        <f t="shared" si="203"/>
        <v>420.28</v>
      </c>
      <c r="P1634" s="191">
        <f t="shared" si="204"/>
        <v>0</v>
      </c>
      <c r="Q1634" s="192">
        <f t="shared" si="205"/>
        <v>0</v>
      </c>
      <c r="R1634" s="193"/>
      <c r="S1634" s="194"/>
      <c r="T1634" s="195">
        <f t="shared" si="206"/>
        <v>0</v>
      </c>
      <c r="U1634" s="195">
        <f t="shared" si="207"/>
        <v>0</v>
      </c>
      <c r="V1634" s="195">
        <f t="shared" si="208"/>
        <v>0</v>
      </c>
      <c r="W1634" s="196" t="e">
        <f t="shared" si="209"/>
        <v>#DIV/0!</v>
      </c>
      <c r="X1634" s="197" t="e">
        <f t="shared" si="210"/>
        <v>#DIV/0!</v>
      </c>
    </row>
    <row r="1635" ht="11.4" hidden="1" customHeight="1" spans="1:24">
      <c r="A1635" s="184" t="s">
        <v>3184</v>
      </c>
      <c r="B1635" s="184" t="s">
        <v>113</v>
      </c>
      <c r="C1635" s="184" t="s">
        <v>1101</v>
      </c>
      <c r="D1635" s="185" t="s">
        <v>704</v>
      </c>
      <c r="E1635" s="186" t="s">
        <v>906</v>
      </c>
      <c r="F1635" s="186" t="s">
        <v>907</v>
      </c>
      <c r="G1635" s="186" t="s">
        <v>1102</v>
      </c>
      <c r="H1635" s="186" t="s">
        <v>1174</v>
      </c>
      <c r="I1635" s="187" t="s">
        <v>1226</v>
      </c>
      <c r="J1635" s="187" t="s">
        <v>1227</v>
      </c>
      <c r="K1635" s="188"/>
      <c r="L1635" s="188"/>
      <c r="M1635" s="189" t="s">
        <v>847</v>
      </c>
      <c r="N1635" s="190">
        <v>454.36</v>
      </c>
      <c r="O1635" s="190">
        <f t="shared" si="203"/>
        <v>495.25</v>
      </c>
      <c r="P1635" s="191">
        <f t="shared" si="204"/>
        <v>0</v>
      </c>
      <c r="Q1635" s="192">
        <f t="shared" si="205"/>
        <v>0</v>
      </c>
      <c r="R1635" s="193"/>
      <c r="S1635" s="194"/>
      <c r="T1635" s="195">
        <f t="shared" si="206"/>
        <v>0</v>
      </c>
      <c r="U1635" s="195">
        <f t="shared" si="207"/>
        <v>0</v>
      </c>
      <c r="V1635" s="195">
        <f t="shared" si="208"/>
        <v>0</v>
      </c>
      <c r="W1635" s="196" t="e">
        <f t="shared" si="209"/>
        <v>#DIV/0!</v>
      </c>
      <c r="X1635" s="197" t="e">
        <f t="shared" si="210"/>
        <v>#DIV/0!</v>
      </c>
    </row>
    <row r="1636" ht="11.4" hidden="1" customHeight="1" spans="1:24">
      <c r="A1636" s="184" t="s">
        <v>3184</v>
      </c>
      <c r="B1636" s="184" t="s">
        <v>113</v>
      </c>
      <c r="C1636" s="184" t="s">
        <v>1101</v>
      </c>
      <c r="D1636" s="185" t="s">
        <v>704</v>
      </c>
      <c r="E1636" s="186" t="s">
        <v>906</v>
      </c>
      <c r="F1636" s="186" t="s">
        <v>907</v>
      </c>
      <c r="G1636" s="186" t="s">
        <v>1102</v>
      </c>
      <c r="H1636" s="186" t="s">
        <v>1174</v>
      </c>
      <c r="I1636" s="187" t="s">
        <v>1228</v>
      </c>
      <c r="J1636" s="187" t="s">
        <v>1229</v>
      </c>
      <c r="K1636" s="188"/>
      <c r="L1636" s="188"/>
      <c r="M1636" s="189" t="s">
        <v>847</v>
      </c>
      <c r="N1636" s="190">
        <v>406.33</v>
      </c>
      <c r="O1636" s="190">
        <f t="shared" si="203"/>
        <v>442.9</v>
      </c>
      <c r="P1636" s="191">
        <f t="shared" si="204"/>
        <v>0</v>
      </c>
      <c r="Q1636" s="192">
        <f t="shared" si="205"/>
        <v>0</v>
      </c>
      <c r="R1636" s="193"/>
      <c r="S1636" s="194"/>
      <c r="T1636" s="195">
        <f t="shared" si="206"/>
        <v>0</v>
      </c>
      <c r="U1636" s="195">
        <f t="shared" si="207"/>
        <v>0</v>
      </c>
      <c r="V1636" s="195">
        <f t="shared" si="208"/>
        <v>0</v>
      </c>
      <c r="W1636" s="196" t="e">
        <f t="shared" si="209"/>
        <v>#DIV/0!</v>
      </c>
      <c r="X1636" s="197" t="e">
        <f t="shared" si="210"/>
        <v>#DIV/0!</v>
      </c>
    </row>
    <row r="1637" ht="11.4" hidden="1" customHeight="1" spans="1:24">
      <c r="A1637" s="184" t="s">
        <v>3184</v>
      </c>
      <c r="B1637" s="184" t="s">
        <v>113</v>
      </c>
      <c r="C1637" s="184" t="s">
        <v>1101</v>
      </c>
      <c r="D1637" s="185" t="s">
        <v>704</v>
      </c>
      <c r="E1637" s="186" t="s">
        <v>906</v>
      </c>
      <c r="F1637" s="186" t="s">
        <v>907</v>
      </c>
      <c r="G1637" s="186" t="s">
        <v>1102</v>
      </c>
      <c r="H1637" s="186" t="s">
        <v>1174</v>
      </c>
      <c r="I1637" s="187" t="s">
        <v>1230</v>
      </c>
      <c r="J1637" s="187" t="s">
        <v>1231</v>
      </c>
      <c r="K1637" s="188"/>
      <c r="L1637" s="188"/>
      <c r="M1637" s="189" t="s">
        <v>847</v>
      </c>
      <c r="N1637" s="190">
        <v>387.96</v>
      </c>
      <c r="O1637" s="190">
        <f t="shared" si="203"/>
        <v>422.88</v>
      </c>
      <c r="P1637" s="191">
        <f t="shared" si="204"/>
        <v>0</v>
      </c>
      <c r="Q1637" s="192">
        <f t="shared" si="205"/>
        <v>0</v>
      </c>
      <c r="R1637" s="193"/>
      <c r="S1637" s="194"/>
      <c r="T1637" s="195">
        <f t="shared" si="206"/>
        <v>0</v>
      </c>
      <c r="U1637" s="195">
        <f t="shared" si="207"/>
        <v>0</v>
      </c>
      <c r="V1637" s="195">
        <f t="shared" si="208"/>
        <v>0</v>
      </c>
      <c r="W1637" s="196" t="e">
        <f t="shared" si="209"/>
        <v>#DIV/0!</v>
      </c>
      <c r="X1637" s="197" t="e">
        <f t="shared" si="210"/>
        <v>#DIV/0!</v>
      </c>
    </row>
    <row r="1638" ht="11.4" hidden="1" customHeight="1" spans="1:24">
      <c r="A1638" s="184" t="s">
        <v>3184</v>
      </c>
      <c r="B1638" s="184" t="s">
        <v>113</v>
      </c>
      <c r="C1638" s="184" t="s">
        <v>1101</v>
      </c>
      <c r="D1638" s="185" t="s">
        <v>704</v>
      </c>
      <c r="E1638" s="186" t="s">
        <v>906</v>
      </c>
      <c r="F1638" s="186" t="s">
        <v>907</v>
      </c>
      <c r="G1638" s="186" t="s">
        <v>1102</v>
      </c>
      <c r="H1638" s="186" t="s">
        <v>1174</v>
      </c>
      <c r="I1638" s="187" t="s">
        <v>1232</v>
      </c>
      <c r="J1638" s="187" t="s">
        <v>1233</v>
      </c>
      <c r="K1638" s="188"/>
      <c r="L1638" s="188"/>
      <c r="M1638" s="189" t="s">
        <v>847</v>
      </c>
      <c r="N1638" s="190">
        <v>404.46</v>
      </c>
      <c r="O1638" s="190">
        <f t="shared" si="203"/>
        <v>440.86</v>
      </c>
      <c r="P1638" s="191">
        <f t="shared" si="204"/>
        <v>0</v>
      </c>
      <c r="Q1638" s="192">
        <f t="shared" si="205"/>
        <v>0</v>
      </c>
      <c r="R1638" s="193"/>
      <c r="S1638" s="194"/>
      <c r="T1638" s="195">
        <f t="shared" si="206"/>
        <v>0</v>
      </c>
      <c r="U1638" s="195">
        <f t="shared" si="207"/>
        <v>0</v>
      </c>
      <c r="V1638" s="195">
        <f t="shared" si="208"/>
        <v>0</v>
      </c>
      <c r="W1638" s="196" t="e">
        <f t="shared" si="209"/>
        <v>#DIV/0!</v>
      </c>
      <c r="X1638" s="197" t="e">
        <f t="shared" si="210"/>
        <v>#DIV/0!</v>
      </c>
    </row>
    <row r="1639" ht="11.4" hidden="1" customHeight="1" spans="1:24">
      <c r="A1639" s="184" t="s">
        <v>3184</v>
      </c>
      <c r="B1639" s="184" t="s">
        <v>113</v>
      </c>
      <c r="C1639" s="184" t="s">
        <v>1101</v>
      </c>
      <c r="D1639" s="185" t="s">
        <v>704</v>
      </c>
      <c r="E1639" s="186" t="s">
        <v>906</v>
      </c>
      <c r="F1639" s="186" t="s">
        <v>907</v>
      </c>
      <c r="G1639" s="186" t="s">
        <v>1102</v>
      </c>
      <c r="H1639" s="186" t="s">
        <v>1174</v>
      </c>
      <c r="I1639" s="187" t="s">
        <v>1234</v>
      </c>
      <c r="J1639" s="187" t="s">
        <v>1235</v>
      </c>
      <c r="K1639" s="188"/>
      <c r="L1639" s="188"/>
      <c r="M1639" s="189" t="s">
        <v>847</v>
      </c>
      <c r="N1639" s="190">
        <v>408.71</v>
      </c>
      <c r="O1639" s="190">
        <f t="shared" si="203"/>
        <v>445.49</v>
      </c>
      <c r="P1639" s="191">
        <f t="shared" si="204"/>
        <v>0</v>
      </c>
      <c r="Q1639" s="192">
        <f t="shared" si="205"/>
        <v>0</v>
      </c>
      <c r="R1639" s="193"/>
      <c r="S1639" s="194"/>
      <c r="T1639" s="195">
        <f t="shared" si="206"/>
        <v>0</v>
      </c>
      <c r="U1639" s="195">
        <f t="shared" si="207"/>
        <v>0</v>
      </c>
      <c r="V1639" s="195">
        <f t="shared" si="208"/>
        <v>0</v>
      </c>
      <c r="W1639" s="196" t="e">
        <f t="shared" si="209"/>
        <v>#DIV/0!</v>
      </c>
      <c r="X1639" s="197" t="e">
        <f t="shared" si="210"/>
        <v>#DIV/0!</v>
      </c>
    </row>
    <row r="1640" ht="11.4" hidden="1" customHeight="1" spans="1:24">
      <c r="A1640" s="184" t="s">
        <v>3184</v>
      </c>
      <c r="B1640" s="184" t="s">
        <v>113</v>
      </c>
      <c r="C1640" s="184" t="s">
        <v>1101</v>
      </c>
      <c r="D1640" s="185" t="s">
        <v>704</v>
      </c>
      <c r="E1640" s="186" t="s">
        <v>906</v>
      </c>
      <c r="F1640" s="186" t="s">
        <v>907</v>
      </c>
      <c r="G1640" s="186" t="s">
        <v>1102</v>
      </c>
      <c r="H1640" s="186" t="s">
        <v>1174</v>
      </c>
      <c r="I1640" s="187" t="s">
        <v>1236</v>
      </c>
      <c r="J1640" s="187" t="s">
        <v>1237</v>
      </c>
      <c r="K1640" s="188"/>
      <c r="L1640" s="188"/>
      <c r="M1640" s="189" t="s">
        <v>847</v>
      </c>
      <c r="N1640" s="190">
        <v>385.58</v>
      </c>
      <c r="O1640" s="190">
        <f t="shared" si="203"/>
        <v>420.28</v>
      </c>
      <c r="P1640" s="191">
        <f t="shared" si="204"/>
        <v>0</v>
      </c>
      <c r="Q1640" s="192">
        <f t="shared" si="205"/>
        <v>0</v>
      </c>
      <c r="R1640" s="193"/>
      <c r="S1640" s="194"/>
      <c r="T1640" s="195">
        <f t="shared" si="206"/>
        <v>0</v>
      </c>
      <c r="U1640" s="195">
        <f t="shared" si="207"/>
        <v>0</v>
      </c>
      <c r="V1640" s="195">
        <f t="shared" si="208"/>
        <v>0</v>
      </c>
      <c r="W1640" s="196" t="e">
        <f t="shared" si="209"/>
        <v>#DIV/0!</v>
      </c>
      <c r="X1640" s="197" t="e">
        <f t="shared" si="210"/>
        <v>#DIV/0!</v>
      </c>
    </row>
    <row r="1641" ht="11.4" hidden="1" customHeight="1" spans="1:24">
      <c r="A1641" s="184" t="s">
        <v>3184</v>
      </c>
      <c r="B1641" s="184" t="s">
        <v>113</v>
      </c>
      <c r="C1641" s="184" t="s">
        <v>1101</v>
      </c>
      <c r="D1641" s="185" t="s">
        <v>704</v>
      </c>
      <c r="E1641" s="186" t="s">
        <v>906</v>
      </c>
      <c r="F1641" s="186" t="s">
        <v>907</v>
      </c>
      <c r="G1641" s="186" t="s">
        <v>1102</v>
      </c>
      <c r="H1641" s="186" t="s">
        <v>1174</v>
      </c>
      <c r="I1641" s="187" t="s">
        <v>1238</v>
      </c>
      <c r="J1641" s="187" t="s">
        <v>1239</v>
      </c>
      <c r="K1641" s="188"/>
      <c r="L1641" s="188"/>
      <c r="M1641" s="189" t="s">
        <v>847</v>
      </c>
      <c r="N1641" s="190">
        <v>402.08</v>
      </c>
      <c r="O1641" s="190">
        <f t="shared" si="203"/>
        <v>438.27</v>
      </c>
      <c r="P1641" s="191">
        <f t="shared" si="204"/>
        <v>0</v>
      </c>
      <c r="Q1641" s="192">
        <f t="shared" si="205"/>
        <v>0</v>
      </c>
      <c r="R1641" s="193"/>
      <c r="S1641" s="194"/>
      <c r="T1641" s="195">
        <f t="shared" si="206"/>
        <v>0</v>
      </c>
      <c r="U1641" s="195">
        <f t="shared" si="207"/>
        <v>0</v>
      </c>
      <c r="V1641" s="195">
        <f t="shared" si="208"/>
        <v>0</v>
      </c>
      <c r="W1641" s="196" t="e">
        <f t="shared" si="209"/>
        <v>#DIV/0!</v>
      </c>
      <c r="X1641" s="197" t="e">
        <f t="shared" si="210"/>
        <v>#DIV/0!</v>
      </c>
    </row>
    <row r="1642" ht="11.4" hidden="1" customHeight="1" spans="1:24">
      <c r="A1642" s="184" t="s">
        <v>3184</v>
      </c>
      <c r="B1642" s="184" t="s">
        <v>113</v>
      </c>
      <c r="C1642" s="184" t="s">
        <v>1101</v>
      </c>
      <c r="D1642" s="185" t="s">
        <v>704</v>
      </c>
      <c r="E1642" s="186" t="s">
        <v>906</v>
      </c>
      <c r="F1642" s="186" t="s">
        <v>907</v>
      </c>
      <c r="G1642" s="186" t="s">
        <v>1102</v>
      </c>
      <c r="H1642" s="186" t="s">
        <v>1174</v>
      </c>
      <c r="I1642" s="187" t="s">
        <v>1240</v>
      </c>
      <c r="J1642" s="187" t="s">
        <v>1241</v>
      </c>
      <c r="K1642" s="188"/>
      <c r="L1642" s="188"/>
      <c r="M1642" s="189" t="s">
        <v>847</v>
      </c>
      <c r="N1642" s="190">
        <v>406.33</v>
      </c>
      <c r="O1642" s="190">
        <f t="shared" si="203"/>
        <v>442.9</v>
      </c>
      <c r="P1642" s="191">
        <f t="shared" si="204"/>
        <v>0</v>
      </c>
      <c r="Q1642" s="192">
        <f t="shared" si="205"/>
        <v>0</v>
      </c>
      <c r="R1642" s="193"/>
      <c r="S1642" s="194"/>
      <c r="T1642" s="195">
        <f t="shared" si="206"/>
        <v>0</v>
      </c>
      <c r="U1642" s="195">
        <f t="shared" si="207"/>
        <v>0</v>
      </c>
      <c r="V1642" s="195">
        <f t="shared" si="208"/>
        <v>0</v>
      </c>
      <c r="W1642" s="196" t="e">
        <f t="shared" si="209"/>
        <v>#DIV/0!</v>
      </c>
      <c r="X1642" s="197" t="e">
        <f t="shared" si="210"/>
        <v>#DIV/0!</v>
      </c>
    </row>
    <row r="1643" ht="11.4" hidden="1" customHeight="1" spans="1:24">
      <c r="A1643" s="184" t="s">
        <v>3184</v>
      </c>
      <c r="B1643" s="184" t="s">
        <v>113</v>
      </c>
      <c r="C1643" s="184" t="s">
        <v>1101</v>
      </c>
      <c r="D1643" s="185" t="s">
        <v>704</v>
      </c>
      <c r="E1643" s="186" t="s">
        <v>906</v>
      </c>
      <c r="F1643" s="186" t="s">
        <v>907</v>
      </c>
      <c r="G1643" s="186" t="s">
        <v>1102</v>
      </c>
      <c r="H1643" s="186" t="s">
        <v>1174</v>
      </c>
      <c r="I1643" s="187" t="s">
        <v>1242</v>
      </c>
      <c r="J1643" s="187" t="s">
        <v>1243</v>
      </c>
      <c r="K1643" s="188"/>
      <c r="L1643" s="188"/>
      <c r="M1643" s="189" t="s">
        <v>847</v>
      </c>
      <c r="N1643" s="190">
        <v>676.14</v>
      </c>
      <c r="O1643" s="190">
        <f t="shared" si="203"/>
        <v>736.99</v>
      </c>
      <c r="P1643" s="191">
        <f t="shared" si="204"/>
        <v>0</v>
      </c>
      <c r="Q1643" s="192">
        <f t="shared" si="205"/>
        <v>0</v>
      </c>
      <c r="R1643" s="193"/>
      <c r="S1643" s="194"/>
      <c r="T1643" s="195">
        <f t="shared" si="206"/>
        <v>0</v>
      </c>
      <c r="U1643" s="195">
        <f t="shared" si="207"/>
        <v>0</v>
      </c>
      <c r="V1643" s="195">
        <f t="shared" si="208"/>
        <v>0</v>
      </c>
      <c r="W1643" s="196" t="e">
        <f t="shared" si="209"/>
        <v>#DIV/0!</v>
      </c>
      <c r="X1643" s="197" t="e">
        <f t="shared" si="210"/>
        <v>#DIV/0!</v>
      </c>
    </row>
    <row r="1644" ht="11.4" hidden="1" customHeight="1" spans="1:24">
      <c r="A1644" s="184" t="s">
        <v>3184</v>
      </c>
      <c r="B1644" s="184" t="s">
        <v>113</v>
      </c>
      <c r="C1644" s="184" t="s">
        <v>1101</v>
      </c>
      <c r="D1644" s="185" t="s">
        <v>704</v>
      </c>
      <c r="E1644" s="186" t="s">
        <v>906</v>
      </c>
      <c r="F1644" s="186" t="s">
        <v>907</v>
      </c>
      <c r="G1644" s="186" t="s">
        <v>1102</v>
      </c>
      <c r="H1644" s="186" t="s">
        <v>1174</v>
      </c>
      <c r="I1644" s="187" t="s">
        <v>1244</v>
      </c>
      <c r="J1644" s="187" t="s">
        <v>1245</v>
      </c>
      <c r="K1644" s="188"/>
      <c r="L1644" s="188"/>
      <c r="M1644" s="189" t="s">
        <v>847</v>
      </c>
      <c r="N1644" s="190">
        <v>214.82</v>
      </c>
      <c r="O1644" s="190">
        <f t="shared" si="203"/>
        <v>234.15</v>
      </c>
      <c r="P1644" s="191">
        <f t="shared" si="204"/>
        <v>0</v>
      </c>
      <c r="Q1644" s="192">
        <f t="shared" si="205"/>
        <v>0</v>
      </c>
      <c r="R1644" s="193"/>
      <c r="S1644" s="194"/>
      <c r="T1644" s="195">
        <f t="shared" si="206"/>
        <v>0</v>
      </c>
      <c r="U1644" s="195">
        <f t="shared" si="207"/>
        <v>0</v>
      </c>
      <c r="V1644" s="195">
        <f t="shared" si="208"/>
        <v>0</v>
      </c>
      <c r="W1644" s="196" t="e">
        <f t="shared" si="209"/>
        <v>#DIV/0!</v>
      </c>
      <c r="X1644" s="197" t="e">
        <f t="shared" si="210"/>
        <v>#DIV/0!</v>
      </c>
    </row>
    <row r="1645" ht="11.4" hidden="1" customHeight="1" spans="1:24">
      <c r="A1645" s="184" t="s">
        <v>3184</v>
      </c>
      <c r="B1645" s="184" t="s">
        <v>113</v>
      </c>
      <c r="C1645" s="184" t="s">
        <v>1101</v>
      </c>
      <c r="D1645" s="185" t="s">
        <v>704</v>
      </c>
      <c r="E1645" s="186" t="s">
        <v>906</v>
      </c>
      <c r="F1645" s="186" t="s">
        <v>907</v>
      </c>
      <c r="G1645" s="186" t="s">
        <v>1102</v>
      </c>
      <c r="H1645" s="186" t="s">
        <v>1174</v>
      </c>
      <c r="I1645" s="187" t="s">
        <v>1246</v>
      </c>
      <c r="J1645" s="187" t="s">
        <v>1247</v>
      </c>
      <c r="K1645" s="188"/>
      <c r="L1645" s="188"/>
      <c r="M1645" s="189" t="s">
        <v>847</v>
      </c>
      <c r="N1645" s="190">
        <v>241.44</v>
      </c>
      <c r="O1645" s="190">
        <f t="shared" si="203"/>
        <v>263.17</v>
      </c>
      <c r="P1645" s="191">
        <f t="shared" si="204"/>
        <v>0</v>
      </c>
      <c r="Q1645" s="192">
        <f t="shared" si="205"/>
        <v>0</v>
      </c>
      <c r="R1645" s="193"/>
      <c r="S1645" s="194"/>
      <c r="T1645" s="195">
        <f t="shared" si="206"/>
        <v>0</v>
      </c>
      <c r="U1645" s="195">
        <f t="shared" si="207"/>
        <v>0</v>
      </c>
      <c r="V1645" s="195">
        <f t="shared" si="208"/>
        <v>0</v>
      </c>
      <c r="W1645" s="196" t="e">
        <f t="shared" si="209"/>
        <v>#DIV/0!</v>
      </c>
      <c r="X1645" s="197" t="e">
        <f t="shared" si="210"/>
        <v>#DIV/0!</v>
      </c>
    </row>
    <row r="1646" ht="11.4" hidden="1" customHeight="1" spans="1:24">
      <c r="A1646" s="184" t="s">
        <v>3184</v>
      </c>
      <c r="B1646" s="184" t="s">
        <v>113</v>
      </c>
      <c r="C1646" s="184" t="s">
        <v>1101</v>
      </c>
      <c r="D1646" s="185" t="s">
        <v>704</v>
      </c>
      <c r="E1646" s="186" t="s">
        <v>906</v>
      </c>
      <c r="F1646" s="186" t="s">
        <v>907</v>
      </c>
      <c r="G1646" s="186" t="s">
        <v>1102</v>
      </c>
      <c r="H1646" s="186" t="s">
        <v>1174</v>
      </c>
      <c r="I1646" s="187" t="s">
        <v>1248</v>
      </c>
      <c r="J1646" s="187" t="s">
        <v>1249</v>
      </c>
      <c r="K1646" s="188"/>
      <c r="L1646" s="188"/>
      <c r="M1646" s="189" t="s">
        <v>847</v>
      </c>
      <c r="N1646" s="190">
        <v>224.5</v>
      </c>
      <c r="O1646" s="190">
        <f t="shared" si="203"/>
        <v>244.71</v>
      </c>
      <c r="P1646" s="191">
        <f t="shared" si="204"/>
        <v>0</v>
      </c>
      <c r="Q1646" s="192">
        <f t="shared" si="205"/>
        <v>0</v>
      </c>
      <c r="R1646" s="193"/>
      <c r="S1646" s="194"/>
      <c r="T1646" s="195">
        <f t="shared" si="206"/>
        <v>0</v>
      </c>
      <c r="U1646" s="195">
        <f t="shared" si="207"/>
        <v>0</v>
      </c>
      <c r="V1646" s="195">
        <f t="shared" si="208"/>
        <v>0</v>
      </c>
      <c r="W1646" s="196" t="e">
        <f t="shared" si="209"/>
        <v>#DIV/0!</v>
      </c>
      <c r="X1646" s="197" t="e">
        <f t="shared" si="210"/>
        <v>#DIV/0!</v>
      </c>
    </row>
    <row r="1647" ht="11.4" hidden="1" customHeight="1" spans="1:24">
      <c r="A1647" s="184" t="s">
        <v>3184</v>
      </c>
      <c r="B1647" s="184" t="s">
        <v>113</v>
      </c>
      <c r="C1647" s="184" t="s">
        <v>1101</v>
      </c>
      <c r="D1647" s="185" t="s">
        <v>704</v>
      </c>
      <c r="E1647" s="186" t="s">
        <v>906</v>
      </c>
      <c r="F1647" s="186" t="s">
        <v>907</v>
      </c>
      <c r="G1647" s="186" t="s">
        <v>1102</v>
      </c>
      <c r="H1647" s="186" t="s">
        <v>1174</v>
      </c>
      <c r="I1647" s="187" t="s">
        <v>1250</v>
      </c>
      <c r="J1647" s="187" t="s">
        <v>1251</v>
      </c>
      <c r="K1647" s="188"/>
      <c r="L1647" s="188"/>
      <c r="M1647" s="189" t="s">
        <v>847</v>
      </c>
      <c r="N1647" s="190">
        <v>195.76</v>
      </c>
      <c r="O1647" s="190">
        <f t="shared" si="203"/>
        <v>213.38</v>
      </c>
      <c r="P1647" s="191">
        <f t="shared" si="204"/>
        <v>0</v>
      </c>
      <c r="Q1647" s="192">
        <f t="shared" si="205"/>
        <v>0</v>
      </c>
      <c r="R1647" s="193"/>
      <c r="S1647" s="194"/>
      <c r="T1647" s="195">
        <f t="shared" si="206"/>
        <v>0</v>
      </c>
      <c r="U1647" s="195">
        <f t="shared" si="207"/>
        <v>0</v>
      </c>
      <c r="V1647" s="195">
        <f t="shared" si="208"/>
        <v>0</v>
      </c>
      <c r="W1647" s="196" t="e">
        <f t="shared" si="209"/>
        <v>#DIV/0!</v>
      </c>
      <c r="X1647" s="197" t="e">
        <f t="shared" si="210"/>
        <v>#DIV/0!</v>
      </c>
    </row>
    <row r="1648" ht="11.4" hidden="1" customHeight="1" spans="1:24">
      <c r="A1648" s="184" t="s">
        <v>3184</v>
      </c>
      <c r="B1648" s="184" t="s">
        <v>113</v>
      </c>
      <c r="C1648" s="184" t="s">
        <v>1101</v>
      </c>
      <c r="D1648" s="185" t="s">
        <v>704</v>
      </c>
      <c r="E1648" s="186" t="s">
        <v>906</v>
      </c>
      <c r="F1648" s="186" t="s">
        <v>907</v>
      </c>
      <c r="G1648" s="186" t="s">
        <v>1102</v>
      </c>
      <c r="H1648" s="186" t="s">
        <v>1174</v>
      </c>
      <c r="I1648" s="187" t="s">
        <v>1252</v>
      </c>
      <c r="J1648" s="187" t="s">
        <v>1253</v>
      </c>
      <c r="K1648" s="188"/>
      <c r="L1648" s="188"/>
      <c r="M1648" s="189" t="s">
        <v>847</v>
      </c>
      <c r="N1648" s="190">
        <v>223.29</v>
      </c>
      <c r="O1648" s="190">
        <f t="shared" si="203"/>
        <v>243.39</v>
      </c>
      <c r="P1648" s="191">
        <f t="shared" si="204"/>
        <v>0</v>
      </c>
      <c r="Q1648" s="192">
        <f t="shared" si="205"/>
        <v>0</v>
      </c>
      <c r="R1648" s="193"/>
      <c r="S1648" s="194"/>
      <c r="T1648" s="195">
        <f t="shared" si="206"/>
        <v>0</v>
      </c>
      <c r="U1648" s="195">
        <f t="shared" si="207"/>
        <v>0</v>
      </c>
      <c r="V1648" s="195">
        <f t="shared" si="208"/>
        <v>0</v>
      </c>
      <c r="W1648" s="196" t="e">
        <f t="shared" si="209"/>
        <v>#DIV/0!</v>
      </c>
      <c r="X1648" s="197" t="e">
        <f t="shared" si="210"/>
        <v>#DIV/0!</v>
      </c>
    </row>
    <row r="1649" ht="11.4" hidden="1" customHeight="1" spans="1:24">
      <c r="A1649" s="184" t="s">
        <v>3184</v>
      </c>
      <c r="B1649" s="184" t="s">
        <v>113</v>
      </c>
      <c r="C1649" s="184" t="s">
        <v>1101</v>
      </c>
      <c r="D1649" s="185" t="s">
        <v>704</v>
      </c>
      <c r="E1649" s="186" t="s">
        <v>906</v>
      </c>
      <c r="F1649" s="186" t="s">
        <v>907</v>
      </c>
      <c r="G1649" s="186" t="s">
        <v>1102</v>
      </c>
      <c r="H1649" s="186" t="s">
        <v>1174</v>
      </c>
      <c r="I1649" s="187" t="s">
        <v>1254</v>
      </c>
      <c r="J1649" s="187" t="s">
        <v>1255</v>
      </c>
      <c r="K1649" s="188"/>
      <c r="L1649" s="188"/>
      <c r="M1649" s="189" t="s">
        <v>847</v>
      </c>
      <c r="N1649" s="190">
        <v>195.76</v>
      </c>
      <c r="O1649" s="190">
        <f t="shared" si="203"/>
        <v>213.38</v>
      </c>
      <c r="P1649" s="191">
        <f t="shared" si="204"/>
        <v>0</v>
      </c>
      <c r="Q1649" s="192">
        <f t="shared" si="205"/>
        <v>0</v>
      </c>
      <c r="R1649" s="193"/>
      <c r="S1649" s="194"/>
      <c r="T1649" s="195">
        <f t="shared" si="206"/>
        <v>0</v>
      </c>
      <c r="U1649" s="195">
        <f t="shared" si="207"/>
        <v>0</v>
      </c>
      <c r="V1649" s="195">
        <f t="shared" si="208"/>
        <v>0</v>
      </c>
      <c r="W1649" s="196" t="e">
        <f t="shared" si="209"/>
        <v>#DIV/0!</v>
      </c>
      <c r="X1649" s="197" t="e">
        <f t="shared" si="210"/>
        <v>#DIV/0!</v>
      </c>
    </row>
    <row r="1650" ht="11.4" hidden="1" customHeight="1" spans="1:24">
      <c r="A1650" s="184" t="s">
        <v>3184</v>
      </c>
      <c r="B1650" s="184" t="s">
        <v>113</v>
      </c>
      <c r="C1650" s="184" t="s">
        <v>1101</v>
      </c>
      <c r="D1650" s="185" t="s">
        <v>704</v>
      </c>
      <c r="E1650" s="186" t="s">
        <v>906</v>
      </c>
      <c r="F1650" s="186" t="s">
        <v>907</v>
      </c>
      <c r="G1650" s="186" t="s">
        <v>1102</v>
      </c>
      <c r="H1650" s="186" t="s">
        <v>1174</v>
      </c>
      <c r="I1650" s="187" t="s">
        <v>1256</v>
      </c>
      <c r="J1650" s="187" t="s">
        <v>1257</v>
      </c>
      <c r="K1650" s="188"/>
      <c r="L1650" s="188"/>
      <c r="M1650" s="189" t="s">
        <v>847</v>
      </c>
      <c r="N1650" s="190">
        <v>214.82</v>
      </c>
      <c r="O1650" s="190">
        <f t="shared" si="203"/>
        <v>234.15</v>
      </c>
      <c r="P1650" s="191">
        <f t="shared" si="204"/>
        <v>0</v>
      </c>
      <c r="Q1650" s="192">
        <f t="shared" si="205"/>
        <v>0</v>
      </c>
      <c r="R1650" s="193"/>
      <c r="S1650" s="194"/>
      <c r="T1650" s="195">
        <f t="shared" si="206"/>
        <v>0</v>
      </c>
      <c r="U1650" s="195">
        <f t="shared" si="207"/>
        <v>0</v>
      </c>
      <c r="V1650" s="195">
        <f t="shared" si="208"/>
        <v>0</v>
      </c>
      <c r="W1650" s="196" t="e">
        <f t="shared" si="209"/>
        <v>#DIV/0!</v>
      </c>
      <c r="X1650" s="197" t="e">
        <f t="shared" si="210"/>
        <v>#DIV/0!</v>
      </c>
    </row>
    <row r="1651" ht="11.4" hidden="1" customHeight="1" spans="1:24">
      <c r="A1651" s="184" t="s">
        <v>3184</v>
      </c>
      <c r="B1651" s="184" t="s">
        <v>113</v>
      </c>
      <c r="C1651" s="184" t="s">
        <v>1101</v>
      </c>
      <c r="D1651" s="185" t="s">
        <v>704</v>
      </c>
      <c r="E1651" s="186" t="s">
        <v>906</v>
      </c>
      <c r="F1651" s="186" t="s">
        <v>907</v>
      </c>
      <c r="G1651" s="186" t="s">
        <v>1102</v>
      </c>
      <c r="H1651" s="186" t="s">
        <v>1174</v>
      </c>
      <c r="I1651" s="187" t="s">
        <v>1258</v>
      </c>
      <c r="J1651" s="187" t="s">
        <v>1259</v>
      </c>
      <c r="K1651" s="188"/>
      <c r="L1651" s="188"/>
      <c r="M1651" s="189" t="s">
        <v>847</v>
      </c>
      <c r="N1651" s="190">
        <v>236.6</v>
      </c>
      <c r="O1651" s="190">
        <f t="shared" si="203"/>
        <v>257.89</v>
      </c>
      <c r="P1651" s="191">
        <f t="shared" si="204"/>
        <v>0</v>
      </c>
      <c r="Q1651" s="192">
        <f t="shared" si="205"/>
        <v>0</v>
      </c>
      <c r="R1651" s="193"/>
      <c r="S1651" s="194"/>
      <c r="T1651" s="195">
        <f t="shared" si="206"/>
        <v>0</v>
      </c>
      <c r="U1651" s="195">
        <f t="shared" si="207"/>
        <v>0</v>
      </c>
      <c r="V1651" s="195">
        <f t="shared" si="208"/>
        <v>0</v>
      </c>
      <c r="W1651" s="196" t="e">
        <f t="shared" si="209"/>
        <v>#DIV/0!</v>
      </c>
      <c r="X1651" s="197" t="e">
        <f t="shared" si="210"/>
        <v>#DIV/0!</v>
      </c>
    </row>
    <row r="1652" ht="11.4" hidden="1" customHeight="1" spans="1:24">
      <c r="A1652" s="184" t="s">
        <v>3184</v>
      </c>
      <c r="B1652" s="184" t="s">
        <v>113</v>
      </c>
      <c r="C1652" s="184" t="s">
        <v>1101</v>
      </c>
      <c r="D1652" s="185" t="s">
        <v>704</v>
      </c>
      <c r="E1652" s="186" t="s">
        <v>906</v>
      </c>
      <c r="F1652" s="186" t="s">
        <v>907</v>
      </c>
      <c r="G1652" s="186" t="s">
        <v>1102</v>
      </c>
      <c r="H1652" s="186" t="s">
        <v>1174</v>
      </c>
      <c r="I1652" s="187" t="s">
        <v>1260</v>
      </c>
      <c r="J1652" s="187" t="s">
        <v>1261</v>
      </c>
      <c r="K1652" s="188"/>
      <c r="L1652" s="188"/>
      <c r="M1652" s="189" t="s">
        <v>847</v>
      </c>
      <c r="N1652" s="190">
        <v>224.5</v>
      </c>
      <c r="O1652" s="190">
        <f t="shared" si="203"/>
        <v>244.71</v>
      </c>
      <c r="P1652" s="191">
        <f t="shared" si="204"/>
        <v>0</v>
      </c>
      <c r="Q1652" s="192">
        <f t="shared" si="205"/>
        <v>0</v>
      </c>
      <c r="R1652" s="193"/>
      <c r="S1652" s="194"/>
      <c r="T1652" s="195">
        <f t="shared" si="206"/>
        <v>0</v>
      </c>
      <c r="U1652" s="195">
        <f t="shared" si="207"/>
        <v>0</v>
      </c>
      <c r="V1652" s="195">
        <f t="shared" si="208"/>
        <v>0</v>
      </c>
      <c r="W1652" s="196" t="e">
        <f t="shared" si="209"/>
        <v>#DIV/0!</v>
      </c>
      <c r="X1652" s="197" t="e">
        <f t="shared" si="210"/>
        <v>#DIV/0!</v>
      </c>
    </row>
    <row r="1653" ht="11.4" hidden="1" customHeight="1" spans="1:24">
      <c r="A1653" s="184" t="s">
        <v>3184</v>
      </c>
      <c r="B1653" s="184" t="s">
        <v>113</v>
      </c>
      <c r="C1653" s="184" t="s">
        <v>1101</v>
      </c>
      <c r="D1653" s="185" t="s">
        <v>704</v>
      </c>
      <c r="E1653" s="186" t="s">
        <v>906</v>
      </c>
      <c r="F1653" s="186" t="s">
        <v>907</v>
      </c>
      <c r="G1653" s="186" t="s">
        <v>1102</v>
      </c>
      <c r="H1653" s="186" t="s">
        <v>1174</v>
      </c>
      <c r="I1653" s="187" t="s">
        <v>1262</v>
      </c>
      <c r="J1653" s="187" t="s">
        <v>1263</v>
      </c>
      <c r="K1653" s="188"/>
      <c r="L1653" s="188"/>
      <c r="M1653" s="189" t="s">
        <v>807</v>
      </c>
      <c r="N1653" s="190">
        <v>56.04</v>
      </c>
      <c r="O1653" s="190">
        <f t="shared" si="203"/>
        <v>61.08</v>
      </c>
      <c r="P1653" s="191">
        <f t="shared" si="204"/>
        <v>0</v>
      </c>
      <c r="Q1653" s="192">
        <f t="shared" si="205"/>
        <v>0</v>
      </c>
      <c r="R1653" s="193"/>
      <c r="S1653" s="194"/>
      <c r="T1653" s="195">
        <f t="shared" si="206"/>
        <v>0</v>
      </c>
      <c r="U1653" s="195">
        <f t="shared" si="207"/>
        <v>0</v>
      </c>
      <c r="V1653" s="195">
        <f t="shared" si="208"/>
        <v>0</v>
      </c>
      <c r="W1653" s="196" t="e">
        <f t="shared" si="209"/>
        <v>#DIV/0!</v>
      </c>
      <c r="X1653" s="197" t="e">
        <f t="shared" si="210"/>
        <v>#DIV/0!</v>
      </c>
    </row>
    <row r="1654" ht="11.4" hidden="1" customHeight="1" spans="1:24">
      <c r="A1654" s="184" t="s">
        <v>3184</v>
      </c>
      <c r="B1654" s="184" t="s">
        <v>113</v>
      </c>
      <c r="C1654" s="184" t="s">
        <v>1101</v>
      </c>
      <c r="D1654" s="185" t="s">
        <v>704</v>
      </c>
      <c r="E1654" s="186" t="s">
        <v>906</v>
      </c>
      <c r="F1654" s="186" t="s">
        <v>907</v>
      </c>
      <c r="G1654" s="186" t="s">
        <v>1102</v>
      </c>
      <c r="H1654" s="186" t="s">
        <v>1174</v>
      </c>
      <c r="I1654" s="187" t="s">
        <v>1264</v>
      </c>
      <c r="J1654" s="187" t="s">
        <v>1265</v>
      </c>
      <c r="K1654" s="188"/>
      <c r="L1654" s="188"/>
      <c r="M1654" s="189" t="s">
        <v>847</v>
      </c>
      <c r="N1654" s="190">
        <v>93.15</v>
      </c>
      <c r="O1654" s="190">
        <f t="shared" si="203"/>
        <v>101.53</v>
      </c>
      <c r="P1654" s="191">
        <f t="shared" si="204"/>
        <v>0</v>
      </c>
      <c r="Q1654" s="192">
        <f t="shared" si="205"/>
        <v>0</v>
      </c>
      <c r="R1654" s="193"/>
      <c r="S1654" s="194"/>
      <c r="T1654" s="195">
        <f t="shared" si="206"/>
        <v>0</v>
      </c>
      <c r="U1654" s="195">
        <f t="shared" si="207"/>
        <v>0</v>
      </c>
      <c r="V1654" s="195">
        <f t="shared" si="208"/>
        <v>0</v>
      </c>
      <c r="W1654" s="196" t="e">
        <f t="shared" si="209"/>
        <v>#DIV/0!</v>
      </c>
      <c r="X1654" s="197" t="e">
        <f t="shared" si="210"/>
        <v>#DIV/0!</v>
      </c>
    </row>
    <row r="1655" ht="11.4" hidden="1" customHeight="1" spans="1:24">
      <c r="A1655" s="184" t="s">
        <v>3184</v>
      </c>
      <c r="B1655" s="184" t="s">
        <v>113</v>
      </c>
      <c r="C1655" s="184" t="s">
        <v>1101</v>
      </c>
      <c r="D1655" s="185" t="s">
        <v>704</v>
      </c>
      <c r="E1655" s="186" t="s">
        <v>906</v>
      </c>
      <c r="F1655" s="186" t="s">
        <v>907</v>
      </c>
      <c r="G1655" s="186" t="s">
        <v>1102</v>
      </c>
      <c r="H1655" s="186" t="s">
        <v>1174</v>
      </c>
      <c r="I1655" s="187" t="s">
        <v>1266</v>
      </c>
      <c r="J1655" s="187" t="s">
        <v>1267</v>
      </c>
      <c r="K1655" s="188"/>
      <c r="L1655" s="188"/>
      <c r="M1655" s="189" t="s">
        <v>847</v>
      </c>
      <c r="N1655" s="190">
        <v>197.35</v>
      </c>
      <c r="O1655" s="190">
        <f t="shared" si="203"/>
        <v>215.11</v>
      </c>
      <c r="P1655" s="191">
        <f t="shared" si="204"/>
        <v>0</v>
      </c>
      <c r="Q1655" s="192">
        <f t="shared" si="205"/>
        <v>0</v>
      </c>
      <c r="R1655" s="193"/>
      <c r="S1655" s="194"/>
      <c r="T1655" s="195">
        <f t="shared" si="206"/>
        <v>0</v>
      </c>
      <c r="U1655" s="195">
        <f t="shared" si="207"/>
        <v>0</v>
      </c>
      <c r="V1655" s="195">
        <f t="shared" si="208"/>
        <v>0</v>
      </c>
      <c r="W1655" s="196" t="e">
        <f t="shared" si="209"/>
        <v>#DIV/0!</v>
      </c>
      <c r="X1655" s="197" t="e">
        <f t="shared" si="210"/>
        <v>#DIV/0!</v>
      </c>
    </row>
    <row r="1656" ht="11.4" hidden="1" customHeight="1" spans="1:24">
      <c r="A1656" s="184" t="s">
        <v>3184</v>
      </c>
      <c r="B1656" s="184" t="s">
        <v>113</v>
      </c>
      <c r="C1656" s="184" t="s">
        <v>1101</v>
      </c>
      <c r="D1656" s="185" t="s">
        <v>704</v>
      </c>
      <c r="E1656" s="186" t="s">
        <v>906</v>
      </c>
      <c r="F1656" s="186" t="s">
        <v>907</v>
      </c>
      <c r="G1656" s="186" t="s">
        <v>1102</v>
      </c>
      <c r="H1656" s="186" t="s">
        <v>1174</v>
      </c>
      <c r="I1656" s="187" t="s">
        <v>1268</v>
      </c>
      <c r="J1656" s="187" t="s">
        <v>1269</v>
      </c>
      <c r="K1656" s="188"/>
      <c r="L1656" s="188"/>
      <c r="M1656" s="189" t="s">
        <v>847</v>
      </c>
      <c r="N1656" s="190">
        <v>189.53</v>
      </c>
      <c r="O1656" s="190">
        <f t="shared" si="203"/>
        <v>206.59</v>
      </c>
      <c r="P1656" s="191">
        <f t="shared" si="204"/>
        <v>0</v>
      </c>
      <c r="Q1656" s="192">
        <f t="shared" si="205"/>
        <v>0</v>
      </c>
      <c r="R1656" s="193"/>
      <c r="S1656" s="194"/>
      <c r="T1656" s="195">
        <f t="shared" si="206"/>
        <v>0</v>
      </c>
      <c r="U1656" s="195">
        <f t="shared" si="207"/>
        <v>0</v>
      </c>
      <c r="V1656" s="195">
        <f t="shared" si="208"/>
        <v>0</v>
      </c>
      <c r="W1656" s="196" t="e">
        <f t="shared" si="209"/>
        <v>#DIV/0!</v>
      </c>
      <c r="X1656" s="197" t="e">
        <f t="shared" si="210"/>
        <v>#DIV/0!</v>
      </c>
    </row>
    <row r="1657" ht="11.4" hidden="1" customHeight="1" spans="1:24">
      <c r="A1657" s="184" t="s">
        <v>3184</v>
      </c>
      <c r="B1657" s="184" t="s">
        <v>113</v>
      </c>
      <c r="C1657" s="184" t="s">
        <v>1101</v>
      </c>
      <c r="D1657" s="185" t="s">
        <v>704</v>
      </c>
      <c r="E1657" s="186" t="s">
        <v>906</v>
      </c>
      <c r="F1657" s="186" t="s">
        <v>907</v>
      </c>
      <c r="G1657" s="186" t="s">
        <v>1102</v>
      </c>
      <c r="H1657" s="186" t="s">
        <v>1174</v>
      </c>
      <c r="I1657" s="187" t="s">
        <v>1270</v>
      </c>
      <c r="J1657" s="187" t="s">
        <v>1271</v>
      </c>
      <c r="K1657" s="188"/>
      <c r="L1657" s="188"/>
      <c r="M1657" s="189" t="s">
        <v>847</v>
      </c>
      <c r="N1657" s="190">
        <v>200.98</v>
      </c>
      <c r="O1657" s="190">
        <f t="shared" si="203"/>
        <v>219.07</v>
      </c>
      <c r="P1657" s="191">
        <f t="shared" si="204"/>
        <v>0</v>
      </c>
      <c r="Q1657" s="192">
        <f t="shared" si="205"/>
        <v>0</v>
      </c>
      <c r="R1657" s="193"/>
      <c r="S1657" s="194"/>
      <c r="T1657" s="195">
        <f t="shared" si="206"/>
        <v>0</v>
      </c>
      <c r="U1657" s="195">
        <f t="shared" si="207"/>
        <v>0</v>
      </c>
      <c r="V1657" s="195">
        <f t="shared" si="208"/>
        <v>0</v>
      </c>
      <c r="W1657" s="196" t="e">
        <f t="shared" si="209"/>
        <v>#DIV/0!</v>
      </c>
      <c r="X1657" s="197" t="e">
        <f t="shared" si="210"/>
        <v>#DIV/0!</v>
      </c>
    </row>
    <row r="1658" ht="11.4" hidden="1" customHeight="1" spans="1:24">
      <c r="A1658" s="184" t="s">
        <v>3184</v>
      </c>
      <c r="B1658" s="184" t="s">
        <v>113</v>
      </c>
      <c r="C1658" s="184" t="s">
        <v>1101</v>
      </c>
      <c r="D1658" s="185" t="s">
        <v>704</v>
      </c>
      <c r="E1658" s="186" t="s">
        <v>906</v>
      </c>
      <c r="F1658" s="186" t="s">
        <v>907</v>
      </c>
      <c r="G1658" s="186" t="s">
        <v>1102</v>
      </c>
      <c r="H1658" s="186" t="s">
        <v>1174</v>
      </c>
      <c r="I1658" s="187" t="s">
        <v>1272</v>
      </c>
      <c r="J1658" s="187" t="s">
        <v>1273</v>
      </c>
      <c r="K1658" s="188"/>
      <c r="L1658" s="188"/>
      <c r="M1658" s="189" t="s">
        <v>847</v>
      </c>
      <c r="N1658" s="190">
        <v>187.67</v>
      </c>
      <c r="O1658" s="190">
        <f t="shared" si="203"/>
        <v>204.56</v>
      </c>
      <c r="P1658" s="191">
        <f t="shared" si="204"/>
        <v>0</v>
      </c>
      <c r="Q1658" s="192">
        <f t="shared" si="205"/>
        <v>0</v>
      </c>
      <c r="R1658" s="193"/>
      <c r="S1658" s="194"/>
      <c r="T1658" s="195">
        <f t="shared" si="206"/>
        <v>0</v>
      </c>
      <c r="U1658" s="195">
        <f t="shared" si="207"/>
        <v>0</v>
      </c>
      <c r="V1658" s="195">
        <f t="shared" si="208"/>
        <v>0</v>
      </c>
      <c r="W1658" s="196" t="e">
        <f t="shared" si="209"/>
        <v>#DIV/0!</v>
      </c>
      <c r="X1658" s="197" t="e">
        <f t="shared" si="210"/>
        <v>#DIV/0!</v>
      </c>
    </row>
    <row r="1659" ht="11.4" hidden="1" customHeight="1" spans="1:24">
      <c r="A1659" s="184" t="s">
        <v>3184</v>
      </c>
      <c r="B1659" s="184" t="s">
        <v>113</v>
      </c>
      <c r="C1659" s="184" t="s">
        <v>1101</v>
      </c>
      <c r="D1659" s="185" t="s">
        <v>704</v>
      </c>
      <c r="E1659" s="186" t="s">
        <v>906</v>
      </c>
      <c r="F1659" s="186" t="s">
        <v>907</v>
      </c>
      <c r="G1659" s="186" t="s">
        <v>1102</v>
      </c>
      <c r="H1659" s="186" t="s">
        <v>1174</v>
      </c>
      <c r="I1659" s="187" t="s">
        <v>1274</v>
      </c>
      <c r="J1659" s="187" t="s">
        <v>1275</v>
      </c>
      <c r="K1659" s="188"/>
      <c r="L1659" s="188"/>
      <c r="M1659" s="189" t="s">
        <v>847</v>
      </c>
      <c r="N1659" s="190">
        <v>187.67</v>
      </c>
      <c r="O1659" s="190">
        <f t="shared" si="203"/>
        <v>204.56</v>
      </c>
      <c r="P1659" s="191">
        <f t="shared" si="204"/>
        <v>0</v>
      </c>
      <c r="Q1659" s="192">
        <f t="shared" si="205"/>
        <v>0</v>
      </c>
      <c r="R1659" s="193"/>
      <c r="S1659" s="194"/>
      <c r="T1659" s="195">
        <f t="shared" si="206"/>
        <v>0</v>
      </c>
      <c r="U1659" s="195">
        <f t="shared" si="207"/>
        <v>0</v>
      </c>
      <c r="V1659" s="195">
        <f t="shared" si="208"/>
        <v>0</v>
      </c>
      <c r="W1659" s="196" t="e">
        <f t="shared" si="209"/>
        <v>#DIV/0!</v>
      </c>
      <c r="X1659" s="197" t="e">
        <f t="shared" si="210"/>
        <v>#DIV/0!</v>
      </c>
    </row>
    <row r="1660" ht="11.4" hidden="1" customHeight="1" spans="1:24">
      <c r="A1660" s="184" t="s">
        <v>3184</v>
      </c>
      <c r="B1660" s="184" t="s">
        <v>113</v>
      </c>
      <c r="C1660" s="184" t="s">
        <v>1101</v>
      </c>
      <c r="D1660" s="185" t="s">
        <v>704</v>
      </c>
      <c r="E1660" s="186" t="s">
        <v>906</v>
      </c>
      <c r="F1660" s="186" t="s">
        <v>907</v>
      </c>
      <c r="G1660" s="186" t="s">
        <v>1102</v>
      </c>
      <c r="H1660" s="186" t="s">
        <v>1174</v>
      </c>
      <c r="I1660" s="187" t="s">
        <v>1276</v>
      </c>
      <c r="J1660" s="187" t="s">
        <v>1277</v>
      </c>
      <c r="K1660" s="188"/>
      <c r="L1660" s="188"/>
      <c r="M1660" s="189" t="s">
        <v>847</v>
      </c>
      <c r="N1660" s="190">
        <v>187.67</v>
      </c>
      <c r="O1660" s="190">
        <f t="shared" si="203"/>
        <v>204.56</v>
      </c>
      <c r="P1660" s="191">
        <f t="shared" si="204"/>
        <v>0</v>
      </c>
      <c r="Q1660" s="192">
        <f t="shared" si="205"/>
        <v>0</v>
      </c>
      <c r="R1660" s="193"/>
      <c r="S1660" s="194"/>
      <c r="T1660" s="195">
        <f t="shared" si="206"/>
        <v>0</v>
      </c>
      <c r="U1660" s="195">
        <f t="shared" si="207"/>
        <v>0</v>
      </c>
      <c r="V1660" s="195">
        <f t="shared" si="208"/>
        <v>0</v>
      </c>
      <c r="W1660" s="196" t="e">
        <f t="shared" si="209"/>
        <v>#DIV/0!</v>
      </c>
      <c r="X1660" s="197" t="e">
        <f t="shared" si="210"/>
        <v>#DIV/0!</v>
      </c>
    </row>
    <row r="1661" ht="11.4" hidden="1" customHeight="1" spans="1:24">
      <c r="A1661" s="184" t="s">
        <v>3184</v>
      </c>
      <c r="B1661" s="184" t="s">
        <v>113</v>
      </c>
      <c r="C1661" s="184" t="s">
        <v>1101</v>
      </c>
      <c r="D1661" s="185" t="s">
        <v>704</v>
      </c>
      <c r="E1661" s="186" t="s">
        <v>906</v>
      </c>
      <c r="F1661" s="186" t="s">
        <v>907</v>
      </c>
      <c r="G1661" s="186" t="s">
        <v>1102</v>
      </c>
      <c r="H1661" s="186" t="s">
        <v>1174</v>
      </c>
      <c r="I1661" s="187" t="s">
        <v>1278</v>
      </c>
      <c r="J1661" s="187" t="s">
        <v>1279</v>
      </c>
      <c r="K1661" s="188"/>
      <c r="L1661" s="188"/>
      <c r="M1661" s="189" t="s">
        <v>847</v>
      </c>
      <c r="N1661" s="190">
        <v>127.13</v>
      </c>
      <c r="O1661" s="190">
        <f t="shared" si="203"/>
        <v>138.57</v>
      </c>
      <c r="P1661" s="191">
        <f t="shared" si="204"/>
        <v>0</v>
      </c>
      <c r="Q1661" s="192">
        <f t="shared" si="205"/>
        <v>0</v>
      </c>
      <c r="R1661" s="193"/>
      <c r="S1661" s="194"/>
      <c r="T1661" s="195">
        <f t="shared" si="206"/>
        <v>0</v>
      </c>
      <c r="U1661" s="195">
        <f t="shared" si="207"/>
        <v>0</v>
      </c>
      <c r="V1661" s="195">
        <f t="shared" si="208"/>
        <v>0</v>
      </c>
      <c r="W1661" s="196" t="e">
        <f t="shared" si="209"/>
        <v>#DIV/0!</v>
      </c>
      <c r="X1661" s="197" t="e">
        <f t="shared" si="210"/>
        <v>#DIV/0!</v>
      </c>
    </row>
    <row r="1662" ht="11.4" hidden="1" customHeight="1" spans="1:24">
      <c r="A1662" s="184" t="s">
        <v>3184</v>
      </c>
      <c r="B1662" s="184" t="s">
        <v>113</v>
      </c>
      <c r="C1662" s="184" t="s">
        <v>1101</v>
      </c>
      <c r="D1662" s="185" t="s">
        <v>704</v>
      </c>
      <c r="E1662" s="186" t="s">
        <v>906</v>
      </c>
      <c r="F1662" s="186" t="s">
        <v>907</v>
      </c>
      <c r="G1662" s="186" t="s">
        <v>1102</v>
      </c>
      <c r="H1662" s="186" t="s">
        <v>1174</v>
      </c>
      <c r="I1662" s="187" t="s">
        <v>1280</v>
      </c>
      <c r="J1662" s="187" t="s">
        <v>1281</v>
      </c>
      <c r="K1662" s="188"/>
      <c r="L1662" s="188"/>
      <c r="M1662" s="189" t="s">
        <v>847</v>
      </c>
      <c r="N1662" s="190">
        <v>115.53</v>
      </c>
      <c r="O1662" s="190">
        <f t="shared" si="203"/>
        <v>125.93</v>
      </c>
      <c r="P1662" s="191">
        <f t="shared" si="204"/>
        <v>0</v>
      </c>
      <c r="Q1662" s="192">
        <f t="shared" si="205"/>
        <v>0</v>
      </c>
      <c r="R1662" s="193"/>
      <c r="S1662" s="194"/>
      <c r="T1662" s="195">
        <f t="shared" si="206"/>
        <v>0</v>
      </c>
      <c r="U1662" s="195">
        <f t="shared" si="207"/>
        <v>0</v>
      </c>
      <c r="V1662" s="195">
        <f t="shared" si="208"/>
        <v>0</v>
      </c>
      <c r="W1662" s="196" t="e">
        <f t="shared" si="209"/>
        <v>#DIV/0!</v>
      </c>
      <c r="X1662" s="197" t="e">
        <f t="shared" si="210"/>
        <v>#DIV/0!</v>
      </c>
    </row>
    <row r="1663" ht="11.4" hidden="1" customHeight="1" spans="1:24">
      <c r="A1663" s="184" t="s">
        <v>3184</v>
      </c>
      <c r="B1663" s="184" t="s">
        <v>113</v>
      </c>
      <c r="C1663" s="184" t="s">
        <v>1101</v>
      </c>
      <c r="D1663" s="185" t="s">
        <v>704</v>
      </c>
      <c r="E1663" s="186" t="s">
        <v>906</v>
      </c>
      <c r="F1663" s="186" t="s">
        <v>907</v>
      </c>
      <c r="G1663" s="186" t="s">
        <v>1102</v>
      </c>
      <c r="H1663" s="186" t="s">
        <v>1174</v>
      </c>
      <c r="I1663" s="187" t="s">
        <v>1282</v>
      </c>
      <c r="J1663" s="187" t="s">
        <v>1283</v>
      </c>
      <c r="K1663" s="188"/>
      <c r="L1663" s="188"/>
      <c r="M1663" s="189" t="s">
        <v>847</v>
      </c>
      <c r="N1663" s="190">
        <v>131.37</v>
      </c>
      <c r="O1663" s="190">
        <f t="shared" si="203"/>
        <v>143.19</v>
      </c>
      <c r="P1663" s="191">
        <f t="shared" si="204"/>
        <v>0</v>
      </c>
      <c r="Q1663" s="192">
        <f t="shared" si="205"/>
        <v>0</v>
      </c>
      <c r="R1663" s="193"/>
      <c r="S1663" s="194"/>
      <c r="T1663" s="195">
        <f t="shared" si="206"/>
        <v>0</v>
      </c>
      <c r="U1663" s="195">
        <f t="shared" si="207"/>
        <v>0</v>
      </c>
      <c r="V1663" s="195">
        <f t="shared" si="208"/>
        <v>0</v>
      </c>
      <c r="W1663" s="196" t="e">
        <f t="shared" si="209"/>
        <v>#DIV/0!</v>
      </c>
      <c r="X1663" s="197" t="e">
        <f t="shared" si="210"/>
        <v>#DIV/0!</v>
      </c>
    </row>
    <row r="1664" ht="11.4" hidden="1" customHeight="1" spans="1:24">
      <c r="A1664" s="184" t="s">
        <v>3184</v>
      </c>
      <c r="B1664" s="184" t="s">
        <v>113</v>
      </c>
      <c r="C1664" s="184" t="s">
        <v>1101</v>
      </c>
      <c r="D1664" s="185" t="s">
        <v>704</v>
      </c>
      <c r="E1664" s="186" t="s">
        <v>906</v>
      </c>
      <c r="F1664" s="186" t="s">
        <v>907</v>
      </c>
      <c r="G1664" s="186" t="s">
        <v>1102</v>
      </c>
      <c r="H1664" s="186" t="s">
        <v>1174</v>
      </c>
      <c r="I1664" s="187" t="s">
        <v>1284</v>
      </c>
      <c r="J1664" s="187" t="s">
        <v>1285</v>
      </c>
      <c r="K1664" s="188"/>
      <c r="L1664" s="188"/>
      <c r="M1664" s="189" t="s">
        <v>847</v>
      </c>
      <c r="N1664" s="190">
        <v>139.83</v>
      </c>
      <c r="O1664" s="190">
        <f t="shared" si="203"/>
        <v>152.41</v>
      </c>
      <c r="P1664" s="191">
        <f t="shared" si="204"/>
        <v>0</v>
      </c>
      <c r="Q1664" s="192">
        <f t="shared" si="205"/>
        <v>0</v>
      </c>
      <c r="R1664" s="193"/>
      <c r="S1664" s="194"/>
      <c r="T1664" s="195">
        <f t="shared" si="206"/>
        <v>0</v>
      </c>
      <c r="U1664" s="195">
        <f t="shared" si="207"/>
        <v>0</v>
      </c>
      <c r="V1664" s="195">
        <f t="shared" si="208"/>
        <v>0</v>
      </c>
      <c r="W1664" s="196" t="e">
        <f t="shared" si="209"/>
        <v>#DIV/0!</v>
      </c>
      <c r="X1664" s="197" t="e">
        <f t="shared" si="210"/>
        <v>#DIV/0!</v>
      </c>
    </row>
    <row r="1665" ht="11.4" hidden="1" customHeight="1" spans="1:24">
      <c r="A1665" s="184" t="s">
        <v>3184</v>
      </c>
      <c r="B1665" s="184" t="s">
        <v>113</v>
      </c>
      <c r="C1665" s="184" t="s">
        <v>1101</v>
      </c>
      <c r="D1665" s="185" t="s">
        <v>704</v>
      </c>
      <c r="E1665" s="186" t="s">
        <v>906</v>
      </c>
      <c r="F1665" s="186" t="s">
        <v>907</v>
      </c>
      <c r="G1665" s="186" t="s">
        <v>1102</v>
      </c>
      <c r="H1665" s="186" t="s">
        <v>1174</v>
      </c>
      <c r="I1665" s="187" t="s">
        <v>1286</v>
      </c>
      <c r="J1665" s="187" t="s">
        <v>1287</v>
      </c>
      <c r="K1665" s="188"/>
      <c r="L1665" s="188"/>
      <c r="M1665" s="189" t="s">
        <v>847</v>
      </c>
      <c r="N1665" s="190">
        <v>129.44</v>
      </c>
      <c r="O1665" s="190">
        <f t="shared" si="203"/>
        <v>141.09</v>
      </c>
      <c r="P1665" s="191">
        <f t="shared" si="204"/>
        <v>0</v>
      </c>
      <c r="Q1665" s="192">
        <f t="shared" si="205"/>
        <v>0</v>
      </c>
      <c r="R1665" s="193"/>
      <c r="S1665" s="194"/>
      <c r="T1665" s="195">
        <f t="shared" si="206"/>
        <v>0</v>
      </c>
      <c r="U1665" s="195">
        <f t="shared" si="207"/>
        <v>0</v>
      </c>
      <c r="V1665" s="195">
        <f t="shared" si="208"/>
        <v>0</v>
      </c>
      <c r="W1665" s="196" t="e">
        <f t="shared" si="209"/>
        <v>#DIV/0!</v>
      </c>
      <c r="X1665" s="197" t="e">
        <f t="shared" si="210"/>
        <v>#DIV/0!</v>
      </c>
    </row>
    <row r="1666" ht="11.4" hidden="1" customHeight="1" spans="1:24">
      <c r="A1666" s="184" t="s">
        <v>3184</v>
      </c>
      <c r="B1666" s="184" t="s">
        <v>113</v>
      </c>
      <c r="C1666" s="184" t="s">
        <v>1101</v>
      </c>
      <c r="D1666" s="185" t="s">
        <v>704</v>
      </c>
      <c r="E1666" s="186" t="s">
        <v>906</v>
      </c>
      <c r="F1666" s="186" t="s">
        <v>907</v>
      </c>
      <c r="G1666" s="186" t="s">
        <v>1102</v>
      </c>
      <c r="H1666" s="186" t="s">
        <v>1174</v>
      </c>
      <c r="I1666" s="187" t="s">
        <v>1288</v>
      </c>
      <c r="J1666" s="187" t="s">
        <v>1289</v>
      </c>
      <c r="K1666" s="188"/>
      <c r="L1666" s="188"/>
      <c r="M1666" s="189" t="s">
        <v>847</v>
      </c>
      <c r="N1666" s="190">
        <v>139.83</v>
      </c>
      <c r="O1666" s="190">
        <f t="shared" si="203"/>
        <v>152.41</v>
      </c>
      <c r="P1666" s="191">
        <f t="shared" si="204"/>
        <v>0</v>
      </c>
      <c r="Q1666" s="192">
        <f t="shared" si="205"/>
        <v>0</v>
      </c>
      <c r="R1666" s="193"/>
      <c r="S1666" s="194"/>
      <c r="T1666" s="195">
        <f t="shared" si="206"/>
        <v>0</v>
      </c>
      <c r="U1666" s="195">
        <f t="shared" si="207"/>
        <v>0</v>
      </c>
      <c r="V1666" s="195">
        <f t="shared" si="208"/>
        <v>0</v>
      </c>
      <c r="W1666" s="196" t="e">
        <f t="shared" si="209"/>
        <v>#DIV/0!</v>
      </c>
      <c r="X1666" s="197" t="e">
        <f t="shared" si="210"/>
        <v>#DIV/0!</v>
      </c>
    </row>
    <row r="1667" ht="11.4" hidden="1" customHeight="1" spans="1:24">
      <c r="A1667" s="184" t="s">
        <v>3184</v>
      </c>
      <c r="B1667" s="184" t="s">
        <v>113</v>
      </c>
      <c r="C1667" s="184" t="s">
        <v>1101</v>
      </c>
      <c r="D1667" s="185" t="s">
        <v>704</v>
      </c>
      <c r="E1667" s="186" t="s">
        <v>906</v>
      </c>
      <c r="F1667" s="186" t="s">
        <v>907</v>
      </c>
      <c r="G1667" s="186" t="s">
        <v>1102</v>
      </c>
      <c r="H1667" s="186" t="s">
        <v>1174</v>
      </c>
      <c r="I1667" s="187" t="s">
        <v>1290</v>
      </c>
      <c r="J1667" s="187" t="s">
        <v>1291</v>
      </c>
      <c r="K1667" s="188"/>
      <c r="L1667" s="188"/>
      <c r="M1667" s="189" t="s">
        <v>847</v>
      </c>
      <c r="N1667" s="190">
        <v>167.98</v>
      </c>
      <c r="O1667" s="190">
        <f t="shared" si="203"/>
        <v>183.1</v>
      </c>
      <c r="P1667" s="191">
        <f t="shared" si="204"/>
        <v>0</v>
      </c>
      <c r="Q1667" s="192">
        <f t="shared" si="205"/>
        <v>0</v>
      </c>
      <c r="R1667" s="193"/>
      <c r="S1667" s="194"/>
      <c r="T1667" s="195">
        <f t="shared" si="206"/>
        <v>0</v>
      </c>
      <c r="U1667" s="195">
        <f t="shared" si="207"/>
        <v>0</v>
      </c>
      <c r="V1667" s="195">
        <f t="shared" si="208"/>
        <v>0</v>
      </c>
      <c r="W1667" s="196" t="e">
        <f t="shared" si="209"/>
        <v>#DIV/0!</v>
      </c>
      <c r="X1667" s="197" t="e">
        <f t="shared" si="210"/>
        <v>#DIV/0!</v>
      </c>
    </row>
    <row r="1668" ht="11.4" hidden="1" customHeight="1" spans="1:24">
      <c r="A1668" s="184" t="s">
        <v>3184</v>
      </c>
      <c r="B1668" s="184" t="s">
        <v>113</v>
      </c>
      <c r="C1668" s="184" t="s">
        <v>1101</v>
      </c>
      <c r="D1668" s="185" t="s">
        <v>704</v>
      </c>
      <c r="E1668" s="186" t="s">
        <v>906</v>
      </c>
      <c r="F1668" s="186" t="s">
        <v>907</v>
      </c>
      <c r="G1668" s="186" t="s">
        <v>1102</v>
      </c>
      <c r="H1668" s="186" t="s">
        <v>1174</v>
      </c>
      <c r="I1668" s="187" t="s">
        <v>1292</v>
      </c>
      <c r="J1668" s="187" t="s">
        <v>1293</v>
      </c>
      <c r="K1668" s="188"/>
      <c r="L1668" s="188"/>
      <c r="M1668" s="189" t="s">
        <v>847</v>
      </c>
      <c r="N1668" s="190">
        <v>147.41</v>
      </c>
      <c r="O1668" s="190">
        <f t="shared" si="203"/>
        <v>160.68</v>
      </c>
      <c r="P1668" s="191">
        <f t="shared" si="204"/>
        <v>0</v>
      </c>
      <c r="Q1668" s="192">
        <f t="shared" si="205"/>
        <v>0</v>
      </c>
      <c r="R1668" s="193"/>
      <c r="S1668" s="194"/>
      <c r="T1668" s="195">
        <f t="shared" si="206"/>
        <v>0</v>
      </c>
      <c r="U1668" s="195">
        <f t="shared" si="207"/>
        <v>0</v>
      </c>
      <c r="V1668" s="195">
        <f t="shared" si="208"/>
        <v>0</v>
      </c>
      <c r="W1668" s="196" t="e">
        <f t="shared" si="209"/>
        <v>#DIV/0!</v>
      </c>
      <c r="X1668" s="197" t="e">
        <f t="shared" si="210"/>
        <v>#DIV/0!</v>
      </c>
    </row>
    <row r="1669" ht="11.4" hidden="1" customHeight="1" spans="1:24">
      <c r="A1669" s="184" t="s">
        <v>3184</v>
      </c>
      <c r="B1669" s="184" t="s">
        <v>113</v>
      </c>
      <c r="C1669" s="184" t="s">
        <v>1101</v>
      </c>
      <c r="D1669" s="185" t="s">
        <v>704</v>
      </c>
      <c r="E1669" s="186" t="s">
        <v>906</v>
      </c>
      <c r="F1669" s="186" t="s">
        <v>907</v>
      </c>
      <c r="G1669" s="186" t="s">
        <v>1102</v>
      </c>
      <c r="H1669" s="186" t="s">
        <v>1174</v>
      </c>
      <c r="I1669" s="187" t="s">
        <v>1294</v>
      </c>
      <c r="J1669" s="187" t="s">
        <v>1295</v>
      </c>
      <c r="K1669" s="188"/>
      <c r="L1669" s="188"/>
      <c r="M1669" s="189" t="s">
        <v>847</v>
      </c>
      <c r="N1669" s="190">
        <v>169.19</v>
      </c>
      <c r="O1669" s="190">
        <f t="shared" si="203"/>
        <v>184.42</v>
      </c>
      <c r="P1669" s="191">
        <f t="shared" si="204"/>
        <v>0</v>
      </c>
      <c r="Q1669" s="192">
        <f t="shared" si="205"/>
        <v>0</v>
      </c>
      <c r="R1669" s="193"/>
      <c r="S1669" s="194"/>
      <c r="T1669" s="195">
        <f t="shared" si="206"/>
        <v>0</v>
      </c>
      <c r="U1669" s="195">
        <f t="shared" si="207"/>
        <v>0</v>
      </c>
      <c r="V1669" s="195">
        <f t="shared" si="208"/>
        <v>0</v>
      </c>
      <c r="W1669" s="196" t="e">
        <f t="shared" si="209"/>
        <v>#DIV/0!</v>
      </c>
      <c r="X1669" s="197" t="e">
        <f t="shared" si="210"/>
        <v>#DIV/0!</v>
      </c>
    </row>
    <row r="1670" ht="11.4" hidden="1" customHeight="1" spans="1:24">
      <c r="A1670" s="184" t="s">
        <v>3184</v>
      </c>
      <c r="B1670" s="184" t="s">
        <v>113</v>
      </c>
      <c r="C1670" s="184" t="s">
        <v>1101</v>
      </c>
      <c r="D1670" s="185" t="s">
        <v>704</v>
      </c>
      <c r="E1670" s="186" t="s">
        <v>906</v>
      </c>
      <c r="F1670" s="186" t="s">
        <v>907</v>
      </c>
      <c r="G1670" s="186" t="s">
        <v>1102</v>
      </c>
      <c r="H1670" s="186" t="s">
        <v>1174</v>
      </c>
      <c r="I1670" s="187" t="s">
        <v>1296</v>
      </c>
      <c r="J1670" s="187" t="s">
        <v>1297</v>
      </c>
      <c r="K1670" s="188"/>
      <c r="L1670" s="188"/>
      <c r="M1670" s="189" t="s">
        <v>847</v>
      </c>
      <c r="N1670" s="190">
        <v>194.93</v>
      </c>
      <c r="O1670" s="190">
        <f t="shared" si="203"/>
        <v>212.47</v>
      </c>
      <c r="P1670" s="191">
        <f t="shared" si="204"/>
        <v>0</v>
      </c>
      <c r="Q1670" s="192">
        <f t="shared" si="205"/>
        <v>0</v>
      </c>
      <c r="R1670" s="193"/>
      <c r="S1670" s="194"/>
      <c r="T1670" s="195">
        <f t="shared" si="206"/>
        <v>0</v>
      </c>
      <c r="U1670" s="195">
        <f t="shared" si="207"/>
        <v>0</v>
      </c>
      <c r="V1670" s="195">
        <f t="shared" si="208"/>
        <v>0</v>
      </c>
      <c r="W1670" s="196" t="e">
        <f t="shared" si="209"/>
        <v>#DIV/0!</v>
      </c>
      <c r="X1670" s="197" t="e">
        <f t="shared" si="210"/>
        <v>#DIV/0!</v>
      </c>
    </row>
    <row r="1671" ht="11.4" hidden="1" customHeight="1" spans="1:24">
      <c r="A1671" s="184" t="s">
        <v>3184</v>
      </c>
      <c r="B1671" s="184" t="s">
        <v>113</v>
      </c>
      <c r="C1671" s="184" t="s">
        <v>1101</v>
      </c>
      <c r="D1671" s="185" t="s">
        <v>704</v>
      </c>
      <c r="E1671" s="186" t="s">
        <v>906</v>
      </c>
      <c r="F1671" s="186" t="s">
        <v>907</v>
      </c>
      <c r="G1671" s="186" t="s">
        <v>1102</v>
      </c>
      <c r="H1671" s="186" t="s">
        <v>1174</v>
      </c>
      <c r="I1671" s="187" t="s">
        <v>1298</v>
      </c>
      <c r="J1671" s="187" t="s">
        <v>1299</v>
      </c>
      <c r="K1671" s="188"/>
      <c r="L1671" s="188"/>
      <c r="M1671" s="189" t="s">
        <v>847</v>
      </c>
      <c r="N1671" s="190">
        <v>177.99</v>
      </c>
      <c r="O1671" s="190">
        <f t="shared" si="203"/>
        <v>194.01</v>
      </c>
      <c r="P1671" s="191">
        <f t="shared" si="204"/>
        <v>0</v>
      </c>
      <c r="Q1671" s="192">
        <f t="shared" si="205"/>
        <v>0</v>
      </c>
      <c r="R1671" s="193"/>
      <c r="S1671" s="194"/>
      <c r="T1671" s="195">
        <f t="shared" si="206"/>
        <v>0</v>
      </c>
      <c r="U1671" s="195">
        <f t="shared" si="207"/>
        <v>0</v>
      </c>
      <c r="V1671" s="195">
        <f t="shared" si="208"/>
        <v>0</v>
      </c>
      <c r="W1671" s="196" t="e">
        <f t="shared" si="209"/>
        <v>#DIV/0!</v>
      </c>
      <c r="X1671" s="197" t="e">
        <f t="shared" si="210"/>
        <v>#DIV/0!</v>
      </c>
    </row>
    <row r="1672" ht="11.4" hidden="1" customHeight="1" spans="1:24">
      <c r="A1672" s="184" t="s">
        <v>3184</v>
      </c>
      <c r="B1672" s="184" t="s">
        <v>113</v>
      </c>
      <c r="C1672" s="184" t="s">
        <v>1101</v>
      </c>
      <c r="D1672" s="185" t="s">
        <v>704</v>
      </c>
      <c r="E1672" s="186" t="s">
        <v>906</v>
      </c>
      <c r="F1672" s="186" t="s">
        <v>907</v>
      </c>
      <c r="G1672" s="186" t="s">
        <v>1102</v>
      </c>
      <c r="H1672" s="186" t="s">
        <v>1174</v>
      </c>
      <c r="I1672" s="187" t="s">
        <v>1300</v>
      </c>
      <c r="J1672" s="187" t="s">
        <v>1301</v>
      </c>
      <c r="K1672" s="188"/>
      <c r="L1672" s="188"/>
      <c r="M1672" s="189" t="s">
        <v>847</v>
      </c>
      <c r="N1672" s="190">
        <v>196.14</v>
      </c>
      <c r="O1672" s="190">
        <f t="shared" si="203"/>
        <v>213.79</v>
      </c>
      <c r="P1672" s="191">
        <f t="shared" si="204"/>
        <v>0</v>
      </c>
      <c r="Q1672" s="192">
        <f t="shared" si="205"/>
        <v>0</v>
      </c>
      <c r="R1672" s="193"/>
      <c r="S1672" s="194"/>
      <c r="T1672" s="195">
        <f t="shared" si="206"/>
        <v>0</v>
      </c>
      <c r="U1672" s="195">
        <f t="shared" si="207"/>
        <v>0</v>
      </c>
      <c r="V1672" s="195">
        <f t="shared" si="208"/>
        <v>0</v>
      </c>
      <c r="W1672" s="196" t="e">
        <f t="shared" si="209"/>
        <v>#DIV/0!</v>
      </c>
      <c r="X1672" s="197" t="e">
        <f t="shared" si="210"/>
        <v>#DIV/0!</v>
      </c>
    </row>
    <row r="1673" ht="11.4" hidden="1" customHeight="1" spans="1:24">
      <c r="A1673" s="184" t="s">
        <v>3184</v>
      </c>
      <c r="B1673" s="184" t="s">
        <v>113</v>
      </c>
      <c r="C1673" s="184" t="s">
        <v>1101</v>
      </c>
      <c r="D1673" s="185" t="s">
        <v>704</v>
      </c>
      <c r="E1673" s="186" t="s">
        <v>906</v>
      </c>
      <c r="F1673" s="186" t="s">
        <v>907</v>
      </c>
      <c r="G1673" s="186" t="s">
        <v>1102</v>
      </c>
      <c r="H1673" s="186" t="s">
        <v>1174</v>
      </c>
      <c r="I1673" s="187" t="s">
        <v>1302</v>
      </c>
      <c r="J1673" s="187" t="s">
        <v>1303</v>
      </c>
      <c r="K1673" s="188"/>
      <c r="L1673" s="188"/>
      <c r="M1673" s="189" t="s">
        <v>847</v>
      </c>
      <c r="N1673" s="190">
        <v>194.93</v>
      </c>
      <c r="O1673" s="190">
        <f t="shared" si="203"/>
        <v>212.47</v>
      </c>
      <c r="P1673" s="191">
        <f t="shared" si="204"/>
        <v>0</v>
      </c>
      <c r="Q1673" s="192">
        <f t="shared" si="205"/>
        <v>0</v>
      </c>
      <c r="R1673" s="193"/>
      <c r="S1673" s="194"/>
      <c r="T1673" s="195">
        <f t="shared" si="206"/>
        <v>0</v>
      </c>
      <c r="U1673" s="195">
        <f t="shared" si="207"/>
        <v>0</v>
      </c>
      <c r="V1673" s="195">
        <f t="shared" si="208"/>
        <v>0</v>
      </c>
      <c r="W1673" s="196" t="e">
        <f t="shared" si="209"/>
        <v>#DIV/0!</v>
      </c>
      <c r="X1673" s="197" t="e">
        <f t="shared" si="210"/>
        <v>#DIV/0!</v>
      </c>
    </row>
    <row r="1674" ht="11.4" hidden="1" customHeight="1" spans="1:24">
      <c r="A1674" s="184" t="s">
        <v>3184</v>
      </c>
      <c r="B1674" s="184" t="s">
        <v>113</v>
      </c>
      <c r="C1674" s="184" t="s">
        <v>1101</v>
      </c>
      <c r="D1674" s="185" t="s">
        <v>704</v>
      </c>
      <c r="E1674" s="186" t="s">
        <v>906</v>
      </c>
      <c r="F1674" s="186" t="s">
        <v>907</v>
      </c>
      <c r="G1674" s="186" t="s">
        <v>1102</v>
      </c>
      <c r="H1674" s="186" t="s">
        <v>1174</v>
      </c>
      <c r="I1674" s="187" t="s">
        <v>1304</v>
      </c>
      <c r="J1674" s="187" t="s">
        <v>1305</v>
      </c>
      <c r="K1674" s="188"/>
      <c r="L1674" s="188"/>
      <c r="M1674" s="189" t="s">
        <v>847</v>
      </c>
      <c r="N1674" s="190">
        <v>180.41</v>
      </c>
      <c r="O1674" s="190">
        <f t="shared" si="203"/>
        <v>196.65</v>
      </c>
      <c r="P1674" s="191">
        <f t="shared" si="204"/>
        <v>0</v>
      </c>
      <c r="Q1674" s="192">
        <f t="shared" si="205"/>
        <v>0</v>
      </c>
      <c r="R1674" s="193"/>
      <c r="S1674" s="194"/>
      <c r="T1674" s="195">
        <f t="shared" si="206"/>
        <v>0</v>
      </c>
      <c r="U1674" s="195">
        <f t="shared" si="207"/>
        <v>0</v>
      </c>
      <c r="V1674" s="195">
        <f t="shared" si="208"/>
        <v>0</v>
      </c>
      <c r="W1674" s="196" t="e">
        <f t="shared" si="209"/>
        <v>#DIV/0!</v>
      </c>
      <c r="X1674" s="197" t="e">
        <f t="shared" si="210"/>
        <v>#DIV/0!</v>
      </c>
    </row>
    <row r="1675" ht="11.4" hidden="1" customHeight="1" spans="1:24">
      <c r="A1675" s="184" t="s">
        <v>3184</v>
      </c>
      <c r="B1675" s="184" t="s">
        <v>113</v>
      </c>
      <c r="C1675" s="184" t="s">
        <v>1101</v>
      </c>
      <c r="D1675" s="185" t="s">
        <v>704</v>
      </c>
      <c r="E1675" s="186" t="s">
        <v>906</v>
      </c>
      <c r="F1675" s="186" t="s">
        <v>907</v>
      </c>
      <c r="G1675" s="186" t="s">
        <v>1102</v>
      </c>
      <c r="H1675" s="186" t="s">
        <v>1174</v>
      </c>
      <c r="I1675" s="187" t="s">
        <v>1306</v>
      </c>
      <c r="J1675" s="187" t="s">
        <v>1307</v>
      </c>
      <c r="K1675" s="188"/>
      <c r="L1675" s="188"/>
      <c r="M1675" s="189" t="s">
        <v>847</v>
      </c>
      <c r="N1675" s="190">
        <v>194.93</v>
      </c>
      <c r="O1675" s="190">
        <f t="shared" si="203"/>
        <v>212.47</v>
      </c>
      <c r="P1675" s="191">
        <f t="shared" si="204"/>
        <v>0</v>
      </c>
      <c r="Q1675" s="192">
        <f t="shared" si="205"/>
        <v>0</v>
      </c>
      <c r="R1675" s="193"/>
      <c r="S1675" s="194"/>
      <c r="T1675" s="195">
        <f t="shared" si="206"/>
        <v>0</v>
      </c>
      <c r="U1675" s="195">
        <f t="shared" si="207"/>
        <v>0</v>
      </c>
      <c r="V1675" s="195">
        <f t="shared" si="208"/>
        <v>0</v>
      </c>
      <c r="W1675" s="196" t="e">
        <f t="shared" si="209"/>
        <v>#DIV/0!</v>
      </c>
      <c r="X1675" s="197" t="e">
        <f t="shared" si="210"/>
        <v>#DIV/0!</v>
      </c>
    </row>
    <row r="1676" ht="11.4" hidden="1" customHeight="1" spans="1:24">
      <c r="A1676" s="184" t="s">
        <v>3184</v>
      </c>
      <c r="B1676" s="184" t="s">
        <v>113</v>
      </c>
      <c r="C1676" s="184" t="s">
        <v>1101</v>
      </c>
      <c r="D1676" s="185" t="s">
        <v>704</v>
      </c>
      <c r="E1676" s="186" t="s">
        <v>906</v>
      </c>
      <c r="F1676" s="186" t="s">
        <v>907</v>
      </c>
      <c r="G1676" s="186" t="s">
        <v>1102</v>
      </c>
      <c r="H1676" s="186" t="s">
        <v>1174</v>
      </c>
      <c r="I1676" s="187" t="s">
        <v>1308</v>
      </c>
      <c r="J1676" s="187" t="s">
        <v>1309</v>
      </c>
      <c r="K1676" s="188"/>
      <c r="L1676" s="188"/>
      <c r="M1676" s="189" t="s">
        <v>847</v>
      </c>
      <c r="N1676" s="190">
        <v>237.28</v>
      </c>
      <c r="O1676" s="190">
        <f t="shared" si="203"/>
        <v>258.64</v>
      </c>
      <c r="P1676" s="191">
        <f t="shared" si="204"/>
        <v>0</v>
      </c>
      <c r="Q1676" s="192">
        <f t="shared" si="205"/>
        <v>0</v>
      </c>
      <c r="R1676" s="193"/>
      <c r="S1676" s="194"/>
      <c r="T1676" s="195">
        <f t="shared" si="206"/>
        <v>0</v>
      </c>
      <c r="U1676" s="195">
        <f t="shared" si="207"/>
        <v>0</v>
      </c>
      <c r="V1676" s="195">
        <f t="shared" si="208"/>
        <v>0</v>
      </c>
      <c r="W1676" s="196" t="e">
        <f t="shared" si="209"/>
        <v>#DIV/0!</v>
      </c>
      <c r="X1676" s="197" t="e">
        <f t="shared" si="210"/>
        <v>#DIV/0!</v>
      </c>
    </row>
    <row r="1677" ht="11.4" hidden="1" customHeight="1" spans="1:24">
      <c r="A1677" s="184" t="s">
        <v>3184</v>
      </c>
      <c r="B1677" s="184" t="s">
        <v>113</v>
      </c>
      <c r="C1677" s="184" t="s">
        <v>1101</v>
      </c>
      <c r="D1677" s="185" t="s">
        <v>704</v>
      </c>
      <c r="E1677" s="186" t="s">
        <v>906</v>
      </c>
      <c r="F1677" s="186" t="s">
        <v>907</v>
      </c>
      <c r="G1677" s="186" t="s">
        <v>1102</v>
      </c>
      <c r="H1677" s="186" t="s">
        <v>1174</v>
      </c>
      <c r="I1677" s="187" t="s">
        <v>1310</v>
      </c>
      <c r="J1677" s="187" t="s">
        <v>1311</v>
      </c>
      <c r="K1677" s="188"/>
      <c r="L1677" s="188"/>
      <c r="M1677" s="189" t="s">
        <v>847</v>
      </c>
      <c r="N1677" s="190">
        <v>208.24</v>
      </c>
      <c r="O1677" s="190">
        <f t="shared" ref="O1677:O1740" si="211">ROUND(N1677*(1+$F$10),2)</f>
        <v>226.98</v>
      </c>
      <c r="P1677" s="191">
        <f t="shared" ref="P1677:P1740" si="212">ROUND(K1677*N1677,2)</f>
        <v>0</v>
      </c>
      <c r="Q1677" s="192">
        <f t="shared" si="205"/>
        <v>0</v>
      </c>
      <c r="R1677" s="193"/>
      <c r="S1677" s="194"/>
      <c r="T1677" s="195">
        <f t="shared" si="206"/>
        <v>0</v>
      </c>
      <c r="U1677" s="195">
        <f t="shared" si="207"/>
        <v>0</v>
      </c>
      <c r="V1677" s="195">
        <f t="shared" si="208"/>
        <v>0</v>
      </c>
      <c r="W1677" s="196" t="e">
        <f t="shared" si="209"/>
        <v>#DIV/0!</v>
      </c>
      <c r="X1677" s="197" t="e">
        <f t="shared" si="210"/>
        <v>#DIV/0!</v>
      </c>
    </row>
    <row r="1678" ht="11.4" hidden="1" customHeight="1" spans="1:24">
      <c r="A1678" s="184" t="s">
        <v>3184</v>
      </c>
      <c r="B1678" s="184" t="s">
        <v>113</v>
      </c>
      <c r="C1678" s="184" t="s">
        <v>1101</v>
      </c>
      <c r="D1678" s="185" t="s">
        <v>704</v>
      </c>
      <c r="E1678" s="186" t="s">
        <v>906</v>
      </c>
      <c r="F1678" s="186" t="s">
        <v>907</v>
      </c>
      <c r="G1678" s="186" t="s">
        <v>1102</v>
      </c>
      <c r="H1678" s="186" t="s">
        <v>1174</v>
      </c>
      <c r="I1678" s="187" t="s">
        <v>1312</v>
      </c>
      <c r="J1678" s="187" t="s">
        <v>1313</v>
      </c>
      <c r="K1678" s="188"/>
      <c r="L1678" s="188"/>
      <c r="M1678" s="189" t="s">
        <v>847</v>
      </c>
      <c r="N1678" s="190">
        <v>237.28</v>
      </c>
      <c r="O1678" s="190">
        <f t="shared" si="211"/>
        <v>258.64</v>
      </c>
      <c r="P1678" s="191">
        <f t="shared" si="212"/>
        <v>0</v>
      </c>
      <c r="Q1678" s="192">
        <f t="shared" ref="Q1678:Q1741" si="213">ROUND(L1678*N1678,2)</f>
        <v>0</v>
      </c>
      <c r="R1678" s="193"/>
      <c r="S1678" s="194"/>
      <c r="T1678" s="195">
        <f t="shared" ref="T1678:T1741" si="214">K1678-L1678</f>
        <v>0</v>
      </c>
      <c r="U1678" s="195">
        <f t="shared" ref="U1678:U1741" si="215">P1678-Q1678</f>
        <v>0</v>
      </c>
      <c r="V1678" s="195">
        <f t="shared" ref="V1678:V1741" si="216">ABS(U1678)</f>
        <v>0</v>
      </c>
      <c r="W1678" s="196" t="e">
        <f t="shared" ref="W1678:W1741" si="217">T1678/L1678</f>
        <v>#DIV/0!</v>
      </c>
      <c r="X1678" s="197" t="e">
        <f t="shared" ref="X1678:X1741" si="218">ABS(W1678)</f>
        <v>#DIV/0!</v>
      </c>
    </row>
    <row r="1679" ht="11.4" hidden="1" customHeight="1" spans="1:24">
      <c r="A1679" s="184" t="s">
        <v>3184</v>
      </c>
      <c r="B1679" s="184" t="s">
        <v>113</v>
      </c>
      <c r="C1679" s="184" t="s">
        <v>1101</v>
      </c>
      <c r="D1679" s="185" t="s">
        <v>704</v>
      </c>
      <c r="E1679" s="186" t="s">
        <v>906</v>
      </c>
      <c r="F1679" s="186" t="s">
        <v>907</v>
      </c>
      <c r="G1679" s="186" t="s">
        <v>1102</v>
      </c>
      <c r="H1679" s="186" t="s">
        <v>1174</v>
      </c>
      <c r="I1679" s="187" t="s">
        <v>1314</v>
      </c>
      <c r="J1679" s="187" t="s">
        <v>1315</v>
      </c>
      <c r="K1679" s="188"/>
      <c r="L1679" s="188"/>
      <c r="M1679" s="189" t="s">
        <v>847</v>
      </c>
      <c r="N1679" s="190">
        <v>179.53</v>
      </c>
      <c r="O1679" s="190">
        <f t="shared" si="211"/>
        <v>195.69</v>
      </c>
      <c r="P1679" s="191">
        <f t="shared" si="212"/>
        <v>0</v>
      </c>
      <c r="Q1679" s="192">
        <f t="shared" si="213"/>
        <v>0</v>
      </c>
      <c r="R1679" s="193"/>
      <c r="S1679" s="194"/>
      <c r="T1679" s="195">
        <f t="shared" si="214"/>
        <v>0</v>
      </c>
      <c r="U1679" s="195">
        <f t="shared" si="215"/>
        <v>0</v>
      </c>
      <c r="V1679" s="195">
        <f t="shared" si="216"/>
        <v>0</v>
      </c>
      <c r="W1679" s="196" t="e">
        <f t="shared" si="217"/>
        <v>#DIV/0!</v>
      </c>
      <c r="X1679" s="197" t="e">
        <f t="shared" si="218"/>
        <v>#DIV/0!</v>
      </c>
    </row>
    <row r="1680" ht="11.4" hidden="1" customHeight="1" spans="1:24">
      <c r="A1680" s="184" t="s">
        <v>3184</v>
      </c>
      <c r="B1680" s="184" t="s">
        <v>113</v>
      </c>
      <c r="C1680" s="184" t="s">
        <v>1101</v>
      </c>
      <c r="D1680" s="185" t="s">
        <v>704</v>
      </c>
      <c r="E1680" s="186" t="s">
        <v>906</v>
      </c>
      <c r="F1680" s="186" t="s">
        <v>907</v>
      </c>
      <c r="G1680" s="186" t="s">
        <v>1102</v>
      </c>
      <c r="H1680" s="186" t="s">
        <v>1174</v>
      </c>
      <c r="I1680" s="187" t="s">
        <v>1316</v>
      </c>
      <c r="J1680" s="187" t="s">
        <v>1317</v>
      </c>
      <c r="K1680" s="188"/>
      <c r="L1680" s="188"/>
      <c r="M1680" s="189" t="s">
        <v>847</v>
      </c>
      <c r="N1680" s="190">
        <v>168.64</v>
      </c>
      <c r="O1680" s="190">
        <f t="shared" si="211"/>
        <v>183.82</v>
      </c>
      <c r="P1680" s="191">
        <f t="shared" si="212"/>
        <v>0</v>
      </c>
      <c r="Q1680" s="192">
        <f t="shared" si="213"/>
        <v>0</v>
      </c>
      <c r="R1680" s="193"/>
      <c r="S1680" s="194"/>
      <c r="T1680" s="195">
        <f t="shared" si="214"/>
        <v>0</v>
      </c>
      <c r="U1680" s="195">
        <f t="shared" si="215"/>
        <v>0</v>
      </c>
      <c r="V1680" s="195">
        <f t="shared" si="216"/>
        <v>0</v>
      </c>
      <c r="W1680" s="196" t="e">
        <f t="shared" si="217"/>
        <v>#DIV/0!</v>
      </c>
      <c r="X1680" s="197" t="e">
        <f t="shared" si="218"/>
        <v>#DIV/0!</v>
      </c>
    </row>
    <row r="1681" ht="11.4" hidden="1" customHeight="1" spans="1:24">
      <c r="A1681" s="184" t="s">
        <v>3184</v>
      </c>
      <c r="B1681" s="184" t="s">
        <v>113</v>
      </c>
      <c r="C1681" s="184" t="s">
        <v>1101</v>
      </c>
      <c r="D1681" s="185" t="s">
        <v>704</v>
      </c>
      <c r="E1681" s="186" t="s">
        <v>906</v>
      </c>
      <c r="F1681" s="186" t="s">
        <v>907</v>
      </c>
      <c r="G1681" s="186" t="s">
        <v>1102</v>
      </c>
      <c r="H1681" s="186" t="s">
        <v>1174</v>
      </c>
      <c r="I1681" s="187" t="s">
        <v>1318</v>
      </c>
      <c r="J1681" s="187" t="s">
        <v>1319</v>
      </c>
      <c r="K1681" s="188"/>
      <c r="L1681" s="188"/>
      <c r="M1681" s="189" t="s">
        <v>847</v>
      </c>
      <c r="N1681" s="190">
        <v>179.53</v>
      </c>
      <c r="O1681" s="190">
        <f t="shared" si="211"/>
        <v>195.69</v>
      </c>
      <c r="P1681" s="191">
        <f t="shared" si="212"/>
        <v>0</v>
      </c>
      <c r="Q1681" s="192">
        <f t="shared" si="213"/>
        <v>0</v>
      </c>
      <c r="R1681" s="193"/>
      <c r="S1681" s="194"/>
      <c r="T1681" s="195">
        <f t="shared" si="214"/>
        <v>0</v>
      </c>
      <c r="U1681" s="195">
        <f t="shared" si="215"/>
        <v>0</v>
      </c>
      <c r="V1681" s="195">
        <f t="shared" si="216"/>
        <v>0</v>
      </c>
      <c r="W1681" s="196" t="e">
        <f t="shared" si="217"/>
        <v>#DIV/0!</v>
      </c>
      <c r="X1681" s="197" t="e">
        <f t="shared" si="218"/>
        <v>#DIV/0!</v>
      </c>
    </row>
    <row r="1682" ht="11.4" hidden="1" customHeight="1" spans="1:24">
      <c r="A1682" s="184" t="s">
        <v>3184</v>
      </c>
      <c r="B1682" s="184" t="s">
        <v>113</v>
      </c>
      <c r="C1682" s="184" t="s">
        <v>1101</v>
      </c>
      <c r="D1682" s="185" t="s">
        <v>704</v>
      </c>
      <c r="E1682" s="186" t="s">
        <v>906</v>
      </c>
      <c r="F1682" s="186" t="s">
        <v>907</v>
      </c>
      <c r="G1682" s="186" t="s">
        <v>1102</v>
      </c>
      <c r="H1682" s="186" t="s">
        <v>1174</v>
      </c>
      <c r="I1682" s="187" t="s">
        <v>1320</v>
      </c>
      <c r="J1682" s="187" t="s">
        <v>1321</v>
      </c>
      <c r="K1682" s="188"/>
      <c r="L1682" s="188"/>
      <c r="M1682" s="189" t="s">
        <v>847</v>
      </c>
      <c r="N1682" s="190">
        <v>169.85</v>
      </c>
      <c r="O1682" s="190">
        <f t="shared" si="211"/>
        <v>185.14</v>
      </c>
      <c r="P1682" s="191">
        <f t="shared" si="212"/>
        <v>0</v>
      </c>
      <c r="Q1682" s="192">
        <f t="shared" si="213"/>
        <v>0</v>
      </c>
      <c r="R1682" s="193"/>
      <c r="S1682" s="194"/>
      <c r="T1682" s="195">
        <f t="shared" si="214"/>
        <v>0</v>
      </c>
      <c r="U1682" s="195">
        <f t="shared" si="215"/>
        <v>0</v>
      </c>
      <c r="V1682" s="195">
        <f t="shared" si="216"/>
        <v>0</v>
      </c>
      <c r="W1682" s="196" t="e">
        <f t="shared" si="217"/>
        <v>#DIV/0!</v>
      </c>
      <c r="X1682" s="197" t="e">
        <f t="shared" si="218"/>
        <v>#DIV/0!</v>
      </c>
    </row>
    <row r="1683" ht="11.4" hidden="1" customHeight="1" spans="1:24">
      <c r="A1683" s="184" t="s">
        <v>3184</v>
      </c>
      <c r="B1683" s="184" t="s">
        <v>113</v>
      </c>
      <c r="C1683" s="184" t="s">
        <v>1101</v>
      </c>
      <c r="D1683" s="185" t="s">
        <v>704</v>
      </c>
      <c r="E1683" s="186" t="s">
        <v>906</v>
      </c>
      <c r="F1683" s="186" t="s">
        <v>907</v>
      </c>
      <c r="G1683" s="186" t="s">
        <v>1102</v>
      </c>
      <c r="H1683" s="186" t="s">
        <v>1174</v>
      </c>
      <c r="I1683" s="187" t="s">
        <v>1322</v>
      </c>
      <c r="J1683" s="187" t="s">
        <v>1323</v>
      </c>
      <c r="K1683" s="188"/>
      <c r="L1683" s="188"/>
      <c r="M1683" s="189" t="s">
        <v>847</v>
      </c>
      <c r="N1683" s="190">
        <v>165.01</v>
      </c>
      <c r="O1683" s="190">
        <f t="shared" si="211"/>
        <v>179.86</v>
      </c>
      <c r="P1683" s="191">
        <f t="shared" si="212"/>
        <v>0</v>
      </c>
      <c r="Q1683" s="192">
        <f t="shared" si="213"/>
        <v>0</v>
      </c>
      <c r="R1683" s="193"/>
      <c r="S1683" s="194"/>
      <c r="T1683" s="195">
        <f t="shared" si="214"/>
        <v>0</v>
      </c>
      <c r="U1683" s="195">
        <f t="shared" si="215"/>
        <v>0</v>
      </c>
      <c r="V1683" s="195">
        <f t="shared" si="216"/>
        <v>0</v>
      </c>
      <c r="W1683" s="196" t="e">
        <f t="shared" si="217"/>
        <v>#DIV/0!</v>
      </c>
      <c r="X1683" s="197" t="e">
        <f t="shared" si="218"/>
        <v>#DIV/0!</v>
      </c>
    </row>
    <row r="1684" ht="11.4" hidden="1" customHeight="1" spans="1:24">
      <c r="A1684" s="184" t="s">
        <v>3184</v>
      </c>
      <c r="B1684" s="184" t="s">
        <v>113</v>
      </c>
      <c r="C1684" s="184" t="s">
        <v>1101</v>
      </c>
      <c r="D1684" s="185" t="s">
        <v>704</v>
      </c>
      <c r="E1684" s="186" t="s">
        <v>906</v>
      </c>
      <c r="F1684" s="186" t="s">
        <v>907</v>
      </c>
      <c r="G1684" s="186" t="s">
        <v>1102</v>
      </c>
      <c r="H1684" s="186" t="s">
        <v>1174</v>
      </c>
      <c r="I1684" s="187" t="s">
        <v>1324</v>
      </c>
      <c r="J1684" s="187" t="s">
        <v>1325</v>
      </c>
      <c r="K1684" s="188"/>
      <c r="L1684" s="188"/>
      <c r="M1684" s="189" t="s">
        <v>847</v>
      </c>
      <c r="N1684" s="190">
        <v>169.85</v>
      </c>
      <c r="O1684" s="190">
        <f t="shared" si="211"/>
        <v>185.14</v>
      </c>
      <c r="P1684" s="191">
        <f t="shared" si="212"/>
        <v>0</v>
      </c>
      <c r="Q1684" s="192">
        <f t="shared" si="213"/>
        <v>0</v>
      </c>
      <c r="R1684" s="193"/>
      <c r="S1684" s="194"/>
      <c r="T1684" s="195">
        <f t="shared" si="214"/>
        <v>0</v>
      </c>
      <c r="U1684" s="195">
        <f t="shared" si="215"/>
        <v>0</v>
      </c>
      <c r="V1684" s="195">
        <f t="shared" si="216"/>
        <v>0</v>
      </c>
      <c r="W1684" s="196" t="e">
        <f t="shared" si="217"/>
        <v>#DIV/0!</v>
      </c>
      <c r="X1684" s="197" t="e">
        <f t="shared" si="218"/>
        <v>#DIV/0!</v>
      </c>
    </row>
    <row r="1685" ht="11.4" hidden="1" customHeight="1" spans="1:24">
      <c r="A1685" s="184" t="s">
        <v>3184</v>
      </c>
      <c r="B1685" s="184" t="s">
        <v>113</v>
      </c>
      <c r="C1685" s="184" t="s">
        <v>1101</v>
      </c>
      <c r="D1685" s="185" t="s">
        <v>704</v>
      </c>
      <c r="E1685" s="186" t="s">
        <v>906</v>
      </c>
      <c r="F1685" s="186" t="s">
        <v>907</v>
      </c>
      <c r="G1685" s="186" t="s">
        <v>1102</v>
      </c>
      <c r="H1685" s="186" t="s">
        <v>1174</v>
      </c>
      <c r="I1685" s="187" t="s">
        <v>1326</v>
      </c>
      <c r="J1685" s="187" t="s">
        <v>1327</v>
      </c>
      <c r="K1685" s="188"/>
      <c r="L1685" s="188"/>
      <c r="M1685" s="189" t="s">
        <v>847</v>
      </c>
      <c r="N1685" s="190">
        <v>206.06</v>
      </c>
      <c r="O1685" s="190">
        <f t="shared" si="211"/>
        <v>224.61</v>
      </c>
      <c r="P1685" s="191">
        <f t="shared" si="212"/>
        <v>0</v>
      </c>
      <c r="Q1685" s="192">
        <f t="shared" si="213"/>
        <v>0</v>
      </c>
      <c r="R1685" s="193"/>
      <c r="S1685" s="194"/>
      <c r="T1685" s="195">
        <f t="shared" si="214"/>
        <v>0</v>
      </c>
      <c r="U1685" s="195">
        <f t="shared" si="215"/>
        <v>0</v>
      </c>
      <c r="V1685" s="195">
        <f t="shared" si="216"/>
        <v>0</v>
      </c>
      <c r="W1685" s="196" t="e">
        <f t="shared" si="217"/>
        <v>#DIV/0!</v>
      </c>
      <c r="X1685" s="197" t="e">
        <f t="shared" si="218"/>
        <v>#DIV/0!</v>
      </c>
    </row>
    <row r="1686" ht="11.4" hidden="1" customHeight="1" spans="1:24">
      <c r="A1686" s="184" t="s">
        <v>3184</v>
      </c>
      <c r="B1686" s="184" t="s">
        <v>113</v>
      </c>
      <c r="C1686" s="184" t="s">
        <v>1101</v>
      </c>
      <c r="D1686" s="185" t="s">
        <v>704</v>
      </c>
      <c r="E1686" s="186" t="s">
        <v>906</v>
      </c>
      <c r="F1686" s="186" t="s">
        <v>907</v>
      </c>
      <c r="G1686" s="186" t="s">
        <v>1102</v>
      </c>
      <c r="H1686" s="186" t="s">
        <v>1174</v>
      </c>
      <c r="I1686" s="187" t="s">
        <v>1328</v>
      </c>
      <c r="J1686" s="187" t="s">
        <v>1329</v>
      </c>
      <c r="K1686" s="188"/>
      <c r="L1686" s="188"/>
      <c r="M1686" s="189" t="s">
        <v>847</v>
      </c>
      <c r="N1686" s="190">
        <v>193.96</v>
      </c>
      <c r="O1686" s="190">
        <f t="shared" si="211"/>
        <v>211.42</v>
      </c>
      <c r="P1686" s="191">
        <f t="shared" si="212"/>
        <v>0</v>
      </c>
      <c r="Q1686" s="192">
        <f t="shared" si="213"/>
        <v>0</v>
      </c>
      <c r="R1686" s="193"/>
      <c r="S1686" s="194"/>
      <c r="T1686" s="195">
        <f t="shared" si="214"/>
        <v>0</v>
      </c>
      <c r="U1686" s="195">
        <f t="shared" si="215"/>
        <v>0</v>
      </c>
      <c r="V1686" s="195">
        <f t="shared" si="216"/>
        <v>0</v>
      </c>
      <c r="W1686" s="196" t="e">
        <f t="shared" si="217"/>
        <v>#DIV/0!</v>
      </c>
      <c r="X1686" s="197" t="e">
        <f t="shared" si="218"/>
        <v>#DIV/0!</v>
      </c>
    </row>
    <row r="1687" ht="11.4" hidden="1" customHeight="1" spans="1:24">
      <c r="A1687" s="184" t="s">
        <v>3184</v>
      </c>
      <c r="B1687" s="184" t="s">
        <v>113</v>
      </c>
      <c r="C1687" s="184" t="s">
        <v>1101</v>
      </c>
      <c r="D1687" s="185" t="s">
        <v>704</v>
      </c>
      <c r="E1687" s="186" t="s">
        <v>906</v>
      </c>
      <c r="F1687" s="186" t="s">
        <v>907</v>
      </c>
      <c r="G1687" s="186" t="s">
        <v>1102</v>
      </c>
      <c r="H1687" s="186" t="s">
        <v>1174</v>
      </c>
      <c r="I1687" s="187" t="s">
        <v>1330</v>
      </c>
      <c r="J1687" s="187" t="s">
        <v>1331</v>
      </c>
      <c r="K1687" s="188"/>
      <c r="L1687" s="188"/>
      <c r="M1687" s="189" t="s">
        <v>847</v>
      </c>
      <c r="N1687" s="190">
        <v>215.74</v>
      </c>
      <c r="O1687" s="190">
        <f t="shared" si="211"/>
        <v>235.16</v>
      </c>
      <c r="P1687" s="191">
        <f t="shared" si="212"/>
        <v>0</v>
      </c>
      <c r="Q1687" s="192">
        <f t="shared" si="213"/>
        <v>0</v>
      </c>
      <c r="R1687" s="193"/>
      <c r="S1687" s="194"/>
      <c r="T1687" s="195">
        <f t="shared" si="214"/>
        <v>0</v>
      </c>
      <c r="U1687" s="195">
        <f t="shared" si="215"/>
        <v>0</v>
      </c>
      <c r="V1687" s="195">
        <f t="shared" si="216"/>
        <v>0</v>
      </c>
      <c r="W1687" s="196" t="e">
        <f t="shared" si="217"/>
        <v>#DIV/0!</v>
      </c>
      <c r="X1687" s="197" t="e">
        <f t="shared" si="218"/>
        <v>#DIV/0!</v>
      </c>
    </row>
    <row r="1688" ht="11.4" hidden="1" customHeight="1" spans="1:24">
      <c r="A1688" s="184" t="s">
        <v>3184</v>
      </c>
      <c r="B1688" s="184" t="s">
        <v>113</v>
      </c>
      <c r="C1688" s="184" t="s">
        <v>1101</v>
      </c>
      <c r="D1688" s="185" t="s">
        <v>704</v>
      </c>
      <c r="E1688" s="186" t="s">
        <v>906</v>
      </c>
      <c r="F1688" s="186" t="s">
        <v>907</v>
      </c>
      <c r="G1688" s="186" t="s">
        <v>1102</v>
      </c>
      <c r="H1688" s="186" t="s">
        <v>1174</v>
      </c>
      <c r="I1688" s="187" t="s">
        <v>1332</v>
      </c>
      <c r="J1688" s="187" t="s">
        <v>1333</v>
      </c>
      <c r="K1688" s="188"/>
      <c r="L1688" s="188"/>
      <c r="M1688" s="189" t="s">
        <v>793</v>
      </c>
      <c r="N1688" s="190">
        <v>1376</v>
      </c>
      <c r="O1688" s="190">
        <f t="shared" si="211"/>
        <v>1499.84</v>
      </c>
      <c r="P1688" s="191">
        <f t="shared" si="212"/>
        <v>0</v>
      </c>
      <c r="Q1688" s="192">
        <f t="shared" si="213"/>
        <v>0</v>
      </c>
      <c r="R1688" s="193"/>
      <c r="S1688" s="194"/>
      <c r="T1688" s="195">
        <f t="shared" si="214"/>
        <v>0</v>
      </c>
      <c r="U1688" s="195">
        <f t="shared" si="215"/>
        <v>0</v>
      </c>
      <c r="V1688" s="195">
        <f t="shared" si="216"/>
        <v>0</v>
      </c>
      <c r="W1688" s="196" t="e">
        <f t="shared" si="217"/>
        <v>#DIV/0!</v>
      </c>
      <c r="X1688" s="197" t="e">
        <f t="shared" si="218"/>
        <v>#DIV/0!</v>
      </c>
    </row>
    <row r="1689" ht="11.4" hidden="1" customHeight="1" spans="1:24">
      <c r="A1689" s="184" t="s">
        <v>3184</v>
      </c>
      <c r="B1689" s="184" t="s">
        <v>113</v>
      </c>
      <c r="C1689" s="184" t="s">
        <v>1101</v>
      </c>
      <c r="D1689" s="185" t="s">
        <v>704</v>
      </c>
      <c r="E1689" s="186" t="s">
        <v>906</v>
      </c>
      <c r="F1689" s="186" t="s">
        <v>907</v>
      </c>
      <c r="G1689" s="186" t="s">
        <v>1102</v>
      </c>
      <c r="H1689" s="186" t="s">
        <v>1174</v>
      </c>
      <c r="I1689" s="187" t="s">
        <v>1334</v>
      </c>
      <c r="J1689" s="187" t="s">
        <v>1335</v>
      </c>
      <c r="K1689" s="188"/>
      <c r="L1689" s="188"/>
      <c r="M1689" s="189" t="s">
        <v>847</v>
      </c>
      <c r="N1689" s="190">
        <v>1134.73</v>
      </c>
      <c r="O1689" s="190">
        <f t="shared" si="211"/>
        <v>1236.86</v>
      </c>
      <c r="P1689" s="191">
        <f t="shared" si="212"/>
        <v>0</v>
      </c>
      <c r="Q1689" s="192">
        <f t="shared" si="213"/>
        <v>0</v>
      </c>
      <c r="R1689" s="193"/>
      <c r="S1689" s="194"/>
      <c r="T1689" s="195">
        <f t="shared" si="214"/>
        <v>0</v>
      </c>
      <c r="U1689" s="195">
        <f t="shared" si="215"/>
        <v>0</v>
      </c>
      <c r="V1689" s="195">
        <f t="shared" si="216"/>
        <v>0</v>
      </c>
      <c r="W1689" s="196" t="e">
        <f t="shared" si="217"/>
        <v>#DIV/0!</v>
      </c>
      <c r="X1689" s="197" t="e">
        <f t="shared" si="218"/>
        <v>#DIV/0!</v>
      </c>
    </row>
    <row r="1690" ht="11.4" hidden="1" customHeight="1" spans="1:24">
      <c r="A1690" s="184" t="s">
        <v>3184</v>
      </c>
      <c r="B1690" s="184" t="s">
        <v>113</v>
      </c>
      <c r="C1690" s="184" t="s">
        <v>1101</v>
      </c>
      <c r="D1690" s="185" t="s">
        <v>704</v>
      </c>
      <c r="E1690" s="186" t="s">
        <v>906</v>
      </c>
      <c r="F1690" s="186" t="s">
        <v>907</v>
      </c>
      <c r="G1690" s="186" t="s">
        <v>1102</v>
      </c>
      <c r="H1690" s="186" t="s">
        <v>1174</v>
      </c>
      <c r="I1690" s="187" t="s">
        <v>1336</v>
      </c>
      <c r="J1690" s="187" t="s">
        <v>1337</v>
      </c>
      <c r="K1690" s="188"/>
      <c r="L1690" s="188"/>
      <c r="M1690" s="189" t="s">
        <v>847</v>
      </c>
      <c r="N1690" s="190">
        <v>62.19</v>
      </c>
      <c r="O1690" s="190">
        <f t="shared" si="211"/>
        <v>67.79</v>
      </c>
      <c r="P1690" s="191">
        <f t="shared" si="212"/>
        <v>0</v>
      </c>
      <c r="Q1690" s="192">
        <f t="shared" si="213"/>
        <v>0</v>
      </c>
      <c r="R1690" s="193"/>
      <c r="S1690" s="194"/>
      <c r="T1690" s="195">
        <f t="shared" si="214"/>
        <v>0</v>
      </c>
      <c r="U1690" s="195">
        <f t="shared" si="215"/>
        <v>0</v>
      </c>
      <c r="V1690" s="195">
        <f t="shared" si="216"/>
        <v>0</v>
      </c>
      <c r="W1690" s="196" t="e">
        <f t="shared" si="217"/>
        <v>#DIV/0!</v>
      </c>
      <c r="X1690" s="197" t="e">
        <f t="shared" si="218"/>
        <v>#DIV/0!</v>
      </c>
    </row>
    <row r="1691" ht="11.4" hidden="1" customHeight="1" spans="1:24">
      <c r="A1691" s="184" t="s">
        <v>3184</v>
      </c>
      <c r="B1691" s="184" t="s">
        <v>113</v>
      </c>
      <c r="C1691" s="184" t="s">
        <v>1101</v>
      </c>
      <c r="D1691" s="185" t="s">
        <v>704</v>
      </c>
      <c r="E1691" s="186" t="s">
        <v>906</v>
      </c>
      <c r="F1691" s="186" t="s">
        <v>907</v>
      </c>
      <c r="G1691" s="186" t="s">
        <v>1102</v>
      </c>
      <c r="H1691" s="186" t="s">
        <v>1174</v>
      </c>
      <c r="I1691" s="187" t="s">
        <v>1338</v>
      </c>
      <c r="J1691" s="187" t="s">
        <v>1339</v>
      </c>
      <c r="K1691" s="188"/>
      <c r="L1691" s="188"/>
      <c r="M1691" s="189" t="s">
        <v>847</v>
      </c>
      <c r="N1691" s="190">
        <v>205.04</v>
      </c>
      <c r="O1691" s="190">
        <f t="shared" si="211"/>
        <v>223.49</v>
      </c>
      <c r="P1691" s="191">
        <f t="shared" si="212"/>
        <v>0</v>
      </c>
      <c r="Q1691" s="192">
        <f t="shared" si="213"/>
        <v>0</v>
      </c>
      <c r="R1691" s="193"/>
      <c r="S1691" s="194"/>
      <c r="T1691" s="195">
        <f t="shared" si="214"/>
        <v>0</v>
      </c>
      <c r="U1691" s="195">
        <f t="shared" si="215"/>
        <v>0</v>
      </c>
      <c r="V1691" s="195">
        <f t="shared" si="216"/>
        <v>0</v>
      </c>
      <c r="W1691" s="196" t="e">
        <f t="shared" si="217"/>
        <v>#DIV/0!</v>
      </c>
      <c r="X1691" s="197" t="e">
        <f t="shared" si="218"/>
        <v>#DIV/0!</v>
      </c>
    </row>
    <row r="1692" ht="11.4" hidden="1" customHeight="1" spans="1:24">
      <c r="A1692" s="184" t="s">
        <v>3185</v>
      </c>
      <c r="B1692" s="184" t="s">
        <v>133</v>
      </c>
      <c r="C1692" s="184" t="s">
        <v>1341</v>
      </c>
      <c r="D1692" s="185" t="s">
        <v>704</v>
      </c>
      <c r="E1692" s="186" t="s">
        <v>906</v>
      </c>
      <c r="F1692" s="186" t="s">
        <v>907</v>
      </c>
      <c r="G1692" s="186" t="s">
        <v>1102</v>
      </c>
      <c r="H1692" s="186" t="s">
        <v>1342</v>
      </c>
      <c r="I1692" s="187" t="s">
        <v>1343</v>
      </c>
      <c r="J1692" s="187" t="s">
        <v>1344</v>
      </c>
      <c r="K1692" s="188"/>
      <c r="L1692" s="188"/>
      <c r="M1692" s="189" t="s">
        <v>847</v>
      </c>
      <c r="N1692" s="190"/>
      <c r="O1692" s="190">
        <f t="shared" si="211"/>
        <v>0</v>
      </c>
      <c r="P1692" s="191">
        <f t="shared" si="212"/>
        <v>0</v>
      </c>
      <c r="Q1692" s="192">
        <f t="shared" si="213"/>
        <v>0</v>
      </c>
      <c r="R1692" s="193"/>
      <c r="S1692" s="194"/>
      <c r="T1692" s="195">
        <f t="shared" si="214"/>
        <v>0</v>
      </c>
      <c r="U1692" s="195">
        <f t="shared" si="215"/>
        <v>0</v>
      </c>
      <c r="V1692" s="195">
        <f t="shared" si="216"/>
        <v>0</v>
      </c>
      <c r="W1692" s="196" t="e">
        <f t="shared" si="217"/>
        <v>#DIV/0!</v>
      </c>
      <c r="X1692" s="197" t="e">
        <f t="shared" si="218"/>
        <v>#DIV/0!</v>
      </c>
    </row>
    <row r="1693" ht="11.4" hidden="1" customHeight="1" spans="1:24">
      <c r="A1693" s="184" t="s">
        <v>3185</v>
      </c>
      <c r="B1693" s="184" t="s">
        <v>133</v>
      </c>
      <c r="C1693" s="184" t="s">
        <v>1341</v>
      </c>
      <c r="D1693" s="185" t="s">
        <v>704</v>
      </c>
      <c r="E1693" s="186" t="s">
        <v>906</v>
      </c>
      <c r="F1693" s="186" t="s">
        <v>907</v>
      </c>
      <c r="G1693" s="186" t="s">
        <v>1102</v>
      </c>
      <c r="H1693" s="186" t="s">
        <v>1342</v>
      </c>
      <c r="I1693" s="187" t="s">
        <v>1345</v>
      </c>
      <c r="J1693" s="187" t="s">
        <v>1346</v>
      </c>
      <c r="K1693" s="188"/>
      <c r="L1693" s="188"/>
      <c r="M1693" s="189" t="s">
        <v>847</v>
      </c>
      <c r="N1693" s="190"/>
      <c r="O1693" s="190">
        <f t="shared" si="211"/>
        <v>0</v>
      </c>
      <c r="P1693" s="191">
        <f t="shared" si="212"/>
        <v>0</v>
      </c>
      <c r="Q1693" s="192">
        <f t="shared" si="213"/>
        <v>0</v>
      </c>
      <c r="R1693" s="193"/>
      <c r="S1693" s="194"/>
      <c r="T1693" s="195">
        <f t="shared" si="214"/>
        <v>0</v>
      </c>
      <c r="U1693" s="195">
        <f t="shared" si="215"/>
        <v>0</v>
      </c>
      <c r="V1693" s="195">
        <f t="shared" si="216"/>
        <v>0</v>
      </c>
      <c r="W1693" s="196" t="e">
        <f t="shared" si="217"/>
        <v>#DIV/0!</v>
      </c>
      <c r="X1693" s="197" t="e">
        <f t="shared" si="218"/>
        <v>#DIV/0!</v>
      </c>
    </row>
    <row r="1694" ht="11.4" hidden="1" customHeight="1" spans="1:24">
      <c r="A1694" s="184" t="s">
        <v>3185</v>
      </c>
      <c r="B1694" s="184" t="s">
        <v>133</v>
      </c>
      <c r="C1694" s="184" t="s">
        <v>1341</v>
      </c>
      <c r="D1694" s="185" t="s">
        <v>704</v>
      </c>
      <c r="E1694" s="186" t="s">
        <v>906</v>
      </c>
      <c r="F1694" s="186" t="s">
        <v>907</v>
      </c>
      <c r="G1694" s="186" t="s">
        <v>1102</v>
      </c>
      <c r="H1694" s="186" t="s">
        <v>1342</v>
      </c>
      <c r="I1694" s="187" t="s">
        <v>1347</v>
      </c>
      <c r="J1694" s="187" t="s">
        <v>1348</v>
      </c>
      <c r="K1694" s="188"/>
      <c r="L1694" s="188"/>
      <c r="M1694" s="189" t="s">
        <v>847</v>
      </c>
      <c r="N1694" s="190"/>
      <c r="O1694" s="190">
        <f t="shared" si="211"/>
        <v>0</v>
      </c>
      <c r="P1694" s="191">
        <f t="shared" si="212"/>
        <v>0</v>
      </c>
      <c r="Q1694" s="192">
        <f t="shared" si="213"/>
        <v>0</v>
      </c>
      <c r="R1694" s="193"/>
      <c r="S1694" s="194"/>
      <c r="T1694" s="195">
        <f t="shared" si="214"/>
        <v>0</v>
      </c>
      <c r="U1694" s="195">
        <f t="shared" si="215"/>
        <v>0</v>
      </c>
      <c r="V1694" s="195">
        <f t="shared" si="216"/>
        <v>0</v>
      </c>
      <c r="W1694" s="196" t="e">
        <f t="shared" si="217"/>
        <v>#DIV/0!</v>
      </c>
      <c r="X1694" s="197" t="e">
        <f t="shared" si="218"/>
        <v>#DIV/0!</v>
      </c>
    </row>
    <row r="1695" ht="11.4" hidden="1" customHeight="1" spans="1:24">
      <c r="A1695" s="184" t="s">
        <v>3185</v>
      </c>
      <c r="B1695" s="184" t="s">
        <v>133</v>
      </c>
      <c r="C1695" s="184" t="s">
        <v>1341</v>
      </c>
      <c r="D1695" s="185" t="s">
        <v>704</v>
      </c>
      <c r="E1695" s="186" t="s">
        <v>906</v>
      </c>
      <c r="F1695" s="186" t="s">
        <v>907</v>
      </c>
      <c r="G1695" s="186" t="s">
        <v>1102</v>
      </c>
      <c r="H1695" s="186" t="s">
        <v>1342</v>
      </c>
      <c r="I1695" s="187" t="s">
        <v>1349</v>
      </c>
      <c r="J1695" s="187" t="s">
        <v>1350</v>
      </c>
      <c r="K1695" s="188"/>
      <c r="L1695" s="188"/>
      <c r="M1695" s="189" t="s">
        <v>847</v>
      </c>
      <c r="N1695" s="190">
        <v>58</v>
      </c>
      <c r="O1695" s="190">
        <f t="shared" si="211"/>
        <v>63.22</v>
      </c>
      <c r="P1695" s="191">
        <f t="shared" si="212"/>
        <v>0</v>
      </c>
      <c r="Q1695" s="192">
        <f t="shared" si="213"/>
        <v>0</v>
      </c>
      <c r="R1695" s="193"/>
      <c r="S1695" s="194"/>
      <c r="T1695" s="195">
        <f t="shared" si="214"/>
        <v>0</v>
      </c>
      <c r="U1695" s="195">
        <f t="shared" si="215"/>
        <v>0</v>
      </c>
      <c r="V1695" s="195">
        <f t="shared" si="216"/>
        <v>0</v>
      </c>
      <c r="W1695" s="196" t="e">
        <f t="shared" si="217"/>
        <v>#DIV/0!</v>
      </c>
      <c r="X1695" s="197" t="e">
        <f t="shared" si="218"/>
        <v>#DIV/0!</v>
      </c>
    </row>
    <row r="1696" ht="11.4" hidden="1" customHeight="1" spans="1:24">
      <c r="A1696" s="184" t="s">
        <v>3185</v>
      </c>
      <c r="B1696" s="184" t="s">
        <v>133</v>
      </c>
      <c r="C1696" s="184" t="s">
        <v>1341</v>
      </c>
      <c r="D1696" s="185" t="s">
        <v>704</v>
      </c>
      <c r="E1696" s="186" t="s">
        <v>906</v>
      </c>
      <c r="F1696" s="186" t="s">
        <v>907</v>
      </c>
      <c r="G1696" s="186" t="s">
        <v>1102</v>
      </c>
      <c r="H1696" s="186" t="s">
        <v>1342</v>
      </c>
      <c r="I1696" s="187" t="s">
        <v>1351</v>
      </c>
      <c r="J1696" s="187" t="s">
        <v>1352</v>
      </c>
      <c r="K1696" s="188"/>
      <c r="L1696" s="188"/>
      <c r="M1696" s="189" t="s">
        <v>847</v>
      </c>
      <c r="N1696" s="190"/>
      <c r="O1696" s="190">
        <f t="shared" si="211"/>
        <v>0</v>
      </c>
      <c r="P1696" s="191">
        <f t="shared" si="212"/>
        <v>0</v>
      </c>
      <c r="Q1696" s="192">
        <f t="shared" si="213"/>
        <v>0</v>
      </c>
      <c r="R1696" s="193"/>
      <c r="S1696" s="194"/>
      <c r="T1696" s="195">
        <f t="shared" si="214"/>
        <v>0</v>
      </c>
      <c r="U1696" s="195">
        <f t="shared" si="215"/>
        <v>0</v>
      </c>
      <c r="V1696" s="195">
        <f t="shared" si="216"/>
        <v>0</v>
      </c>
      <c r="W1696" s="196" t="e">
        <f t="shared" si="217"/>
        <v>#DIV/0!</v>
      </c>
      <c r="X1696" s="197" t="e">
        <f t="shared" si="218"/>
        <v>#DIV/0!</v>
      </c>
    </row>
    <row r="1697" ht="11.4" hidden="1" customHeight="1" spans="1:24">
      <c r="A1697" s="184" t="s">
        <v>3185</v>
      </c>
      <c r="B1697" s="184" t="s">
        <v>133</v>
      </c>
      <c r="C1697" s="184" t="s">
        <v>1341</v>
      </c>
      <c r="D1697" s="185" t="s">
        <v>704</v>
      </c>
      <c r="E1697" s="186" t="s">
        <v>906</v>
      </c>
      <c r="F1697" s="186" t="s">
        <v>907</v>
      </c>
      <c r="G1697" s="186" t="s">
        <v>1102</v>
      </c>
      <c r="H1697" s="186" t="s">
        <v>1342</v>
      </c>
      <c r="I1697" s="187" t="s">
        <v>1353</v>
      </c>
      <c r="J1697" s="187" t="s">
        <v>1354</v>
      </c>
      <c r="K1697" s="188"/>
      <c r="L1697" s="188"/>
      <c r="M1697" s="189" t="s">
        <v>847</v>
      </c>
      <c r="N1697" s="190">
        <v>78.07</v>
      </c>
      <c r="O1697" s="190">
        <f t="shared" si="211"/>
        <v>85.1</v>
      </c>
      <c r="P1697" s="191">
        <f t="shared" si="212"/>
        <v>0</v>
      </c>
      <c r="Q1697" s="192">
        <f t="shared" si="213"/>
        <v>0</v>
      </c>
      <c r="R1697" s="193"/>
      <c r="S1697" s="194"/>
      <c r="T1697" s="195">
        <f t="shared" si="214"/>
        <v>0</v>
      </c>
      <c r="U1697" s="195">
        <f t="shared" si="215"/>
        <v>0</v>
      </c>
      <c r="V1697" s="195">
        <f t="shared" si="216"/>
        <v>0</v>
      </c>
      <c r="W1697" s="196" t="e">
        <f t="shared" si="217"/>
        <v>#DIV/0!</v>
      </c>
      <c r="X1697" s="197" t="e">
        <f t="shared" si="218"/>
        <v>#DIV/0!</v>
      </c>
    </row>
    <row r="1698" ht="11.4" hidden="1" customHeight="1" spans="1:24">
      <c r="A1698" s="184" t="s">
        <v>3185</v>
      </c>
      <c r="B1698" s="184" t="s">
        <v>133</v>
      </c>
      <c r="C1698" s="184" t="s">
        <v>1341</v>
      </c>
      <c r="D1698" s="185" t="s">
        <v>704</v>
      </c>
      <c r="E1698" s="186" t="s">
        <v>906</v>
      </c>
      <c r="F1698" s="186" t="s">
        <v>907</v>
      </c>
      <c r="G1698" s="186" t="s">
        <v>1102</v>
      </c>
      <c r="H1698" s="186" t="s">
        <v>1342</v>
      </c>
      <c r="I1698" s="187" t="s">
        <v>1355</v>
      </c>
      <c r="J1698" s="187" t="s">
        <v>1356</v>
      </c>
      <c r="K1698" s="188"/>
      <c r="L1698" s="188"/>
      <c r="M1698" s="189" t="s">
        <v>847</v>
      </c>
      <c r="N1698" s="190">
        <v>358.52</v>
      </c>
      <c r="O1698" s="190">
        <f t="shared" si="211"/>
        <v>390.79</v>
      </c>
      <c r="P1698" s="191">
        <f t="shared" si="212"/>
        <v>0</v>
      </c>
      <c r="Q1698" s="192">
        <f t="shared" si="213"/>
        <v>0</v>
      </c>
      <c r="R1698" s="193"/>
      <c r="S1698" s="194"/>
      <c r="T1698" s="195">
        <f t="shared" si="214"/>
        <v>0</v>
      </c>
      <c r="U1698" s="195">
        <f t="shared" si="215"/>
        <v>0</v>
      </c>
      <c r="V1698" s="195">
        <f t="shared" si="216"/>
        <v>0</v>
      </c>
      <c r="W1698" s="196" t="e">
        <f t="shared" si="217"/>
        <v>#DIV/0!</v>
      </c>
      <c r="X1698" s="197" t="e">
        <f t="shared" si="218"/>
        <v>#DIV/0!</v>
      </c>
    </row>
    <row r="1699" ht="11.4" hidden="1" customHeight="1" spans="1:24">
      <c r="A1699" s="184" t="s">
        <v>3186</v>
      </c>
      <c r="B1699" s="184" t="s">
        <v>115</v>
      </c>
      <c r="C1699" s="184" t="s">
        <v>1101</v>
      </c>
      <c r="D1699" s="185" t="s">
        <v>704</v>
      </c>
      <c r="E1699" s="186" t="s">
        <v>906</v>
      </c>
      <c r="F1699" s="186" t="s">
        <v>907</v>
      </c>
      <c r="G1699" s="186" t="s">
        <v>1102</v>
      </c>
      <c r="H1699" s="186" t="s">
        <v>1358</v>
      </c>
      <c r="I1699" s="187" t="s">
        <v>1359</v>
      </c>
      <c r="J1699" s="187" t="s">
        <v>1360</v>
      </c>
      <c r="K1699" s="188"/>
      <c r="L1699" s="188"/>
      <c r="M1699" s="189" t="s">
        <v>847</v>
      </c>
      <c r="N1699" s="190">
        <v>127.36</v>
      </c>
      <c r="O1699" s="190">
        <f t="shared" si="211"/>
        <v>138.82</v>
      </c>
      <c r="P1699" s="191">
        <f t="shared" si="212"/>
        <v>0</v>
      </c>
      <c r="Q1699" s="192">
        <f t="shared" si="213"/>
        <v>0</v>
      </c>
      <c r="R1699" s="193"/>
      <c r="S1699" s="194"/>
      <c r="T1699" s="195">
        <f t="shared" si="214"/>
        <v>0</v>
      </c>
      <c r="U1699" s="195">
        <f t="shared" si="215"/>
        <v>0</v>
      </c>
      <c r="V1699" s="195">
        <f t="shared" si="216"/>
        <v>0</v>
      </c>
      <c r="W1699" s="196" t="e">
        <f t="shared" si="217"/>
        <v>#DIV/0!</v>
      </c>
      <c r="X1699" s="197" t="e">
        <f t="shared" si="218"/>
        <v>#DIV/0!</v>
      </c>
    </row>
    <row r="1700" ht="11.4" hidden="1" customHeight="1" spans="1:24">
      <c r="A1700" s="184" t="s">
        <v>3186</v>
      </c>
      <c r="B1700" s="184" t="s">
        <v>115</v>
      </c>
      <c r="C1700" s="184" t="s">
        <v>1101</v>
      </c>
      <c r="D1700" s="185" t="s">
        <v>704</v>
      </c>
      <c r="E1700" s="186" t="s">
        <v>906</v>
      </c>
      <c r="F1700" s="186" t="s">
        <v>907</v>
      </c>
      <c r="G1700" s="186" t="s">
        <v>1102</v>
      </c>
      <c r="H1700" s="186" t="s">
        <v>1358</v>
      </c>
      <c r="I1700" s="187" t="s">
        <v>1362</v>
      </c>
      <c r="J1700" s="187" t="s">
        <v>1363</v>
      </c>
      <c r="K1700" s="188"/>
      <c r="L1700" s="188"/>
      <c r="M1700" s="189" t="s">
        <v>847</v>
      </c>
      <c r="N1700" s="190">
        <v>138.36</v>
      </c>
      <c r="O1700" s="190">
        <f t="shared" si="211"/>
        <v>150.81</v>
      </c>
      <c r="P1700" s="191">
        <f t="shared" si="212"/>
        <v>0</v>
      </c>
      <c r="Q1700" s="192">
        <f t="shared" si="213"/>
        <v>0</v>
      </c>
      <c r="R1700" s="193"/>
      <c r="S1700" s="194"/>
      <c r="T1700" s="195">
        <f t="shared" si="214"/>
        <v>0</v>
      </c>
      <c r="U1700" s="195">
        <f t="shared" si="215"/>
        <v>0</v>
      </c>
      <c r="V1700" s="195">
        <f t="shared" si="216"/>
        <v>0</v>
      </c>
      <c r="W1700" s="196" t="e">
        <f t="shared" si="217"/>
        <v>#DIV/0!</v>
      </c>
      <c r="X1700" s="197" t="e">
        <f t="shared" si="218"/>
        <v>#DIV/0!</v>
      </c>
    </row>
    <row r="1701" ht="11.4" hidden="1" customHeight="1" spans="1:24">
      <c r="A1701" s="184" t="s">
        <v>3186</v>
      </c>
      <c r="B1701" s="184" t="s">
        <v>115</v>
      </c>
      <c r="C1701" s="184" t="s">
        <v>1101</v>
      </c>
      <c r="D1701" s="185" t="s">
        <v>704</v>
      </c>
      <c r="E1701" s="186" t="s">
        <v>906</v>
      </c>
      <c r="F1701" s="186" t="s">
        <v>907</v>
      </c>
      <c r="G1701" s="186" t="s">
        <v>1102</v>
      </c>
      <c r="H1701" s="186" t="s">
        <v>1358</v>
      </c>
      <c r="I1701" s="187" t="s">
        <v>1364</v>
      </c>
      <c r="J1701" s="187" t="s">
        <v>1365</v>
      </c>
      <c r="K1701" s="188"/>
      <c r="L1701" s="188"/>
      <c r="M1701" s="189" t="s">
        <v>847</v>
      </c>
      <c r="N1701" s="190">
        <v>138.36</v>
      </c>
      <c r="O1701" s="190">
        <f t="shared" si="211"/>
        <v>150.81</v>
      </c>
      <c r="P1701" s="191">
        <f t="shared" si="212"/>
        <v>0</v>
      </c>
      <c r="Q1701" s="192">
        <f t="shared" si="213"/>
        <v>0</v>
      </c>
      <c r="R1701" s="193"/>
      <c r="S1701" s="194"/>
      <c r="T1701" s="195">
        <f t="shared" si="214"/>
        <v>0</v>
      </c>
      <c r="U1701" s="195">
        <f t="shared" si="215"/>
        <v>0</v>
      </c>
      <c r="V1701" s="195">
        <f t="shared" si="216"/>
        <v>0</v>
      </c>
      <c r="W1701" s="196" t="e">
        <f t="shared" si="217"/>
        <v>#DIV/0!</v>
      </c>
      <c r="X1701" s="197" t="e">
        <f t="shared" si="218"/>
        <v>#DIV/0!</v>
      </c>
    </row>
    <row r="1702" ht="11.4" hidden="1" customHeight="1" spans="1:24">
      <c r="A1702" s="184" t="s">
        <v>3186</v>
      </c>
      <c r="B1702" s="184" t="s">
        <v>115</v>
      </c>
      <c r="C1702" s="184" t="s">
        <v>1101</v>
      </c>
      <c r="D1702" s="185" t="s">
        <v>704</v>
      </c>
      <c r="E1702" s="186" t="s">
        <v>906</v>
      </c>
      <c r="F1702" s="186" t="s">
        <v>907</v>
      </c>
      <c r="G1702" s="186" t="s">
        <v>1102</v>
      </c>
      <c r="H1702" s="186" t="s">
        <v>1358</v>
      </c>
      <c r="I1702" s="187" t="s">
        <v>1366</v>
      </c>
      <c r="J1702" s="187" t="s">
        <v>1367</v>
      </c>
      <c r="K1702" s="188"/>
      <c r="L1702" s="188"/>
      <c r="M1702" s="189" t="s">
        <v>847</v>
      </c>
      <c r="N1702" s="190">
        <v>205.49</v>
      </c>
      <c r="O1702" s="190">
        <f t="shared" si="211"/>
        <v>223.98</v>
      </c>
      <c r="P1702" s="191">
        <f t="shared" si="212"/>
        <v>0</v>
      </c>
      <c r="Q1702" s="192">
        <f t="shared" si="213"/>
        <v>0</v>
      </c>
      <c r="R1702" s="193"/>
      <c r="S1702" s="194"/>
      <c r="T1702" s="195">
        <f t="shared" si="214"/>
        <v>0</v>
      </c>
      <c r="U1702" s="195">
        <f t="shared" si="215"/>
        <v>0</v>
      </c>
      <c r="V1702" s="195">
        <f t="shared" si="216"/>
        <v>0</v>
      </c>
      <c r="W1702" s="196" t="e">
        <f t="shared" si="217"/>
        <v>#DIV/0!</v>
      </c>
      <c r="X1702" s="197" t="e">
        <f t="shared" si="218"/>
        <v>#DIV/0!</v>
      </c>
    </row>
    <row r="1703" ht="11.4" hidden="1" customHeight="1" spans="1:24">
      <c r="A1703" s="184" t="s">
        <v>3186</v>
      </c>
      <c r="B1703" s="184" t="s">
        <v>115</v>
      </c>
      <c r="C1703" s="184" t="s">
        <v>1101</v>
      </c>
      <c r="D1703" s="185" t="s">
        <v>704</v>
      </c>
      <c r="E1703" s="186" t="s">
        <v>906</v>
      </c>
      <c r="F1703" s="186" t="s">
        <v>907</v>
      </c>
      <c r="G1703" s="186" t="s">
        <v>1102</v>
      </c>
      <c r="H1703" s="186" t="s">
        <v>1358</v>
      </c>
      <c r="I1703" s="187" t="s">
        <v>1368</v>
      </c>
      <c r="J1703" s="187" t="s">
        <v>1369</v>
      </c>
      <c r="K1703" s="188"/>
      <c r="L1703" s="188"/>
      <c r="M1703" s="189" t="s">
        <v>847</v>
      </c>
      <c r="N1703" s="190">
        <v>263.1</v>
      </c>
      <c r="O1703" s="190">
        <f t="shared" si="211"/>
        <v>286.78</v>
      </c>
      <c r="P1703" s="191">
        <f t="shared" si="212"/>
        <v>0</v>
      </c>
      <c r="Q1703" s="192">
        <f t="shared" si="213"/>
        <v>0</v>
      </c>
      <c r="R1703" s="193"/>
      <c r="S1703" s="194"/>
      <c r="T1703" s="195">
        <f t="shared" si="214"/>
        <v>0</v>
      </c>
      <c r="U1703" s="195">
        <f t="shared" si="215"/>
        <v>0</v>
      </c>
      <c r="V1703" s="195">
        <f t="shared" si="216"/>
        <v>0</v>
      </c>
      <c r="W1703" s="196" t="e">
        <f t="shared" si="217"/>
        <v>#DIV/0!</v>
      </c>
      <c r="X1703" s="197" t="e">
        <f t="shared" si="218"/>
        <v>#DIV/0!</v>
      </c>
    </row>
    <row r="1704" ht="11.4" hidden="1" customHeight="1" spans="1:24">
      <c r="A1704" s="184" t="s">
        <v>3186</v>
      </c>
      <c r="B1704" s="184" t="s">
        <v>115</v>
      </c>
      <c r="C1704" s="184" t="s">
        <v>1101</v>
      </c>
      <c r="D1704" s="185" t="s">
        <v>704</v>
      </c>
      <c r="E1704" s="186" t="s">
        <v>906</v>
      </c>
      <c r="F1704" s="186" t="s">
        <v>907</v>
      </c>
      <c r="G1704" s="186" t="s">
        <v>1102</v>
      </c>
      <c r="H1704" s="186" t="s">
        <v>1358</v>
      </c>
      <c r="I1704" s="187" t="s">
        <v>1370</v>
      </c>
      <c r="J1704" s="187" t="s">
        <v>1371</v>
      </c>
      <c r="K1704" s="188"/>
      <c r="L1704" s="188"/>
      <c r="M1704" s="189" t="s">
        <v>847</v>
      </c>
      <c r="N1704" s="190">
        <v>2280.18</v>
      </c>
      <c r="O1704" s="190">
        <f t="shared" si="211"/>
        <v>2485.4</v>
      </c>
      <c r="P1704" s="191">
        <f t="shared" si="212"/>
        <v>0</v>
      </c>
      <c r="Q1704" s="192">
        <f t="shared" si="213"/>
        <v>0</v>
      </c>
      <c r="R1704" s="193"/>
      <c r="S1704" s="194"/>
      <c r="T1704" s="195">
        <f t="shared" si="214"/>
        <v>0</v>
      </c>
      <c r="U1704" s="195">
        <f t="shared" si="215"/>
        <v>0</v>
      </c>
      <c r="V1704" s="195">
        <f t="shared" si="216"/>
        <v>0</v>
      </c>
      <c r="W1704" s="196" t="e">
        <f t="shared" si="217"/>
        <v>#DIV/0!</v>
      </c>
      <c r="X1704" s="197" t="e">
        <f t="shared" si="218"/>
        <v>#DIV/0!</v>
      </c>
    </row>
    <row r="1705" ht="11.4" hidden="1" customHeight="1" spans="1:24">
      <c r="A1705" s="184" t="s">
        <v>3186</v>
      </c>
      <c r="B1705" s="184" t="s">
        <v>115</v>
      </c>
      <c r="C1705" s="184" t="s">
        <v>1101</v>
      </c>
      <c r="D1705" s="185" t="s">
        <v>704</v>
      </c>
      <c r="E1705" s="186" t="s">
        <v>906</v>
      </c>
      <c r="F1705" s="186" t="s">
        <v>907</v>
      </c>
      <c r="G1705" s="186" t="s">
        <v>1102</v>
      </c>
      <c r="H1705" s="186" t="s">
        <v>1358</v>
      </c>
      <c r="I1705" s="187" t="s">
        <v>1372</v>
      </c>
      <c r="J1705" s="187" t="s">
        <v>1373</v>
      </c>
      <c r="K1705" s="188"/>
      <c r="L1705" s="188"/>
      <c r="M1705" s="189" t="s">
        <v>847</v>
      </c>
      <c r="N1705" s="190">
        <v>508.7</v>
      </c>
      <c r="O1705" s="190">
        <f t="shared" si="211"/>
        <v>554.48</v>
      </c>
      <c r="P1705" s="191">
        <f t="shared" si="212"/>
        <v>0</v>
      </c>
      <c r="Q1705" s="192">
        <f t="shared" si="213"/>
        <v>0</v>
      </c>
      <c r="R1705" s="193"/>
      <c r="S1705" s="194"/>
      <c r="T1705" s="195">
        <f t="shared" si="214"/>
        <v>0</v>
      </c>
      <c r="U1705" s="195">
        <f t="shared" si="215"/>
        <v>0</v>
      </c>
      <c r="V1705" s="195">
        <f t="shared" si="216"/>
        <v>0</v>
      </c>
      <c r="W1705" s="196" t="e">
        <f t="shared" si="217"/>
        <v>#DIV/0!</v>
      </c>
      <c r="X1705" s="197" t="e">
        <f t="shared" si="218"/>
        <v>#DIV/0!</v>
      </c>
    </row>
    <row r="1706" ht="11.4" hidden="1" customHeight="1" spans="1:24">
      <c r="A1706" s="184" t="s">
        <v>3186</v>
      </c>
      <c r="B1706" s="184" t="s">
        <v>115</v>
      </c>
      <c r="C1706" s="184" t="s">
        <v>1101</v>
      </c>
      <c r="D1706" s="185" t="s">
        <v>704</v>
      </c>
      <c r="E1706" s="186" t="s">
        <v>906</v>
      </c>
      <c r="F1706" s="186" t="s">
        <v>907</v>
      </c>
      <c r="G1706" s="186" t="s">
        <v>1102</v>
      </c>
      <c r="H1706" s="186" t="s">
        <v>1358</v>
      </c>
      <c r="I1706" s="187" t="s">
        <v>1374</v>
      </c>
      <c r="J1706" s="187" t="s">
        <v>1375</v>
      </c>
      <c r="K1706" s="188"/>
      <c r="L1706" s="188"/>
      <c r="M1706" s="189" t="s">
        <v>847</v>
      </c>
      <c r="N1706" s="190">
        <v>479.98</v>
      </c>
      <c r="O1706" s="190">
        <f t="shared" si="211"/>
        <v>523.18</v>
      </c>
      <c r="P1706" s="191">
        <f t="shared" si="212"/>
        <v>0</v>
      </c>
      <c r="Q1706" s="192">
        <f t="shared" si="213"/>
        <v>0</v>
      </c>
      <c r="R1706" s="193"/>
      <c r="S1706" s="194"/>
      <c r="T1706" s="195">
        <f t="shared" si="214"/>
        <v>0</v>
      </c>
      <c r="U1706" s="195">
        <f t="shared" si="215"/>
        <v>0</v>
      </c>
      <c r="V1706" s="195">
        <f t="shared" si="216"/>
        <v>0</v>
      </c>
      <c r="W1706" s="196" t="e">
        <f t="shared" si="217"/>
        <v>#DIV/0!</v>
      </c>
      <c r="X1706" s="197" t="e">
        <f t="shared" si="218"/>
        <v>#DIV/0!</v>
      </c>
    </row>
    <row r="1707" ht="11.4" hidden="1" customHeight="1" spans="1:24">
      <c r="A1707" s="184" t="s">
        <v>3186</v>
      </c>
      <c r="B1707" s="184" t="s">
        <v>115</v>
      </c>
      <c r="C1707" s="184" t="s">
        <v>1101</v>
      </c>
      <c r="D1707" s="185" t="s">
        <v>704</v>
      </c>
      <c r="E1707" s="186" t="s">
        <v>906</v>
      </c>
      <c r="F1707" s="186" t="s">
        <v>907</v>
      </c>
      <c r="G1707" s="186" t="s">
        <v>1102</v>
      </c>
      <c r="H1707" s="186" t="s">
        <v>1358</v>
      </c>
      <c r="I1707" s="187" t="s">
        <v>1376</v>
      </c>
      <c r="J1707" s="187" t="s">
        <v>1377</v>
      </c>
      <c r="K1707" s="188"/>
      <c r="L1707" s="188"/>
      <c r="M1707" s="189" t="s">
        <v>847</v>
      </c>
      <c r="N1707" s="190">
        <v>362.28</v>
      </c>
      <c r="O1707" s="190">
        <f t="shared" si="211"/>
        <v>394.89</v>
      </c>
      <c r="P1707" s="191">
        <f t="shared" si="212"/>
        <v>0</v>
      </c>
      <c r="Q1707" s="192">
        <f t="shared" si="213"/>
        <v>0</v>
      </c>
      <c r="R1707" s="193"/>
      <c r="S1707" s="194"/>
      <c r="T1707" s="195">
        <f t="shared" si="214"/>
        <v>0</v>
      </c>
      <c r="U1707" s="195">
        <f t="shared" si="215"/>
        <v>0</v>
      </c>
      <c r="V1707" s="195">
        <f t="shared" si="216"/>
        <v>0</v>
      </c>
      <c r="W1707" s="196" t="e">
        <f t="shared" si="217"/>
        <v>#DIV/0!</v>
      </c>
      <c r="X1707" s="197" t="e">
        <f t="shared" si="218"/>
        <v>#DIV/0!</v>
      </c>
    </row>
    <row r="1708" ht="11.4" hidden="1" customHeight="1" spans="1:24">
      <c r="A1708" s="184" t="s">
        <v>3186</v>
      </c>
      <c r="B1708" s="184" t="s">
        <v>115</v>
      </c>
      <c r="C1708" s="184" t="s">
        <v>1101</v>
      </c>
      <c r="D1708" s="185" t="s">
        <v>704</v>
      </c>
      <c r="E1708" s="186" t="s">
        <v>906</v>
      </c>
      <c r="F1708" s="186" t="s">
        <v>907</v>
      </c>
      <c r="G1708" s="186" t="s">
        <v>1102</v>
      </c>
      <c r="H1708" s="186" t="s">
        <v>1358</v>
      </c>
      <c r="I1708" s="187" t="s">
        <v>1379</v>
      </c>
      <c r="J1708" s="187" t="s">
        <v>1380</v>
      </c>
      <c r="K1708" s="188"/>
      <c r="L1708" s="188"/>
      <c r="M1708" s="189" t="s">
        <v>847</v>
      </c>
      <c r="N1708" s="190">
        <v>1804.45</v>
      </c>
      <c r="O1708" s="190">
        <f t="shared" si="211"/>
        <v>1966.85</v>
      </c>
      <c r="P1708" s="191">
        <f t="shared" si="212"/>
        <v>0</v>
      </c>
      <c r="Q1708" s="192">
        <f t="shared" si="213"/>
        <v>0</v>
      </c>
      <c r="R1708" s="193"/>
      <c r="S1708" s="194"/>
      <c r="T1708" s="195">
        <f t="shared" si="214"/>
        <v>0</v>
      </c>
      <c r="U1708" s="195">
        <f t="shared" si="215"/>
        <v>0</v>
      </c>
      <c r="V1708" s="195">
        <f t="shared" si="216"/>
        <v>0</v>
      </c>
      <c r="W1708" s="196" t="e">
        <f t="shared" si="217"/>
        <v>#DIV/0!</v>
      </c>
      <c r="X1708" s="197" t="e">
        <f t="shared" si="218"/>
        <v>#DIV/0!</v>
      </c>
    </row>
    <row r="1709" ht="11.4" hidden="1" customHeight="1" spans="1:24">
      <c r="A1709" s="184" t="s">
        <v>3186</v>
      </c>
      <c r="B1709" s="184" t="s">
        <v>115</v>
      </c>
      <c r="C1709" s="184" t="s">
        <v>1101</v>
      </c>
      <c r="D1709" s="185" t="s">
        <v>704</v>
      </c>
      <c r="E1709" s="186" t="s">
        <v>906</v>
      </c>
      <c r="F1709" s="186" t="s">
        <v>907</v>
      </c>
      <c r="G1709" s="186" t="s">
        <v>1102</v>
      </c>
      <c r="H1709" s="186" t="s">
        <v>1358</v>
      </c>
      <c r="I1709" s="187" t="s">
        <v>1381</v>
      </c>
      <c r="J1709" s="187" t="s">
        <v>1382</v>
      </c>
      <c r="K1709" s="188"/>
      <c r="L1709" s="188"/>
      <c r="M1709" s="189" t="s">
        <v>847</v>
      </c>
      <c r="N1709" s="190">
        <v>250.08</v>
      </c>
      <c r="O1709" s="190">
        <f t="shared" si="211"/>
        <v>272.59</v>
      </c>
      <c r="P1709" s="191">
        <f t="shared" si="212"/>
        <v>0</v>
      </c>
      <c r="Q1709" s="192">
        <f t="shared" si="213"/>
        <v>0</v>
      </c>
      <c r="R1709" s="193"/>
      <c r="S1709" s="194"/>
      <c r="T1709" s="195">
        <f t="shared" si="214"/>
        <v>0</v>
      </c>
      <c r="U1709" s="195">
        <f t="shared" si="215"/>
        <v>0</v>
      </c>
      <c r="V1709" s="195">
        <f t="shared" si="216"/>
        <v>0</v>
      </c>
      <c r="W1709" s="196" t="e">
        <f t="shared" si="217"/>
        <v>#DIV/0!</v>
      </c>
      <c r="X1709" s="197" t="e">
        <f t="shared" si="218"/>
        <v>#DIV/0!</v>
      </c>
    </row>
    <row r="1710" ht="11.4" hidden="1" customHeight="1" spans="1:24">
      <c r="A1710" s="184" t="s">
        <v>3186</v>
      </c>
      <c r="B1710" s="184" t="s">
        <v>115</v>
      </c>
      <c r="C1710" s="184" t="s">
        <v>1101</v>
      </c>
      <c r="D1710" s="185" t="s">
        <v>704</v>
      </c>
      <c r="E1710" s="186" t="s">
        <v>906</v>
      </c>
      <c r="F1710" s="186" t="s">
        <v>907</v>
      </c>
      <c r="G1710" s="186" t="s">
        <v>1102</v>
      </c>
      <c r="H1710" s="186" t="s">
        <v>1358</v>
      </c>
      <c r="I1710" s="187" t="s">
        <v>1384</v>
      </c>
      <c r="J1710" s="187" t="s">
        <v>1385</v>
      </c>
      <c r="K1710" s="188"/>
      <c r="L1710" s="188"/>
      <c r="M1710" s="189" t="s">
        <v>847</v>
      </c>
      <c r="N1710" s="190">
        <v>139.73</v>
      </c>
      <c r="O1710" s="190">
        <f t="shared" si="211"/>
        <v>152.31</v>
      </c>
      <c r="P1710" s="191">
        <f t="shared" si="212"/>
        <v>0</v>
      </c>
      <c r="Q1710" s="192">
        <f t="shared" si="213"/>
        <v>0</v>
      </c>
      <c r="R1710" s="193"/>
      <c r="S1710" s="194"/>
      <c r="T1710" s="195">
        <f t="shared" si="214"/>
        <v>0</v>
      </c>
      <c r="U1710" s="195">
        <f t="shared" si="215"/>
        <v>0</v>
      </c>
      <c r="V1710" s="195">
        <f t="shared" si="216"/>
        <v>0</v>
      </c>
      <c r="W1710" s="196" t="e">
        <f t="shared" si="217"/>
        <v>#DIV/0!</v>
      </c>
      <c r="X1710" s="197" t="e">
        <f t="shared" si="218"/>
        <v>#DIV/0!</v>
      </c>
    </row>
    <row r="1711" ht="11.4" hidden="1" customHeight="1" spans="1:24">
      <c r="A1711" s="184" t="s">
        <v>3186</v>
      </c>
      <c r="B1711" s="184" t="s">
        <v>115</v>
      </c>
      <c r="C1711" s="184" t="s">
        <v>1101</v>
      </c>
      <c r="D1711" s="185" t="s">
        <v>704</v>
      </c>
      <c r="E1711" s="186" t="s">
        <v>906</v>
      </c>
      <c r="F1711" s="186" t="s">
        <v>907</v>
      </c>
      <c r="G1711" s="186" t="s">
        <v>1102</v>
      </c>
      <c r="H1711" s="186" t="s">
        <v>1358</v>
      </c>
      <c r="I1711" s="187" t="s">
        <v>1387</v>
      </c>
      <c r="J1711" s="187" t="s">
        <v>1388</v>
      </c>
      <c r="K1711" s="188"/>
      <c r="L1711" s="188"/>
      <c r="M1711" s="189" t="s">
        <v>847</v>
      </c>
      <c r="N1711" s="190">
        <v>480.14</v>
      </c>
      <c r="O1711" s="190">
        <f t="shared" si="211"/>
        <v>523.35</v>
      </c>
      <c r="P1711" s="191">
        <f t="shared" si="212"/>
        <v>0</v>
      </c>
      <c r="Q1711" s="192">
        <f t="shared" si="213"/>
        <v>0</v>
      </c>
      <c r="R1711" s="193"/>
      <c r="S1711" s="194"/>
      <c r="T1711" s="195">
        <f t="shared" si="214"/>
        <v>0</v>
      </c>
      <c r="U1711" s="195">
        <f t="shared" si="215"/>
        <v>0</v>
      </c>
      <c r="V1711" s="195">
        <f t="shared" si="216"/>
        <v>0</v>
      </c>
      <c r="W1711" s="196" t="e">
        <f t="shared" si="217"/>
        <v>#DIV/0!</v>
      </c>
      <c r="X1711" s="197" t="e">
        <f t="shared" si="218"/>
        <v>#DIV/0!</v>
      </c>
    </row>
    <row r="1712" ht="11.4" hidden="1" customHeight="1" spans="1:24">
      <c r="A1712" s="184" t="s">
        <v>3186</v>
      </c>
      <c r="B1712" s="184" t="s">
        <v>115</v>
      </c>
      <c r="C1712" s="184" t="s">
        <v>1101</v>
      </c>
      <c r="D1712" s="185" t="s">
        <v>704</v>
      </c>
      <c r="E1712" s="186" t="s">
        <v>906</v>
      </c>
      <c r="F1712" s="186" t="s">
        <v>907</v>
      </c>
      <c r="G1712" s="186" t="s">
        <v>1102</v>
      </c>
      <c r="H1712" s="186" t="s">
        <v>1358</v>
      </c>
      <c r="I1712" s="187" t="s">
        <v>1336</v>
      </c>
      <c r="J1712" s="187" t="s">
        <v>1337</v>
      </c>
      <c r="K1712" s="188"/>
      <c r="L1712" s="188"/>
      <c r="M1712" s="189" t="s">
        <v>847</v>
      </c>
      <c r="N1712" s="190">
        <v>62.19</v>
      </c>
      <c r="O1712" s="190">
        <f t="shared" si="211"/>
        <v>67.79</v>
      </c>
      <c r="P1712" s="191">
        <f t="shared" si="212"/>
        <v>0</v>
      </c>
      <c r="Q1712" s="192">
        <f t="shared" si="213"/>
        <v>0</v>
      </c>
      <c r="R1712" s="193"/>
      <c r="S1712" s="194"/>
      <c r="T1712" s="195">
        <f t="shared" si="214"/>
        <v>0</v>
      </c>
      <c r="U1712" s="195">
        <f t="shared" si="215"/>
        <v>0</v>
      </c>
      <c r="V1712" s="195">
        <f t="shared" si="216"/>
        <v>0</v>
      </c>
      <c r="W1712" s="196" t="e">
        <f t="shared" si="217"/>
        <v>#DIV/0!</v>
      </c>
      <c r="X1712" s="197" t="e">
        <f t="shared" si="218"/>
        <v>#DIV/0!</v>
      </c>
    </row>
    <row r="1713" ht="11.4" hidden="1" customHeight="1" spans="1:24">
      <c r="A1713" s="184" t="s">
        <v>3186</v>
      </c>
      <c r="B1713" s="184" t="s">
        <v>115</v>
      </c>
      <c r="C1713" s="184" t="s">
        <v>1101</v>
      </c>
      <c r="D1713" s="185" t="s">
        <v>704</v>
      </c>
      <c r="E1713" s="186" t="s">
        <v>906</v>
      </c>
      <c r="F1713" s="186" t="s">
        <v>907</v>
      </c>
      <c r="G1713" s="186" t="s">
        <v>1102</v>
      </c>
      <c r="H1713" s="186" t="s">
        <v>1358</v>
      </c>
      <c r="I1713" s="187" t="s">
        <v>1391</v>
      </c>
      <c r="J1713" s="187" t="s">
        <v>3187</v>
      </c>
      <c r="K1713" s="188"/>
      <c r="L1713" s="188"/>
      <c r="M1713" s="189" t="s">
        <v>847</v>
      </c>
      <c r="N1713" s="190">
        <v>54.37</v>
      </c>
      <c r="O1713" s="190">
        <f t="shared" si="211"/>
        <v>59.26</v>
      </c>
      <c r="P1713" s="191">
        <f t="shared" si="212"/>
        <v>0</v>
      </c>
      <c r="Q1713" s="192">
        <f t="shared" si="213"/>
        <v>0</v>
      </c>
      <c r="R1713" s="193"/>
      <c r="S1713" s="194"/>
      <c r="T1713" s="195">
        <f t="shared" si="214"/>
        <v>0</v>
      </c>
      <c r="U1713" s="195">
        <f t="shared" si="215"/>
        <v>0</v>
      </c>
      <c r="V1713" s="195">
        <f t="shared" si="216"/>
        <v>0</v>
      </c>
      <c r="W1713" s="196" t="e">
        <f t="shared" si="217"/>
        <v>#DIV/0!</v>
      </c>
      <c r="X1713" s="197" t="e">
        <f t="shared" si="218"/>
        <v>#DIV/0!</v>
      </c>
    </row>
    <row r="1714" ht="11.4" hidden="1" customHeight="1" spans="1:24">
      <c r="A1714" s="184" t="s">
        <v>3186</v>
      </c>
      <c r="B1714" s="184" t="s">
        <v>115</v>
      </c>
      <c r="C1714" s="184" t="s">
        <v>1101</v>
      </c>
      <c r="D1714" s="185" t="s">
        <v>704</v>
      </c>
      <c r="E1714" s="186" t="s">
        <v>906</v>
      </c>
      <c r="F1714" s="186" t="s">
        <v>907</v>
      </c>
      <c r="G1714" s="186" t="s">
        <v>1102</v>
      </c>
      <c r="H1714" s="186" t="s">
        <v>1358</v>
      </c>
      <c r="I1714" s="187" t="s">
        <v>1393</v>
      </c>
      <c r="J1714" s="187" t="s">
        <v>1394</v>
      </c>
      <c r="K1714" s="188"/>
      <c r="L1714" s="188"/>
      <c r="M1714" s="189" t="s">
        <v>807</v>
      </c>
      <c r="N1714" s="190">
        <v>146.58</v>
      </c>
      <c r="O1714" s="190">
        <f t="shared" si="211"/>
        <v>159.77</v>
      </c>
      <c r="P1714" s="191">
        <f t="shared" si="212"/>
        <v>0</v>
      </c>
      <c r="Q1714" s="192">
        <f t="shared" si="213"/>
        <v>0</v>
      </c>
      <c r="R1714" s="193"/>
      <c r="S1714" s="194"/>
      <c r="T1714" s="195">
        <f t="shared" si="214"/>
        <v>0</v>
      </c>
      <c r="U1714" s="195">
        <f t="shared" si="215"/>
        <v>0</v>
      </c>
      <c r="V1714" s="195">
        <f t="shared" si="216"/>
        <v>0</v>
      </c>
      <c r="W1714" s="196" t="e">
        <f t="shared" si="217"/>
        <v>#DIV/0!</v>
      </c>
      <c r="X1714" s="197" t="e">
        <f t="shared" si="218"/>
        <v>#DIV/0!</v>
      </c>
    </row>
    <row r="1715" ht="11.4" hidden="1" customHeight="1" spans="1:24">
      <c r="A1715" s="184" t="s">
        <v>3186</v>
      </c>
      <c r="B1715" s="184" t="s">
        <v>115</v>
      </c>
      <c r="C1715" s="184" t="s">
        <v>1101</v>
      </c>
      <c r="D1715" s="185" t="s">
        <v>704</v>
      </c>
      <c r="E1715" s="186" t="s">
        <v>906</v>
      </c>
      <c r="F1715" s="186" t="s">
        <v>907</v>
      </c>
      <c r="G1715" s="186" t="s">
        <v>1102</v>
      </c>
      <c r="H1715" s="186" t="s">
        <v>1358</v>
      </c>
      <c r="I1715" s="187" t="s">
        <v>1396</v>
      </c>
      <c r="J1715" s="187" t="s">
        <v>1397</v>
      </c>
      <c r="K1715" s="188"/>
      <c r="L1715" s="188"/>
      <c r="M1715" s="189" t="s">
        <v>807</v>
      </c>
      <c r="N1715" s="190">
        <v>87.81</v>
      </c>
      <c r="O1715" s="190">
        <f t="shared" si="211"/>
        <v>95.71</v>
      </c>
      <c r="P1715" s="191">
        <f t="shared" si="212"/>
        <v>0</v>
      </c>
      <c r="Q1715" s="192">
        <f t="shared" si="213"/>
        <v>0</v>
      </c>
      <c r="R1715" s="193"/>
      <c r="S1715" s="194"/>
      <c r="T1715" s="195">
        <f t="shared" si="214"/>
        <v>0</v>
      </c>
      <c r="U1715" s="195">
        <f t="shared" si="215"/>
        <v>0</v>
      </c>
      <c r="V1715" s="195">
        <f t="shared" si="216"/>
        <v>0</v>
      </c>
      <c r="W1715" s="196" t="e">
        <f t="shared" si="217"/>
        <v>#DIV/0!</v>
      </c>
      <c r="X1715" s="197" t="e">
        <f t="shared" si="218"/>
        <v>#DIV/0!</v>
      </c>
    </row>
    <row r="1716" ht="11.4" hidden="1" customHeight="1" spans="1:24">
      <c r="A1716" s="184" t="s">
        <v>3188</v>
      </c>
      <c r="B1716" s="184" t="s">
        <v>117</v>
      </c>
      <c r="C1716" s="184" t="s">
        <v>1101</v>
      </c>
      <c r="D1716" s="185" t="s">
        <v>704</v>
      </c>
      <c r="E1716" s="186" t="s">
        <v>789</v>
      </c>
      <c r="F1716" s="186" t="s">
        <v>790</v>
      </c>
      <c r="G1716" s="186" t="s">
        <v>1400</v>
      </c>
      <c r="H1716" s="186" t="s">
        <v>1400</v>
      </c>
      <c r="I1716" s="187" t="s">
        <v>1401</v>
      </c>
      <c r="J1716" s="187" t="s">
        <v>1402</v>
      </c>
      <c r="K1716" s="188"/>
      <c r="L1716" s="188"/>
      <c r="M1716" s="189" t="s">
        <v>847</v>
      </c>
      <c r="N1716" s="190">
        <v>170.01</v>
      </c>
      <c r="O1716" s="190">
        <f t="shared" si="211"/>
        <v>185.31</v>
      </c>
      <c r="P1716" s="191">
        <f t="shared" si="212"/>
        <v>0</v>
      </c>
      <c r="Q1716" s="192">
        <f t="shared" si="213"/>
        <v>0</v>
      </c>
      <c r="R1716" s="193"/>
      <c r="S1716" s="194"/>
      <c r="T1716" s="195">
        <f t="shared" si="214"/>
        <v>0</v>
      </c>
      <c r="U1716" s="195">
        <f t="shared" si="215"/>
        <v>0</v>
      </c>
      <c r="V1716" s="195">
        <f t="shared" si="216"/>
        <v>0</v>
      </c>
      <c r="W1716" s="196" t="e">
        <f t="shared" si="217"/>
        <v>#DIV/0!</v>
      </c>
      <c r="X1716" s="197" t="e">
        <f t="shared" si="218"/>
        <v>#DIV/0!</v>
      </c>
    </row>
    <row r="1717" ht="11.4" hidden="1" customHeight="1" spans="1:24">
      <c r="A1717" s="184" t="s">
        <v>3188</v>
      </c>
      <c r="B1717" s="184" t="s">
        <v>117</v>
      </c>
      <c r="C1717" s="184" t="s">
        <v>1101</v>
      </c>
      <c r="D1717" s="185" t="s">
        <v>704</v>
      </c>
      <c r="E1717" s="186" t="s">
        <v>789</v>
      </c>
      <c r="F1717" s="186" t="s">
        <v>790</v>
      </c>
      <c r="G1717" s="186" t="s">
        <v>1400</v>
      </c>
      <c r="H1717" s="186" t="s">
        <v>1400</v>
      </c>
      <c r="I1717" s="187" t="s">
        <v>1403</v>
      </c>
      <c r="J1717" s="187" t="s">
        <v>1404</v>
      </c>
      <c r="K1717" s="188"/>
      <c r="L1717" s="188"/>
      <c r="M1717" s="189" t="s">
        <v>963</v>
      </c>
      <c r="N1717" s="190">
        <v>3717.71</v>
      </c>
      <c r="O1717" s="190">
        <f t="shared" si="211"/>
        <v>4052.3</v>
      </c>
      <c r="P1717" s="191">
        <f t="shared" si="212"/>
        <v>0</v>
      </c>
      <c r="Q1717" s="192">
        <f t="shared" si="213"/>
        <v>0</v>
      </c>
      <c r="R1717" s="193"/>
      <c r="S1717" s="194"/>
      <c r="T1717" s="195">
        <f t="shared" si="214"/>
        <v>0</v>
      </c>
      <c r="U1717" s="195">
        <f t="shared" si="215"/>
        <v>0</v>
      </c>
      <c r="V1717" s="195">
        <f t="shared" si="216"/>
        <v>0</v>
      </c>
      <c r="W1717" s="196" t="e">
        <f t="shared" si="217"/>
        <v>#DIV/0!</v>
      </c>
      <c r="X1717" s="197" t="e">
        <f t="shared" si="218"/>
        <v>#DIV/0!</v>
      </c>
    </row>
    <row r="1718" ht="11.4" hidden="1" customHeight="1" spans="1:24">
      <c r="A1718" s="184" t="s">
        <v>3188</v>
      </c>
      <c r="B1718" s="184" t="s">
        <v>117</v>
      </c>
      <c r="C1718" s="184" t="s">
        <v>1101</v>
      </c>
      <c r="D1718" s="185" t="s">
        <v>704</v>
      </c>
      <c r="E1718" s="186" t="s">
        <v>789</v>
      </c>
      <c r="F1718" s="186" t="s">
        <v>790</v>
      </c>
      <c r="G1718" s="186" t="s">
        <v>1400</v>
      </c>
      <c r="H1718" s="186" t="s">
        <v>1400</v>
      </c>
      <c r="I1718" s="187" t="s">
        <v>1405</v>
      </c>
      <c r="J1718" s="187" t="s">
        <v>1406</v>
      </c>
      <c r="K1718" s="188"/>
      <c r="L1718" s="188"/>
      <c r="M1718" s="189" t="s">
        <v>963</v>
      </c>
      <c r="N1718" s="190">
        <v>3717.71</v>
      </c>
      <c r="O1718" s="190">
        <f t="shared" si="211"/>
        <v>4052.3</v>
      </c>
      <c r="P1718" s="191">
        <f t="shared" si="212"/>
        <v>0</v>
      </c>
      <c r="Q1718" s="192">
        <f t="shared" si="213"/>
        <v>0</v>
      </c>
      <c r="R1718" s="193"/>
      <c r="S1718" s="194"/>
      <c r="T1718" s="195">
        <f t="shared" si="214"/>
        <v>0</v>
      </c>
      <c r="U1718" s="195">
        <f t="shared" si="215"/>
        <v>0</v>
      </c>
      <c r="V1718" s="195">
        <f t="shared" si="216"/>
        <v>0</v>
      </c>
      <c r="W1718" s="196" t="e">
        <f t="shared" si="217"/>
        <v>#DIV/0!</v>
      </c>
      <c r="X1718" s="197" t="e">
        <f t="shared" si="218"/>
        <v>#DIV/0!</v>
      </c>
    </row>
    <row r="1719" ht="11.4" hidden="1" customHeight="1" spans="1:24">
      <c r="A1719" s="184" t="s">
        <v>3188</v>
      </c>
      <c r="B1719" s="184" t="s">
        <v>117</v>
      </c>
      <c r="C1719" s="184" t="s">
        <v>1101</v>
      </c>
      <c r="D1719" s="185" t="s">
        <v>704</v>
      </c>
      <c r="E1719" s="186" t="s">
        <v>789</v>
      </c>
      <c r="F1719" s="186" t="s">
        <v>790</v>
      </c>
      <c r="G1719" s="186" t="s">
        <v>1400</v>
      </c>
      <c r="H1719" s="186" t="s">
        <v>1400</v>
      </c>
      <c r="I1719" s="187" t="s">
        <v>1407</v>
      </c>
      <c r="J1719" s="187" t="s">
        <v>1408</v>
      </c>
      <c r="K1719" s="188"/>
      <c r="L1719" s="188"/>
      <c r="M1719" s="189" t="s">
        <v>963</v>
      </c>
      <c r="N1719" s="190">
        <v>3717.71</v>
      </c>
      <c r="O1719" s="190">
        <f t="shared" si="211"/>
        <v>4052.3</v>
      </c>
      <c r="P1719" s="191">
        <f t="shared" si="212"/>
        <v>0</v>
      </c>
      <c r="Q1719" s="192">
        <f t="shared" si="213"/>
        <v>0</v>
      </c>
      <c r="R1719" s="193"/>
      <c r="S1719" s="194"/>
      <c r="T1719" s="195">
        <f t="shared" si="214"/>
        <v>0</v>
      </c>
      <c r="U1719" s="195">
        <f t="shared" si="215"/>
        <v>0</v>
      </c>
      <c r="V1719" s="195">
        <f t="shared" si="216"/>
        <v>0</v>
      </c>
      <c r="W1719" s="196" t="e">
        <f t="shared" si="217"/>
        <v>#DIV/0!</v>
      </c>
      <c r="X1719" s="197" t="e">
        <f t="shared" si="218"/>
        <v>#DIV/0!</v>
      </c>
    </row>
    <row r="1720" ht="11.4" hidden="1" customHeight="1" spans="1:24">
      <c r="A1720" s="184" t="s">
        <v>3188</v>
      </c>
      <c r="B1720" s="184" t="s">
        <v>117</v>
      </c>
      <c r="C1720" s="184" t="s">
        <v>1101</v>
      </c>
      <c r="D1720" s="185" t="s">
        <v>704</v>
      </c>
      <c r="E1720" s="186" t="s">
        <v>789</v>
      </c>
      <c r="F1720" s="186" t="s">
        <v>790</v>
      </c>
      <c r="G1720" s="186" t="s">
        <v>1400</v>
      </c>
      <c r="H1720" s="186" t="s">
        <v>1400</v>
      </c>
      <c r="I1720" s="187" t="s">
        <v>1409</v>
      </c>
      <c r="J1720" s="187" t="s">
        <v>1410</v>
      </c>
      <c r="K1720" s="188"/>
      <c r="L1720" s="188"/>
      <c r="M1720" s="189" t="s">
        <v>963</v>
      </c>
      <c r="N1720" s="190">
        <v>3717.71</v>
      </c>
      <c r="O1720" s="190">
        <f t="shared" si="211"/>
        <v>4052.3</v>
      </c>
      <c r="P1720" s="191">
        <f t="shared" si="212"/>
        <v>0</v>
      </c>
      <c r="Q1720" s="192">
        <f t="shared" si="213"/>
        <v>0</v>
      </c>
      <c r="R1720" s="193"/>
      <c r="S1720" s="194"/>
      <c r="T1720" s="195">
        <f t="shared" si="214"/>
        <v>0</v>
      </c>
      <c r="U1720" s="195">
        <f t="shared" si="215"/>
        <v>0</v>
      </c>
      <c r="V1720" s="195">
        <f t="shared" si="216"/>
        <v>0</v>
      </c>
      <c r="W1720" s="196" t="e">
        <f t="shared" si="217"/>
        <v>#DIV/0!</v>
      </c>
      <c r="X1720" s="197" t="e">
        <f t="shared" si="218"/>
        <v>#DIV/0!</v>
      </c>
    </row>
    <row r="1721" ht="11.4" hidden="1" customHeight="1" spans="1:24">
      <c r="A1721" s="184" t="s">
        <v>3188</v>
      </c>
      <c r="B1721" s="184" t="s">
        <v>117</v>
      </c>
      <c r="C1721" s="184" t="s">
        <v>1101</v>
      </c>
      <c r="D1721" s="185" t="s">
        <v>704</v>
      </c>
      <c r="E1721" s="186" t="s">
        <v>789</v>
      </c>
      <c r="F1721" s="186" t="s">
        <v>790</v>
      </c>
      <c r="G1721" s="186" t="s">
        <v>1400</v>
      </c>
      <c r="H1721" s="186" t="s">
        <v>1400</v>
      </c>
      <c r="I1721" s="187" t="s">
        <v>1411</v>
      </c>
      <c r="J1721" s="187" t="s">
        <v>1412</v>
      </c>
      <c r="K1721" s="188"/>
      <c r="L1721" s="188"/>
      <c r="M1721" s="189" t="s">
        <v>807</v>
      </c>
      <c r="N1721" s="190">
        <v>241.33</v>
      </c>
      <c r="O1721" s="190">
        <f t="shared" si="211"/>
        <v>263.05</v>
      </c>
      <c r="P1721" s="191">
        <f t="shared" si="212"/>
        <v>0</v>
      </c>
      <c r="Q1721" s="192">
        <f t="shared" si="213"/>
        <v>0</v>
      </c>
      <c r="R1721" s="193"/>
      <c r="S1721" s="194"/>
      <c r="T1721" s="195">
        <f t="shared" si="214"/>
        <v>0</v>
      </c>
      <c r="U1721" s="195">
        <f t="shared" si="215"/>
        <v>0</v>
      </c>
      <c r="V1721" s="195">
        <f t="shared" si="216"/>
        <v>0</v>
      </c>
      <c r="W1721" s="196" t="e">
        <f t="shared" si="217"/>
        <v>#DIV/0!</v>
      </c>
      <c r="X1721" s="197" t="e">
        <f t="shared" si="218"/>
        <v>#DIV/0!</v>
      </c>
    </row>
    <row r="1722" ht="11.4" hidden="1" customHeight="1" spans="1:24">
      <c r="A1722" s="184" t="s">
        <v>3188</v>
      </c>
      <c r="B1722" s="184" t="s">
        <v>117</v>
      </c>
      <c r="C1722" s="184" t="s">
        <v>1101</v>
      </c>
      <c r="D1722" s="185" t="s">
        <v>704</v>
      </c>
      <c r="E1722" s="186" t="s">
        <v>789</v>
      </c>
      <c r="F1722" s="186" t="s">
        <v>790</v>
      </c>
      <c r="G1722" s="186" t="s">
        <v>1400</v>
      </c>
      <c r="H1722" s="186" t="s">
        <v>1400</v>
      </c>
      <c r="I1722" s="187" t="s">
        <v>1414</v>
      </c>
      <c r="J1722" s="187" t="s">
        <v>1415</v>
      </c>
      <c r="K1722" s="188"/>
      <c r="L1722" s="188"/>
      <c r="M1722" s="189" t="s">
        <v>793</v>
      </c>
      <c r="N1722" s="190">
        <v>4598.62</v>
      </c>
      <c r="O1722" s="190">
        <f t="shared" si="211"/>
        <v>5012.5</v>
      </c>
      <c r="P1722" s="191">
        <f t="shared" si="212"/>
        <v>0</v>
      </c>
      <c r="Q1722" s="192">
        <f t="shared" si="213"/>
        <v>0</v>
      </c>
      <c r="R1722" s="193"/>
      <c r="S1722" s="194"/>
      <c r="T1722" s="195">
        <f t="shared" si="214"/>
        <v>0</v>
      </c>
      <c r="U1722" s="195">
        <f t="shared" si="215"/>
        <v>0</v>
      </c>
      <c r="V1722" s="195">
        <f t="shared" si="216"/>
        <v>0</v>
      </c>
      <c r="W1722" s="196" t="e">
        <f t="shared" si="217"/>
        <v>#DIV/0!</v>
      </c>
      <c r="X1722" s="197" t="e">
        <f t="shared" si="218"/>
        <v>#DIV/0!</v>
      </c>
    </row>
    <row r="1723" ht="11.4" hidden="1" customHeight="1" spans="1:24">
      <c r="A1723" s="184" t="s">
        <v>3188</v>
      </c>
      <c r="B1723" s="184" t="s">
        <v>117</v>
      </c>
      <c r="C1723" s="184" t="s">
        <v>1101</v>
      </c>
      <c r="D1723" s="185" t="s">
        <v>704</v>
      </c>
      <c r="E1723" s="186" t="s">
        <v>789</v>
      </c>
      <c r="F1723" s="186" t="s">
        <v>790</v>
      </c>
      <c r="G1723" s="186" t="s">
        <v>1416</v>
      </c>
      <c r="H1723" s="186" t="s">
        <v>1416</v>
      </c>
      <c r="I1723" s="187" t="s">
        <v>1417</v>
      </c>
      <c r="J1723" s="187" t="s">
        <v>3189</v>
      </c>
      <c r="K1723" s="188"/>
      <c r="L1723" s="188"/>
      <c r="M1723" s="189" t="s">
        <v>895</v>
      </c>
      <c r="N1723" s="190">
        <v>9866.1</v>
      </c>
      <c r="O1723" s="190">
        <f t="shared" si="211"/>
        <v>10754.05</v>
      </c>
      <c r="P1723" s="191">
        <f t="shared" si="212"/>
        <v>0</v>
      </c>
      <c r="Q1723" s="192">
        <f t="shared" si="213"/>
        <v>0</v>
      </c>
      <c r="R1723" s="193"/>
      <c r="S1723" s="194"/>
      <c r="T1723" s="195">
        <f t="shared" si="214"/>
        <v>0</v>
      </c>
      <c r="U1723" s="195">
        <f t="shared" si="215"/>
        <v>0</v>
      </c>
      <c r="V1723" s="195">
        <f t="shared" si="216"/>
        <v>0</v>
      </c>
      <c r="W1723" s="196" t="e">
        <f t="shared" si="217"/>
        <v>#DIV/0!</v>
      </c>
      <c r="X1723" s="197" t="e">
        <f t="shared" si="218"/>
        <v>#DIV/0!</v>
      </c>
    </row>
    <row r="1724" ht="11.4" hidden="1" customHeight="1" spans="1:24">
      <c r="A1724" s="184" t="s">
        <v>3188</v>
      </c>
      <c r="B1724" s="184" t="s">
        <v>117</v>
      </c>
      <c r="C1724" s="184" t="s">
        <v>1101</v>
      </c>
      <c r="D1724" s="185" t="s">
        <v>704</v>
      </c>
      <c r="E1724" s="186" t="s">
        <v>789</v>
      </c>
      <c r="F1724" s="186" t="s">
        <v>790</v>
      </c>
      <c r="G1724" s="186" t="s">
        <v>1416</v>
      </c>
      <c r="H1724" s="186" t="s">
        <v>1416</v>
      </c>
      <c r="I1724" s="187" t="s">
        <v>1419</v>
      </c>
      <c r="J1724" s="187" t="s">
        <v>1420</v>
      </c>
      <c r="K1724" s="188"/>
      <c r="L1724" s="188"/>
      <c r="M1724" s="189" t="s">
        <v>807</v>
      </c>
      <c r="N1724" s="190">
        <v>2570.99</v>
      </c>
      <c r="O1724" s="190">
        <f t="shared" si="211"/>
        <v>2802.38</v>
      </c>
      <c r="P1724" s="191">
        <f t="shared" si="212"/>
        <v>0</v>
      </c>
      <c r="Q1724" s="192">
        <f t="shared" si="213"/>
        <v>0</v>
      </c>
      <c r="R1724" s="193"/>
      <c r="S1724" s="194"/>
      <c r="T1724" s="195">
        <f t="shared" si="214"/>
        <v>0</v>
      </c>
      <c r="U1724" s="195">
        <f t="shared" si="215"/>
        <v>0</v>
      </c>
      <c r="V1724" s="195">
        <f t="shared" si="216"/>
        <v>0</v>
      </c>
      <c r="W1724" s="196" t="e">
        <f t="shared" si="217"/>
        <v>#DIV/0!</v>
      </c>
      <c r="X1724" s="197" t="e">
        <f t="shared" si="218"/>
        <v>#DIV/0!</v>
      </c>
    </row>
    <row r="1725" ht="11.4" hidden="1" customHeight="1" spans="1:24">
      <c r="A1725" s="184" t="s">
        <v>3188</v>
      </c>
      <c r="B1725" s="184" t="s">
        <v>117</v>
      </c>
      <c r="C1725" s="184" t="s">
        <v>1101</v>
      </c>
      <c r="D1725" s="185" t="s">
        <v>704</v>
      </c>
      <c r="E1725" s="186" t="s">
        <v>789</v>
      </c>
      <c r="F1725" s="186" t="s">
        <v>790</v>
      </c>
      <c r="G1725" s="186" t="s">
        <v>1416</v>
      </c>
      <c r="H1725" s="186" t="s">
        <v>1416</v>
      </c>
      <c r="I1725" s="187" t="s">
        <v>1421</v>
      </c>
      <c r="J1725" s="187" t="s">
        <v>1422</v>
      </c>
      <c r="K1725" s="188"/>
      <c r="L1725" s="188"/>
      <c r="M1725" s="189" t="s">
        <v>847</v>
      </c>
      <c r="N1725" s="190">
        <v>465.14</v>
      </c>
      <c r="O1725" s="190">
        <f t="shared" si="211"/>
        <v>507</v>
      </c>
      <c r="P1725" s="191">
        <f t="shared" si="212"/>
        <v>0</v>
      </c>
      <c r="Q1725" s="192">
        <f t="shared" si="213"/>
        <v>0</v>
      </c>
      <c r="R1725" s="193"/>
      <c r="S1725" s="194"/>
      <c r="T1725" s="195">
        <f t="shared" si="214"/>
        <v>0</v>
      </c>
      <c r="U1725" s="195">
        <f t="shared" si="215"/>
        <v>0</v>
      </c>
      <c r="V1725" s="195">
        <f t="shared" si="216"/>
        <v>0</v>
      </c>
      <c r="W1725" s="196" t="e">
        <f t="shared" si="217"/>
        <v>#DIV/0!</v>
      </c>
      <c r="X1725" s="197" t="e">
        <f t="shared" si="218"/>
        <v>#DIV/0!</v>
      </c>
    </row>
    <row r="1726" ht="11.4" hidden="1" customHeight="1" spans="1:24">
      <c r="A1726" s="184" t="s">
        <v>3188</v>
      </c>
      <c r="B1726" s="184" t="s">
        <v>117</v>
      </c>
      <c r="C1726" s="184" t="s">
        <v>1101</v>
      </c>
      <c r="D1726" s="185" t="s">
        <v>704</v>
      </c>
      <c r="E1726" s="186" t="s">
        <v>789</v>
      </c>
      <c r="F1726" s="186" t="s">
        <v>790</v>
      </c>
      <c r="G1726" s="186" t="s">
        <v>1416</v>
      </c>
      <c r="H1726" s="186" t="s">
        <v>1416</v>
      </c>
      <c r="I1726" s="187" t="s">
        <v>1423</v>
      </c>
      <c r="J1726" s="187" t="s">
        <v>1424</v>
      </c>
      <c r="K1726" s="188"/>
      <c r="L1726" s="188"/>
      <c r="M1726" s="189" t="s">
        <v>847</v>
      </c>
      <c r="N1726" s="190">
        <v>979.44</v>
      </c>
      <c r="O1726" s="190">
        <f t="shared" si="211"/>
        <v>1067.59</v>
      </c>
      <c r="P1726" s="191">
        <f t="shared" si="212"/>
        <v>0</v>
      </c>
      <c r="Q1726" s="192">
        <f t="shared" si="213"/>
        <v>0</v>
      </c>
      <c r="R1726" s="193"/>
      <c r="S1726" s="194"/>
      <c r="T1726" s="195">
        <f t="shared" si="214"/>
        <v>0</v>
      </c>
      <c r="U1726" s="195">
        <f t="shared" si="215"/>
        <v>0</v>
      </c>
      <c r="V1726" s="195">
        <f t="shared" si="216"/>
        <v>0</v>
      </c>
      <c r="W1726" s="196" t="e">
        <f t="shared" si="217"/>
        <v>#DIV/0!</v>
      </c>
      <c r="X1726" s="197" t="e">
        <f t="shared" si="218"/>
        <v>#DIV/0!</v>
      </c>
    </row>
    <row r="1727" ht="11.4" hidden="1" customHeight="1" spans="1:24">
      <c r="A1727" s="184" t="s">
        <v>3188</v>
      </c>
      <c r="B1727" s="184" t="s">
        <v>117</v>
      </c>
      <c r="C1727" s="184" t="s">
        <v>1101</v>
      </c>
      <c r="D1727" s="185" t="s">
        <v>704</v>
      </c>
      <c r="E1727" s="186" t="s">
        <v>906</v>
      </c>
      <c r="F1727" s="186" t="s">
        <v>907</v>
      </c>
      <c r="G1727" s="186" t="s">
        <v>1102</v>
      </c>
      <c r="H1727" s="186" t="s">
        <v>1425</v>
      </c>
      <c r="I1727" s="187" t="s">
        <v>1426</v>
      </c>
      <c r="J1727" s="187" t="s">
        <v>1427</v>
      </c>
      <c r="K1727" s="188"/>
      <c r="L1727" s="188"/>
      <c r="M1727" s="189" t="s">
        <v>847</v>
      </c>
      <c r="N1727" s="190">
        <v>465.88</v>
      </c>
      <c r="O1727" s="190">
        <f t="shared" si="211"/>
        <v>507.81</v>
      </c>
      <c r="P1727" s="191">
        <f t="shared" si="212"/>
        <v>0</v>
      </c>
      <c r="Q1727" s="192">
        <f t="shared" si="213"/>
        <v>0</v>
      </c>
      <c r="R1727" s="193"/>
      <c r="S1727" s="194"/>
      <c r="T1727" s="195">
        <f t="shared" si="214"/>
        <v>0</v>
      </c>
      <c r="U1727" s="195">
        <f t="shared" si="215"/>
        <v>0</v>
      </c>
      <c r="V1727" s="195">
        <f t="shared" si="216"/>
        <v>0</v>
      </c>
      <c r="W1727" s="196" t="e">
        <f t="shared" si="217"/>
        <v>#DIV/0!</v>
      </c>
      <c r="X1727" s="197" t="e">
        <f t="shared" si="218"/>
        <v>#DIV/0!</v>
      </c>
    </row>
    <row r="1728" ht="11.4" hidden="1" customHeight="1" spans="1:24">
      <c r="A1728" s="184" t="s">
        <v>3188</v>
      </c>
      <c r="B1728" s="184" t="s">
        <v>117</v>
      </c>
      <c r="C1728" s="184" t="s">
        <v>1101</v>
      </c>
      <c r="D1728" s="185" t="s">
        <v>704</v>
      </c>
      <c r="E1728" s="186" t="s">
        <v>906</v>
      </c>
      <c r="F1728" s="186" t="s">
        <v>907</v>
      </c>
      <c r="G1728" s="186" t="s">
        <v>1102</v>
      </c>
      <c r="H1728" s="186" t="s">
        <v>1425</v>
      </c>
      <c r="I1728" s="187" t="s">
        <v>1429</v>
      </c>
      <c r="J1728" s="187" t="s">
        <v>1430</v>
      </c>
      <c r="K1728" s="188"/>
      <c r="L1728" s="188"/>
      <c r="M1728" s="189" t="s">
        <v>847</v>
      </c>
      <c r="N1728" s="190">
        <v>674.21</v>
      </c>
      <c r="O1728" s="190">
        <f t="shared" si="211"/>
        <v>734.89</v>
      </c>
      <c r="P1728" s="191">
        <f t="shared" si="212"/>
        <v>0</v>
      </c>
      <c r="Q1728" s="192">
        <f t="shared" si="213"/>
        <v>0</v>
      </c>
      <c r="R1728" s="193"/>
      <c r="S1728" s="194"/>
      <c r="T1728" s="195">
        <f t="shared" si="214"/>
        <v>0</v>
      </c>
      <c r="U1728" s="195">
        <f t="shared" si="215"/>
        <v>0</v>
      </c>
      <c r="V1728" s="195">
        <f t="shared" si="216"/>
        <v>0</v>
      </c>
      <c r="W1728" s="196" t="e">
        <f t="shared" si="217"/>
        <v>#DIV/0!</v>
      </c>
      <c r="X1728" s="197" t="e">
        <f t="shared" si="218"/>
        <v>#DIV/0!</v>
      </c>
    </row>
    <row r="1729" ht="11.4" hidden="1" customHeight="1" spans="1:24">
      <c r="A1729" s="184" t="s">
        <v>3188</v>
      </c>
      <c r="B1729" s="184" t="s">
        <v>117</v>
      </c>
      <c r="C1729" s="184" t="s">
        <v>1101</v>
      </c>
      <c r="D1729" s="185" t="s">
        <v>704</v>
      </c>
      <c r="E1729" s="186" t="s">
        <v>906</v>
      </c>
      <c r="F1729" s="186" t="s">
        <v>907</v>
      </c>
      <c r="G1729" s="186" t="s">
        <v>1102</v>
      </c>
      <c r="H1729" s="186" t="s">
        <v>1425</v>
      </c>
      <c r="I1729" s="187" t="s">
        <v>1431</v>
      </c>
      <c r="J1729" s="187" t="s">
        <v>1432</v>
      </c>
      <c r="K1729" s="188"/>
      <c r="L1729" s="188"/>
      <c r="M1729" s="189" t="s">
        <v>847</v>
      </c>
      <c r="N1729" s="190">
        <v>592.51</v>
      </c>
      <c r="O1729" s="190">
        <f t="shared" si="211"/>
        <v>645.84</v>
      </c>
      <c r="P1729" s="191">
        <f t="shared" si="212"/>
        <v>0</v>
      </c>
      <c r="Q1729" s="192">
        <f t="shared" si="213"/>
        <v>0</v>
      </c>
      <c r="R1729" s="193"/>
      <c r="S1729" s="194"/>
      <c r="T1729" s="195">
        <f t="shared" si="214"/>
        <v>0</v>
      </c>
      <c r="U1729" s="195">
        <f t="shared" si="215"/>
        <v>0</v>
      </c>
      <c r="V1729" s="195">
        <f t="shared" si="216"/>
        <v>0</v>
      </c>
      <c r="W1729" s="196" t="e">
        <f t="shared" si="217"/>
        <v>#DIV/0!</v>
      </c>
      <c r="X1729" s="197" t="e">
        <f t="shared" si="218"/>
        <v>#DIV/0!</v>
      </c>
    </row>
    <row r="1730" ht="11.4" hidden="1" customHeight="1" spans="1:24">
      <c r="A1730" s="184" t="s">
        <v>3188</v>
      </c>
      <c r="B1730" s="184" t="s">
        <v>117</v>
      </c>
      <c r="C1730" s="184" t="s">
        <v>1101</v>
      </c>
      <c r="D1730" s="185" t="s">
        <v>704</v>
      </c>
      <c r="E1730" s="186" t="s">
        <v>906</v>
      </c>
      <c r="F1730" s="186" t="s">
        <v>907</v>
      </c>
      <c r="G1730" s="186" t="s">
        <v>1102</v>
      </c>
      <c r="H1730" s="186" t="s">
        <v>1425</v>
      </c>
      <c r="I1730" s="187" t="s">
        <v>1433</v>
      </c>
      <c r="J1730" s="187" t="s">
        <v>1434</v>
      </c>
      <c r="K1730" s="188"/>
      <c r="L1730" s="188"/>
      <c r="M1730" s="189" t="s">
        <v>847</v>
      </c>
      <c r="N1730" s="190">
        <v>763.01</v>
      </c>
      <c r="O1730" s="190">
        <f t="shared" si="211"/>
        <v>831.68</v>
      </c>
      <c r="P1730" s="191">
        <f t="shared" si="212"/>
        <v>0</v>
      </c>
      <c r="Q1730" s="192">
        <f t="shared" si="213"/>
        <v>0</v>
      </c>
      <c r="R1730" s="193"/>
      <c r="S1730" s="194"/>
      <c r="T1730" s="195">
        <f t="shared" si="214"/>
        <v>0</v>
      </c>
      <c r="U1730" s="195">
        <f t="shared" si="215"/>
        <v>0</v>
      </c>
      <c r="V1730" s="195">
        <f t="shared" si="216"/>
        <v>0</v>
      </c>
      <c r="W1730" s="196" t="e">
        <f t="shared" si="217"/>
        <v>#DIV/0!</v>
      </c>
      <c r="X1730" s="197" t="e">
        <f t="shared" si="218"/>
        <v>#DIV/0!</v>
      </c>
    </row>
    <row r="1731" ht="11.4" hidden="1" customHeight="1" spans="1:24">
      <c r="A1731" s="184" t="s">
        <v>3188</v>
      </c>
      <c r="B1731" s="184" t="s">
        <v>117</v>
      </c>
      <c r="C1731" s="184" t="s">
        <v>1101</v>
      </c>
      <c r="D1731" s="185" t="s">
        <v>704</v>
      </c>
      <c r="E1731" s="186" t="s">
        <v>906</v>
      </c>
      <c r="F1731" s="186" t="s">
        <v>907</v>
      </c>
      <c r="G1731" s="186" t="s">
        <v>1102</v>
      </c>
      <c r="H1731" s="186" t="s">
        <v>1425</v>
      </c>
      <c r="I1731" s="187" t="s">
        <v>1435</v>
      </c>
      <c r="J1731" s="187" t="s">
        <v>1436</v>
      </c>
      <c r="K1731" s="188"/>
      <c r="L1731" s="188"/>
      <c r="M1731" s="189" t="s">
        <v>847</v>
      </c>
      <c r="N1731" s="190">
        <v>229.85</v>
      </c>
      <c r="O1731" s="190">
        <f t="shared" si="211"/>
        <v>250.54</v>
      </c>
      <c r="P1731" s="191">
        <f t="shared" si="212"/>
        <v>0</v>
      </c>
      <c r="Q1731" s="192">
        <f t="shared" si="213"/>
        <v>0</v>
      </c>
      <c r="R1731" s="193"/>
      <c r="S1731" s="194"/>
      <c r="T1731" s="195">
        <f t="shared" si="214"/>
        <v>0</v>
      </c>
      <c r="U1731" s="195">
        <f t="shared" si="215"/>
        <v>0</v>
      </c>
      <c r="V1731" s="195">
        <f t="shared" si="216"/>
        <v>0</v>
      </c>
      <c r="W1731" s="196" t="e">
        <f t="shared" si="217"/>
        <v>#DIV/0!</v>
      </c>
      <c r="X1731" s="197" t="e">
        <f t="shared" si="218"/>
        <v>#DIV/0!</v>
      </c>
    </row>
    <row r="1732" ht="11.4" hidden="1" customHeight="1" spans="1:24">
      <c r="A1732" s="184" t="s">
        <v>3188</v>
      </c>
      <c r="B1732" s="184" t="s">
        <v>117</v>
      </c>
      <c r="C1732" s="184" t="s">
        <v>1101</v>
      </c>
      <c r="D1732" s="185" t="s">
        <v>704</v>
      </c>
      <c r="E1732" s="186" t="s">
        <v>906</v>
      </c>
      <c r="F1732" s="186" t="s">
        <v>907</v>
      </c>
      <c r="G1732" s="186" t="s">
        <v>1102</v>
      </c>
      <c r="H1732" s="186" t="s">
        <v>1425</v>
      </c>
      <c r="I1732" s="187" t="s">
        <v>1437</v>
      </c>
      <c r="J1732" s="187" t="s">
        <v>1438</v>
      </c>
      <c r="K1732" s="188"/>
      <c r="L1732" s="188"/>
      <c r="M1732" s="189" t="s">
        <v>847</v>
      </c>
      <c r="N1732" s="190">
        <v>36.96</v>
      </c>
      <c r="O1732" s="190">
        <f t="shared" si="211"/>
        <v>40.29</v>
      </c>
      <c r="P1732" s="191">
        <f t="shared" si="212"/>
        <v>0</v>
      </c>
      <c r="Q1732" s="192">
        <f t="shared" si="213"/>
        <v>0</v>
      </c>
      <c r="R1732" s="193"/>
      <c r="S1732" s="194"/>
      <c r="T1732" s="195">
        <f t="shared" si="214"/>
        <v>0</v>
      </c>
      <c r="U1732" s="195">
        <f t="shared" si="215"/>
        <v>0</v>
      </c>
      <c r="V1732" s="195">
        <f t="shared" si="216"/>
        <v>0</v>
      </c>
      <c r="W1732" s="196" t="e">
        <f t="shared" si="217"/>
        <v>#DIV/0!</v>
      </c>
      <c r="X1732" s="197" t="e">
        <f t="shared" si="218"/>
        <v>#DIV/0!</v>
      </c>
    </row>
    <row r="1733" ht="11.4" hidden="1" customHeight="1" spans="1:24">
      <c r="A1733" s="184" t="s">
        <v>3188</v>
      </c>
      <c r="B1733" s="184" t="s">
        <v>117</v>
      </c>
      <c r="C1733" s="184" t="s">
        <v>1101</v>
      </c>
      <c r="D1733" s="185" t="s">
        <v>704</v>
      </c>
      <c r="E1733" s="186" t="s">
        <v>906</v>
      </c>
      <c r="F1733" s="186" t="s">
        <v>907</v>
      </c>
      <c r="G1733" s="186" t="s">
        <v>1102</v>
      </c>
      <c r="H1733" s="186" t="s">
        <v>1425</v>
      </c>
      <c r="I1733" s="187" t="s">
        <v>1439</v>
      </c>
      <c r="J1733" s="187" t="s">
        <v>1440</v>
      </c>
      <c r="K1733" s="188"/>
      <c r="L1733" s="188"/>
      <c r="M1733" s="189" t="s">
        <v>847</v>
      </c>
      <c r="N1733" s="190">
        <v>958.97</v>
      </c>
      <c r="O1733" s="190">
        <f t="shared" si="211"/>
        <v>1045.28</v>
      </c>
      <c r="P1733" s="191">
        <f t="shared" si="212"/>
        <v>0</v>
      </c>
      <c r="Q1733" s="192">
        <f t="shared" si="213"/>
        <v>0</v>
      </c>
      <c r="R1733" s="193"/>
      <c r="S1733" s="194"/>
      <c r="T1733" s="195">
        <f t="shared" si="214"/>
        <v>0</v>
      </c>
      <c r="U1733" s="195">
        <f t="shared" si="215"/>
        <v>0</v>
      </c>
      <c r="V1733" s="195">
        <f t="shared" si="216"/>
        <v>0</v>
      </c>
      <c r="W1733" s="196" t="e">
        <f t="shared" si="217"/>
        <v>#DIV/0!</v>
      </c>
      <c r="X1733" s="197" t="e">
        <f t="shared" si="218"/>
        <v>#DIV/0!</v>
      </c>
    </row>
    <row r="1734" ht="11.4" hidden="1" customHeight="1" spans="1:24">
      <c r="A1734" s="184" t="s">
        <v>3188</v>
      </c>
      <c r="B1734" s="184" t="s">
        <v>117</v>
      </c>
      <c r="C1734" s="184" t="s">
        <v>1101</v>
      </c>
      <c r="D1734" s="185" t="s">
        <v>704</v>
      </c>
      <c r="E1734" s="186" t="s">
        <v>906</v>
      </c>
      <c r="F1734" s="186" t="s">
        <v>907</v>
      </c>
      <c r="G1734" s="186" t="s">
        <v>1102</v>
      </c>
      <c r="H1734" s="186" t="s">
        <v>1425</v>
      </c>
      <c r="I1734" s="187" t="s">
        <v>1442</v>
      </c>
      <c r="J1734" s="187" t="s">
        <v>1443</v>
      </c>
      <c r="K1734" s="188"/>
      <c r="L1734" s="188"/>
      <c r="M1734" s="189" t="s">
        <v>847</v>
      </c>
      <c r="N1734" s="190">
        <v>1134.73</v>
      </c>
      <c r="O1734" s="190">
        <f t="shared" si="211"/>
        <v>1236.86</v>
      </c>
      <c r="P1734" s="191">
        <f t="shared" si="212"/>
        <v>0</v>
      </c>
      <c r="Q1734" s="192">
        <f t="shared" si="213"/>
        <v>0</v>
      </c>
      <c r="R1734" s="193"/>
      <c r="S1734" s="194"/>
      <c r="T1734" s="195">
        <f t="shared" si="214"/>
        <v>0</v>
      </c>
      <c r="U1734" s="195">
        <f t="shared" si="215"/>
        <v>0</v>
      </c>
      <c r="V1734" s="195">
        <f t="shared" si="216"/>
        <v>0</v>
      </c>
      <c r="W1734" s="196" t="e">
        <f t="shared" si="217"/>
        <v>#DIV/0!</v>
      </c>
      <c r="X1734" s="197" t="e">
        <f t="shared" si="218"/>
        <v>#DIV/0!</v>
      </c>
    </row>
    <row r="1735" ht="11.4" hidden="1" customHeight="1" spans="1:24">
      <c r="A1735" s="184" t="s">
        <v>3188</v>
      </c>
      <c r="B1735" s="184" t="s">
        <v>117</v>
      </c>
      <c r="C1735" s="184" t="s">
        <v>1101</v>
      </c>
      <c r="D1735" s="185" t="s">
        <v>704</v>
      </c>
      <c r="E1735" s="186" t="s">
        <v>906</v>
      </c>
      <c r="F1735" s="186" t="s">
        <v>907</v>
      </c>
      <c r="G1735" s="186" t="s">
        <v>1102</v>
      </c>
      <c r="H1735" s="186" t="s">
        <v>1425</v>
      </c>
      <c r="I1735" s="187" t="s">
        <v>1445</v>
      </c>
      <c r="J1735" s="187" t="s">
        <v>1446</v>
      </c>
      <c r="K1735" s="188"/>
      <c r="L1735" s="188"/>
      <c r="M1735" s="189" t="s">
        <v>847</v>
      </c>
      <c r="N1735" s="190">
        <v>464.59</v>
      </c>
      <c r="O1735" s="190">
        <f t="shared" si="211"/>
        <v>506.4</v>
      </c>
      <c r="P1735" s="191">
        <f t="shared" si="212"/>
        <v>0</v>
      </c>
      <c r="Q1735" s="192">
        <f t="shared" si="213"/>
        <v>0</v>
      </c>
      <c r="R1735" s="193"/>
      <c r="S1735" s="194"/>
      <c r="T1735" s="195">
        <f t="shared" si="214"/>
        <v>0</v>
      </c>
      <c r="U1735" s="195">
        <f t="shared" si="215"/>
        <v>0</v>
      </c>
      <c r="V1735" s="195">
        <f t="shared" si="216"/>
        <v>0</v>
      </c>
      <c r="W1735" s="196" t="e">
        <f t="shared" si="217"/>
        <v>#DIV/0!</v>
      </c>
      <c r="X1735" s="197" t="e">
        <f t="shared" si="218"/>
        <v>#DIV/0!</v>
      </c>
    </row>
    <row r="1736" ht="11.4" hidden="1" customHeight="1" spans="1:24">
      <c r="A1736" s="184" t="s">
        <v>3188</v>
      </c>
      <c r="B1736" s="184" t="s">
        <v>117</v>
      </c>
      <c r="C1736" s="184" t="s">
        <v>1101</v>
      </c>
      <c r="D1736" s="185" t="s">
        <v>704</v>
      </c>
      <c r="E1736" s="186" t="s">
        <v>906</v>
      </c>
      <c r="F1736" s="186" t="s">
        <v>907</v>
      </c>
      <c r="G1736" s="186" t="s">
        <v>1102</v>
      </c>
      <c r="H1736" s="186" t="s">
        <v>1425</v>
      </c>
      <c r="I1736" s="187" t="s">
        <v>1448</v>
      </c>
      <c r="J1736" s="187" t="s">
        <v>1449</v>
      </c>
      <c r="K1736" s="188"/>
      <c r="L1736" s="188"/>
      <c r="M1736" s="189" t="s">
        <v>847</v>
      </c>
      <c r="N1736" s="190">
        <v>460.58</v>
      </c>
      <c r="O1736" s="190">
        <f t="shared" si="211"/>
        <v>502.03</v>
      </c>
      <c r="P1736" s="191">
        <f t="shared" si="212"/>
        <v>0</v>
      </c>
      <c r="Q1736" s="192">
        <f t="shared" si="213"/>
        <v>0</v>
      </c>
      <c r="R1736" s="193"/>
      <c r="S1736" s="194"/>
      <c r="T1736" s="195">
        <f t="shared" si="214"/>
        <v>0</v>
      </c>
      <c r="U1736" s="195">
        <f t="shared" si="215"/>
        <v>0</v>
      </c>
      <c r="V1736" s="195">
        <f t="shared" si="216"/>
        <v>0</v>
      </c>
      <c r="W1736" s="196" t="e">
        <f t="shared" si="217"/>
        <v>#DIV/0!</v>
      </c>
      <c r="X1736" s="197" t="e">
        <f t="shared" si="218"/>
        <v>#DIV/0!</v>
      </c>
    </row>
    <row r="1737" ht="11.4" hidden="1" customHeight="1" spans="1:24">
      <c r="A1737" s="184" t="s">
        <v>3188</v>
      </c>
      <c r="B1737" s="184" t="s">
        <v>117</v>
      </c>
      <c r="C1737" s="184" t="s">
        <v>1101</v>
      </c>
      <c r="D1737" s="185" t="s">
        <v>704</v>
      </c>
      <c r="E1737" s="186" t="s">
        <v>906</v>
      </c>
      <c r="F1737" s="186" t="s">
        <v>907</v>
      </c>
      <c r="G1737" s="186" t="s">
        <v>1102</v>
      </c>
      <c r="H1737" s="186" t="s">
        <v>1425</v>
      </c>
      <c r="I1737" s="187" t="s">
        <v>1450</v>
      </c>
      <c r="J1737" s="187" t="s">
        <v>1451</v>
      </c>
      <c r="K1737" s="188"/>
      <c r="L1737" s="188"/>
      <c r="M1737" s="189" t="s">
        <v>847</v>
      </c>
      <c r="N1737" s="190">
        <v>464.64</v>
      </c>
      <c r="O1737" s="190">
        <f t="shared" si="211"/>
        <v>506.46</v>
      </c>
      <c r="P1737" s="191">
        <f t="shared" si="212"/>
        <v>0</v>
      </c>
      <c r="Q1737" s="192">
        <f t="shared" si="213"/>
        <v>0</v>
      </c>
      <c r="R1737" s="193"/>
      <c r="S1737" s="194"/>
      <c r="T1737" s="195">
        <f t="shared" si="214"/>
        <v>0</v>
      </c>
      <c r="U1737" s="195">
        <f t="shared" si="215"/>
        <v>0</v>
      </c>
      <c r="V1737" s="195">
        <f t="shared" si="216"/>
        <v>0</v>
      </c>
      <c r="W1737" s="196" t="e">
        <f t="shared" si="217"/>
        <v>#DIV/0!</v>
      </c>
      <c r="X1737" s="197" t="e">
        <f t="shared" si="218"/>
        <v>#DIV/0!</v>
      </c>
    </row>
    <row r="1738" ht="11.4" hidden="1" customHeight="1" spans="1:24">
      <c r="A1738" s="184" t="s">
        <v>3188</v>
      </c>
      <c r="B1738" s="184" t="s">
        <v>117</v>
      </c>
      <c r="C1738" s="184" t="s">
        <v>1101</v>
      </c>
      <c r="D1738" s="185" t="s">
        <v>704</v>
      </c>
      <c r="E1738" s="186" t="s">
        <v>906</v>
      </c>
      <c r="F1738" s="186" t="s">
        <v>907</v>
      </c>
      <c r="G1738" s="186" t="s">
        <v>1102</v>
      </c>
      <c r="H1738" s="186" t="s">
        <v>1425</v>
      </c>
      <c r="I1738" s="187" t="s">
        <v>1452</v>
      </c>
      <c r="J1738" s="187" t="s">
        <v>1453</v>
      </c>
      <c r="K1738" s="188"/>
      <c r="L1738" s="188"/>
      <c r="M1738" s="189" t="s">
        <v>847</v>
      </c>
      <c r="N1738" s="190">
        <v>887.74</v>
      </c>
      <c r="O1738" s="190">
        <f t="shared" si="211"/>
        <v>967.64</v>
      </c>
      <c r="P1738" s="191">
        <f t="shared" si="212"/>
        <v>0</v>
      </c>
      <c r="Q1738" s="192">
        <f t="shared" si="213"/>
        <v>0</v>
      </c>
      <c r="R1738" s="193"/>
      <c r="S1738" s="194"/>
      <c r="T1738" s="195">
        <f t="shared" si="214"/>
        <v>0</v>
      </c>
      <c r="U1738" s="195">
        <f t="shared" si="215"/>
        <v>0</v>
      </c>
      <c r="V1738" s="195">
        <f t="shared" si="216"/>
        <v>0</v>
      </c>
      <c r="W1738" s="196" t="e">
        <f t="shared" si="217"/>
        <v>#DIV/0!</v>
      </c>
      <c r="X1738" s="197" t="e">
        <f t="shared" si="218"/>
        <v>#DIV/0!</v>
      </c>
    </row>
    <row r="1739" ht="11.4" hidden="1" customHeight="1" spans="1:24">
      <c r="A1739" s="184" t="s">
        <v>3188</v>
      </c>
      <c r="B1739" s="184" t="s">
        <v>117</v>
      </c>
      <c r="C1739" s="184" t="s">
        <v>1101</v>
      </c>
      <c r="D1739" s="185" t="s">
        <v>704</v>
      </c>
      <c r="E1739" s="186" t="s">
        <v>906</v>
      </c>
      <c r="F1739" s="186" t="s">
        <v>907</v>
      </c>
      <c r="G1739" s="186" t="s">
        <v>1102</v>
      </c>
      <c r="H1739" s="186" t="s">
        <v>1425</v>
      </c>
      <c r="I1739" s="187" t="s">
        <v>1454</v>
      </c>
      <c r="J1739" s="187" t="s">
        <v>1455</v>
      </c>
      <c r="K1739" s="188"/>
      <c r="L1739" s="188"/>
      <c r="M1739" s="189" t="s">
        <v>847</v>
      </c>
      <c r="N1739" s="190">
        <v>360.47</v>
      </c>
      <c r="O1739" s="190">
        <f t="shared" si="211"/>
        <v>392.91</v>
      </c>
      <c r="P1739" s="191">
        <f t="shared" si="212"/>
        <v>0</v>
      </c>
      <c r="Q1739" s="192">
        <f t="shared" si="213"/>
        <v>0</v>
      </c>
      <c r="R1739" s="193"/>
      <c r="S1739" s="194"/>
      <c r="T1739" s="195">
        <f t="shared" si="214"/>
        <v>0</v>
      </c>
      <c r="U1739" s="195">
        <f t="shared" si="215"/>
        <v>0</v>
      </c>
      <c r="V1739" s="195">
        <f t="shared" si="216"/>
        <v>0</v>
      </c>
      <c r="W1739" s="196" t="e">
        <f t="shared" si="217"/>
        <v>#DIV/0!</v>
      </c>
      <c r="X1739" s="197" t="e">
        <f t="shared" si="218"/>
        <v>#DIV/0!</v>
      </c>
    </row>
    <row r="1740" ht="11.4" hidden="1" customHeight="1" spans="1:24">
      <c r="A1740" s="184" t="s">
        <v>3188</v>
      </c>
      <c r="B1740" s="184" t="s">
        <v>117</v>
      </c>
      <c r="C1740" s="184" t="s">
        <v>1101</v>
      </c>
      <c r="D1740" s="185" t="s">
        <v>704</v>
      </c>
      <c r="E1740" s="186" t="s">
        <v>906</v>
      </c>
      <c r="F1740" s="186" t="s">
        <v>907</v>
      </c>
      <c r="G1740" s="186" t="s">
        <v>1102</v>
      </c>
      <c r="H1740" s="186" t="s">
        <v>1425</v>
      </c>
      <c r="I1740" s="187" t="s">
        <v>1175</v>
      </c>
      <c r="J1740" s="187" t="s">
        <v>1176</v>
      </c>
      <c r="K1740" s="188"/>
      <c r="L1740" s="188"/>
      <c r="M1740" s="189" t="s">
        <v>847</v>
      </c>
      <c r="N1740" s="190">
        <v>114.06</v>
      </c>
      <c r="O1740" s="190">
        <f t="shared" si="211"/>
        <v>124.33</v>
      </c>
      <c r="P1740" s="191">
        <f t="shared" si="212"/>
        <v>0</v>
      </c>
      <c r="Q1740" s="192">
        <f t="shared" si="213"/>
        <v>0</v>
      </c>
      <c r="R1740" s="193"/>
      <c r="S1740" s="194"/>
      <c r="T1740" s="195">
        <f t="shared" si="214"/>
        <v>0</v>
      </c>
      <c r="U1740" s="195">
        <f t="shared" si="215"/>
        <v>0</v>
      </c>
      <c r="V1740" s="195">
        <f t="shared" si="216"/>
        <v>0</v>
      </c>
      <c r="W1740" s="196" t="e">
        <f t="shared" si="217"/>
        <v>#DIV/0!</v>
      </c>
      <c r="X1740" s="197" t="e">
        <f t="shared" si="218"/>
        <v>#DIV/0!</v>
      </c>
    </row>
    <row r="1741" ht="11.4" hidden="1" customHeight="1" spans="1:24">
      <c r="A1741" s="184" t="s">
        <v>3188</v>
      </c>
      <c r="B1741" s="184" t="s">
        <v>117</v>
      </c>
      <c r="C1741" s="184" t="s">
        <v>1101</v>
      </c>
      <c r="D1741" s="185" t="s">
        <v>704</v>
      </c>
      <c r="E1741" s="186" t="s">
        <v>906</v>
      </c>
      <c r="F1741" s="186" t="s">
        <v>907</v>
      </c>
      <c r="G1741" s="186" t="s">
        <v>1102</v>
      </c>
      <c r="H1741" s="186" t="s">
        <v>1425</v>
      </c>
      <c r="I1741" s="187" t="s">
        <v>1457</v>
      </c>
      <c r="J1741" s="187" t="s">
        <v>1458</v>
      </c>
      <c r="K1741" s="188"/>
      <c r="L1741" s="188"/>
      <c r="M1741" s="189" t="s">
        <v>847</v>
      </c>
      <c r="N1741" s="190">
        <v>392.72</v>
      </c>
      <c r="O1741" s="190">
        <f t="shared" ref="O1741:O1804" si="219">ROUND(N1741*(1+$F$10),2)</f>
        <v>428.06</v>
      </c>
      <c r="P1741" s="191">
        <f t="shared" ref="P1741:P1804" si="220">ROUND(K1741*N1741,2)</f>
        <v>0</v>
      </c>
      <c r="Q1741" s="192">
        <f t="shared" si="213"/>
        <v>0</v>
      </c>
      <c r="R1741" s="193"/>
      <c r="S1741" s="194"/>
      <c r="T1741" s="195">
        <f t="shared" si="214"/>
        <v>0</v>
      </c>
      <c r="U1741" s="195">
        <f t="shared" si="215"/>
        <v>0</v>
      </c>
      <c r="V1741" s="195">
        <f t="shared" si="216"/>
        <v>0</v>
      </c>
      <c r="W1741" s="196" t="e">
        <f t="shared" si="217"/>
        <v>#DIV/0!</v>
      </c>
      <c r="X1741" s="197" t="e">
        <f t="shared" si="218"/>
        <v>#DIV/0!</v>
      </c>
    </row>
    <row r="1742" ht="11.4" hidden="1" customHeight="1" spans="1:24">
      <c r="A1742" s="184" t="s">
        <v>3188</v>
      </c>
      <c r="B1742" s="184" t="s">
        <v>117</v>
      </c>
      <c r="C1742" s="184" t="s">
        <v>1101</v>
      </c>
      <c r="D1742" s="185" t="s">
        <v>704</v>
      </c>
      <c r="E1742" s="186" t="s">
        <v>906</v>
      </c>
      <c r="F1742" s="186" t="s">
        <v>907</v>
      </c>
      <c r="G1742" s="186" t="s">
        <v>1102</v>
      </c>
      <c r="H1742" s="186" t="s">
        <v>1425</v>
      </c>
      <c r="I1742" s="187" t="s">
        <v>1459</v>
      </c>
      <c r="J1742" s="187" t="s">
        <v>1460</v>
      </c>
      <c r="K1742" s="188"/>
      <c r="L1742" s="188"/>
      <c r="M1742" s="189" t="s">
        <v>847</v>
      </c>
      <c r="N1742" s="190">
        <v>635.04</v>
      </c>
      <c r="O1742" s="190">
        <f t="shared" si="219"/>
        <v>692.19</v>
      </c>
      <c r="P1742" s="191">
        <f t="shared" si="220"/>
        <v>0</v>
      </c>
      <c r="Q1742" s="192">
        <f t="shared" ref="Q1742:Q1805" si="221">ROUND(L1742*N1742,2)</f>
        <v>0</v>
      </c>
      <c r="R1742" s="193"/>
      <c r="S1742" s="194"/>
      <c r="T1742" s="195">
        <f t="shared" ref="T1742:T1805" si="222">K1742-L1742</f>
        <v>0</v>
      </c>
      <c r="U1742" s="195">
        <f t="shared" ref="U1742:U1805" si="223">P1742-Q1742</f>
        <v>0</v>
      </c>
      <c r="V1742" s="195">
        <f t="shared" ref="V1742:V1805" si="224">ABS(U1742)</f>
        <v>0</v>
      </c>
      <c r="W1742" s="196" t="e">
        <f t="shared" ref="W1742:W1805" si="225">T1742/L1742</f>
        <v>#DIV/0!</v>
      </c>
      <c r="X1742" s="197" t="e">
        <f t="shared" ref="X1742:X1805" si="226">ABS(W1742)</f>
        <v>#DIV/0!</v>
      </c>
    </row>
    <row r="1743" ht="11.4" hidden="1" customHeight="1" spans="1:24">
      <c r="A1743" s="184" t="s">
        <v>3188</v>
      </c>
      <c r="B1743" s="184" t="s">
        <v>117</v>
      </c>
      <c r="C1743" s="184" t="s">
        <v>1101</v>
      </c>
      <c r="D1743" s="185" t="s">
        <v>704</v>
      </c>
      <c r="E1743" s="186" t="s">
        <v>906</v>
      </c>
      <c r="F1743" s="186" t="s">
        <v>907</v>
      </c>
      <c r="G1743" s="186" t="s">
        <v>1102</v>
      </c>
      <c r="H1743" s="186" t="s">
        <v>1425</v>
      </c>
      <c r="I1743" s="187" t="s">
        <v>1461</v>
      </c>
      <c r="J1743" s="187" t="s">
        <v>1462</v>
      </c>
      <c r="K1743" s="188"/>
      <c r="L1743" s="188"/>
      <c r="M1743" s="189" t="s">
        <v>847</v>
      </c>
      <c r="N1743" s="190">
        <v>608.1</v>
      </c>
      <c r="O1743" s="190">
        <f t="shared" si="219"/>
        <v>662.83</v>
      </c>
      <c r="P1743" s="191">
        <f t="shared" si="220"/>
        <v>0</v>
      </c>
      <c r="Q1743" s="192">
        <f t="shared" si="221"/>
        <v>0</v>
      </c>
      <c r="R1743" s="193"/>
      <c r="S1743" s="194"/>
      <c r="T1743" s="195">
        <f t="shared" si="222"/>
        <v>0</v>
      </c>
      <c r="U1743" s="195">
        <f t="shared" si="223"/>
        <v>0</v>
      </c>
      <c r="V1743" s="195">
        <f t="shared" si="224"/>
        <v>0</v>
      </c>
      <c r="W1743" s="196" t="e">
        <f t="shared" si="225"/>
        <v>#DIV/0!</v>
      </c>
      <c r="X1743" s="197" t="e">
        <f t="shared" si="226"/>
        <v>#DIV/0!</v>
      </c>
    </row>
    <row r="1744" ht="11.4" hidden="1" customHeight="1" spans="1:24">
      <c r="A1744" s="184" t="s">
        <v>3188</v>
      </c>
      <c r="B1744" s="184" t="s">
        <v>117</v>
      </c>
      <c r="C1744" s="184" t="s">
        <v>1101</v>
      </c>
      <c r="D1744" s="185" t="s">
        <v>704</v>
      </c>
      <c r="E1744" s="186" t="s">
        <v>906</v>
      </c>
      <c r="F1744" s="186" t="s">
        <v>907</v>
      </c>
      <c r="G1744" s="186" t="s">
        <v>1102</v>
      </c>
      <c r="H1744" s="186" t="s">
        <v>1425</v>
      </c>
      <c r="I1744" s="187" t="s">
        <v>1463</v>
      </c>
      <c r="J1744" s="187" t="s">
        <v>1464</v>
      </c>
      <c r="K1744" s="188"/>
      <c r="L1744" s="188"/>
      <c r="M1744" s="189" t="s">
        <v>847</v>
      </c>
      <c r="N1744" s="190">
        <v>727.77</v>
      </c>
      <c r="O1744" s="190">
        <f t="shared" si="219"/>
        <v>793.27</v>
      </c>
      <c r="P1744" s="191">
        <f t="shared" si="220"/>
        <v>0</v>
      </c>
      <c r="Q1744" s="192">
        <f t="shared" si="221"/>
        <v>0</v>
      </c>
      <c r="R1744" s="193"/>
      <c r="S1744" s="194"/>
      <c r="T1744" s="195">
        <f t="shared" si="222"/>
        <v>0</v>
      </c>
      <c r="U1744" s="195">
        <f t="shared" si="223"/>
        <v>0</v>
      </c>
      <c r="V1744" s="195">
        <f t="shared" si="224"/>
        <v>0</v>
      </c>
      <c r="W1744" s="196" t="e">
        <f t="shared" si="225"/>
        <v>#DIV/0!</v>
      </c>
      <c r="X1744" s="197" t="e">
        <f t="shared" si="226"/>
        <v>#DIV/0!</v>
      </c>
    </row>
    <row r="1745" ht="11.4" hidden="1" customHeight="1" spans="1:24">
      <c r="A1745" s="184" t="s">
        <v>3188</v>
      </c>
      <c r="B1745" s="184" t="s">
        <v>117</v>
      </c>
      <c r="C1745" s="184" t="s">
        <v>1101</v>
      </c>
      <c r="D1745" s="185" t="s">
        <v>704</v>
      </c>
      <c r="E1745" s="186" t="s">
        <v>906</v>
      </c>
      <c r="F1745" s="186" t="s">
        <v>907</v>
      </c>
      <c r="G1745" s="186" t="s">
        <v>1102</v>
      </c>
      <c r="H1745" s="186" t="s">
        <v>1425</v>
      </c>
      <c r="I1745" s="187" t="s">
        <v>1465</v>
      </c>
      <c r="J1745" s="187" t="s">
        <v>1466</v>
      </c>
      <c r="K1745" s="188"/>
      <c r="L1745" s="188"/>
      <c r="M1745" s="189" t="s">
        <v>847</v>
      </c>
      <c r="N1745" s="190">
        <v>234.97</v>
      </c>
      <c r="O1745" s="190">
        <f t="shared" si="219"/>
        <v>256.12</v>
      </c>
      <c r="P1745" s="191">
        <f t="shared" si="220"/>
        <v>0</v>
      </c>
      <c r="Q1745" s="192">
        <f t="shared" si="221"/>
        <v>0</v>
      </c>
      <c r="R1745" s="193"/>
      <c r="S1745" s="194"/>
      <c r="T1745" s="195">
        <f t="shared" si="222"/>
        <v>0</v>
      </c>
      <c r="U1745" s="195">
        <f t="shared" si="223"/>
        <v>0</v>
      </c>
      <c r="V1745" s="195">
        <f t="shared" si="224"/>
        <v>0</v>
      </c>
      <c r="W1745" s="196" t="e">
        <f t="shared" si="225"/>
        <v>#DIV/0!</v>
      </c>
      <c r="X1745" s="197" t="e">
        <f t="shared" si="226"/>
        <v>#DIV/0!</v>
      </c>
    </row>
    <row r="1746" ht="11.4" hidden="1" customHeight="1" spans="1:24">
      <c r="A1746" s="184" t="s">
        <v>3188</v>
      </c>
      <c r="B1746" s="184" t="s">
        <v>117</v>
      </c>
      <c r="C1746" s="184" t="s">
        <v>1101</v>
      </c>
      <c r="D1746" s="185" t="s">
        <v>704</v>
      </c>
      <c r="E1746" s="186" t="s">
        <v>906</v>
      </c>
      <c r="F1746" s="186" t="s">
        <v>907</v>
      </c>
      <c r="G1746" s="186" t="s">
        <v>1102</v>
      </c>
      <c r="H1746" s="186" t="s">
        <v>1425</v>
      </c>
      <c r="I1746" s="187" t="s">
        <v>1467</v>
      </c>
      <c r="J1746" s="187" t="s">
        <v>1468</v>
      </c>
      <c r="K1746" s="188"/>
      <c r="L1746" s="188"/>
      <c r="M1746" s="189" t="s">
        <v>847</v>
      </c>
      <c r="N1746" s="190">
        <v>60.18</v>
      </c>
      <c r="O1746" s="190">
        <f t="shared" si="219"/>
        <v>65.6</v>
      </c>
      <c r="P1746" s="191">
        <f t="shared" si="220"/>
        <v>0</v>
      </c>
      <c r="Q1746" s="192">
        <f t="shared" si="221"/>
        <v>0</v>
      </c>
      <c r="R1746" s="193"/>
      <c r="S1746" s="194"/>
      <c r="T1746" s="195">
        <f t="shared" si="222"/>
        <v>0</v>
      </c>
      <c r="U1746" s="195">
        <f t="shared" si="223"/>
        <v>0</v>
      </c>
      <c r="V1746" s="195">
        <f t="shared" si="224"/>
        <v>0</v>
      </c>
      <c r="W1746" s="196" t="e">
        <f t="shared" si="225"/>
        <v>#DIV/0!</v>
      </c>
      <c r="X1746" s="197" t="e">
        <f t="shared" si="226"/>
        <v>#DIV/0!</v>
      </c>
    </row>
    <row r="1747" ht="11.4" hidden="1" customHeight="1" spans="1:24">
      <c r="A1747" s="184" t="s">
        <v>3188</v>
      </c>
      <c r="B1747" s="184" t="s">
        <v>117</v>
      </c>
      <c r="C1747" s="184" t="s">
        <v>1101</v>
      </c>
      <c r="D1747" s="185" t="s">
        <v>704</v>
      </c>
      <c r="E1747" s="186" t="s">
        <v>906</v>
      </c>
      <c r="F1747" s="186" t="s">
        <v>907</v>
      </c>
      <c r="G1747" s="186" t="s">
        <v>1102</v>
      </c>
      <c r="H1747" s="186" t="s">
        <v>1425</v>
      </c>
      <c r="I1747" s="187" t="s">
        <v>1469</v>
      </c>
      <c r="J1747" s="187" t="s">
        <v>1470</v>
      </c>
      <c r="K1747" s="188"/>
      <c r="L1747" s="188"/>
      <c r="M1747" s="189" t="s">
        <v>847</v>
      </c>
      <c r="N1747" s="190">
        <v>38</v>
      </c>
      <c r="O1747" s="190">
        <f t="shared" si="219"/>
        <v>41.42</v>
      </c>
      <c r="P1747" s="191">
        <f t="shared" si="220"/>
        <v>0</v>
      </c>
      <c r="Q1747" s="192">
        <f t="shared" si="221"/>
        <v>0</v>
      </c>
      <c r="R1747" s="193"/>
      <c r="S1747" s="194"/>
      <c r="T1747" s="195">
        <f t="shared" si="222"/>
        <v>0</v>
      </c>
      <c r="U1747" s="195">
        <f t="shared" si="223"/>
        <v>0</v>
      </c>
      <c r="V1747" s="195">
        <f t="shared" si="224"/>
        <v>0</v>
      </c>
      <c r="W1747" s="196" t="e">
        <f t="shared" si="225"/>
        <v>#DIV/0!</v>
      </c>
      <c r="X1747" s="197" t="e">
        <f t="shared" si="226"/>
        <v>#DIV/0!</v>
      </c>
    </row>
    <row r="1748" ht="11.4" hidden="1" customHeight="1" spans="1:24">
      <c r="A1748" s="184" t="s">
        <v>3188</v>
      </c>
      <c r="B1748" s="184" t="s">
        <v>117</v>
      </c>
      <c r="C1748" s="184" t="s">
        <v>1101</v>
      </c>
      <c r="D1748" s="185" t="s">
        <v>704</v>
      </c>
      <c r="E1748" s="186" t="s">
        <v>906</v>
      </c>
      <c r="F1748" s="186" t="s">
        <v>907</v>
      </c>
      <c r="G1748" s="186" t="s">
        <v>1102</v>
      </c>
      <c r="H1748" s="186" t="s">
        <v>1425</v>
      </c>
      <c r="I1748" s="187" t="s">
        <v>1471</v>
      </c>
      <c r="J1748" s="187" t="s">
        <v>1472</v>
      </c>
      <c r="K1748" s="188"/>
      <c r="L1748" s="188"/>
      <c r="M1748" s="189" t="s">
        <v>847</v>
      </c>
      <c r="N1748" s="190">
        <v>38</v>
      </c>
      <c r="O1748" s="190">
        <f t="shared" si="219"/>
        <v>41.42</v>
      </c>
      <c r="P1748" s="191">
        <f t="shared" si="220"/>
        <v>0</v>
      </c>
      <c r="Q1748" s="192">
        <f t="shared" si="221"/>
        <v>0</v>
      </c>
      <c r="R1748" s="193"/>
      <c r="S1748" s="194"/>
      <c r="T1748" s="195">
        <f t="shared" si="222"/>
        <v>0</v>
      </c>
      <c r="U1748" s="195">
        <f t="shared" si="223"/>
        <v>0</v>
      </c>
      <c r="V1748" s="195">
        <f t="shared" si="224"/>
        <v>0</v>
      </c>
      <c r="W1748" s="196" t="e">
        <f t="shared" si="225"/>
        <v>#DIV/0!</v>
      </c>
      <c r="X1748" s="197" t="e">
        <f t="shared" si="226"/>
        <v>#DIV/0!</v>
      </c>
    </row>
    <row r="1749" ht="11.4" hidden="1" customHeight="1" spans="1:24">
      <c r="A1749" s="184" t="s">
        <v>3188</v>
      </c>
      <c r="B1749" s="184" t="s">
        <v>117</v>
      </c>
      <c r="C1749" s="184" t="s">
        <v>1101</v>
      </c>
      <c r="D1749" s="185" t="s">
        <v>704</v>
      </c>
      <c r="E1749" s="186" t="s">
        <v>906</v>
      </c>
      <c r="F1749" s="186" t="s">
        <v>907</v>
      </c>
      <c r="G1749" s="186" t="s">
        <v>1102</v>
      </c>
      <c r="H1749" s="186" t="s">
        <v>1425</v>
      </c>
      <c r="I1749" s="187" t="s">
        <v>1473</v>
      </c>
      <c r="J1749" s="187" t="s">
        <v>1474</v>
      </c>
      <c r="K1749" s="188"/>
      <c r="L1749" s="188"/>
      <c r="M1749" s="189" t="s">
        <v>847</v>
      </c>
      <c r="N1749" s="190">
        <v>167.98</v>
      </c>
      <c r="O1749" s="190">
        <f t="shared" si="219"/>
        <v>183.1</v>
      </c>
      <c r="P1749" s="191">
        <f t="shared" si="220"/>
        <v>0</v>
      </c>
      <c r="Q1749" s="192">
        <f t="shared" si="221"/>
        <v>0</v>
      </c>
      <c r="R1749" s="193"/>
      <c r="S1749" s="194"/>
      <c r="T1749" s="195">
        <f t="shared" si="222"/>
        <v>0</v>
      </c>
      <c r="U1749" s="195">
        <f t="shared" si="223"/>
        <v>0</v>
      </c>
      <c r="V1749" s="195">
        <f t="shared" si="224"/>
        <v>0</v>
      </c>
      <c r="W1749" s="196" t="e">
        <f t="shared" si="225"/>
        <v>#DIV/0!</v>
      </c>
      <c r="X1749" s="197" t="e">
        <f t="shared" si="226"/>
        <v>#DIV/0!</v>
      </c>
    </row>
    <row r="1750" ht="11.4" hidden="1" customHeight="1" spans="1:24">
      <c r="A1750" s="184" t="s">
        <v>3188</v>
      </c>
      <c r="B1750" s="184" t="s">
        <v>117</v>
      </c>
      <c r="C1750" s="184" t="s">
        <v>1101</v>
      </c>
      <c r="D1750" s="185" t="s">
        <v>704</v>
      </c>
      <c r="E1750" s="186" t="s">
        <v>906</v>
      </c>
      <c r="F1750" s="186" t="s">
        <v>907</v>
      </c>
      <c r="G1750" s="186" t="s">
        <v>1102</v>
      </c>
      <c r="H1750" s="186" t="s">
        <v>1425</v>
      </c>
      <c r="I1750" s="187" t="s">
        <v>1475</v>
      </c>
      <c r="J1750" s="187" t="s">
        <v>1476</v>
      </c>
      <c r="K1750" s="188"/>
      <c r="L1750" s="188"/>
      <c r="M1750" s="189" t="s">
        <v>847</v>
      </c>
      <c r="N1750" s="190">
        <v>147.41</v>
      </c>
      <c r="O1750" s="190">
        <f t="shared" si="219"/>
        <v>160.68</v>
      </c>
      <c r="P1750" s="191">
        <f t="shared" si="220"/>
        <v>0</v>
      </c>
      <c r="Q1750" s="192">
        <f t="shared" si="221"/>
        <v>0</v>
      </c>
      <c r="R1750" s="193"/>
      <c r="S1750" s="194"/>
      <c r="T1750" s="195">
        <f t="shared" si="222"/>
        <v>0</v>
      </c>
      <c r="U1750" s="195">
        <f t="shared" si="223"/>
        <v>0</v>
      </c>
      <c r="V1750" s="195">
        <f t="shared" si="224"/>
        <v>0</v>
      </c>
      <c r="W1750" s="196" t="e">
        <f t="shared" si="225"/>
        <v>#DIV/0!</v>
      </c>
      <c r="X1750" s="197" t="e">
        <f t="shared" si="226"/>
        <v>#DIV/0!</v>
      </c>
    </row>
    <row r="1751" ht="11.4" hidden="1" customHeight="1" spans="1:24">
      <c r="A1751" s="184" t="s">
        <v>3188</v>
      </c>
      <c r="B1751" s="184" t="s">
        <v>117</v>
      </c>
      <c r="C1751" s="184" t="s">
        <v>1101</v>
      </c>
      <c r="D1751" s="185" t="s">
        <v>704</v>
      </c>
      <c r="E1751" s="186" t="s">
        <v>906</v>
      </c>
      <c r="F1751" s="186" t="s">
        <v>907</v>
      </c>
      <c r="G1751" s="186" t="s">
        <v>1102</v>
      </c>
      <c r="H1751" s="186" t="s">
        <v>1425</v>
      </c>
      <c r="I1751" s="187" t="s">
        <v>1477</v>
      </c>
      <c r="J1751" s="187" t="s">
        <v>1478</v>
      </c>
      <c r="K1751" s="188"/>
      <c r="L1751" s="188"/>
      <c r="M1751" s="189" t="s">
        <v>847</v>
      </c>
      <c r="N1751" s="190">
        <v>169.19</v>
      </c>
      <c r="O1751" s="190">
        <f t="shared" si="219"/>
        <v>184.42</v>
      </c>
      <c r="P1751" s="191">
        <f t="shared" si="220"/>
        <v>0</v>
      </c>
      <c r="Q1751" s="192">
        <f t="shared" si="221"/>
        <v>0</v>
      </c>
      <c r="R1751" s="193"/>
      <c r="S1751" s="194"/>
      <c r="T1751" s="195">
        <f t="shared" si="222"/>
        <v>0</v>
      </c>
      <c r="U1751" s="195">
        <f t="shared" si="223"/>
        <v>0</v>
      </c>
      <c r="V1751" s="195">
        <f t="shared" si="224"/>
        <v>0</v>
      </c>
      <c r="W1751" s="196" t="e">
        <f t="shared" si="225"/>
        <v>#DIV/0!</v>
      </c>
      <c r="X1751" s="197" t="e">
        <f t="shared" si="226"/>
        <v>#DIV/0!</v>
      </c>
    </row>
    <row r="1752" ht="11.4" hidden="1" customHeight="1" spans="1:24">
      <c r="A1752" s="184" t="s">
        <v>3188</v>
      </c>
      <c r="B1752" s="184" t="s">
        <v>117</v>
      </c>
      <c r="C1752" s="184" t="s">
        <v>1101</v>
      </c>
      <c r="D1752" s="185" t="s">
        <v>704</v>
      </c>
      <c r="E1752" s="186" t="s">
        <v>906</v>
      </c>
      <c r="F1752" s="186" t="s">
        <v>907</v>
      </c>
      <c r="G1752" s="186" t="s">
        <v>1102</v>
      </c>
      <c r="H1752" s="186" t="s">
        <v>1425</v>
      </c>
      <c r="I1752" s="187" t="s">
        <v>1326</v>
      </c>
      <c r="J1752" s="187" t="s">
        <v>1327</v>
      </c>
      <c r="K1752" s="188"/>
      <c r="L1752" s="188"/>
      <c r="M1752" s="189" t="s">
        <v>847</v>
      </c>
      <c r="N1752" s="190">
        <v>206.06</v>
      </c>
      <c r="O1752" s="190">
        <f t="shared" si="219"/>
        <v>224.61</v>
      </c>
      <c r="P1752" s="191">
        <f t="shared" si="220"/>
        <v>0</v>
      </c>
      <c r="Q1752" s="192">
        <f t="shared" si="221"/>
        <v>0</v>
      </c>
      <c r="R1752" s="193"/>
      <c r="S1752" s="194"/>
      <c r="T1752" s="195">
        <f t="shared" si="222"/>
        <v>0</v>
      </c>
      <c r="U1752" s="195">
        <f t="shared" si="223"/>
        <v>0</v>
      </c>
      <c r="V1752" s="195">
        <f t="shared" si="224"/>
        <v>0</v>
      </c>
      <c r="W1752" s="196" t="e">
        <f t="shared" si="225"/>
        <v>#DIV/0!</v>
      </c>
      <c r="X1752" s="197" t="e">
        <f t="shared" si="226"/>
        <v>#DIV/0!</v>
      </c>
    </row>
    <row r="1753" ht="11.4" hidden="1" customHeight="1" spans="1:24">
      <c r="A1753" s="184" t="s">
        <v>3188</v>
      </c>
      <c r="B1753" s="184" t="s">
        <v>117</v>
      </c>
      <c r="C1753" s="184" t="s">
        <v>1101</v>
      </c>
      <c r="D1753" s="185" t="s">
        <v>704</v>
      </c>
      <c r="E1753" s="186" t="s">
        <v>906</v>
      </c>
      <c r="F1753" s="186" t="s">
        <v>907</v>
      </c>
      <c r="G1753" s="186" t="s">
        <v>1102</v>
      </c>
      <c r="H1753" s="186" t="s">
        <v>1425</v>
      </c>
      <c r="I1753" s="187" t="s">
        <v>1328</v>
      </c>
      <c r="J1753" s="187" t="s">
        <v>1329</v>
      </c>
      <c r="K1753" s="188"/>
      <c r="L1753" s="188"/>
      <c r="M1753" s="189" t="s">
        <v>847</v>
      </c>
      <c r="N1753" s="190">
        <v>193.96</v>
      </c>
      <c r="O1753" s="190">
        <f t="shared" si="219"/>
        <v>211.42</v>
      </c>
      <c r="P1753" s="191">
        <f t="shared" si="220"/>
        <v>0</v>
      </c>
      <c r="Q1753" s="192">
        <f t="shared" si="221"/>
        <v>0</v>
      </c>
      <c r="R1753" s="193"/>
      <c r="S1753" s="194"/>
      <c r="T1753" s="195">
        <f t="shared" si="222"/>
        <v>0</v>
      </c>
      <c r="U1753" s="195">
        <f t="shared" si="223"/>
        <v>0</v>
      </c>
      <c r="V1753" s="195">
        <f t="shared" si="224"/>
        <v>0</v>
      </c>
      <c r="W1753" s="196" t="e">
        <f t="shared" si="225"/>
        <v>#DIV/0!</v>
      </c>
      <c r="X1753" s="197" t="e">
        <f t="shared" si="226"/>
        <v>#DIV/0!</v>
      </c>
    </row>
    <row r="1754" ht="11.4" hidden="1" customHeight="1" spans="1:24">
      <c r="A1754" s="184" t="s">
        <v>3188</v>
      </c>
      <c r="B1754" s="184" t="s">
        <v>117</v>
      </c>
      <c r="C1754" s="184" t="s">
        <v>1101</v>
      </c>
      <c r="D1754" s="185" t="s">
        <v>704</v>
      </c>
      <c r="E1754" s="186" t="s">
        <v>906</v>
      </c>
      <c r="F1754" s="186" t="s">
        <v>907</v>
      </c>
      <c r="G1754" s="186" t="s">
        <v>1102</v>
      </c>
      <c r="H1754" s="186" t="s">
        <v>1425</v>
      </c>
      <c r="I1754" s="187" t="s">
        <v>1330</v>
      </c>
      <c r="J1754" s="187" t="s">
        <v>1331</v>
      </c>
      <c r="K1754" s="188"/>
      <c r="L1754" s="188"/>
      <c r="M1754" s="189" t="s">
        <v>847</v>
      </c>
      <c r="N1754" s="190">
        <v>215.74</v>
      </c>
      <c r="O1754" s="190">
        <f t="shared" si="219"/>
        <v>235.16</v>
      </c>
      <c r="P1754" s="191">
        <f t="shared" si="220"/>
        <v>0</v>
      </c>
      <c r="Q1754" s="192">
        <f t="shared" si="221"/>
        <v>0</v>
      </c>
      <c r="R1754" s="193"/>
      <c r="S1754" s="194"/>
      <c r="T1754" s="195">
        <f t="shared" si="222"/>
        <v>0</v>
      </c>
      <c r="U1754" s="195">
        <f t="shared" si="223"/>
        <v>0</v>
      </c>
      <c r="V1754" s="195">
        <f t="shared" si="224"/>
        <v>0</v>
      </c>
      <c r="W1754" s="196" t="e">
        <f t="shared" si="225"/>
        <v>#DIV/0!</v>
      </c>
      <c r="X1754" s="197" t="e">
        <f t="shared" si="226"/>
        <v>#DIV/0!</v>
      </c>
    </row>
    <row r="1755" ht="11.4" hidden="1" customHeight="1" spans="1:24">
      <c r="A1755" s="184" t="s">
        <v>3188</v>
      </c>
      <c r="B1755" s="184" t="s">
        <v>117</v>
      </c>
      <c r="C1755" s="184" t="s">
        <v>1101</v>
      </c>
      <c r="D1755" s="185" t="s">
        <v>704</v>
      </c>
      <c r="E1755" s="186" t="s">
        <v>906</v>
      </c>
      <c r="F1755" s="186" t="s">
        <v>907</v>
      </c>
      <c r="G1755" s="186" t="s">
        <v>1102</v>
      </c>
      <c r="H1755" s="186" t="s">
        <v>1479</v>
      </c>
      <c r="I1755" s="187" t="s">
        <v>1480</v>
      </c>
      <c r="J1755" s="187" t="s">
        <v>1481</v>
      </c>
      <c r="K1755" s="188"/>
      <c r="L1755" s="188"/>
      <c r="M1755" s="189" t="s">
        <v>847</v>
      </c>
      <c r="N1755" s="190">
        <v>209.13</v>
      </c>
      <c r="O1755" s="190">
        <f t="shared" si="219"/>
        <v>227.95</v>
      </c>
      <c r="P1755" s="191">
        <f t="shared" si="220"/>
        <v>0</v>
      </c>
      <c r="Q1755" s="192">
        <f t="shared" si="221"/>
        <v>0</v>
      </c>
      <c r="R1755" s="193"/>
      <c r="S1755" s="194"/>
      <c r="T1755" s="195">
        <f t="shared" si="222"/>
        <v>0</v>
      </c>
      <c r="U1755" s="195">
        <f t="shared" si="223"/>
        <v>0</v>
      </c>
      <c r="V1755" s="195">
        <f t="shared" si="224"/>
        <v>0</v>
      </c>
      <c r="W1755" s="196" t="e">
        <f t="shared" si="225"/>
        <v>#DIV/0!</v>
      </c>
      <c r="X1755" s="197" t="e">
        <f t="shared" si="226"/>
        <v>#DIV/0!</v>
      </c>
    </row>
    <row r="1756" ht="11.4" hidden="1" customHeight="1" spans="1:24">
      <c r="A1756" s="184" t="s">
        <v>3188</v>
      </c>
      <c r="B1756" s="184" t="s">
        <v>117</v>
      </c>
      <c r="C1756" s="184" t="s">
        <v>1101</v>
      </c>
      <c r="D1756" s="185" t="s">
        <v>704</v>
      </c>
      <c r="E1756" s="186" t="s">
        <v>906</v>
      </c>
      <c r="F1756" s="186" t="s">
        <v>907</v>
      </c>
      <c r="G1756" s="186" t="s">
        <v>1102</v>
      </c>
      <c r="H1756" s="186" t="s">
        <v>1479</v>
      </c>
      <c r="I1756" s="187" t="s">
        <v>1482</v>
      </c>
      <c r="J1756" s="187" t="s">
        <v>1483</v>
      </c>
      <c r="K1756" s="188"/>
      <c r="L1756" s="188"/>
      <c r="M1756" s="189" t="s">
        <v>847</v>
      </c>
      <c r="N1756" s="190">
        <v>203.08</v>
      </c>
      <c r="O1756" s="190">
        <f t="shared" si="219"/>
        <v>221.36</v>
      </c>
      <c r="P1756" s="191">
        <f t="shared" si="220"/>
        <v>0</v>
      </c>
      <c r="Q1756" s="192">
        <f t="shared" si="221"/>
        <v>0</v>
      </c>
      <c r="R1756" s="193"/>
      <c r="S1756" s="194"/>
      <c r="T1756" s="195">
        <f t="shared" si="222"/>
        <v>0</v>
      </c>
      <c r="U1756" s="195">
        <f t="shared" si="223"/>
        <v>0</v>
      </c>
      <c r="V1756" s="195">
        <f t="shared" si="224"/>
        <v>0</v>
      </c>
      <c r="W1756" s="196" t="e">
        <f t="shared" si="225"/>
        <v>#DIV/0!</v>
      </c>
      <c r="X1756" s="197" t="e">
        <f t="shared" si="226"/>
        <v>#DIV/0!</v>
      </c>
    </row>
    <row r="1757" ht="11.4" hidden="1" customHeight="1" spans="1:24">
      <c r="A1757" s="184" t="s">
        <v>3188</v>
      </c>
      <c r="B1757" s="184" t="s">
        <v>117</v>
      </c>
      <c r="C1757" s="184" t="s">
        <v>1101</v>
      </c>
      <c r="D1757" s="185" t="s">
        <v>704</v>
      </c>
      <c r="E1757" s="186" t="s">
        <v>906</v>
      </c>
      <c r="F1757" s="186" t="s">
        <v>907</v>
      </c>
      <c r="G1757" s="186" t="s">
        <v>1102</v>
      </c>
      <c r="H1757" s="186" t="s">
        <v>1479</v>
      </c>
      <c r="I1757" s="187" t="s">
        <v>1484</v>
      </c>
      <c r="J1757" s="187" t="s">
        <v>1485</v>
      </c>
      <c r="K1757" s="188"/>
      <c r="L1757" s="188"/>
      <c r="M1757" s="189" t="s">
        <v>847</v>
      </c>
      <c r="N1757" s="190">
        <v>209.13</v>
      </c>
      <c r="O1757" s="190">
        <f t="shared" si="219"/>
        <v>227.95</v>
      </c>
      <c r="P1757" s="191">
        <f t="shared" si="220"/>
        <v>0</v>
      </c>
      <c r="Q1757" s="192">
        <f t="shared" si="221"/>
        <v>0</v>
      </c>
      <c r="R1757" s="193"/>
      <c r="S1757" s="194"/>
      <c r="T1757" s="195">
        <f t="shared" si="222"/>
        <v>0</v>
      </c>
      <c r="U1757" s="195">
        <f t="shared" si="223"/>
        <v>0</v>
      </c>
      <c r="V1757" s="195">
        <f t="shared" si="224"/>
        <v>0</v>
      </c>
      <c r="W1757" s="196" t="e">
        <f t="shared" si="225"/>
        <v>#DIV/0!</v>
      </c>
      <c r="X1757" s="197" t="e">
        <f t="shared" si="226"/>
        <v>#DIV/0!</v>
      </c>
    </row>
    <row r="1758" ht="11.4" hidden="1" customHeight="1" spans="1:24">
      <c r="A1758" s="184" t="s">
        <v>3188</v>
      </c>
      <c r="B1758" s="184" t="s">
        <v>117</v>
      </c>
      <c r="C1758" s="184" t="s">
        <v>1101</v>
      </c>
      <c r="D1758" s="185" t="s">
        <v>704</v>
      </c>
      <c r="E1758" s="186" t="s">
        <v>906</v>
      </c>
      <c r="F1758" s="186" t="s">
        <v>907</v>
      </c>
      <c r="G1758" s="186" t="s">
        <v>1102</v>
      </c>
      <c r="H1758" s="186" t="s">
        <v>1425</v>
      </c>
      <c r="I1758" s="187" t="s">
        <v>1486</v>
      </c>
      <c r="J1758" s="187" t="s">
        <v>1487</v>
      </c>
      <c r="K1758" s="188"/>
      <c r="L1758" s="188"/>
      <c r="M1758" s="189" t="s">
        <v>847</v>
      </c>
      <c r="N1758" s="190">
        <v>660.97</v>
      </c>
      <c r="O1758" s="190">
        <f t="shared" si="219"/>
        <v>720.46</v>
      </c>
      <c r="P1758" s="191">
        <f t="shared" si="220"/>
        <v>0</v>
      </c>
      <c r="Q1758" s="192">
        <f t="shared" si="221"/>
        <v>0</v>
      </c>
      <c r="R1758" s="193"/>
      <c r="S1758" s="194"/>
      <c r="T1758" s="195">
        <f t="shared" si="222"/>
        <v>0</v>
      </c>
      <c r="U1758" s="195">
        <f t="shared" si="223"/>
        <v>0</v>
      </c>
      <c r="V1758" s="195">
        <f t="shared" si="224"/>
        <v>0</v>
      </c>
      <c r="W1758" s="196" t="e">
        <f t="shared" si="225"/>
        <v>#DIV/0!</v>
      </c>
      <c r="X1758" s="197" t="e">
        <f t="shared" si="226"/>
        <v>#DIV/0!</v>
      </c>
    </row>
    <row r="1759" ht="11.4" hidden="1" customHeight="1" spans="1:24">
      <c r="A1759" s="184" t="s">
        <v>3188</v>
      </c>
      <c r="B1759" s="184" t="s">
        <v>117</v>
      </c>
      <c r="C1759" s="184" t="s">
        <v>1101</v>
      </c>
      <c r="D1759" s="185" t="s">
        <v>704</v>
      </c>
      <c r="E1759" s="186" t="s">
        <v>906</v>
      </c>
      <c r="F1759" s="186" t="s">
        <v>907</v>
      </c>
      <c r="G1759" s="186" t="s">
        <v>1102</v>
      </c>
      <c r="H1759" s="186" t="s">
        <v>1425</v>
      </c>
      <c r="I1759" s="187" t="s">
        <v>1488</v>
      </c>
      <c r="J1759" s="187" t="s">
        <v>1489</v>
      </c>
      <c r="K1759" s="188"/>
      <c r="L1759" s="188"/>
      <c r="M1759" s="189" t="s">
        <v>807</v>
      </c>
      <c r="N1759" s="190">
        <v>68.1</v>
      </c>
      <c r="O1759" s="190">
        <f t="shared" si="219"/>
        <v>74.23</v>
      </c>
      <c r="P1759" s="191">
        <f t="shared" si="220"/>
        <v>0</v>
      </c>
      <c r="Q1759" s="192">
        <f t="shared" si="221"/>
        <v>0</v>
      </c>
      <c r="R1759" s="193"/>
      <c r="S1759" s="194"/>
      <c r="T1759" s="195">
        <f t="shared" si="222"/>
        <v>0</v>
      </c>
      <c r="U1759" s="195">
        <f t="shared" si="223"/>
        <v>0</v>
      </c>
      <c r="V1759" s="195">
        <f t="shared" si="224"/>
        <v>0</v>
      </c>
      <c r="W1759" s="196" t="e">
        <f t="shared" si="225"/>
        <v>#DIV/0!</v>
      </c>
      <c r="X1759" s="197" t="e">
        <f t="shared" si="226"/>
        <v>#DIV/0!</v>
      </c>
    </row>
    <row r="1760" ht="11.4" hidden="1" customHeight="1" spans="1:24">
      <c r="A1760" s="184" t="s">
        <v>3188</v>
      </c>
      <c r="B1760" s="184" t="s">
        <v>117</v>
      </c>
      <c r="C1760" s="184" t="s">
        <v>1101</v>
      </c>
      <c r="D1760" s="185" t="s">
        <v>704</v>
      </c>
      <c r="E1760" s="186" t="s">
        <v>906</v>
      </c>
      <c r="F1760" s="186" t="s">
        <v>907</v>
      </c>
      <c r="G1760" s="186" t="s">
        <v>1102</v>
      </c>
      <c r="H1760" s="186" t="s">
        <v>1425</v>
      </c>
      <c r="I1760" s="187" t="s">
        <v>1490</v>
      </c>
      <c r="J1760" s="187" t="s">
        <v>1491</v>
      </c>
      <c r="K1760" s="188"/>
      <c r="L1760" s="188"/>
      <c r="M1760" s="189" t="s">
        <v>847</v>
      </c>
      <c r="N1760" s="190">
        <v>135.83</v>
      </c>
      <c r="O1760" s="190">
        <f t="shared" si="219"/>
        <v>148.05</v>
      </c>
      <c r="P1760" s="191">
        <f t="shared" si="220"/>
        <v>0</v>
      </c>
      <c r="Q1760" s="192">
        <f t="shared" si="221"/>
        <v>0</v>
      </c>
      <c r="R1760" s="193"/>
      <c r="S1760" s="194"/>
      <c r="T1760" s="195">
        <f t="shared" si="222"/>
        <v>0</v>
      </c>
      <c r="U1760" s="195">
        <f t="shared" si="223"/>
        <v>0</v>
      </c>
      <c r="V1760" s="195">
        <f t="shared" si="224"/>
        <v>0</v>
      </c>
      <c r="W1760" s="196" t="e">
        <f t="shared" si="225"/>
        <v>#DIV/0!</v>
      </c>
      <c r="X1760" s="197" t="e">
        <f t="shared" si="226"/>
        <v>#DIV/0!</v>
      </c>
    </row>
    <row r="1761" ht="11.4" hidden="1" customHeight="1" spans="1:24">
      <c r="A1761" s="184" t="s">
        <v>3188</v>
      </c>
      <c r="B1761" s="184" t="s">
        <v>117</v>
      </c>
      <c r="C1761" s="184" t="s">
        <v>1101</v>
      </c>
      <c r="D1761" s="185" t="s">
        <v>704</v>
      </c>
      <c r="E1761" s="186" t="s">
        <v>906</v>
      </c>
      <c r="F1761" s="186" t="s">
        <v>907</v>
      </c>
      <c r="G1761" s="186" t="s">
        <v>1102</v>
      </c>
      <c r="H1761" s="186" t="s">
        <v>1425</v>
      </c>
      <c r="I1761" s="187" t="s">
        <v>1106</v>
      </c>
      <c r="J1761" s="187" t="s">
        <v>1107</v>
      </c>
      <c r="K1761" s="188"/>
      <c r="L1761" s="188"/>
      <c r="M1761" s="189" t="s">
        <v>807</v>
      </c>
      <c r="N1761" s="190">
        <v>41.36</v>
      </c>
      <c r="O1761" s="190">
        <f t="shared" si="219"/>
        <v>45.08</v>
      </c>
      <c r="P1761" s="191">
        <f t="shared" si="220"/>
        <v>0</v>
      </c>
      <c r="Q1761" s="192">
        <f t="shared" si="221"/>
        <v>0</v>
      </c>
      <c r="R1761" s="193"/>
      <c r="S1761" s="194"/>
      <c r="T1761" s="195">
        <f t="shared" si="222"/>
        <v>0</v>
      </c>
      <c r="U1761" s="195">
        <f t="shared" si="223"/>
        <v>0</v>
      </c>
      <c r="V1761" s="195">
        <f t="shared" si="224"/>
        <v>0</v>
      </c>
      <c r="W1761" s="196" t="e">
        <f t="shared" si="225"/>
        <v>#DIV/0!</v>
      </c>
      <c r="X1761" s="197" t="e">
        <f t="shared" si="226"/>
        <v>#DIV/0!</v>
      </c>
    </row>
    <row r="1762" ht="11.4" hidden="1" customHeight="1" spans="1:24">
      <c r="A1762" s="184" t="s">
        <v>3188</v>
      </c>
      <c r="B1762" s="184" t="s">
        <v>117</v>
      </c>
      <c r="C1762" s="184" t="s">
        <v>1101</v>
      </c>
      <c r="D1762" s="185" t="s">
        <v>704</v>
      </c>
      <c r="E1762" s="186" t="s">
        <v>906</v>
      </c>
      <c r="F1762" s="186" t="s">
        <v>907</v>
      </c>
      <c r="G1762" s="186" t="s">
        <v>1102</v>
      </c>
      <c r="H1762" s="186" t="s">
        <v>1425</v>
      </c>
      <c r="I1762" s="187" t="s">
        <v>1111</v>
      </c>
      <c r="J1762" s="187" t="s">
        <v>1112</v>
      </c>
      <c r="K1762" s="188"/>
      <c r="L1762" s="188"/>
      <c r="M1762" s="189" t="s">
        <v>807</v>
      </c>
      <c r="N1762" s="190">
        <v>38.94</v>
      </c>
      <c r="O1762" s="190">
        <f t="shared" si="219"/>
        <v>42.44</v>
      </c>
      <c r="P1762" s="191">
        <f t="shared" si="220"/>
        <v>0</v>
      </c>
      <c r="Q1762" s="192">
        <f t="shared" si="221"/>
        <v>0</v>
      </c>
      <c r="R1762" s="193"/>
      <c r="S1762" s="194"/>
      <c r="T1762" s="195">
        <f t="shared" si="222"/>
        <v>0</v>
      </c>
      <c r="U1762" s="195">
        <f t="shared" si="223"/>
        <v>0</v>
      </c>
      <c r="V1762" s="195">
        <f t="shared" si="224"/>
        <v>0</v>
      </c>
      <c r="W1762" s="196" t="e">
        <f t="shared" si="225"/>
        <v>#DIV/0!</v>
      </c>
      <c r="X1762" s="197" t="e">
        <f t="shared" si="226"/>
        <v>#DIV/0!</v>
      </c>
    </row>
    <row r="1763" ht="11.4" hidden="1" customHeight="1" spans="1:24">
      <c r="A1763" s="184" t="s">
        <v>3188</v>
      </c>
      <c r="B1763" s="184" t="s">
        <v>117</v>
      </c>
      <c r="C1763" s="184" t="s">
        <v>1101</v>
      </c>
      <c r="D1763" s="185" t="s">
        <v>704</v>
      </c>
      <c r="E1763" s="186" t="s">
        <v>906</v>
      </c>
      <c r="F1763" s="186" t="s">
        <v>907</v>
      </c>
      <c r="G1763" s="186" t="s">
        <v>1102</v>
      </c>
      <c r="H1763" s="186" t="s">
        <v>1425</v>
      </c>
      <c r="I1763" s="187" t="s">
        <v>1115</v>
      </c>
      <c r="J1763" s="187" t="s">
        <v>1116</v>
      </c>
      <c r="K1763" s="188"/>
      <c r="L1763" s="188"/>
      <c r="M1763" s="189" t="s">
        <v>807</v>
      </c>
      <c r="N1763" s="190">
        <v>42.57</v>
      </c>
      <c r="O1763" s="190">
        <f t="shared" si="219"/>
        <v>46.4</v>
      </c>
      <c r="P1763" s="191">
        <f t="shared" si="220"/>
        <v>0</v>
      </c>
      <c r="Q1763" s="192">
        <f t="shared" si="221"/>
        <v>0</v>
      </c>
      <c r="R1763" s="193"/>
      <c r="S1763" s="194"/>
      <c r="T1763" s="195">
        <f t="shared" si="222"/>
        <v>0</v>
      </c>
      <c r="U1763" s="195">
        <f t="shared" si="223"/>
        <v>0</v>
      </c>
      <c r="V1763" s="195">
        <f t="shared" si="224"/>
        <v>0</v>
      </c>
      <c r="W1763" s="196" t="e">
        <f t="shared" si="225"/>
        <v>#DIV/0!</v>
      </c>
      <c r="X1763" s="197" t="e">
        <f t="shared" si="226"/>
        <v>#DIV/0!</v>
      </c>
    </row>
    <row r="1764" ht="11.4" hidden="1" customHeight="1" spans="1:24">
      <c r="A1764" s="184" t="s">
        <v>3188</v>
      </c>
      <c r="B1764" s="184" t="s">
        <v>117</v>
      </c>
      <c r="C1764" s="184" t="s">
        <v>1101</v>
      </c>
      <c r="D1764" s="185" t="s">
        <v>704</v>
      </c>
      <c r="E1764" s="186" t="s">
        <v>906</v>
      </c>
      <c r="F1764" s="186" t="s">
        <v>907</v>
      </c>
      <c r="G1764" s="186" t="s">
        <v>1102</v>
      </c>
      <c r="H1764" s="186" t="s">
        <v>1425</v>
      </c>
      <c r="I1764" s="187" t="s">
        <v>1493</v>
      </c>
      <c r="J1764" s="187" t="s">
        <v>1494</v>
      </c>
      <c r="K1764" s="188"/>
      <c r="L1764" s="188"/>
      <c r="M1764" s="189" t="s">
        <v>807</v>
      </c>
      <c r="N1764" s="190">
        <v>55.41</v>
      </c>
      <c r="O1764" s="190">
        <f t="shared" si="219"/>
        <v>60.4</v>
      </c>
      <c r="P1764" s="191">
        <f t="shared" si="220"/>
        <v>0</v>
      </c>
      <c r="Q1764" s="192">
        <f t="shared" si="221"/>
        <v>0</v>
      </c>
      <c r="R1764" s="193"/>
      <c r="S1764" s="194"/>
      <c r="T1764" s="195">
        <f t="shared" si="222"/>
        <v>0</v>
      </c>
      <c r="U1764" s="195">
        <f t="shared" si="223"/>
        <v>0</v>
      </c>
      <c r="V1764" s="195">
        <f t="shared" si="224"/>
        <v>0</v>
      </c>
      <c r="W1764" s="196" t="e">
        <f t="shared" si="225"/>
        <v>#DIV/0!</v>
      </c>
      <c r="X1764" s="197" t="e">
        <f t="shared" si="226"/>
        <v>#DIV/0!</v>
      </c>
    </row>
    <row r="1765" ht="11.4" hidden="1" customHeight="1" spans="1:24">
      <c r="A1765" s="184" t="s">
        <v>3188</v>
      </c>
      <c r="B1765" s="184" t="s">
        <v>117</v>
      </c>
      <c r="C1765" s="184" t="s">
        <v>1101</v>
      </c>
      <c r="D1765" s="185" t="s">
        <v>704</v>
      </c>
      <c r="E1765" s="186" t="s">
        <v>906</v>
      </c>
      <c r="F1765" s="186" t="s">
        <v>907</v>
      </c>
      <c r="G1765" s="186" t="s">
        <v>1102</v>
      </c>
      <c r="H1765" s="186" t="s">
        <v>1425</v>
      </c>
      <c r="I1765" s="187" t="s">
        <v>1147</v>
      </c>
      <c r="J1765" s="187" t="s">
        <v>1148</v>
      </c>
      <c r="K1765" s="188"/>
      <c r="L1765" s="188"/>
      <c r="M1765" s="189" t="s">
        <v>807</v>
      </c>
      <c r="N1765" s="190">
        <v>37.84</v>
      </c>
      <c r="O1765" s="190">
        <f t="shared" si="219"/>
        <v>41.25</v>
      </c>
      <c r="P1765" s="191">
        <f t="shared" si="220"/>
        <v>0</v>
      </c>
      <c r="Q1765" s="192">
        <f t="shared" si="221"/>
        <v>0</v>
      </c>
      <c r="R1765" s="193"/>
      <c r="S1765" s="194"/>
      <c r="T1765" s="195">
        <f t="shared" si="222"/>
        <v>0</v>
      </c>
      <c r="U1765" s="195">
        <f t="shared" si="223"/>
        <v>0</v>
      </c>
      <c r="V1765" s="195">
        <f t="shared" si="224"/>
        <v>0</v>
      </c>
      <c r="W1765" s="196" t="e">
        <f t="shared" si="225"/>
        <v>#DIV/0!</v>
      </c>
      <c r="X1765" s="197" t="e">
        <f t="shared" si="226"/>
        <v>#DIV/0!</v>
      </c>
    </row>
    <row r="1766" ht="11.4" hidden="1" customHeight="1" spans="1:24">
      <c r="A1766" s="184" t="s">
        <v>3188</v>
      </c>
      <c r="B1766" s="184" t="s">
        <v>117</v>
      </c>
      <c r="C1766" s="184" t="s">
        <v>1101</v>
      </c>
      <c r="D1766" s="185" t="s">
        <v>704</v>
      </c>
      <c r="E1766" s="186" t="s">
        <v>906</v>
      </c>
      <c r="F1766" s="186" t="s">
        <v>907</v>
      </c>
      <c r="G1766" s="186" t="s">
        <v>1102</v>
      </c>
      <c r="H1766" s="186" t="s">
        <v>1425</v>
      </c>
      <c r="I1766" s="187" t="s">
        <v>1495</v>
      </c>
      <c r="J1766" s="187" t="s">
        <v>1496</v>
      </c>
      <c r="K1766" s="188"/>
      <c r="L1766" s="188"/>
      <c r="M1766" s="189" t="s">
        <v>807</v>
      </c>
      <c r="N1766" s="190">
        <v>114.14</v>
      </c>
      <c r="O1766" s="190">
        <f t="shared" si="219"/>
        <v>124.41</v>
      </c>
      <c r="P1766" s="191">
        <f t="shared" si="220"/>
        <v>0</v>
      </c>
      <c r="Q1766" s="192">
        <f t="shared" si="221"/>
        <v>0</v>
      </c>
      <c r="R1766" s="193"/>
      <c r="S1766" s="194"/>
      <c r="T1766" s="195">
        <f t="shared" si="222"/>
        <v>0</v>
      </c>
      <c r="U1766" s="195">
        <f t="shared" si="223"/>
        <v>0</v>
      </c>
      <c r="V1766" s="195">
        <f t="shared" si="224"/>
        <v>0</v>
      </c>
      <c r="W1766" s="196" t="e">
        <f t="shared" si="225"/>
        <v>#DIV/0!</v>
      </c>
      <c r="X1766" s="197" t="e">
        <f t="shared" si="226"/>
        <v>#DIV/0!</v>
      </c>
    </row>
    <row r="1767" ht="11.4" hidden="1" customHeight="1" spans="1:24">
      <c r="A1767" s="184" t="s">
        <v>3190</v>
      </c>
      <c r="B1767" s="184" t="s">
        <v>417</v>
      </c>
      <c r="C1767" s="184" t="s">
        <v>416</v>
      </c>
      <c r="D1767" s="185" t="s">
        <v>704</v>
      </c>
      <c r="E1767" s="186" t="s">
        <v>906</v>
      </c>
      <c r="F1767" s="186" t="s">
        <v>907</v>
      </c>
      <c r="G1767" s="186" t="s">
        <v>1102</v>
      </c>
      <c r="H1767" s="186" t="s">
        <v>1425</v>
      </c>
      <c r="I1767" s="187" t="s">
        <v>1498</v>
      </c>
      <c r="J1767" s="187" t="s">
        <v>1499</v>
      </c>
      <c r="K1767" s="188"/>
      <c r="L1767" s="188"/>
      <c r="M1767" s="189" t="s">
        <v>1500</v>
      </c>
      <c r="N1767" s="190">
        <v>4665.2</v>
      </c>
      <c r="O1767" s="190">
        <f t="shared" si="219"/>
        <v>5085.07</v>
      </c>
      <c r="P1767" s="191">
        <f t="shared" si="220"/>
        <v>0</v>
      </c>
      <c r="Q1767" s="192">
        <f t="shared" si="221"/>
        <v>0</v>
      </c>
      <c r="R1767" s="193"/>
      <c r="S1767" s="194"/>
      <c r="T1767" s="195">
        <f t="shared" si="222"/>
        <v>0</v>
      </c>
      <c r="U1767" s="195">
        <f t="shared" si="223"/>
        <v>0</v>
      </c>
      <c r="V1767" s="195">
        <f t="shared" si="224"/>
        <v>0</v>
      </c>
      <c r="W1767" s="196" t="e">
        <f t="shared" si="225"/>
        <v>#DIV/0!</v>
      </c>
      <c r="X1767" s="197" t="e">
        <f t="shared" si="226"/>
        <v>#DIV/0!</v>
      </c>
    </row>
    <row r="1768" ht="11.4" hidden="1" customHeight="1" spans="1:24">
      <c r="A1768" s="184" t="s">
        <v>3190</v>
      </c>
      <c r="B1768" s="184" t="s">
        <v>417</v>
      </c>
      <c r="C1768" s="184" t="s">
        <v>416</v>
      </c>
      <c r="D1768" s="185" t="s">
        <v>704</v>
      </c>
      <c r="E1768" s="186" t="s">
        <v>906</v>
      </c>
      <c r="F1768" s="186" t="s">
        <v>907</v>
      </c>
      <c r="G1768" s="186" t="s">
        <v>1102</v>
      </c>
      <c r="H1768" s="186" t="s">
        <v>1425</v>
      </c>
      <c r="I1768" s="187" t="s">
        <v>1501</v>
      </c>
      <c r="J1768" s="187" t="s">
        <v>1502</v>
      </c>
      <c r="K1768" s="188"/>
      <c r="L1768" s="188"/>
      <c r="M1768" s="189" t="s">
        <v>1500</v>
      </c>
      <c r="N1768" s="190">
        <v>2712.45</v>
      </c>
      <c r="O1768" s="190">
        <f t="shared" si="219"/>
        <v>2956.57</v>
      </c>
      <c r="P1768" s="191">
        <f t="shared" si="220"/>
        <v>0</v>
      </c>
      <c r="Q1768" s="192">
        <f t="shared" si="221"/>
        <v>0</v>
      </c>
      <c r="R1768" s="193"/>
      <c r="S1768" s="194"/>
      <c r="T1768" s="195">
        <f t="shared" si="222"/>
        <v>0</v>
      </c>
      <c r="U1768" s="195">
        <f t="shared" si="223"/>
        <v>0</v>
      </c>
      <c r="V1768" s="195">
        <f t="shared" si="224"/>
        <v>0</v>
      </c>
      <c r="W1768" s="196" t="e">
        <f t="shared" si="225"/>
        <v>#DIV/0!</v>
      </c>
      <c r="X1768" s="197" t="e">
        <f t="shared" si="226"/>
        <v>#DIV/0!</v>
      </c>
    </row>
    <row r="1769" ht="11.4" hidden="1" customHeight="1" spans="1:24">
      <c r="A1769" s="184" t="s">
        <v>3190</v>
      </c>
      <c r="B1769" s="184" t="s">
        <v>417</v>
      </c>
      <c r="C1769" s="184" t="s">
        <v>416</v>
      </c>
      <c r="D1769" s="185" t="s">
        <v>704</v>
      </c>
      <c r="E1769" s="186" t="s">
        <v>906</v>
      </c>
      <c r="F1769" s="186" t="s">
        <v>907</v>
      </c>
      <c r="G1769" s="186" t="s">
        <v>1102</v>
      </c>
      <c r="H1769" s="186" t="s">
        <v>1425</v>
      </c>
      <c r="I1769" s="187" t="s">
        <v>1503</v>
      </c>
      <c r="J1769" s="187" t="s">
        <v>1504</v>
      </c>
      <c r="K1769" s="188"/>
      <c r="L1769" s="188"/>
      <c r="M1769" s="189" t="s">
        <v>1500</v>
      </c>
      <c r="N1769" s="190">
        <v>4703.72</v>
      </c>
      <c r="O1769" s="190">
        <f t="shared" si="219"/>
        <v>5127.05</v>
      </c>
      <c r="P1769" s="191">
        <f t="shared" si="220"/>
        <v>0</v>
      </c>
      <c r="Q1769" s="192">
        <f t="shared" si="221"/>
        <v>0</v>
      </c>
      <c r="R1769" s="193"/>
      <c r="S1769" s="194"/>
      <c r="T1769" s="195">
        <f t="shared" si="222"/>
        <v>0</v>
      </c>
      <c r="U1769" s="195">
        <f t="shared" si="223"/>
        <v>0</v>
      </c>
      <c r="V1769" s="195">
        <f t="shared" si="224"/>
        <v>0</v>
      </c>
      <c r="W1769" s="196" t="e">
        <f t="shared" si="225"/>
        <v>#DIV/0!</v>
      </c>
      <c r="X1769" s="197" t="e">
        <f t="shared" si="226"/>
        <v>#DIV/0!</v>
      </c>
    </row>
    <row r="1770" ht="11.4" hidden="1" customHeight="1" spans="1:24">
      <c r="A1770" s="184" t="s">
        <v>3190</v>
      </c>
      <c r="B1770" s="184" t="s">
        <v>417</v>
      </c>
      <c r="C1770" s="184" t="s">
        <v>416</v>
      </c>
      <c r="D1770" s="185" t="s">
        <v>704</v>
      </c>
      <c r="E1770" s="186" t="s">
        <v>906</v>
      </c>
      <c r="F1770" s="186" t="s">
        <v>907</v>
      </c>
      <c r="G1770" s="186" t="s">
        <v>1102</v>
      </c>
      <c r="H1770" s="186" t="s">
        <v>1425</v>
      </c>
      <c r="I1770" s="187" t="s">
        <v>1505</v>
      </c>
      <c r="J1770" s="187" t="s">
        <v>1506</v>
      </c>
      <c r="K1770" s="188"/>
      <c r="L1770" s="188"/>
      <c r="M1770" s="189" t="s">
        <v>1500</v>
      </c>
      <c r="N1770" s="190">
        <v>2811.96</v>
      </c>
      <c r="O1770" s="190">
        <f t="shared" si="219"/>
        <v>3065.04</v>
      </c>
      <c r="P1770" s="191">
        <f t="shared" si="220"/>
        <v>0</v>
      </c>
      <c r="Q1770" s="192">
        <f t="shared" si="221"/>
        <v>0</v>
      </c>
      <c r="R1770" s="193"/>
      <c r="S1770" s="194"/>
      <c r="T1770" s="195">
        <f t="shared" si="222"/>
        <v>0</v>
      </c>
      <c r="U1770" s="195">
        <f t="shared" si="223"/>
        <v>0</v>
      </c>
      <c r="V1770" s="195">
        <f t="shared" si="224"/>
        <v>0</v>
      </c>
      <c r="W1770" s="196" t="e">
        <f t="shared" si="225"/>
        <v>#DIV/0!</v>
      </c>
      <c r="X1770" s="197" t="e">
        <f t="shared" si="226"/>
        <v>#DIV/0!</v>
      </c>
    </row>
    <row r="1771" ht="11.4" hidden="1" customHeight="1" spans="1:24">
      <c r="A1771" s="184" t="s">
        <v>3190</v>
      </c>
      <c r="B1771" s="184" t="s">
        <v>417</v>
      </c>
      <c r="C1771" s="184" t="s">
        <v>416</v>
      </c>
      <c r="D1771" s="185" t="s">
        <v>704</v>
      </c>
      <c r="E1771" s="186" t="s">
        <v>906</v>
      </c>
      <c r="F1771" s="186" t="s">
        <v>907</v>
      </c>
      <c r="G1771" s="186" t="s">
        <v>1102</v>
      </c>
      <c r="H1771" s="186" t="s">
        <v>1425</v>
      </c>
      <c r="I1771" s="187" t="s">
        <v>1507</v>
      </c>
      <c r="J1771" s="187" t="s">
        <v>1508</v>
      </c>
      <c r="K1771" s="188"/>
      <c r="L1771" s="188"/>
      <c r="M1771" s="189" t="s">
        <v>1500</v>
      </c>
      <c r="N1771" s="190">
        <v>4636.31</v>
      </c>
      <c r="O1771" s="190">
        <f t="shared" si="219"/>
        <v>5053.58</v>
      </c>
      <c r="P1771" s="191">
        <f t="shared" si="220"/>
        <v>0</v>
      </c>
      <c r="Q1771" s="192">
        <f t="shared" si="221"/>
        <v>0</v>
      </c>
      <c r="R1771" s="193"/>
      <c r="S1771" s="194"/>
      <c r="T1771" s="195">
        <f t="shared" si="222"/>
        <v>0</v>
      </c>
      <c r="U1771" s="195">
        <f t="shared" si="223"/>
        <v>0</v>
      </c>
      <c r="V1771" s="195">
        <f t="shared" si="224"/>
        <v>0</v>
      </c>
      <c r="W1771" s="196" t="e">
        <f t="shared" si="225"/>
        <v>#DIV/0!</v>
      </c>
      <c r="X1771" s="197" t="e">
        <f t="shared" si="226"/>
        <v>#DIV/0!</v>
      </c>
    </row>
    <row r="1772" ht="11.4" hidden="1" customHeight="1" spans="1:24">
      <c r="A1772" s="184" t="s">
        <v>3190</v>
      </c>
      <c r="B1772" s="184" t="s">
        <v>417</v>
      </c>
      <c r="C1772" s="184" t="s">
        <v>416</v>
      </c>
      <c r="D1772" s="185" t="s">
        <v>704</v>
      </c>
      <c r="E1772" s="186" t="s">
        <v>906</v>
      </c>
      <c r="F1772" s="186" t="s">
        <v>907</v>
      </c>
      <c r="G1772" s="186" t="s">
        <v>1102</v>
      </c>
      <c r="H1772" s="186" t="s">
        <v>1425</v>
      </c>
      <c r="I1772" s="187" t="s">
        <v>1509</v>
      </c>
      <c r="J1772" s="187" t="s">
        <v>1510</v>
      </c>
      <c r="K1772" s="188"/>
      <c r="L1772" s="188"/>
      <c r="M1772" s="189" t="s">
        <v>1500</v>
      </c>
      <c r="N1772" s="190">
        <v>2711.38</v>
      </c>
      <c r="O1772" s="190">
        <f t="shared" si="219"/>
        <v>2955.4</v>
      </c>
      <c r="P1772" s="191">
        <f t="shared" si="220"/>
        <v>0</v>
      </c>
      <c r="Q1772" s="192">
        <f t="shared" si="221"/>
        <v>0</v>
      </c>
      <c r="R1772" s="193"/>
      <c r="S1772" s="194"/>
      <c r="T1772" s="195">
        <f t="shared" si="222"/>
        <v>0</v>
      </c>
      <c r="U1772" s="195">
        <f t="shared" si="223"/>
        <v>0</v>
      </c>
      <c r="V1772" s="195">
        <f t="shared" si="224"/>
        <v>0</v>
      </c>
      <c r="W1772" s="196" t="e">
        <f t="shared" si="225"/>
        <v>#DIV/0!</v>
      </c>
      <c r="X1772" s="197" t="e">
        <f t="shared" si="226"/>
        <v>#DIV/0!</v>
      </c>
    </row>
    <row r="1773" ht="11.4" hidden="1" customHeight="1" spans="1:24">
      <c r="A1773" s="184" t="s">
        <v>3190</v>
      </c>
      <c r="B1773" s="184" t="s">
        <v>417</v>
      </c>
      <c r="C1773" s="184" t="s">
        <v>416</v>
      </c>
      <c r="D1773" s="185" t="s">
        <v>704</v>
      </c>
      <c r="E1773" s="186" t="s">
        <v>906</v>
      </c>
      <c r="F1773" s="186" t="s">
        <v>907</v>
      </c>
      <c r="G1773" s="186" t="s">
        <v>1102</v>
      </c>
      <c r="H1773" s="186" t="s">
        <v>1425</v>
      </c>
      <c r="I1773" s="187" t="s">
        <v>1511</v>
      </c>
      <c r="J1773" s="187" t="s">
        <v>1512</v>
      </c>
      <c r="K1773" s="188"/>
      <c r="L1773" s="188"/>
      <c r="M1773" s="189" t="s">
        <v>1500</v>
      </c>
      <c r="N1773" s="190">
        <v>5150.98</v>
      </c>
      <c r="O1773" s="190">
        <f t="shared" si="219"/>
        <v>5614.57</v>
      </c>
      <c r="P1773" s="191">
        <f t="shared" si="220"/>
        <v>0</v>
      </c>
      <c r="Q1773" s="192">
        <f t="shared" si="221"/>
        <v>0</v>
      </c>
      <c r="R1773" s="193"/>
      <c r="S1773" s="194"/>
      <c r="T1773" s="195">
        <f t="shared" si="222"/>
        <v>0</v>
      </c>
      <c r="U1773" s="195">
        <f t="shared" si="223"/>
        <v>0</v>
      </c>
      <c r="V1773" s="195">
        <f t="shared" si="224"/>
        <v>0</v>
      </c>
      <c r="W1773" s="196" t="e">
        <f t="shared" si="225"/>
        <v>#DIV/0!</v>
      </c>
      <c r="X1773" s="197" t="e">
        <f t="shared" si="226"/>
        <v>#DIV/0!</v>
      </c>
    </row>
    <row r="1774" ht="11.4" hidden="1" customHeight="1" spans="1:24">
      <c r="A1774" s="184" t="s">
        <v>3190</v>
      </c>
      <c r="B1774" s="184" t="s">
        <v>417</v>
      </c>
      <c r="C1774" s="184" t="s">
        <v>416</v>
      </c>
      <c r="D1774" s="185" t="s">
        <v>704</v>
      </c>
      <c r="E1774" s="186" t="s">
        <v>906</v>
      </c>
      <c r="F1774" s="186" t="s">
        <v>907</v>
      </c>
      <c r="G1774" s="186" t="s">
        <v>1102</v>
      </c>
      <c r="H1774" s="186" t="s">
        <v>1425</v>
      </c>
      <c r="I1774" s="187" t="s">
        <v>1513</v>
      </c>
      <c r="J1774" s="187" t="s">
        <v>1514</v>
      </c>
      <c r="K1774" s="188"/>
      <c r="L1774" s="188"/>
      <c r="M1774" s="189" t="s">
        <v>1500</v>
      </c>
      <c r="N1774" s="190">
        <v>2853.69</v>
      </c>
      <c r="O1774" s="190">
        <f t="shared" si="219"/>
        <v>3110.52</v>
      </c>
      <c r="P1774" s="191">
        <f t="shared" si="220"/>
        <v>0</v>
      </c>
      <c r="Q1774" s="192">
        <f t="shared" si="221"/>
        <v>0</v>
      </c>
      <c r="R1774" s="193"/>
      <c r="S1774" s="194"/>
      <c r="T1774" s="195">
        <f t="shared" si="222"/>
        <v>0</v>
      </c>
      <c r="U1774" s="195">
        <f t="shared" si="223"/>
        <v>0</v>
      </c>
      <c r="V1774" s="195">
        <f t="shared" si="224"/>
        <v>0</v>
      </c>
      <c r="W1774" s="196" t="e">
        <f t="shared" si="225"/>
        <v>#DIV/0!</v>
      </c>
      <c r="X1774" s="197" t="e">
        <f t="shared" si="226"/>
        <v>#DIV/0!</v>
      </c>
    </row>
    <row r="1775" ht="11.4" hidden="1" customHeight="1" spans="1:24">
      <c r="A1775" s="184" t="s">
        <v>3190</v>
      </c>
      <c r="B1775" s="184" t="s">
        <v>417</v>
      </c>
      <c r="C1775" s="184" t="s">
        <v>416</v>
      </c>
      <c r="D1775" s="185" t="s">
        <v>704</v>
      </c>
      <c r="E1775" s="186" t="s">
        <v>906</v>
      </c>
      <c r="F1775" s="186" t="s">
        <v>907</v>
      </c>
      <c r="G1775" s="186" t="s">
        <v>1102</v>
      </c>
      <c r="H1775" s="186" t="s">
        <v>1425</v>
      </c>
      <c r="I1775" s="187" t="s">
        <v>1519</v>
      </c>
      <c r="J1775" s="187" t="s">
        <v>1520</v>
      </c>
      <c r="K1775" s="188"/>
      <c r="L1775" s="188"/>
      <c r="M1775" s="189" t="s">
        <v>1500</v>
      </c>
      <c r="N1775" s="190">
        <v>6665.03</v>
      </c>
      <c r="O1775" s="190">
        <f t="shared" si="219"/>
        <v>7264.88</v>
      </c>
      <c r="P1775" s="191">
        <f t="shared" si="220"/>
        <v>0</v>
      </c>
      <c r="Q1775" s="192">
        <f t="shared" si="221"/>
        <v>0</v>
      </c>
      <c r="R1775" s="193"/>
      <c r="S1775" s="194"/>
      <c r="T1775" s="195">
        <f t="shared" si="222"/>
        <v>0</v>
      </c>
      <c r="U1775" s="195">
        <f t="shared" si="223"/>
        <v>0</v>
      </c>
      <c r="V1775" s="195">
        <f t="shared" si="224"/>
        <v>0</v>
      </c>
      <c r="W1775" s="196" t="e">
        <f t="shared" si="225"/>
        <v>#DIV/0!</v>
      </c>
      <c r="X1775" s="197" t="e">
        <f t="shared" si="226"/>
        <v>#DIV/0!</v>
      </c>
    </row>
    <row r="1776" ht="11.4" hidden="1" customHeight="1" spans="1:24">
      <c r="A1776" s="184" t="s">
        <v>3190</v>
      </c>
      <c r="B1776" s="184" t="s">
        <v>417</v>
      </c>
      <c r="C1776" s="184" t="s">
        <v>416</v>
      </c>
      <c r="D1776" s="185" t="s">
        <v>704</v>
      </c>
      <c r="E1776" s="186" t="s">
        <v>906</v>
      </c>
      <c r="F1776" s="186" t="s">
        <v>907</v>
      </c>
      <c r="G1776" s="186" t="s">
        <v>1102</v>
      </c>
      <c r="H1776" s="186" t="s">
        <v>1425</v>
      </c>
      <c r="I1776" s="187" t="s">
        <v>1521</v>
      </c>
      <c r="J1776" s="187" t="s">
        <v>1522</v>
      </c>
      <c r="K1776" s="188"/>
      <c r="L1776" s="188"/>
      <c r="M1776" s="189" t="s">
        <v>1500</v>
      </c>
      <c r="N1776" s="190">
        <v>3581.29</v>
      </c>
      <c r="O1776" s="190">
        <f t="shared" si="219"/>
        <v>3903.61</v>
      </c>
      <c r="P1776" s="191">
        <f t="shared" si="220"/>
        <v>0</v>
      </c>
      <c r="Q1776" s="192">
        <f t="shared" si="221"/>
        <v>0</v>
      </c>
      <c r="R1776" s="193"/>
      <c r="S1776" s="194"/>
      <c r="T1776" s="195">
        <f t="shared" si="222"/>
        <v>0</v>
      </c>
      <c r="U1776" s="195">
        <f t="shared" si="223"/>
        <v>0</v>
      </c>
      <c r="V1776" s="195">
        <f t="shared" si="224"/>
        <v>0</v>
      </c>
      <c r="W1776" s="196" t="e">
        <f t="shared" si="225"/>
        <v>#DIV/0!</v>
      </c>
      <c r="X1776" s="197" t="e">
        <f t="shared" si="226"/>
        <v>#DIV/0!</v>
      </c>
    </row>
    <row r="1777" ht="11.4" hidden="1" customHeight="1" spans="1:24">
      <c r="A1777" s="184" t="s">
        <v>3190</v>
      </c>
      <c r="B1777" s="184" t="s">
        <v>417</v>
      </c>
      <c r="C1777" s="184" t="s">
        <v>416</v>
      </c>
      <c r="D1777" s="185" t="s">
        <v>704</v>
      </c>
      <c r="E1777" s="186" t="s">
        <v>906</v>
      </c>
      <c r="F1777" s="186" t="s">
        <v>907</v>
      </c>
      <c r="G1777" s="186" t="s">
        <v>1102</v>
      </c>
      <c r="H1777" s="186" t="s">
        <v>1425</v>
      </c>
      <c r="I1777" s="187" t="s">
        <v>1523</v>
      </c>
      <c r="J1777" s="187" t="s">
        <v>1524</v>
      </c>
      <c r="K1777" s="188"/>
      <c r="L1777" s="188"/>
      <c r="M1777" s="189" t="s">
        <v>1500</v>
      </c>
      <c r="N1777" s="190">
        <v>6335.47</v>
      </c>
      <c r="O1777" s="190">
        <f t="shared" si="219"/>
        <v>6905.66</v>
      </c>
      <c r="P1777" s="191">
        <f t="shared" si="220"/>
        <v>0</v>
      </c>
      <c r="Q1777" s="192">
        <f t="shared" si="221"/>
        <v>0</v>
      </c>
      <c r="R1777" s="193"/>
      <c r="S1777" s="194"/>
      <c r="T1777" s="195">
        <f t="shared" si="222"/>
        <v>0</v>
      </c>
      <c r="U1777" s="195">
        <f t="shared" si="223"/>
        <v>0</v>
      </c>
      <c r="V1777" s="195">
        <f t="shared" si="224"/>
        <v>0</v>
      </c>
      <c r="W1777" s="196" t="e">
        <f t="shared" si="225"/>
        <v>#DIV/0!</v>
      </c>
      <c r="X1777" s="197" t="e">
        <f t="shared" si="226"/>
        <v>#DIV/0!</v>
      </c>
    </row>
    <row r="1778" ht="11.4" hidden="1" customHeight="1" spans="1:24">
      <c r="A1778" s="184" t="s">
        <v>3190</v>
      </c>
      <c r="B1778" s="184" t="s">
        <v>417</v>
      </c>
      <c r="C1778" s="184" t="s">
        <v>416</v>
      </c>
      <c r="D1778" s="185" t="s">
        <v>704</v>
      </c>
      <c r="E1778" s="186" t="s">
        <v>906</v>
      </c>
      <c r="F1778" s="186" t="s">
        <v>907</v>
      </c>
      <c r="G1778" s="186" t="s">
        <v>1102</v>
      </c>
      <c r="H1778" s="186" t="s">
        <v>1425</v>
      </c>
      <c r="I1778" s="187" t="s">
        <v>1525</v>
      </c>
      <c r="J1778" s="187" t="s">
        <v>1526</v>
      </c>
      <c r="K1778" s="188"/>
      <c r="L1778" s="188"/>
      <c r="M1778" s="189" t="s">
        <v>1500</v>
      </c>
      <c r="N1778" s="190">
        <v>3268.85</v>
      </c>
      <c r="O1778" s="190">
        <f t="shared" si="219"/>
        <v>3563.05</v>
      </c>
      <c r="P1778" s="191">
        <f t="shared" si="220"/>
        <v>0</v>
      </c>
      <c r="Q1778" s="192">
        <f t="shared" si="221"/>
        <v>0</v>
      </c>
      <c r="R1778" s="193"/>
      <c r="S1778" s="194"/>
      <c r="T1778" s="195">
        <f t="shared" si="222"/>
        <v>0</v>
      </c>
      <c r="U1778" s="195">
        <f t="shared" si="223"/>
        <v>0</v>
      </c>
      <c r="V1778" s="195">
        <f t="shared" si="224"/>
        <v>0</v>
      </c>
      <c r="W1778" s="196" t="e">
        <f t="shared" si="225"/>
        <v>#DIV/0!</v>
      </c>
      <c r="X1778" s="197" t="e">
        <f t="shared" si="226"/>
        <v>#DIV/0!</v>
      </c>
    </row>
    <row r="1779" ht="11.4" hidden="1" customHeight="1" spans="1:24">
      <c r="A1779" s="184" t="s">
        <v>3190</v>
      </c>
      <c r="B1779" s="184" t="s">
        <v>417</v>
      </c>
      <c r="C1779" s="184" t="s">
        <v>416</v>
      </c>
      <c r="D1779" s="185" t="s">
        <v>704</v>
      </c>
      <c r="E1779" s="186" t="s">
        <v>906</v>
      </c>
      <c r="F1779" s="186" t="s">
        <v>907</v>
      </c>
      <c r="G1779" s="186" t="s">
        <v>1102</v>
      </c>
      <c r="H1779" s="186" t="s">
        <v>1425</v>
      </c>
      <c r="I1779" s="187" t="s">
        <v>1527</v>
      </c>
      <c r="J1779" s="187" t="s">
        <v>1528</v>
      </c>
      <c r="K1779" s="188"/>
      <c r="L1779" s="188"/>
      <c r="M1779" s="189" t="s">
        <v>1500</v>
      </c>
      <c r="N1779" s="190">
        <v>6589.06</v>
      </c>
      <c r="O1779" s="190">
        <f t="shared" si="219"/>
        <v>7182.08</v>
      </c>
      <c r="P1779" s="191">
        <f t="shared" si="220"/>
        <v>0</v>
      </c>
      <c r="Q1779" s="192">
        <f t="shared" si="221"/>
        <v>0</v>
      </c>
      <c r="R1779" s="193"/>
      <c r="S1779" s="194"/>
      <c r="T1779" s="195">
        <f t="shared" si="222"/>
        <v>0</v>
      </c>
      <c r="U1779" s="195">
        <f t="shared" si="223"/>
        <v>0</v>
      </c>
      <c r="V1779" s="195">
        <f t="shared" si="224"/>
        <v>0</v>
      </c>
      <c r="W1779" s="196" t="e">
        <f t="shared" si="225"/>
        <v>#DIV/0!</v>
      </c>
      <c r="X1779" s="197" t="e">
        <f t="shared" si="226"/>
        <v>#DIV/0!</v>
      </c>
    </row>
    <row r="1780" ht="11.4" hidden="1" customHeight="1" spans="1:24">
      <c r="A1780" s="184" t="s">
        <v>3190</v>
      </c>
      <c r="B1780" s="184" t="s">
        <v>417</v>
      </c>
      <c r="C1780" s="184" t="s">
        <v>416</v>
      </c>
      <c r="D1780" s="185" t="s">
        <v>704</v>
      </c>
      <c r="E1780" s="186" t="s">
        <v>906</v>
      </c>
      <c r="F1780" s="186" t="s">
        <v>907</v>
      </c>
      <c r="G1780" s="186" t="s">
        <v>1102</v>
      </c>
      <c r="H1780" s="186" t="s">
        <v>1425</v>
      </c>
      <c r="I1780" s="187" t="s">
        <v>1529</v>
      </c>
      <c r="J1780" s="187" t="s">
        <v>1530</v>
      </c>
      <c r="K1780" s="188"/>
      <c r="L1780" s="188"/>
      <c r="M1780" s="189" t="s">
        <v>1500</v>
      </c>
      <c r="N1780" s="190">
        <v>3398.32</v>
      </c>
      <c r="O1780" s="190">
        <f t="shared" si="219"/>
        <v>3704.17</v>
      </c>
      <c r="P1780" s="191">
        <f t="shared" si="220"/>
        <v>0</v>
      </c>
      <c r="Q1780" s="192">
        <f t="shared" si="221"/>
        <v>0</v>
      </c>
      <c r="R1780" s="193"/>
      <c r="S1780" s="194"/>
      <c r="T1780" s="195">
        <f t="shared" si="222"/>
        <v>0</v>
      </c>
      <c r="U1780" s="195">
        <f t="shared" si="223"/>
        <v>0</v>
      </c>
      <c r="V1780" s="195">
        <f t="shared" si="224"/>
        <v>0</v>
      </c>
      <c r="W1780" s="196" t="e">
        <f t="shared" si="225"/>
        <v>#DIV/0!</v>
      </c>
      <c r="X1780" s="197" t="e">
        <f t="shared" si="226"/>
        <v>#DIV/0!</v>
      </c>
    </row>
    <row r="1781" ht="11.4" hidden="1" customHeight="1" spans="1:24">
      <c r="A1781" s="184" t="s">
        <v>3190</v>
      </c>
      <c r="B1781" s="184" t="s">
        <v>417</v>
      </c>
      <c r="C1781" s="184" t="s">
        <v>416</v>
      </c>
      <c r="D1781" s="185" t="s">
        <v>704</v>
      </c>
      <c r="E1781" s="186" t="s">
        <v>906</v>
      </c>
      <c r="F1781" s="186" t="s">
        <v>907</v>
      </c>
      <c r="G1781" s="186" t="s">
        <v>1102</v>
      </c>
      <c r="H1781" s="186" t="s">
        <v>1425</v>
      </c>
      <c r="I1781" s="187" t="s">
        <v>1515</v>
      </c>
      <c r="J1781" s="187" t="s">
        <v>1516</v>
      </c>
      <c r="K1781" s="188"/>
      <c r="L1781" s="188"/>
      <c r="M1781" s="189" t="s">
        <v>1500</v>
      </c>
      <c r="N1781" s="190">
        <v>6224.4</v>
      </c>
      <c r="O1781" s="190">
        <f t="shared" si="219"/>
        <v>6784.6</v>
      </c>
      <c r="P1781" s="191">
        <f t="shared" si="220"/>
        <v>0</v>
      </c>
      <c r="Q1781" s="192">
        <f t="shared" si="221"/>
        <v>0</v>
      </c>
      <c r="R1781" s="193"/>
      <c r="S1781" s="194"/>
      <c r="T1781" s="195">
        <f t="shared" si="222"/>
        <v>0</v>
      </c>
      <c r="U1781" s="195">
        <f t="shared" si="223"/>
        <v>0</v>
      </c>
      <c r="V1781" s="195">
        <f t="shared" si="224"/>
        <v>0</v>
      </c>
      <c r="W1781" s="196" t="e">
        <f t="shared" si="225"/>
        <v>#DIV/0!</v>
      </c>
      <c r="X1781" s="197" t="e">
        <f t="shared" si="226"/>
        <v>#DIV/0!</v>
      </c>
    </row>
    <row r="1782" ht="11.4" hidden="1" customHeight="1" spans="1:24">
      <c r="A1782" s="184" t="s">
        <v>3190</v>
      </c>
      <c r="B1782" s="184" t="s">
        <v>417</v>
      </c>
      <c r="C1782" s="184" t="s">
        <v>416</v>
      </c>
      <c r="D1782" s="185" t="s">
        <v>704</v>
      </c>
      <c r="E1782" s="186" t="s">
        <v>906</v>
      </c>
      <c r="F1782" s="186" t="s">
        <v>907</v>
      </c>
      <c r="G1782" s="186" t="s">
        <v>1102</v>
      </c>
      <c r="H1782" s="186" t="s">
        <v>1425</v>
      </c>
      <c r="I1782" s="187" t="s">
        <v>1517</v>
      </c>
      <c r="J1782" s="187" t="s">
        <v>1518</v>
      </c>
      <c r="K1782" s="188"/>
      <c r="L1782" s="188"/>
      <c r="M1782" s="189" t="s">
        <v>1500</v>
      </c>
      <c r="N1782" s="190">
        <v>3400.95</v>
      </c>
      <c r="O1782" s="190">
        <f t="shared" si="219"/>
        <v>3707.04</v>
      </c>
      <c r="P1782" s="191">
        <f t="shared" si="220"/>
        <v>0</v>
      </c>
      <c r="Q1782" s="192">
        <f t="shared" si="221"/>
        <v>0</v>
      </c>
      <c r="R1782" s="193"/>
      <c r="S1782" s="194"/>
      <c r="T1782" s="195">
        <f t="shared" si="222"/>
        <v>0</v>
      </c>
      <c r="U1782" s="195">
        <f t="shared" si="223"/>
        <v>0</v>
      </c>
      <c r="V1782" s="195">
        <f t="shared" si="224"/>
        <v>0</v>
      </c>
      <c r="W1782" s="196" t="e">
        <f t="shared" si="225"/>
        <v>#DIV/0!</v>
      </c>
      <c r="X1782" s="197" t="e">
        <f t="shared" si="226"/>
        <v>#DIV/0!</v>
      </c>
    </row>
    <row r="1783" ht="11.4" hidden="1" customHeight="1" spans="1:24">
      <c r="A1783" s="184" t="s">
        <v>3188</v>
      </c>
      <c r="B1783" s="184" t="s">
        <v>117</v>
      </c>
      <c r="C1783" s="184" t="s">
        <v>1101</v>
      </c>
      <c r="D1783" s="185" t="s">
        <v>704</v>
      </c>
      <c r="E1783" s="186" t="s">
        <v>906</v>
      </c>
      <c r="F1783" s="186" t="s">
        <v>907</v>
      </c>
      <c r="G1783" s="186" t="s">
        <v>1102</v>
      </c>
      <c r="H1783" s="186" t="s">
        <v>1425</v>
      </c>
      <c r="I1783" s="187" t="s">
        <v>1531</v>
      </c>
      <c r="J1783" s="187" t="s">
        <v>1532</v>
      </c>
      <c r="K1783" s="188"/>
      <c r="L1783" s="188"/>
      <c r="M1783" s="189" t="s">
        <v>1500</v>
      </c>
      <c r="N1783" s="190">
        <v>539.86</v>
      </c>
      <c r="O1783" s="190">
        <f t="shared" si="219"/>
        <v>588.45</v>
      </c>
      <c r="P1783" s="191">
        <f t="shared" si="220"/>
        <v>0</v>
      </c>
      <c r="Q1783" s="192">
        <f t="shared" si="221"/>
        <v>0</v>
      </c>
      <c r="R1783" s="193"/>
      <c r="S1783" s="194"/>
      <c r="T1783" s="195">
        <f t="shared" si="222"/>
        <v>0</v>
      </c>
      <c r="U1783" s="195">
        <f t="shared" si="223"/>
        <v>0</v>
      </c>
      <c r="V1783" s="195">
        <f t="shared" si="224"/>
        <v>0</v>
      </c>
      <c r="W1783" s="196" t="e">
        <f t="shared" si="225"/>
        <v>#DIV/0!</v>
      </c>
      <c r="X1783" s="197" t="e">
        <f t="shared" si="226"/>
        <v>#DIV/0!</v>
      </c>
    </row>
    <row r="1784" ht="11.4" hidden="1" customHeight="1" spans="1:24">
      <c r="A1784" s="184" t="s">
        <v>3188</v>
      </c>
      <c r="B1784" s="184" t="s">
        <v>117</v>
      </c>
      <c r="C1784" s="184" t="s">
        <v>1101</v>
      </c>
      <c r="D1784" s="185" t="s">
        <v>704</v>
      </c>
      <c r="E1784" s="186" t="s">
        <v>906</v>
      </c>
      <c r="F1784" s="186" t="s">
        <v>907</v>
      </c>
      <c r="G1784" s="186" t="s">
        <v>1102</v>
      </c>
      <c r="H1784" s="186" t="s">
        <v>1425</v>
      </c>
      <c r="I1784" s="187" t="s">
        <v>1533</v>
      </c>
      <c r="J1784" s="187" t="s">
        <v>1534</v>
      </c>
      <c r="K1784" s="188"/>
      <c r="L1784" s="188"/>
      <c r="M1784" s="189" t="s">
        <v>1500</v>
      </c>
      <c r="N1784" s="190">
        <v>311.29</v>
      </c>
      <c r="O1784" s="190">
        <f t="shared" si="219"/>
        <v>339.31</v>
      </c>
      <c r="P1784" s="191">
        <f t="shared" si="220"/>
        <v>0</v>
      </c>
      <c r="Q1784" s="192">
        <f t="shared" si="221"/>
        <v>0</v>
      </c>
      <c r="R1784" s="193"/>
      <c r="S1784" s="194"/>
      <c r="T1784" s="195">
        <f t="shared" si="222"/>
        <v>0</v>
      </c>
      <c r="U1784" s="195">
        <f t="shared" si="223"/>
        <v>0</v>
      </c>
      <c r="V1784" s="195">
        <f t="shared" si="224"/>
        <v>0</v>
      </c>
      <c r="W1784" s="196" t="e">
        <f t="shared" si="225"/>
        <v>#DIV/0!</v>
      </c>
      <c r="X1784" s="197" t="e">
        <f t="shared" si="226"/>
        <v>#DIV/0!</v>
      </c>
    </row>
    <row r="1785" ht="11.4" hidden="1" customHeight="1" spans="1:24">
      <c r="A1785" s="184" t="s">
        <v>3188</v>
      </c>
      <c r="B1785" s="184" t="s">
        <v>117</v>
      </c>
      <c r="C1785" s="184" t="s">
        <v>1101</v>
      </c>
      <c r="D1785" s="185" t="s">
        <v>704</v>
      </c>
      <c r="E1785" s="186" t="s">
        <v>906</v>
      </c>
      <c r="F1785" s="186" t="s">
        <v>907</v>
      </c>
      <c r="G1785" s="186" t="s">
        <v>1102</v>
      </c>
      <c r="H1785" s="186" t="s">
        <v>1425</v>
      </c>
      <c r="I1785" s="187" t="s">
        <v>1535</v>
      </c>
      <c r="J1785" s="187" t="s">
        <v>1536</v>
      </c>
      <c r="K1785" s="188"/>
      <c r="L1785" s="188"/>
      <c r="M1785" s="189" t="s">
        <v>807</v>
      </c>
      <c r="N1785" s="190">
        <v>308.83</v>
      </c>
      <c r="O1785" s="190">
        <f t="shared" si="219"/>
        <v>336.62</v>
      </c>
      <c r="P1785" s="191">
        <f t="shared" si="220"/>
        <v>0</v>
      </c>
      <c r="Q1785" s="192">
        <f t="shared" si="221"/>
        <v>0</v>
      </c>
      <c r="R1785" s="193"/>
      <c r="S1785" s="194"/>
      <c r="T1785" s="195">
        <f t="shared" si="222"/>
        <v>0</v>
      </c>
      <c r="U1785" s="195">
        <f t="shared" si="223"/>
        <v>0</v>
      </c>
      <c r="V1785" s="195">
        <f t="shared" si="224"/>
        <v>0</v>
      </c>
      <c r="W1785" s="196" t="e">
        <f t="shared" si="225"/>
        <v>#DIV/0!</v>
      </c>
      <c r="X1785" s="197" t="e">
        <f t="shared" si="226"/>
        <v>#DIV/0!</v>
      </c>
    </row>
    <row r="1786" ht="11.4" hidden="1" customHeight="1" spans="1:24">
      <c r="A1786" s="184" t="s">
        <v>3191</v>
      </c>
      <c r="B1786" s="184" t="s">
        <v>119</v>
      </c>
      <c r="C1786" s="184" t="s">
        <v>1101</v>
      </c>
      <c r="D1786" s="185" t="s">
        <v>704</v>
      </c>
      <c r="E1786" s="186" t="s">
        <v>906</v>
      </c>
      <c r="F1786" s="186" t="s">
        <v>907</v>
      </c>
      <c r="G1786" s="186" t="s">
        <v>1102</v>
      </c>
      <c r="H1786" s="186" t="s">
        <v>545</v>
      </c>
      <c r="I1786" s="187" t="s">
        <v>1539</v>
      </c>
      <c r="J1786" s="187" t="s">
        <v>1540</v>
      </c>
      <c r="K1786" s="188"/>
      <c r="L1786" s="188"/>
      <c r="M1786" s="189" t="s">
        <v>807</v>
      </c>
      <c r="N1786" s="190">
        <v>4211.65</v>
      </c>
      <c r="O1786" s="190">
        <f t="shared" si="219"/>
        <v>4590.7</v>
      </c>
      <c r="P1786" s="191">
        <f t="shared" si="220"/>
        <v>0</v>
      </c>
      <c r="Q1786" s="192">
        <f t="shared" si="221"/>
        <v>0</v>
      </c>
      <c r="R1786" s="193"/>
      <c r="S1786" s="194"/>
      <c r="T1786" s="195">
        <f t="shared" si="222"/>
        <v>0</v>
      </c>
      <c r="U1786" s="195">
        <f t="shared" si="223"/>
        <v>0</v>
      </c>
      <c r="V1786" s="195">
        <f t="shared" si="224"/>
        <v>0</v>
      </c>
      <c r="W1786" s="196" t="e">
        <f t="shared" si="225"/>
        <v>#DIV/0!</v>
      </c>
      <c r="X1786" s="197" t="e">
        <f t="shared" si="226"/>
        <v>#DIV/0!</v>
      </c>
    </row>
    <row r="1787" ht="11.4" hidden="1" customHeight="1" spans="1:24">
      <c r="A1787" s="184" t="s">
        <v>3191</v>
      </c>
      <c r="B1787" s="184" t="s">
        <v>119</v>
      </c>
      <c r="C1787" s="184" t="s">
        <v>1101</v>
      </c>
      <c r="D1787" s="185" t="s">
        <v>704</v>
      </c>
      <c r="E1787" s="186" t="s">
        <v>906</v>
      </c>
      <c r="F1787" s="186" t="s">
        <v>907</v>
      </c>
      <c r="G1787" s="186" t="s">
        <v>1102</v>
      </c>
      <c r="H1787" s="186" t="s">
        <v>545</v>
      </c>
      <c r="I1787" s="187" t="s">
        <v>1541</v>
      </c>
      <c r="J1787" s="187" t="s">
        <v>1542</v>
      </c>
      <c r="K1787" s="188"/>
      <c r="L1787" s="188"/>
      <c r="M1787" s="189" t="s">
        <v>793</v>
      </c>
      <c r="N1787" s="190">
        <v>1130</v>
      </c>
      <c r="O1787" s="190">
        <f t="shared" si="219"/>
        <v>1231.7</v>
      </c>
      <c r="P1787" s="191">
        <f t="shared" si="220"/>
        <v>0</v>
      </c>
      <c r="Q1787" s="192">
        <f t="shared" si="221"/>
        <v>0</v>
      </c>
      <c r="R1787" s="193"/>
      <c r="S1787" s="194"/>
      <c r="T1787" s="195">
        <f t="shared" si="222"/>
        <v>0</v>
      </c>
      <c r="U1787" s="195">
        <f t="shared" si="223"/>
        <v>0</v>
      </c>
      <c r="V1787" s="195">
        <f t="shared" si="224"/>
        <v>0</v>
      </c>
      <c r="W1787" s="196" t="e">
        <f t="shared" si="225"/>
        <v>#DIV/0!</v>
      </c>
      <c r="X1787" s="197" t="e">
        <f t="shared" si="226"/>
        <v>#DIV/0!</v>
      </c>
    </row>
    <row r="1788" ht="11.4" hidden="1" customHeight="1" spans="1:24">
      <c r="A1788" s="184" t="s">
        <v>3192</v>
      </c>
      <c r="B1788" s="184" t="s">
        <v>121</v>
      </c>
      <c r="C1788" s="184" t="s">
        <v>1101</v>
      </c>
      <c r="D1788" s="185" t="s">
        <v>704</v>
      </c>
      <c r="E1788" s="186" t="s">
        <v>906</v>
      </c>
      <c r="F1788" s="186" t="s">
        <v>907</v>
      </c>
      <c r="G1788" s="186" t="s">
        <v>1102</v>
      </c>
      <c r="H1788" s="186" t="s">
        <v>1544</v>
      </c>
      <c r="I1788" s="187" t="s">
        <v>1104</v>
      </c>
      <c r="J1788" s="187" t="s">
        <v>1105</v>
      </c>
      <c r="K1788" s="188"/>
      <c r="L1788" s="188"/>
      <c r="M1788" s="189" t="s">
        <v>847</v>
      </c>
      <c r="N1788" s="190">
        <v>180.78</v>
      </c>
      <c r="O1788" s="190">
        <f t="shared" si="219"/>
        <v>197.05</v>
      </c>
      <c r="P1788" s="191">
        <f t="shared" si="220"/>
        <v>0</v>
      </c>
      <c r="Q1788" s="192">
        <f t="shared" si="221"/>
        <v>0</v>
      </c>
      <c r="R1788" s="193"/>
      <c r="S1788" s="194"/>
      <c r="T1788" s="195">
        <f t="shared" si="222"/>
        <v>0</v>
      </c>
      <c r="U1788" s="195">
        <f t="shared" si="223"/>
        <v>0</v>
      </c>
      <c r="V1788" s="195">
        <f t="shared" si="224"/>
        <v>0</v>
      </c>
      <c r="W1788" s="196" t="e">
        <f t="shared" si="225"/>
        <v>#DIV/0!</v>
      </c>
      <c r="X1788" s="197" t="e">
        <f t="shared" si="226"/>
        <v>#DIV/0!</v>
      </c>
    </row>
    <row r="1789" ht="11.4" hidden="1" customHeight="1" spans="1:24">
      <c r="A1789" s="184" t="s">
        <v>3192</v>
      </c>
      <c r="B1789" s="184" t="s">
        <v>121</v>
      </c>
      <c r="C1789" s="184" t="s">
        <v>1101</v>
      </c>
      <c r="D1789" s="185" t="s">
        <v>704</v>
      </c>
      <c r="E1789" s="186" t="s">
        <v>906</v>
      </c>
      <c r="F1789" s="186" t="s">
        <v>907</v>
      </c>
      <c r="G1789" s="186" t="s">
        <v>1102</v>
      </c>
      <c r="H1789" s="186" t="s">
        <v>1544</v>
      </c>
      <c r="I1789" s="187" t="s">
        <v>1106</v>
      </c>
      <c r="J1789" s="187" t="s">
        <v>1107</v>
      </c>
      <c r="K1789" s="188"/>
      <c r="L1789" s="188"/>
      <c r="M1789" s="189" t="s">
        <v>807</v>
      </c>
      <c r="N1789" s="190">
        <v>41.36</v>
      </c>
      <c r="O1789" s="190">
        <f t="shared" si="219"/>
        <v>45.08</v>
      </c>
      <c r="P1789" s="191">
        <f t="shared" si="220"/>
        <v>0</v>
      </c>
      <c r="Q1789" s="192">
        <f t="shared" si="221"/>
        <v>0</v>
      </c>
      <c r="R1789" s="193"/>
      <c r="S1789" s="194"/>
      <c r="T1789" s="195">
        <f t="shared" si="222"/>
        <v>0</v>
      </c>
      <c r="U1789" s="195">
        <f t="shared" si="223"/>
        <v>0</v>
      </c>
      <c r="V1789" s="195">
        <f t="shared" si="224"/>
        <v>0</v>
      </c>
      <c r="W1789" s="196" t="e">
        <f t="shared" si="225"/>
        <v>#DIV/0!</v>
      </c>
      <c r="X1789" s="197" t="e">
        <f t="shared" si="226"/>
        <v>#DIV/0!</v>
      </c>
    </row>
    <row r="1790" ht="11.4" hidden="1" customHeight="1" spans="1:24">
      <c r="A1790" s="184" t="s">
        <v>3192</v>
      </c>
      <c r="B1790" s="184" t="s">
        <v>121</v>
      </c>
      <c r="C1790" s="184" t="s">
        <v>1101</v>
      </c>
      <c r="D1790" s="185" t="s">
        <v>704</v>
      </c>
      <c r="E1790" s="186" t="s">
        <v>906</v>
      </c>
      <c r="F1790" s="186" t="s">
        <v>907</v>
      </c>
      <c r="G1790" s="186" t="s">
        <v>1102</v>
      </c>
      <c r="H1790" s="186" t="s">
        <v>1544</v>
      </c>
      <c r="I1790" s="187" t="s">
        <v>1109</v>
      </c>
      <c r="J1790" s="187" t="s">
        <v>1110</v>
      </c>
      <c r="K1790" s="188"/>
      <c r="L1790" s="188"/>
      <c r="M1790" s="189" t="s">
        <v>847</v>
      </c>
      <c r="N1790" s="190">
        <v>160.21</v>
      </c>
      <c r="O1790" s="190">
        <f t="shared" si="219"/>
        <v>174.63</v>
      </c>
      <c r="P1790" s="191">
        <f t="shared" si="220"/>
        <v>0</v>
      </c>
      <c r="Q1790" s="192">
        <f t="shared" si="221"/>
        <v>0</v>
      </c>
      <c r="R1790" s="193"/>
      <c r="S1790" s="194"/>
      <c r="T1790" s="195">
        <f t="shared" si="222"/>
        <v>0</v>
      </c>
      <c r="U1790" s="195">
        <f t="shared" si="223"/>
        <v>0</v>
      </c>
      <c r="V1790" s="195">
        <f t="shared" si="224"/>
        <v>0</v>
      </c>
      <c r="W1790" s="196" t="e">
        <f t="shared" si="225"/>
        <v>#DIV/0!</v>
      </c>
      <c r="X1790" s="197" t="e">
        <f t="shared" si="226"/>
        <v>#DIV/0!</v>
      </c>
    </row>
    <row r="1791" ht="11.4" hidden="1" customHeight="1" spans="1:24">
      <c r="A1791" s="184" t="s">
        <v>3192</v>
      </c>
      <c r="B1791" s="184" t="s">
        <v>121</v>
      </c>
      <c r="C1791" s="184" t="s">
        <v>1101</v>
      </c>
      <c r="D1791" s="185" t="s">
        <v>704</v>
      </c>
      <c r="E1791" s="186" t="s">
        <v>906</v>
      </c>
      <c r="F1791" s="186" t="s">
        <v>907</v>
      </c>
      <c r="G1791" s="186" t="s">
        <v>1102</v>
      </c>
      <c r="H1791" s="186" t="s">
        <v>1544</v>
      </c>
      <c r="I1791" s="187" t="s">
        <v>1111</v>
      </c>
      <c r="J1791" s="187" t="s">
        <v>1112</v>
      </c>
      <c r="K1791" s="188"/>
      <c r="L1791" s="188"/>
      <c r="M1791" s="189" t="s">
        <v>807</v>
      </c>
      <c r="N1791" s="190">
        <v>38.94</v>
      </c>
      <c r="O1791" s="190">
        <f t="shared" si="219"/>
        <v>42.44</v>
      </c>
      <c r="P1791" s="191">
        <f t="shared" si="220"/>
        <v>0</v>
      </c>
      <c r="Q1791" s="192">
        <f t="shared" si="221"/>
        <v>0</v>
      </c>
      <c r="R1791" s="193"/>
      <c r="S1791" s="194"/>
      <c r="T1791" s="195">
        <f t="shared" si="222"/>
        <v>0</v>
      </c>
      <c r="U1791" s="195">
        <f t="shared" si="223"/>
        <v>0</v>
      </c>
      <c r="V1791" s="195">
        <f t="shared" si="224"/>
        <v>0</v>
      </c>
      <c r="W1791" s="196" t="e">
        <f t="shared" si="225"/>
        <v>#DIV/0!</v>
      </c>
      <c r="X1791" s="197" t="e">
        <f t="shared" si="226"/>
        <v>#DIV/0!</v>
      </c>
    </row>
    <row r="1792" ht="11.4" hidden="1" customHeight="1" spans="1:24">
      <c r="A1792" s="184" t="s">
        <v>3192</v>
      </c>
      <c r="B1792" s="184" t="s">
        <v>121</v>
      </c>
      <c r="C1792" s="184" t="s">
        <v>1101</v>
      </c>
      <c r="D1792" s="185" t="s">
        <v>704</v>
      </c>
      <c r="E1792" s="186" t="s">
        <v>906</v>
      </c>
      <c r="F1792" s="186" t="s">
        <v>907</v>
      </c>
      <c r="G1792" s="186" t="s">
        <v>1102</v>
      </c>
      <c r="H1792" s="186" t="s">
        <v>1544</v>
      </c>
      <c r="I1792" s="187" t="s">
        <v>1113</v>
      </c>
      <c r="J1792" s="187" t="s">
        <v>1114</v>
      </c>
      <c r="K1792" s="188"/>
      <c r="L1792" s="188"/>
      <c r="M1792" s="189" t="s">
        <v>847</v>
      </c>
      <c r="N1792" s="190">
        <v>181.99</v>
      </c>
      <c r="O1792" s="190">
        <f t="shared" si="219"/>
        <v>198.37</v>
      </c>
      <c r="P1792" s="191">
        <f t="shared" si="220"/>
        <v>0</v>
      </c>
      <c r="Q1792" s="192">
        <f t="shared" si="221"/>
        <v>0</v>
      </c>
      <c r="R1792" s="193"/>
      <c r="S1792" s="194"/>
      <c r="T1792" s="195">
        <f t="shared" si="222"/>
        <v>0</v>
      </c>
      <c r="U1792" s="195">
        <f t="shared" si="223"/>
        <v>0</v>
      </c>
      <c r="V1792" s="195">
        <f t="shared" si="224"/>
        <v>0</v>
      </c>
      <c r="W1792" s="196" t="e">
        <f t="shared" si="225"/>
        <v>#DIV/0!</v>
      </c>
      <c r="X1792" s="197" t="e">
        <f t="shared" si="226"/>
        <v>#DIV/0!</v>
      </c>
    </row>
    <row r="1793" ht="11.4" hidden="1" customHeight="1" spans="1:24">
      <c r="A1793" s="184" t="s">
        <v>3192</v>
      </c>
      <c r="B1793" s="184" t="s">
        <v>121</v>
      </c>
      <c r="C1793" s="184" t="s">
        <v>1101</v>
      </c>
      <c r="D1793" s="185" t="s">
        <v>704</v>
      </c>
      <c r="E1793" s="186" t="s">
        <v>906</v>
      </c>
      <c r="F1793" s="186" t="s">
        <v>907</v>
      </c>
      <c r="G1793" s="186" t="s">
        <v>1102</v>
      </c>
      <c r="H1793" s="186" t="s">
        <v>1544</v>
      </c>
      <c r="I1793" s="187" t="s">
        <v>1115</v>
      </c>
      <c r="J1793" s="187" t="s">
        <v>1116</v>
      </c>
      <c r="K1793" s="188"/>
      <c r="L1793" s="188"/>
      <c r="M1793" s="189" t="s">
        <v>807</v>
      </c>
      <c r="N1793" s="190">
        <v>42.57</v>
      </c>
      <c r="O1793" s="190">
        <f t="shared" si="219"/>
        <v>46.4</v>
      </c>
      <c r="P1793" s="191">
        <f t="shared" si="220"/>
        <v>0</v>
      </c>
      <c r="Q1793" s="192">
        <f t="shared" si="221"/>
        <v>0</v>
      </c>
      <c r="R1793" s="193"/>
      <c r="S1793" s="194"/>
      <c r="T1793" s="195">
        <f t="shared" si="222"/>
        <v>0</v>
      </c>
      <c r="U1793" s="195">
        <f t="shared" si="223"/>
        <v>0</v>
      </c>
      <c r="V1793" s="195">
        <f t="shared" si="224"/>
        <v>0</v>
      </c>
      <c r="W1793" s="196" t="e">
        <f t="shared" si="225"/>
        <v>#DIV/0!</v>
      </c>
      <c r="X1793" s="197" t="e">
        <f t="shared" si="226"/>
        <v>#DIV/0!</v>
      </c>
    </row>
    <row r="1794" ht="11.4" hidden="1" customHeight="1" spans="1:24">
      <c r="A1794" s="184" t="s">
        <v>3192</v>
      </c>
      <c r="B1794" s="184" t="s">
        <v>121</v>
      </c>
      <c r="C1794" s="184" t="s">
        <v>1101</v>
      </c>
      <c r="D1794" s="185" t="s">
        <v>704</v>
      </c>
      <c r="E1794" s="186" t="s">
        <v>906</v>
      </c>
      <c r="F1794" s="186" t="s">
        <v>907</v>
      </c>
      <c r="G1794" s="186" t="s">
        <v>1102</v>
      </c>
      <c r="H1794" s="186" t="s">
        <v>1544</v>
      </c>
      <c r="I1794" s="187" t="s">
        <v>1117</v>
      </c>
      <c r="J1794" s="187" t="s">
        <v>1118</v>
      </c>
      <c r="K1794" s="188"/>
      <c r="L1794" s="188"/>
      <c r="M1794" s="189" t="s">
        <v>847</v>
      </c>
      <c r="N1794" s="190">
        <v>187.98</v>
      </c>
      <c r="O1794" s="190">
        <f t="shared" si="219"/>
        <v>204.9</v>
      </c>
      <c r="P1794" s="191">
        <f t="shared" si="220"/>
        <v>0</v>
      </c>
      <c r="Q1794" s="192">
        <f t="shared" si="221"/>
        <v>0</v>
      </c>
      <c r="R1794" s="193"/>
      <c r="S1794" s="194"/>
      <c r="T1794" s="195">
        <f t="shared" si="222"/>
        <v>0</v>
      </c>
      <c r="U1794" s="195">
        <f t="shared" si="223"/>
        <v>0</v>
      </c>
      <c r="V1794" s="195">
        <f t="shared" si="224"/>
        <v>0</v>
      </c>
      <c r="W1794" s="196" t="e">
        <f t="shared" si="225"/>
        <v>#DIV/0!</v>
      </c>
      <c r="X1794" s="197" t="e">
        <f t="shared" si="226"/>
        <v>#DIV/0!</v>
      </c>
    </row>
    <row r="1795" ht="11.4" hidden="1" customHeight="1" spans="1:24">
      <c r="A1795" s="184" t="s">
        <v>3192</v>
      </c>
      <c r="B1795" s="184" t="s">
        <v>121</v>
      </c>
      <c r="C1795" s="184" t="s">
        <v>1101</v>
      </c>
      <c r="D1795" s="185" t="s">
        <v>704</v>
      </c>
      <c r="E1795" s="186" t="s">
        <v>906</v>
      </c>
      <c r="F1795" s="186" t="s">
        <v>907</v>
      </c>
      <c r="G1795" s="186" t="s">
        <v>1102</v>
      </c>
      <c r="H1795" s="186" t="s">
        <v>1544</v>
      </c>
      <c r="I1795" s="187" t="s">
        <v>1119</v>
      </c>
      <c r="J1795" s="187" t="s">
        <v>1120</v>
      </c>
      <c r="K1795" s="188"/>
      <c r="L1795" s="188"/>
      <c r="M1795" s="189" t="s">
        <v>847</v>
      </c>
      <c r="N1795" s="190">
        <v>171.66</v>
      </c>
      <c r="O1795" s="190">
        <f t="shared" si="219"/>
        <v>187.11</v>
      </c>
      <c r="P1795" s="191">
        <f t="shared" si="220"/>
        <v>0</v>
      </c>
      <c r="Q1795" s="192">
        <f t="shared" si="221"/>
        <v>0</v>
      </c>
      <c r="R1795" s="193"/>
      <c r="S1795" s="194"/>
      <c r="T1795" s="195">
        <f t="shared" si="222"/>
        <v>0</v>
      </c>
      <c r="U1795" s="195">
        <f t="shared" si="223"/>
        <v>0</v>
      </c>
      <c r="V1795" s="195">
        <f t="shared" si="224"/>
        <v>0</v>
      </c>
      <c r="W1795" s="196" t="e">
        <f t="shared" si="225"/>
        <v>#DIV/0!</v>
      </c>
      <c r="X1795" s="197" t="e">
        <f t="shared" si="226"/>
        <v>#DIV/0!</v>
      </c>
    </row>
    <row r="1796" ht="11.4" hidden="1" customHeight="1" spans="1:24">
      <c r="A1796" s="184" t="s">
        <v>3192</v>
      </c>
      <c r="B1796" s="184" t="s">
        <v>121</v>
      </c>
      <c r="C1796" s="184" t="s">
        <v>1101</v>
      </c>
      <c r="D1796" s="185" t="s">
        <v>704</v>
      </c>
      <c r="E1796" s="186" t="s">
        <v>906</v>
      </c>
      <c r="F1796" s="186" t="s">
        <v>907</v>
      </c>
      <c r="G1796" s="186" t="s">
        <v>1102</v>
      </c>
      <c r="H1796" s="186" t="s">
        <v>1544</v>
      </c>
      <c r="I1796" s="187" t="s">
        <v>1121</v>
      </c>
      <c r="J1796" s="187" t="s">
        <v>1122</v>
      </c>
      <c r="K1796" s="188"/>
      <c r="L1796" s="188"/>
      <c r="M1796" s="189" t="s">
        <v>847</v>
      </c>
      <c r="N1796" s="190">
        <v>189.15</v>
      </c>
      <c r="O1796" s="190">
        <f t="shared" si="219"/>
        <v>206.17</v>
      </c>
      <c r="P1796" s="191">
        <f t="shared" si="220"/>
        <v>0</v>
      </c>
      <c r="Q1796" s="192">
        <f t="shared" si="221"/>
        <v>0</v>
      </c>
      <c r="R1796" s="193"/>
      <c r="S1796" s="194"/>
      <c r="T1796" s="195">
        <f t="shared" si="222"/>
        <v>0</v>
      </c>
      <c r="U1796" s="195">
        <f t="shared" si="223"/>
        <v>0</v>
      </c>
      <c r="V1796" s="195">
        <f t="shared" si="224"/>
        <v>0</v>
      </c>
      <c r="W1796" s="196" t="e">
        <f t="shared" si="225"/>
        <v>#DIV/0!</v>
      </c>
      <c r="X1796" s="197" t="e">
        <f t="shared" si="226"/>
        <v>#DIV/0!</v>
      </c>
    </row>
    <row r="1797" ht="11.4" hidden="1" customHeight="1" spans="1:24">
      <c r="A1797" s="184" t="s">
        <v>3192</v>
      </c>
      <c r="B1797" s="184" t="s">
        <v>121</v>
      </c>
      <c r="C1797" s="184" t="s">
        <v>1101</v>
      </c>
      <c r="D1797" s="185" t="s">
        <v>704</v>
      </c>
      <c r="E1797" s="186" t="s">
        <v>906</v>
      </c>
      <c r="F1797" s="186" t="s">
        <v>907</v>
      </c>
      <c r="G1797" s="186" t="s">
        <v>1102</v>
      </c>
      <c r="H1797" s="186" t="s">
        <v>1544</v>
      </c>
      <c r="I1797" s="187" t="s">
        <v>1123</v>
      </c>
      <c r="J1797" s="187" t="s">
        <v>1124</v>
      </c>
      <c r="K1797" s="188"/>
      <c r="L1797" s="188"/>
      <c r="M1797" s="189" t="s">
        <v>807</v>
      </c>
      <c r="N1797" s="190">
        <v>41.36</v>
      </c>
      <c r="O1797" s="190">
        <f t="shared" si="219"/>
        <v>45.08</v>
      </c>
      <c r="P1797" s="191">
        <f t="shared" si="220"/>
        <v>0</v>
      </c>
      <c r="Q1797" s="192">
        <f t="shared" si="221"/>
        <v>0</v>
      </c>
      <c r="R1797" s="193"/>
      <c r="S1797" s="194"/>
      <c r="T1797" s="195">
        <f t="shared" si="222"/>
        <v>0</v>
      </c>
      <c r="U1797" s="195">
        <f t="shared" si="223"/>
        <v>0</v>
      </c>
      <c r="V1797" s="195">
        <f t="shared" si="224"/>
        <v>0</v>
      </c>
      <c r="W1797" s="196" t="e">
        <f t="shared" si="225"/>
        <v>#DIV/0!</v>
      </c>
      <c r="X1797" s="197" t="e">
        <f t="shared" si="226"/>
        <v>#DIV/0!</v>
      </c>
    </row>
    <row r="1798" ht="11.4" hidden="1" customHeight="1" spans="1:24">
      <c r="A1798" s="184" t="s">
        <v>3192</v>
      </c>
      <c r="B1798" s="184" t="s">
        <v>121</v>
      </c>
      <c r="C1798" s="184" t="s">
        <v>1101</v>
      </c>
      <c r="D1798" s="185" t="s">
        <v>704</v>
      </c>
      <c r="E1798" s="186" t="s">
        <v>906</v>
      </c>
      <c r="F1798" s="186" t="s">
        <v>907</v>
      </c>
      <c r="G1798" s="186" t="s">
        <v>1102</v>
      </c>
      <c r="H1798" s="186" t="s">
        <v>1544</v>
      </c>
      <c r="I1798" s="187" t="s">
        <v>1125</v>
      </c>
      <c r="J1798" s="187" t="s">
        <v>1126</v>
      </c>
      <c r="K1798" s="188"/>
      <c r="L1798" s="188"/>
      <c r="M1798" s="189" t="s">
        <v>807</v>
      </c>
      <c r="N1798" s="190">
        <v>38.94</v>
      </c>
      <c r="O1798" s="190">
        <f t="shared" si="219"/>
        <v>42.44</v>
      </c>
      <c r="P1798" s="191">
        <f t="shared" si="220"/>
        <v>0</v>
      </c>
      <c r="Q1798" s="192">
        <f t="shared" si="221"/>
        <v>0</v>
      </c>
      <c r="R1798" s="193"/>
      <c r="S1798" s="194"/>
      <c r="T1798" s="195">
        <f t="shared" si="222"/>
        <v>0</v>
      </c>
      <c r="U1798" s="195">
        <f t="shared" si="223"/>
        <v>0</v>
      </c>
      <c r="V1798" s="195">
        <f t="shared" si="224"/>
        <v>0</v>
      </c>
      <c r="W1798" s="196" t="e">
        <f t="shared" si="225"/>
        <v>#DIV/0!</v>
      </c>
      <c r="X1798" s="197" t="e">
        <f t="shared" si="226"/>
        <v>#DIV/0!</v>
      </c>
    </row>
    <row r="1799" ht="11.4" hidden="1" customHeight="1" spans="1:24">
      <c r="A1799" s="184" t="s">
        <v>3192</v>
      </c>
      <c r="B1799" s="184" t="s">
        <v>121</v>
      </c>
      <c r="C1799" s="184" t="s">
        <v>1101</v>
      </c>
      <c r="D1799" s="185" t="s">
        <v>704</v>
      </c>
      <c r="E1799" s="186" t="s">
        <v>906</v>
      </c>
      <c r="F1799" s="186" t="s">
        <v>907</v>
      </c>
      <c r="G1799" s="186" t="s">
        <v>1102</v>
      </c>
      <c r="H1799" s="186" t="s">
        <v>1544</v>
      </c>
      <c r="I1799" s="187" t="s">
        <v>1127</v>
      </c>
      <c r="J1799" s="187" t="s">
        <v>1128</v>
      </c>
      <c r="K1799" s="188"/>
      <c r="L1799" s="188"/>
      <c r="M1799" s="189" t="s">
        <v>807</v>
      </c>
      <c r="N1799" s="190">
        <v>40.15</v>
      </c>
      <c r="O1799" s="190">
        <f t="shared" si="219"/>
        <v>43.76</v>
      </c>
      <c r="P1799" s="191">
        <f t="shared" si="220"/>
        <v>0</v>
      </c>
      <c r="Q1799" s="192">
        <f t="shared" si="221"/>
        <v>0</v>
      </c>
      <c r="R1799" s="193"/>
      <c r="S1799" s="194"/>
      <c r="T1799" s="195">
        <f t="shared" si="222"/>
        <v>0</v>
      </c>
      <c r="U1799" s="195">
        <f t="shared" si="223"/>
        <v>0</v>
      </c>
      <c r="V1799" s="195">
        <f t="shared" si="224"/>
        <v>0</v>
      </c>
      <c r="W1799" s="196" t="e">
        <f t="shared" si="225"/>
        <v>#DIV/0!</v>
      </c>
      <c r="X1799" s="197" t="e">
        <f t="shared" si="226"/>
        <v>#DIV/0!</v>
      </c>
    </row>
    <row r="1800" ht="11.4" hidden="1" customHeight="1" spans="1:24">
      <c r="A1800" s="184" t="s">
        <v>3192</v>
      </c>
      <c r="B1800" s="184" t="s">
        <v>121</v>
      </c>
      <c r="C1800" s="184" t="s">
        <v>1101</v>
      </c>
      <c r="D1800" s="185" t="s">
        <v>704</v>
      </c>
      <c r="E1800" s="186" t="s">
        <v>906</v>
      </c>
      <c r="F1800" s="186" t="s">
        <v>907</v>
      </c>
      <c r="G1800" s="186" t="s">
        <v>1102</v>
      </c>
      <c r="H1800" s="186" t="s">
        <v>1544</v>
      </c>
      <c r="I1800" s="187" t="s">
        <v>1141</v>
      </c>
      <c r="J1800" s="187" t="s">
        <v>1142</v>
      </c>
      <c r="K1800" s="188"/>
      <c r="L1800" s="188"/>
      <c r="M1800" s="189" t="s">
        <v>847</v>
      </c>
      <c r="N1800" s="190">
        <v>196.14</v>
      </c>
      <c r="O1800" s="190">
        <f t="shared" si="219"/>
        <v>213.79</v>
      </c>
      <c r="P1800" s="191">
        <f t="shared" si="220"/>
        <v>0</v>
      </c>
      <c r="Q1800" s="192">
        <f t="shared" si="221"/>
        <v>0</v>
      </c>
      <c r="R1800" s="193"/>
      <c r="S1800" s="194"/>
      <c r="T1800" s="195">
        <f t="shared" si="222"/>
        <v>0</v>
      </c>
      <c r="U1800" s="195">
        <f t="shared" si="223"/>
        <v>0</v>
      </c>
      <c r="V1800" s="195">
        <f t="shared" si="224"/>
        <v>0</v>
      </c>
      <c r="W1800" s="196" t="e">
        <f t="shared" si="225"/>
        <v>#DIV/0!</v>
      </c>
      <c r="X1800" s="197" t="e">
        <f t="shared" si="226"/>
        <v>#DIV/0!</v>
      </c>
    </row>
    <row r="1801" ht="11.4" hidden="1" customHeight="1" spans="1:24">
      <c r="A1801" s="184" t="s">
        <v>3192</v>
      </c>
      <c r="B1801" s="184" t="s">
        <v>121</v>
      </c>
      <c r="C1801" s="184" t="s">
        <v>1101</v>
      </c>
      <c r="D1801" s="185" t="s">
        <v>704</v>
      </c>
      <c r="E1801" s="186" t="s">
        <v>906</v>
      </c>
      <c r="F1801" s="186" t="s">
        <v>907</v>
      </c>
      <c r="G1801" s="186" t="s">
        <v>1102</v>
      </c>
      <c r="H1801" s="186" t="s">
        <v>1544</v>
      </c>
      <c r="I1801" s="187" t="s">
        <v>1143</v>
      </c>
      <c r="J1801" s="187" t="s">
        <v>1144</v>
      </c>
      <c r="K1801" s="188"/>
      <c r="L1801" s="188"/>
      <c r="M1801" s="189" t="s">
        <v>807</v>
      </c>
      <c r="N1801" s="190">
        <v>41.47</v>
      </c>
      <c r="O1801" s="190">
        <f t="shared" si="219"/>
        <v>45.2</v>
      </c>
      <c r="P1801" s="191">
        <f t="shared" si="220"/>
        <v>0</v>
      </c>
      <c r="Q1801" s="192">
        <f t="shared" si="221"/>
        <v>0</v>
      </c>
      <c r="R1801" s="193"/>
      <c r="S1801" s="194"/>
      <c r="T1801" s="195">
        <f t="shared" si="222"/>
        <v>0</v>
      </c>
      <c r="U1801" s="195">
        <f t="shared" si="223"/>
        <v>0</v>
      </c>
      <c r="V1801" s="195">
        <f t="shared" si="224"/>
        <v>0</v>
      </c>
      <c r="W1801" s="196" t="e">
        <f t="shared" si="225"/>
        <v>#DIV/0!</v>
      </c>
      <c r="X1801" s="197" t="e">
        <f t="shared" si="226"/>
        <v>#DIV/0!</v>
      </c>
    </row>
    <row r="1802" ht="11.4" hidden="1" customHeight="1" spans="1:24">
      <c r="A1802" s="184" t="s">
        <v>3192</v>
      </c>
      <c r="B1802" s="184" t="s">
        <v>121</v>
      </c>
      <c r="C1802" s="184" t="s">
        <v>1101</v>
      </c>
      <c r="D1802" s="185" t="s">
        <v>704</v>
      </c>
      <c r="E1802" s="186" t="s">
        <v>906</v>
      </c>
      <c r="F1802" s="186" t="s">
        <v>907</v>
      </c>
      <c r="G1802" s="186" t="s">
        <v>1102</v>
      </c>
      <c r="H1802" s="186" t="s">
        <v>1544</v>
      </c>
      <c r="I1802" s="187" t="s">
        <v>1145</v>
      </c>
      <c r="J1802" s="187" t="s">
        <v>1146</v>
      </c>
      <c r="K1802" s="188"/>
      <c r="L1802" s="188"/>
      <c r="M1802" s="189" t="s">
        <v>847</v>
      </c>
      <c r="N1802" s="190">
        <v>179.82</v>
      </c>
      <c r="O1802" s="190">
        <f t="shared" si="219"/>
        <v>196</v>
      </c>
      <c r="P1802" s="191">
        <f t="shared" si="220"/>
        <v>0</v>
      </c>
      <c r="Q1802" s="192">
        <f t="shared" si="221"/>
        <v>0</v>
      </c>
      <c r="R1802" s="193"/>
      <c r="S1802" s="194"/>
      <c r="T1802" s="195">
        <f t="shared" si="222"/>
        <v>0</v>
      </c>
      <c r="U1802" s="195">
        <f t="shared" si="223"/>
        <v>0</v>
      </c>
      <c r="V1802" s="195">
        <f t="shared" si="224"/>
        <v>0</v>
      </c>
      <c r="W1802" s="196" t="e">
        <f t="shared" si="225"/>
        <v>#DIV/0!</v>
      </c>
      <c r="X1802" s="197" t="e">
        <f t="shared" si="226"/>
        <v>#DIV/0!</v>
      </c>
    </row>
    <row r="1803" ht="11.4" hidden="1" customHeight="1" spans="1:24">
      <c r="A1803" s="184" t="s">
        <v>3192</v>
      </c>
      <c r="B1803" s="184" t="s">
        <v>121</v>
      </c>
      <c r="C1803" s="184" t="s">
        <v>1101</v>
      </c>
      <c r="D1803" s="185" t="s">
        <v>704</v>
      </c>
      <c r="E1803" s="186" t="s">
        <v>906</v>
      </c>
      <c r="F1803" s="186" t="s">
        <v>907</v>
      </c>
      <c r="G1803" s="186" t="s">
        <v>1102</v>
      </c>
      <c r="H1803" s="186" t="s">
        <v>1544</v>
      </c>
      <c r="I1803" s="187" t="s">
        <v>1147</v>
      </c>
      <c r="J1803" s="187" t="s">
        <v>1148</v>
      </c>
      <c r="K1803" s="188"/>
      <c r="L1803" s="188"/>
      <c r="M1803" s="189" t="s">
        <v>807</v>
      </c>
      <c r="N1803" s="190">
        <v>37.84</v>
      </c>
      <c r="O1803" s="190">
        <f t="shared" si="219"/>
        <v>41.25</v>
      </c>
      <c r="P1803" s="191">
        <f t="shared" si="220"/>
        <v>0</v>
      </c>
      <c r="Q1803" s="192">
        <f t="shared" si="221"/>
        <v>0</v>
      </c>
      <c r="R1803" s="193"/>
      <c r="S1803" s="194"/>
      <c r="T1803" s="195">
        <f t="shared" si="222"/>
        <v>0</v>
      </c>
      <c r="U1803" s="195">
        <f t="shared" si="223"/>
        <v>0</v>
      </c>
      <c r="V1803" s="195">
        <f t="shared" si="224"/>
        <v>0</v>
      </c>
      <c r="W1803" s="196" t="e">
        <f t="shared" si="225"/>
        <v>#DIV/0!</v>
      </c>
      <c r="X1803" s="197" t="e">
        <f t="shared" si="226"/>
        <v>#DIV/0!</v>
      </c>
    </row>
    <row r="1804" ht="11.4" hidden="1" customHeight="1" spans="1:24">
      <c r="A1804" s="184" t="s">
        <v>3192</v>
      </c>
      <c r="B1804" s="184" t="s">
        <v>121</v>
      </c>
      <c r="C1804" s="184" t="s">
        <v>1101</v>
      </c>
      <c r="D1804" s="185" t="s">
        <v>704</v>
      </c>
      <c r="E1804" s="186" t="s">
        <v>906</v>
      </c>
      <c r="F1804" s="186" t="s">
        <v>907</v>
      </c>
      <c r="G1804" s="186" t="s">
        <v>1102</v>
      </c>
      <c r="H1804" s="186" t="s">
        <v>1544</v>
      </c>
      <c r="I1804" s="187" t="s">
        <v>1149</v>
      </c>
      <c r="J1804" s="187" t="s">
        <v>1150</v>
      </c>
      <c r="K1804" s="188"/>
      <c r="L1804" s="188"/>
      <c r="M1804" s="189" t="s">
        <v>847</v>
      </c>
      <c r="N1804" s="190">
        <v>193.81</v>
      </c>
      <c r="O1804" s="190">
        <f t="shared" si="219"/>
        <v>211.25</v>
      </c>
      <c r="P1804" s="191">
        <f t="shared" si="220"/>
        <v>0</v>
      </c>
      <c r="Q1804" s="192">
        <f t="shared" si="221"/>
        <v>0</v>
      </c>
      <c r="R1804" s="193"/>
      <c r="S1804" s="194"/>
      <c r="T1804" s="195">
        <f t="shared" si="222"/>
        <v>0</v>
      </c>
      <c r="U1804" s="195">
        <f t="shared" si="223"/>
        <v>0</v>
      </c>
      <c r="V1804" s="195">
        <f t="shared" si="224"/>
        <v>0</v>
      </c>
      <c r="W1804" s="196" t="e">
        <f t="shared" si="225"/>
        <v>#DIV/0!</v>
      </c>
      <c r="X1804" s="197" t="e">
        <f t="shared" si="226"/>
        <v>#DIV/0!</v>
      </c>
    </row>
    <row r="1805" ht="11.4" hidden="1" customHeight="1" spans="1:24">
      <c r="A1805" s="184" t="s">
        <v>3192</v>
      </c>
      <c r="B1805" s="184" t="s">
        <v>121</v>
      </c>
      <c r="C1805" s="184" t="s">
        <v>1101</v>
      </c>
      <c r="D1805" s="185" t="s">
        <v>704</v>
      </c>
      <c r="E1805" s="186" t="s">
        <v>906</v>
      </c>
      <c r="F1805" s="186" t="s">
        <v>907</v>
      </c>
      <c r="G1805" s="186" t="s">
        <v>1102</v>
      </c>
      <c r="H1805" s="186" t="s">
        <v>1544</v>
      </c>
      <c r="I1805" s="187" t="s">
        <v>1151</v>
      </c>
      <c r="J1805" s="187" t="s">
        <v>1152</v>
      </c>
      <c r="K1805" s="188"/>
      <c r="L1805" s="188"/>
      <c r="M1805" s="189" t="s">
        <v>807</v>
      </c>
      <c r="N1805" s="190">
        <v>39.05</v>
      </c>
      <c r="O1805" s="190">
        <f t="shared" ref="O1805:O1868" si="227">ROUND(N1805*(1+$F$10),2)</f>
        <v>42.56</v>
      </c>
      <c r="P1805" s="191">
        <f t="shared" ref="P1805:P1868" si="228">ROUND(K1805*N1805,2)</f>
        <v>0</v>
      </c>
      <c r="Q1805" s="192">
        <f t="shared" si="221"/>
        <v>0</v>
      </c>
      <c r="R1805" s="193"/>
      <c r="S1805" s="194"/>
      <c r="T1805" s="195">
        <f t="shared" si="222"/>
        <v>0</v>
      </c>
      <c r="U1805" s="195">
        <f t="shared" si="223"/>
        <v>0</v>
      </c>
      <c r="V1805" s="195">
        <f t="shared" si="224"/>
        <v>0</v>
      </c>
      <c r="W1805" s="196" t="e">
        <f t="shared" si="225"/>
        <v>#DIV/0!</v>
      </c>
      <c r="X1805" s="197" t="e">
        <f t="shared" si="226"/>
        <v>#DIV/0!</v>
      </c>
    </row>
    <row r="1806" ht="11.4" hidden="1" customHeight="1" spans="1:24">
      <c r="A1806" s="184" t="s">
        <v>3192</v>
      </c>
      <c r="B1806" s="184" t="s">
        <v>121</v>
      </c>
      <c r="C1806" s="184" t="s">
        <v>1101</v>
      </c>
      <c r="D1806" s="185" t="s">
        <v>704</v>
      </c>
      <c r="E1806" s="186" t="s">
        <v>906</v>
      </c>
      <c r="F1806" s="186" t="s">
        <v>907</v>
      </c>
      <c r="G1806" s="186" t="s">
        <v>1102</v>
      </c>
      <c r="H1806" s="186" t="s">
        <v>1546</v>
      </c>
      <c r="I1806" s="187" t="s">
        <v>1547</v>
      </c>
      <c r="J1806" s="187" t="s">
        <v>1548</v>
      </c>
      <c r="K1806" s="188"/>
      <c r="L1806" s="188"/>
      <c r="M1806" s="189" t="s">
        <v>847</v>
      </c>
      <c r="N1806" s="190">
        <v>167.98</v>
      </c>
      <c r="O1806" s="190">
        <f t="shared" si="227"/>
        <v>183.1</v>
      </c>
      <c r="P1806" s="191">
        <f t="shared" si="228"/>
        <v>0</v>
      </c>
      <c r="Q1806" s="192">
        <f t="shared" ref="Q1806:Q1869" si="229">ROUND(L1806*N1806,2)</f>
        <v>0</v>
      </c>
      <c r="R1806" s="193"/>
      <c r="S1806" s="194"/>
      <c r="T1806" s="195">
        <f t="shared" ref="T1806:T1869" si="230">K1806-L1806</f>
        <v>0</v>
      </c>
      <c r="U1806" s="195">
        <f t="shared" ref="U1806:U1869" si="231">P1806-Q1806</f>
        <v>0</v>
      </c>
      <c r="V1806" s="195">
        <f t="shared" ref="V1806:V1869" si="232">ABS(U1806)</f>
        <v>0</v>
      </c>
      <c r="W1806" s="196" t="e">
        <f t="shared" ref="W1806:W1869" si="233">T1806/L1806</f>
        <v>#DIV/0!</v>
      </c>
      <c r="X1806" s="197" t="e">
        <f t="shared" ref="X1806:X1869" si="234">ABS(W1806)</f>
        <v>#DIV/0!</v>
      </c>
    </row>
    <row r="1807" ht="11.4" hidden="1" customHeight="1" spans="1:24">
      <c r="A1807" s="184" t="s">
        <v>3192</v>
      </c>
      <c r="B1807" s="184" t="s">
        <v>121</v>
      </c>
      <c r="C1807" s="184" t="s">
        <v>1101</v>
      </c>
      <c r="D1807" s="185" t="s">
        <v>704</v>
      </c>
      <c r="E1807" s="186" t="s">
        <v>906</v>
      </c>
      <c r="F1807" s="186" t="s">
        <v>907</v>
      </c>
      <c r="G1807" s="186" t="s">
        <v>1102</v>
      </c>
      <c r="H1807" s="186" t="s">
        <v>1546</v>
      </c>
      <c r="I1807" s="187" t="s">
        <v>1549</v>
      </c>
      <c r="J1807" s="187" t="s">
        <v>1550</v>
      </c>
      <c r="K1807" s="188"/>
      <c r="L1807" s="188"/>
      <c r="M1807" s="189" t="s">
        <v>847</v>
      </c>
      <c r="N1807" s="190">
        <v>147.41</v>
      </c>
      <c r="O1807" s="190">
        <f t="shared" si="227"/>
        <v>160.68</v>
      </c>
      <c r="P1807" s="191">
        <f t="shared" si="228"/>
        <v>0</v>
      </c>
      <c r="Q1807" s="192">
        <f t="shared" si="229"/>
        <v>0</v>
      </c>
      <c r="R1807" s="193"/>
      <c r="S1807" s="194"/>
      <c r="T1807" s="195">
        <f t="shared" si="230"/>
        <v>0</v>
      </c>
      <c r="U1807" s="195">
        <f t="shared" si="231"/>
        <v>0</v>
      </c>
      <c r="V1807" s="195">
        <f t="shared" si="232"/>
        <v>0</v>
      </c>
      <c r="W1807" s="196" t="e">
        <f t="shared" si="233"/>
        <v>#DIV/0!</v>
      </c>
      <c r="X1807" s="197" t="e">
        <f t="shared" si="234"/>
        <v>#DIV/0!</v>
      </c>
    </row>
    <row r="1808" ht="11.4" hidden="1" customHeight="1" spans="1:24">
      <c r="A1808" s="184" t="s">
        <v>3192</v>
      </c>
      <c r="B1808" s="184" t="s">
        <v>121</v>
      </c>
      <c r="C1808" s="184" t="s">
        <v>1101</v>
      </c>
      <c r="D1808" s="185" t="s">
        <v>704</v>
      </c>
      <c r="E1808" s="186" t="s">
        <v>906</v>
      </c>
      <c r="F1808" s="186" t="s">
        <v>907</v>
      </c>
      <c r="G1808" s="186" t="s">
        <v>1102</v>
      </c>
      <c r="H1808" s="186" t="s">
        <v>1546</v>
      </c>
      <c r="I1808" s="187" t="s">
        <v>1551</v>
      </c>
      <c r="J1808" s="187" t="s">
        <v>1552</v>
      </c>
      <c r="K1808" s="188"/>
      <c r="L1808" s="188"/>
      <c r="M1808" s="189" t="s">
        <v>847</v>
      </c>
      <c r="N1808" s="190">
        <v>169.19</v>
      </c>
      <c r="O1808" s="190">
        <f t="shared" si="227"/>
        <v>184.42</v>
      </c>
      <c r="P1808" s="191">
        <f t="shared" si="228"/>
        <v>0</v>
      </c>
      <c r="Q1808" s="192">
        <f t="shared" si="229"/>
        <v>0</v>
      </c>
      <c r="R1808" s="193"/>
      <c r="S1808" s="194"/>
      <c r="T1808" s="195">
        <f t="shared" si="230"/>
        <v>0</v>
      </c>
      <c r="U1808" s="195">
        <f t="shared" si="231"/>
        <v>0</v>
      </c>
      <c r="V1808" s="195">
        <f t="shared" si="232"/>
        <v>0</v>
      </c>
      <c r="W1808" s="196" t="e">
        <f t="shared" si="233"/>
        <v>#DIV/0!</v>
      </c>
      <c r="X1808" s="197" t="e">
        <f t="shared" si="234"/>
        <v>#DIV/0!</v>
      </c>
    </row>
    <row r="1809" ht="11.4" hidden="1" customHeight="1" spans="1:24">
      <c r="A1809" s="184" t="s">
        <v>3192</v>
      </c>
      <c r="B1809" s="184" t="s">
        <v>121</v>
      </c>
      <c r="C1809" s="184" t="s">
        <v>1101</v>
      </c>
      <c r="D1809" s="185" t="s">
        <v>704</v>
      </c>
      <c r="E1809" s="186" t="s">
        <v>906</v>
      </c>
      <c r="F1809" s="186" t="s">
        <v>907</v>
      </c>
      <c r="G1809" s="186" t="s">
        <v>1102</v>
      </c>
      <c r="H1809" s="186" t="s">
        <v>1546</v>
      </c>
      <c r="I1809" s="187" t="s">
        <v>1553</v>
      </c>
      <c r="J1809" s="187" t="s">
        <v>1554</v>
      </c>
      <c r="K1809" s="188"/>
      <c r="L1809" s="188"/>
      <c r="M1809" s="189" t="s">
        <v>847</v>
      </c>
      <c r="N1809" s="190">
        <v>175.9</v>
      </c>
      <c r="O1809" s="190">
        <f t="shared" si="227"/>
        <v>191.73</v>
      </c>
      <c r="P1809" s="191">
        <f t="shared" si="228"/>
        <v>0</v>
      </c>
      <c r="Q1809" s="192">
        <f t="shared" si="229"/>
        <v>0</v>
      </c>
      <c r="R1809" s="193"/>
      <c r="S1809" s="194"/>
      <c r="T1809" s="195">
        <f t="shared" si="230"/>
        <v>0</v>
      </c>
      <c r="U1809" s="195">
        <f t="shared" si="231"/>
        <v>0</v>
      </c>
      <c r="V1809" s="195">
        <f t="shared" si="232"/>
        <v>0</v>
      </c>
      <c r="W1809" s="196" t="e">
        <f t="shared" si="233"/>
        <v>#DIV/0!</v>
      </c>
      <c r="X1809" s="197" t="e">
        <f t="shared" si="234"/>
        <v>#DIV/0!</v>
      </c>
    </row>
    <row r="1810" ht="11.4" hidden="1" customHeight="1" spans="1:24">
      <c r="A1810" s="184" t="s">
        <v>3192</v>
      </c>
      <c r="B1810" s="184" t="s">
        <v>121</v>
      </c>
      <c r="C1810" s="184" t="s">
        <v>1101</v>
      </c>
      <c r="D1810" s="185" t="s">
        <v>704</v>
      </c>
      <c r="E1810" s="186" t="s">
        <v>906</v>
      </c>
      <c r="F1810" s="186" t="s">
        <v>907</v>
      </c>
      <c r="G1810" s="186" t="s">
        <v>1102</v>
      </c>
      <c r="H1810" s="186" t="s">
        <v>1546</v>
      </c>
      <c r="I1810" s="187" t="s">
        <v>1555</v>
      </c>
      <c r="J1810" s="187" t="s">
        <v>1556</v>
      </c>
      <c r="K1810" s="188"/>
      <c r="L1810" s="188"/>
      <c r="M1810" s="189" t="s">
        <v>847</v>
      </c>
      <c r="N1810" s="190">
        <v>175.9</v>
      </c>
      <c r="O1810" s="190">
        <f t="shared" si="227"/>
        <v>191.73</v>
      </c>
      <c r="P1810" s="191">
        <f t="shared" si="228"/>
        <v>0</v>
      </c>
      <c r="Q1810" s="192">
        <f t="shared" si="229"/>
        <v>0</v>
      </c>
      <c r="R1810" s="193"/>
      <c r="S1810" s="194"/>
      <c r="T1810" s="195">
        <f t="shared" si="230"/>
        <v>0</v>
      </c>
      <c r="U1810" s="195">
        <f t="shared" si="231"/>
        <v>0</v>
      </c>
      <c r="V1810" s="195">
        <f t="shared" si="232"/>
        <v>0</v>
      </c>
      <c r="W1810" s="196" t="e">
        <f t="shared" si="233"/>
        <v>#DIV/0!</v>
      </c>
      <c r="X1810" s="197" t="e">
        <f t="shared" si="234"/>
        <v>#DIV/0!</v>
      </c>
    </row>
    <row r="1811" ht="11.4" hidden="1" customHeight="1" spans="1:24">
      <c r="A1811" s="184" t="s">
        <v>3192</v>
      </c>
      <c r="B1811" s="184" t="s">
        <v>121</v>
      </c>
      <c r="C1811" s="184" t="s">
        <v>1101</v>
      </c>
      <c r="D1811" s="185" t="s">
        <v>704</v>
      </c>
      <c r="E1811" s="186" t="s">
        <v>906</v>
      </c>
      <c r="F1811" s="186" t="s">
        <v>907</v>
      </c>
      <c r="G1811" s="186" t="s">
        <v>1102</v>
      </c>
      <c r="H1811" s="186" t="s">
        <v>1546</v>
      </c>
      <c r="I1811" s="187" t="s">
        <v>1557</v>
      </c>
      <c r="J1811" s="187" t="s">
        <v>1558</v>
      </c>
      <c r="K1811" s="188"/>
      <c r="L1811" s="188"/>
      <c r="M1811" s="189" t="s">
        <v>847</v>
      </c>
      <c r="N1811" s="190">
        <v>166.22</v>
      </c>
      <c r="O1811" s="190">
        <f t="shared" si="227"/>
        <v>181.18</v>
      </c>
      <c r="P1811" s="191">
        <f t="shared" si="228"/>
        <v>0</v>
      </c>
      <c r="Q1811" s="192">
        <f t="shared" si="229"/>
        <v>0</v>
      </c>
      <c r="R1811" s="193"/>
      <c r="S1811" s="194"/>
      <c r="T1811" s="195">
        <f t="shared" si="230"/>
        <v>0</v>
      </c>
      <c r="U1811" s="195">
        <f t="shared" si="231"/>
        <v>0</v>
      </c>
      <c r="V1811" s="195">
        <f t="shared" si="232"/>
        <v>0</v>
      </c>
      <c r="W1811" s="196" t="e">
        <f t="shared" si="233"/>
        <v>#DIV/0!</v>
      </c>
      <c r="X1811" s="197" t="e">
        <f t="shared" si="234"/>
        <v>#DIV/0!</v>
      </c>
    </row>
    <row r="1812" ht="11.4" hidden="1" customHeight="1" spans="1:24">
      <c r="A1812" s="184" t="s">
        <v>3192</v>
      </c>
      <c r="B1812" s="184" t="s">
        <v>121</v>
      </c>
      <c r="C1812" s="184" t="s">
        <v>1101</v>
      </c>
      <c r="D1812" s="185" t="s">
        <v>704</v>
      </c>
      <c r="E1812" s="186" t="s">
        <v>906</v>
      </c>
      <c r="F1812" s="186" t="s">
        <v>907</v>
      </c>
      <c r="G1812" s="186" t="s">
        <v>1102</v>
      </c>
      <c r="H1812" s="186" t="s">
        <v>1546</v>
      </c>
      <c r="I1812" s="187" t="s">
        <v>1559</v>
      </c>
      <c r="J1812" s="187" t="s">
        <v>1560</v>
      </c>
      <c r="K1812" s="188"/>
      <c r="L1812" s="188"/>
      <c r="M1812" s="189" t="s">
        <v>847</v>
      </c>
      <c r="N1812" s="190">
        <v>58.39</v>
      </c>
      <c r="O1812" s="190">
        <f t="shared" si="227"/>
        <v>63.65</v>
      </c>
      <c r="P1812" s="191">
        <f t="shared" si="228"/>
        <v>0</v>
      </c>
      <c r="Q1812" s="192">
        <f t="shared" si="229"/>
        <v>0</v>
      </c>
      <c r="R1812" s="193"/>
      <c r="S1812" s="194"/>
      <c r="T1812" s="195">
        <f t="shared" si="230"/>
        <v>0</v>
      </c>
      <c r="U1812" s="195">
        <f t="shared" si="231"/>
        <v>0</v>
      </c>
      <c r="V1812" s="195">
        <f t="shared" si="232"/>
        <v>0</v>
      </c>
      <c r="W1812" s="196" t="e">
        <f t="shared" si="233"/>
        <v>#DIV/0!</v>
      </c>
      <c r="X1812" s="197" t="e">
        <f t="shared" si="234"/>
        <v>#DIV/0!</v>
      </c>
    </row>
    <row r="1813" ht="11.4" hidden="1" customHeight="1" spans="1:24">
      <c r="A1813" s="184" t="s">
        <v>3192</v>
      </c>
      <c r="B1813" s="184" t="s">
        <v>121</v>
      </c>
      <c r="C1813" s="184" t="s">
        <v>1101</v>
      </c>
      <c r="D1813" s="185" t="s">
        <v>704</v>
      </c>
      <c r="E1813" s="186" t="s">
        <v>906</v>
      </c>
      <c r="F1813" s="186" t="s">
        <v>907</v>
      </c>
      <c r="G1813" s="186" t="s">
        <v>1102</v>
      </c>
      <c r="H1813" s="186" t="s">
        <v>1561</v>
      </c>
      <c r="I1813" s="187" t="s">
        <v>1336</v>
      </c>
      <c r="J1813" s="187" t="s">
        <v>1337</v>
      </c>
      <c r="K1813" s="188"/>
      <c r="L1813" s="188"/>
      <c r="M1813" s="189" t="s">
        <v>847</v>
      </c>
      <c r="N1813" s="190">
        <v>62.19</v>
      </c>
      <c r="O1813" s="190">
        <f t="shared" si="227"/>
        <v>67.79</v>
      </c>
      <c r="P1813" s="191">
        <f t="shared" si="228"/>
        <v>0</v>
      </c>
      <c r="Q1813" s="192">
        <f t="shared" si="229"/>
        <v>0</v>
      </c>
      <c r="R1813" s="193"/>
      <c r="S1813" s="194"/>
      <c r="T1813" s="195">
        <f t="shared" si="230"/>
        <v>0</v>
      </c>
      <c r="U1813" s="195">
        <f t="shared" si="231"/>
        <v>0</v>
      </c>
      <c r="V1813" s="195">
        <f t="shared" si="232"/>
        <v>0</v>
      </c>
      <c r="W1813" s="196" t="e">
        <f t="shared" si="233"/>
        <v>#DIV/0!</v>
      </c>
      <c r="X1813" s="197" t="e">
        <f t="shared" si="234"/>
        <v>#DIV/0!</v>
      </c>
    </row>
    <row r="1814" ht="11.4" hidden="1" customHeight="1" spans="1:24">
      <c r="A1814" s="184" t="s">
        <v>3192</v>
      </c>
      <c r="B1814" s="184" t="s">
        <v>121</v>
      </c>
      <c r="C1814" s="184" t="s">
        <v>1101</v>
      </c>
      <c r="D1814" s="185" t="s">
        <v>704</v>
      </c>
      <c r="E1814" s="186" t="s">
        <v>906</v>
      </c>
      <c r="F1814" s="186" t="s">
        <v>907</v>
      </c>
      <c r="G1814" s="186" t="s">
        <v>1102</v>
      </c>
      <c r="H1814" s="186" t="s">
        <v>1561</v>
      </c>
      <c r="I1814" s="187" t="s">
        <v>1562</v>
      </c>
      <c r="J1814" s="187" t="s">
        <v>1563</v>
      </c>
      <c r="K1814" s="188"/>
      <c r="L1814" s="188"/>
      <c r="M1814" s="189" t="s">
        <v>847</v>
      </c>
      <c r="N1814" s="190">
        <v>139.73</v>
      </c>
      <c r="O1814" s="190">
        <f t="shared" si="227"/>
        <v>152.31</v>
      </c>
      <c r="P1814" s="191">
        <f t="shared" si="228"/>
        <v>0</v>
      </c>
      <c r="Q1814" s="192">
        <f t="shared" si="229"/>
        <v>0</v>
      </c>
      <c r="R1814" s="193"/>
      <c r="S1814" s="194"/>
      <c r="T1814" s="195">
        <f t="shared" si="230"/>
        <v>0</v>
      </c>
      <c r="U1814" s="195">
        <f t="shared" si="231"/>
        <v>0</v>
      </c>
      <c r="V1814" s="195">
        <f t="shared" si="232"/>
        <v>0</v>
      </c>
      <c r="W1814" s="196" t="e">
        <f t="shared" si="233"/>
        <v>#DIV/0!</v>
      </c>
      <c r="X1814" s="197" t="e">
        <f t="shared" si="234"/>
        <v>#DIV/0!</v>
      </c>
    </row>
    <row r="1815" ht="11.4" hidden="1" customHeight="1" spans="1:24">
      <c r="A1815" s="184" t="s">
        <v>3192</v>
      </c>
      <c r="B1815" s="184" t="s">
        <v>121</v>
      </c>
      <c r="C1815" s="184" t="s">
        <v>1101</v>
      </c>
      <c r="D1815" s="185" t="s">
        <v>704</v>
      </c>
      <c r="E1815" s="186" t="s">
        <v>906</v>
      </c>
      <c r="F1815" s="186" t="s">
        <v>907</v>
      </c>
      <c r="G1815" s="186" t="s">
        <v>1102</v>
      </c>
      <c r="H1815" s="186" t="s">
        <v>1561</v>
      </c>
      <c r="I1815" s="187" t="s">
        <v>1564</v>
      </c>
      <c r="J1815" s="187" t="s">
        <v>1565</v>
      </c>
      <c r="K1815" s="188"/>
      <c r="L1815" s="188"/>
      <c r="M1815" s="189" t="s">
        <v>807</v>
      </c>
      <c r="N1815" s="190">
        <v>93.71</v>
      </c>
      <c r="O1815" s="190">
        <f t="shared" si="227"/>
        <v>102.14</v>
      </c>
      <c r="P1815" s="191">
        <f t="shared" si="228"/>
        <v>0</v>
      </c>
      <c r="Q1815" s="192">
        <f t="shared" si="229"/>
        <v>0</v>
      </c>
      <c r="R1815" s="193"/>
      <c r="S1815" s="194"/>
      <c r="T1815" s="195">
        <f t="shared" si="230"/>
        <v>0</v>
      </c>
      <c r="U1815" s="195">
        <f t="shared" si="231"/>
        <v>0</v>
      </c>
      <c r="V1815" s="195">
        <f t="shared" si="232"/>
        <v>0</v>
      </c>
      <c r="W1815" s="196" t="e">
        <f t="shared" si="233"/>
        <v>#DIV/0!</v>
      </c>
      <c r="X1815" s="197" t="e">
        <f t="shared" si="234"/>
        <v>#DIV/0!</v>
      </c>
    </row>
    <row r="1816" ht="11.4" hidden="1" customHeight="1" spans="1:24">
      <c r="A1816" s="184" t="s">
        <v>3192</v>
      </c>
      <c r="B1816" s="184" t="s">
        <v>121</v>
      </c>
      <c r="C1816" s="184" t="s">
        <v>1101</v>
      </c>
      <c r="D1816" s="185" t="s">
        <v>704</v>
      </c>
      <c r="E1816" s="186" t="s">
        <v>906</v>
      </c>
      <c r="F1816" s="186" t="s">
        <v>907</v>
      </c>
      <c r="G1816" s="186" t="s">
        <v>1102</v>
      </c>
      <c r="H1816" s="186" t="s">
        <v>1566</v>
      </c>
      <c r="I1816" s="187" t="s">
        <v>1567</v>
      </c>
      <c r="J1816" s="187" t="s">
        <v>1568</v>
      </c>
      <c r="K1816" s="188"/>
      <c r="L1816" s="188"/>
      <c r="M1816" s="189" t="s">
        <v>807</v>
      </c>
      <c r="N1816" s="190">
        <v>2589.58</v>
      </c>
      <c r="O1816" s="190">
        <f t="shared" si="227"/>
        <v>2822.64</v>
      </c>
      <c r="P1816" s="191">
        <f t="shared" si="228"/>
        <v>0</v>
      </c>
      <c r="Q1816" s="192">
        <f t="shared" si="229"/>
        <v>0</v>
      </c>
      <c r="R1816" s="193"/>
      <c r="S1816" s="194"/>
      <c r="T1816" s="195">
        <f t="shared" si="230"/>
        <v>0</v>
      </c>
      <c r="U1816" s="195">
        <f t="shared" si="231"/>
        <v>0</v>
      </c>
      <c r="V1816" s="195">
        <f t="shared" si="232"/>
        <v>0</v>
      </c>
      <c r="W1816" s="196" t="e">
        <f t="shared" si="233"/>
        <v>#DIV/0!</v>
      </c>
      <c r="X1816" s="197" t="e">
        <f t="shared" si="234"/>
        <v>#DIV/0!</v>
      </c>
    </row>
    <row r="1817" ht="11.4" hidden="1" customHeight="1" spans="1:24">
      <c r="A1817" s="184" t="s">
        <v>3192</v>
      </c>
      <c r="B1817" s="184" t="s">
        <v>121</v>
      </c>
      <c r="C1817" s="184" t="s">
        <v>1101</v>
      </c>
      <c r="D1817" s="185" t="s">
        <v>704</v>
      </c>
      <c r="E1817" s="186" t="s">
        <v>906</v>
      </c>
      <c r="F1817" s="186" t="s">
        <v>907</v>
      </c>
      <c r="G1817" s="186" t="s">
        <v>1102</v>
      </c>
      <c r="H1817" s="186" t="s">
        <v>1566</v>
      </c>
      <c r="I1817" s="187" t="s">
        <v>1570</v>
      </c>
      <c r="J1817" s="187" t="s">
        <v>1571</v>
      </c>
      <c r="K1817" s="188"/>
      <c r="L1817" s="188"/>
      <c r="M1817" s="189" t="s">
        <v>807</v>
      </c>
      <c r="N1817" s="190">
        <v>1470.3</v>
      </c>
      <c r="O1817" s="190">
        <f t="shared" si="227"/>
        <v>1602.63</v>
      </c>
      <c r="P1817" s="191">
        <f t="shared" si="228"/>
        <v>0</v>
      </c>
      <c r="Q1817" s="192">
        <f t="shared" si="229"/>
        <v>0</v>
      </c>
      <c r="R1817" s="193"/>
      <c r="S1817" s="194"/>
      <c r="T1817" s="195">
        <f t="shared" si="230"/>
        <v>0</v>
      </c>
      <c r="U1817" s="195">
        <f t="shared" si="231"/>
        <v>0</v>
      </c>
      <c r="V1817" s="195">
        <f t="shared" si="232"/>
        <v>0</v>
      </c>
      <c r="W1817" s="196" t="e">
        <f t="shared" si="233"/>
        <v>#DIV/0!</v>
      </c>
      <c r="X1817" s="197" t="e">
        <f t="shared" si="234"/>
        <v>#DIV/0!</v>
      </c>
    </row>
    <row r="1818" ht="11.4" hidden="1" customHeight="1" spans="1:24">
      <c r="A1818" s="184" t="s">
        <v>3192</v>
      </c>
      <c r="B1818" s="184" t="s">
        <v>121</v>
      </c>
      <c r="C1818" s="184" t="s">
        <v>1101</v>
      </c>
      <c r="D1818" s="185" t="s">
        <v>704</v>
      </c>
      <c r="E1818" s="186" t="s">
        <v>906</v>
      </c>
      <c r="F1818" s="186" t="s">
        <v>907</v>
      </c>
      <c r="G1818" s="186" t="s">
        <v>1102</v>
      </c>
      <c r="H1818" s="186" t="s">
        <v>1566</v>
      </c>
      <c r="I1818" s="187" t="s">
        <v>1572</v>
      </c>
      <c r="J1818" s="187" t="s">
        <v>1573</v>
      </c>
      <c r="K1818" s="188"/>
      <c r="L1818" s="188"/>
      <c r="M1818" s="189" t="s">
        <v>989</v>
      </c>
      <c r="N1818" s="190">
        <v>2108.28</v>
      </c>
      <c r="O1818" s="190">
        <f t="shared" si="227"/>
        <v>2298.03</v>
      </c>
      <c r="P1818" s="191">
        <f t="shared" si="228"/>
        <v>0</v>
      </c>
      <c r="Q1818" s="192">
        <f t="shared" si="229"/>
        <v>0</v>
      </c>
      <c r="R1818" s="193"/>
      <c r="S1818" s="194"/>
      <c r="T1818" s="195">
        <f t="shared" si="230"/>
        <v>0</v>
      </c>
      <c r="U1818" s="195">
        <f t="shared" si="231"/>
        <v>0</v>
      </c>
      <c r="V1818" s="195">
        <f t="shared" si="232"/>
        <v>0</v>
      </c>
      <c r="W1818" s="196" t="e">
        <f t="shared" si="233"/>
        <v>#DIV/0!</v>
      </c>
      <c r="X1818" s="197" t="e">
        <f t="shared" si="234"/>
        <v>#DIV/0!</v>
      </c>
    </row>
    <row r="1819" ht="11.4" hidden="1" customHeight="1" spans="1:24">
      <c r="A1819" s="184" t="s">
        <v>3192</v>
      </c>
      <c r="B1819" s="184" t="s">
        <v>121</v>
      </c>
      <c r="C1819" s="184" t="s">
        <v>1101</v>
      </c>
      <c r="D1819" s="185" t="s">
        <v>704</v>
      </c>
      <c r="E1819" s="186" t="s">
        <v>906</v>
      </c>
      <c r="F1819" s="186" t="s">
        <v>907</v>
      </c>
      <c r="G1819" s="186" t="s">
        <v>1102</v>
      </c>
      <c r="H1819" s="186" t="s">
        <v>1566</v>
      </c>
      <c r="I1819" s="187" t="s">
        <v>1574</v>
      </c>
      <c r="J1819" s="187" t="s">
        <v>1575</v>
      </c>
      <c r="K1819" s="188"/>
      <c r="L1819" s="188"/>
      <c r="M1819" s="189" t="s">
        <v>807</v>
      </c>
      <c r="N1819" s="190">
        <v>2215.04</v>
      </c>
      <c r="O1819" s="190">
        <f t="shared" si="227"/>
        <v>2414.39</v>
      </c>
      <c r="P1819" s="191">
        <f t="shared" si="228"/>
        <v>0</v>
      </c>
      <c r="Q1819" s="192">
        <f t="shared" si="229"/>
        <v>0</v>
      </c>
      <c r="R1819" s="193"/>
      <c r="S1819" s="194"/>
      <c r="T1819" s="195">
        <f t="shared" si="230"/>
        <v>0</v>
      </c>
      <c r="U1819" s="195">
        <f t="shared" si="231"/>
        <v>0</v>
      </c>
      <c r="V1819" s="195">
        <f t="shared" si="232"/>
        <v>0</v>
      </c>
      <c r="W1819" s="196" t="e">
        <f t="shared" si="233"/>
        <v>#DIV/0!</v>
      </c>
      <c r="X1819" s="197" t="e">
        <f t="shared" si="234"/>
        <v>#DIV/0!</v>
      </c>
    </row>
    <row r="1820" ht="11.4" hidden="1" customHeight="1" spans="1:24">
      <c r="A1820" s="184" t="s">
        <v>3192</v>
      </c>
      <c r="B1820" s="184" t="s">
        <v>121</v>
      </c>
      <c r="C1820" s="184" t="s">
        <v>1101</v>
      </c>
      <c r="D1820" s="185" t="s">
        <v>704</v>
      </c>
      <c r="E1820" s="186" t="s">
        <v>906</v>
      </c>
      <c r="F1820" s="186" t="s">
        <v>907</v>
      </c>
      <c r="G1820" s="186" t="s">
        <v>1102</v>
      </c>
      <c r="H1820" s="186" t="s">
        <v>1566</v>
      </c>
      <c r="I1820" s="187" t="s">
        <v>1576</v>
      </c>
      <c r="J1820" s="187" t="s">
        <v>1577</v>
      </c>
      <c r="K1820" s="188"/>
      <c r="L1820" s="188"/>
      <c r="M1820" s="189" t="s">
        <v>807</v>
      </c>
      <c r="N1820" s="190">
        <v>3467.2</v>
      </c>
      <c r="O1820" s="190">
        <f t="shared" si="227"/>
        <v>3779.25</v>
      </c>
      <c r="P1820" s="191">
        <f t="shared" si="228"/>
        <v>0</v>
      </c>
      <c r="Q1820" s="192">
        <f t="shared" si="229"/>
        <v>0</v>
      </c>
      <c r="R1820" s="193"/>
      <c r="S1820" s="194"/>
      <c r="T1820" s="195">
        <f t="shared" si="230"/>
        <v>0</v>
      </c>
      <c r="U1820" s="195">
        <f t="shared" si="231"/>
        <v>0</v>
      </c>
      <c r="V1820" s="195">
        <f t="shared" si="232"/>
        <v>0</v>
      </c>
      <c r="W1820" s="196" t="e">
        <f t="shared" si="233"/>
        <v>#DIV/0!</v>
      </c>
      <c r="X1820" s="197" t="e">
        <f t="shared" si="234"/>
        <v>#DIV/0!</v>
      </c>
    </row>
    <row r="1821" ht="11.4" hidden="1" customHeight="1" spans="1:24">
      <c r="A1821" s="184" t="s">
        <v>3192</v>
      </c>
      <c r="B1821" s="184" t="s">
        <v>121</v>
      </c>
      <c r="C1821" s="184" t="s">
        <v>1101</v>
      </c>
      <c r="D1821" s="185" t="s">
        <v>704</v>
      </c>
      <c r="E1821" s="186" t="s">
        <v>906</v>
      </c>
      <c r="F1821" s="186" t="s">
        <v>907</v>
      </c>
      <c r="G1821" s="186" t="s">
        <v>1102</v>
      </c>
      <c r="H1821" s="186" t="s">
        <v>1566</v>
      </c>
      <c r="I1821" s="187" t="s">
        <v>1578</v>
      </c>
      <c r="J1821" s="187" t="s">
        <v>1579</v>
      </c>
      <c r="K1821" s="188"/>
      <c r="L1821" s="188"/>
      <c r="M1821" s="189" t="s">
        <v>1580</v>
      </c>
      <c r="N1821" s="190">
        <v>667.81</v>
      </c>
      <c r="O1821" s="190">
        <f t="shared" si="227"/>
        <v>727.91</v>
      </c>
      <c r="P1821" s="191">
        <f t="shared" si="228"/>
        <v>0</v>
      </c>
      <c r="Q1821" s="192">
        <f t="shared" si="229"/>
        <v>0</v>
      </c>
      <c r="R1821" s="193"/>
      <c r="S1821" s="194"/>
      <c r="T1821" s="195">
        <f t="shared" si="230"/>
        <v>0</v>
      </c>
      <c r="U1821" s="195">
        <f t="shared" si="231"/>
        <v>0</v>
      </c>
      <c r="V1821" s="195">
        <f t="shared" si="232"/>
        <v>0</v>
      </c>
      <c r="W1821" s="196" t="e">
        <f t="shared" si="233"/>
        <v>#DIV/0!</v>
      </c>
      <c r="X1821" s="197" t="e">
        <f t="shared" si="234"/>
        <v>#DIV/0!</v>
      </c>
    </row>
    <row r="1822" ht="11.4" hidden="1" customHeight="1" spans="1:24">
      <c r="A1822" s="184" t="s">
        <v>3192</v>
      </c>
      <c r="B1822" s="184" t="s">
        <v>121</v>
      </c>
      <c r="C1822" s="184" t="s">
        <v>1101</v>
      </c>
      <c r="D1822" s="185" t="s">
        <v>704</v>
      </c>
      <c r="E1822" s="186" t="s">
        <v>906</v>
      </c>
      <c r="F1822" s="186" t="s">
        <v>907</v>
      </c>
      <c r="G1822" s="186" t="s">
        <v>1102</v>
      </c>
      <c r="H1822" s="186" t="s">
        <v>1566</v>
      </c>
      <c r="I1822" s="187" t="s">
        <v>1581</v>
      </c>
      <c r="J1822" s="187" t="s">
        <v>1582</v>
      </c>
      <c r="K1822" s="188"/>
      <c r="L1822" s="188"/>
      <c r="M1822" s="189" t="s">
        <v>1018</v>
      </c>
      <c r="N1822" s="190">
        <v>202</v>
      </c>
      <c r="O1822" s="190">
        <f t="shared" si="227"/>
        <v>220.18</v>
      </c>
      <c r="P1822" s="191">
        <f t="shared" si="228"/>
        <v>0</v>
      </c>
      <c r="Q1822" s="192">
        <f t="shared" si="229"/>
        <v>0</v>
      </c>
      <c r="R1822" s="193"/>
      <c r="S1822" s="194"/>
      <c r="T1822" s="195">
        <f t="shared" si="230"/>
        <v>0</v>
      </c>
      <c r="U1822" s="195">
        <f t="shared" si="231"/>
        <v>0</v>
      </c>
      <c r="V1822" s="195">
        <f t="shared" si="232"/>
        <v>0</v>
      </c>
      <c r="W1822" s="196" t="e">
        <f t="shared" si="233"/>
        <v>#DIV/0!</v>
      </c>
      <c r="X1822" s="197" t="e">
        <f t="shared" si="234"/>
        <v>#DIV/0!</v>
      </c>
    </row>
    <row r="1823" ht="11.4" hidden="1" customHeight="1" spans="1:24">
      <c r="A1823" s="184" t="s">
        <v>3192</v>
      </c>
      <c r="B1823" s="184" t="s">
        <v>121</v>
      </c>
      <c r="C1823" s="184" t="s">
        <v>1101</v>
      </c>
      <c r="D1823" s="185" t="s">
        <v>704</v>
      </c>
      <c r="E1823" s="186" t="s">
        <v>906</v>
      </c>
      <c r="F1823" s="186" t="s">
        <v>907</v>
      </c>
      <c r="G1823" s="186" t="s">
        <v>1102</v>
      </c>
      <c r="H1823" s="186" t="s">
        <v>1566</v>
      </c>
      <c r="I1823" s="187" t="s">
        <v>1583</v>
      </c>
      <c r="J1823" s="187" t="s">
        <v>1584</v>
      </c>
      <c r="K1823" s="188"/>
      <c r="L1823" s="188"/>
      <c r="M1823" s="189" t="s">
        <v>793</v>
      </c>
      <c r="N1823" s="190">
        <v>350</v>
      </c>
      <c r="O1823" s="190">
        <f t="shared" si="227"/>
        <v>381.5</v>
      </c>
      <c r="P1823" s="191">
        <f t="shared" si="228"/>
        <v>0</v>
      </c>
      <c r="Q1823" s="192">
        <f t="shared" si="229"/>
        <v>0</v>
      </c>
      <c r="R1823" s="193"/>
      <c r="S1823" s="194"/>
      <c r="T1823" s="195">
        <f t="shared" si="230"/>
        <v>0</v>
      </c>
      <c r="U1823" s="195">
        <f t="shared" si="231"/>
        <v>0</v>
      </c>
      <c r="V1823" s="195">
        <f t="shared" si="232"/>
        <v>0</v>
      </c>
      <c r="W1823" s="196" t="e">
        <f t="shared" si="233"/>
        <v>#DIV/0!</v>
      </c>
      <c r="X1823" s="197" t="e">
        <f t="shared" si="234"/>
        <v>#DIV/0!</v>
      </c>
    </row>
    <row r="1824" ht="11.4" hidden="1" customHeight="1" spans="1:24">
      <c r="A1824" s="184" t="s">
        <v>3192</v>
      </c>
      <c r="B1824" s="184" t="s">
        <v>121</v>
      </c>
      <c r="C1824" s="184" t="s">
        <v>1101</v>
      </c>
      <c r="D1824" s="185" t="s">
        <v>704</v>
      </c>
      <c r="E1824" s="186" t="s">
        <v>906</v>
      </c>
      <c r="F1824" s="186" t="s">
        <v>907</v>
      </c>
      <c r="G1824" s="186" t="s">
        <v>1102</v>
      </c>
      <c r="H1824" s="186" t="s">
        <v>737</v>
      </c>
      <c r="I1824" s="187" t="s">
        <v>1586</v>
      </c>
      <c r="J1824" s="187" t="s">
        <v>1587</v>
      </c>
      <c r="K1824" s="188"/>
      <c r="L1824" s="188"/>
      <c r="M1824" s="189" t="s">
        <v>989</v>
      </c>
      <c r="N1824" s="190">
        <v>168.19</v>
      </c>
      <c r="O1824" s="190">
        <f t="shared" si="227"/>
        <v>183.33</v>
      </c>
      <c r="P1824" s="191">
        <f t="shared" si="228"/>
        <v>0</v>
      </c>
      <c r="Q1824" s="192">
        <f t="shared" si="229"/>
        <v>0</v>
      </c>
      <c r="R1824" s="193"/>
      <c r="S1824" s="194"/>
      <c r="T1824" s="195">
        <f t="shared" si="230"/>
        <v>0</v>
      </c>
      <c r="U1824" s="195">
        <f t="shared" si="231"/>
        <v>0</v>
      </c>
      <c r="V1824" s="195">
        <f t="shared" si="232"/>
        <v>0</v>
      </c>
      <c r="W1824" s="196" t="e">
        <f t="shared" si="233"/>
        <v>#DIV/0!</v>
      </c>
      <c r="X1824" s="197" t="e">
        <f t="shared" si="234"/>
        <v>#DIV/0!</v>
      </c>
    </row>
    <row r="1825" ht="11.4" hidden="1" customHeight="1" spans="1:24">
      <c r="A1825" s="184" t="s">
        <v>3192</v>
      </c>
      <c r="B1825" s="184" t="s">
        <v>121</v>
      </c>
      <c r="C1825" s="184" t="s">
        <v>1101</v>
      </c>
      <c r="D1825" s="185" t="s">
        <v>704</v>
      </c>
      <c r="E1825" s="186" t="s">
        <v>906</v>
      </c>
      <c r="F1825" s="186" t="s">
        <v>907</v>
      </c>
      <c r="G1825" s="186" t="s">
        <v>1102</v>
      </c>
      <c r="H1825" s="186" t="s">
        <v>737</v>
      </c>
      <c r="I1825" s="187" t="s">
        <v>1588</v>
      </c>
      <c r="J1825" s="187" t="s">
        <v>1589</v>
      </c>
      <c r="K1825" s="188"/>
      <c r="L1825" s="188"/>
      <c r="M1825" s="189" t="s">
        <v>807</v>
      </c>
      <c r="N1825" s="190">
        <v>40.03</v>
      </c>
      <c r="O1825" s="190">
        <f t="shared" si="227"/>
        <v>43.63</v>
      </c>
      <c r="P1825" s="191">
        <f t="shared" si="228"/>
        <v>0</v>
      </c>
      <c r="Q1825" s="192">
        <f t="shared" si="229"/>
        <v>0</v>
      </c>
      <c r="R1825" s="193"/>
      <c r="S1825" s="194"/>
      <c r="T1825" s="195">
        <f t="shared" si="230"/>
        <v>0</v>
      </c>
      <c r="U1825" s="195">
        <f t="shared" si="231"/>
        <v>0</v>
      </c>
      <c r="V1825" s="195">
        <f t="shared" si="232"/>
        <v>0</v>
      </c>
      <c r="W1825" s="196" t="e">
        <f t="shared" si="233"/>
        <v>#DIV/0!</v>
      </c>
      <c r="X1825" s="197" t="e">
        <f t="shared" si="234"/>
        <v>#DIV/0!</v>
      </c>
    </row>
    <row r="1826" ht="11.4" hidden="1" customHeight="1" spans="1:24">
      <c r="A1826" s="184" t="s">
        <v>3192</v>
      </c>
      <c r="B1826" s="184" t="s">
        <v>121</v>
      </c>
      <c r="C1826" s="184" t="s">
        <v>1101</v>
      </c>
      <c r="D1826" s="185" t="s">
        <v>704</v>
      </c>
      <c r="E1826" s="186" t="s">
        <v>906</v>
      </c>
      <c r="F1826" s="186" t="s">
        <v>907</v>
      </c>
      <c r="G1826" s="186" t="s">
        <v>1102</v>
      </c>
      <c r="H1826" s="186" t="s">
        <v>737</v>
      </c>
      <c r="I1826" s="187" t="s">
        <v>1590</v>
      </c>
      <c r="J1826" s="187" t="s">
        <v>1591</v>
      </c>
      <c r="K1826" s="188"/>
      <c r="L1826" s="188"/>
      <c r="M1826" s="189" t="s">
        <v>1018</v>
      </c>
      <c r="N1826" s="190">
        <v>60.02</v>
      </c>
      <c r="O1826" s="190">
        <f t="shared" si="227"/>
        <v>65.42</v>
      </c>
      <c r="P1826" s="191">
        <f t="shared" si="228"/>
        <v>0</v>
      </c>
      <c r="Q1826" s="192">
        <f t="shared" si="229"/>
        <v>0</v>
      </c>
      <c r="R1826" s="193"/>
      <c r="S1826" s="194"/>
      <c r="T1826" s="195">
        <f t="shared" si="230"/>
        <v>0</v>
      </c>
      <c r="U1826" s="195">
        <f t="shared" si="231"/>
        <v>0</v>
      </c>
      <c r="V1826" s="195">
        <f t="shared" si="232"/>
        <v>0</v>
      </c>
      <c r="W1826" s="196" t="e">
        <f t="shared" si="233"/>
        <v>#DIV/0!</v>
      </c>
      <c r="X1826" s="197" t="e">
        <f t="shared" si="234"/>
        <v>#DIV/0!</v>
      </c>
    </row>
    <row r="1827" ht="11.4" hidden="1" customHeight="1" spans="1:24">
      <c r="A1827" s="184" t="s">
        <v>3192</v>
      </c>
      <c r="B1827" s="184" t="s">
        <v>121</v>
      </c>
      <c r="C1827" s="184" t="s">
        <v>1101</v>
      </c>
      <c r="D1827" s="185" t="s">
        <v>704</v>
      </c>
      <c r="E1827" s="186" t="s">
        <v>906</v>
      </c>
      <c r="F1827" s="186" t="s">
        <v>907</v>
      </c>
      <c r="G1827" s="186" t="s">
        <v>1102</v>
      </c>
      <c r="H1827" s="186" t="s">
        <v>1592</v>
      </c>
      <c r="I1827" s="187" t="s">
        <v>1593</v>
      </c>
      <c r="J1827" s="187" t="s">
        <v>1594</v>
      </c>
      <c r="K1827" s="188"/>
      <c r="L1827" s="188"/>
      <c r="M1827" s="189" t="s">
        <v>847</v>
      </c>
      <c r="N1827" s="190">
        <v>618.3</v>
      </c>
      <c r="O1827" s="190">
        <f t="shared" si="227"/>
        <v>673.95</v>
      </c>
      <c r="P1827" s="191">
        <f t="shared" si="228"/>
        <v>0</v>
      </c>
      <c r="Q1827" s="192">
        <f t="shared" si="229"/>
        <v>0</v>
      </c>
      <c r="R1827" s="193"/>
      <c r="S1827" s="194"/>
      <c r="T1827" s="195">
        <f t="shared" si="230"/>
        <v>0</v>
      </c>
      <c r="U1827" s="195">
        <f t="shared" si="231"/>
        <v>0</v>
      </c>
      <c r="V1827" s="195">
        <f t="shared" si="232"/>
        <v>0</v>
      </c>
      <c r="W1827" s="196" t="e">
        <f t="shared" si="233"/>
        <v>#DIV/0!</v>
      </c>
      <c r="X1827" s="197" t="e">
        <f t="shared" si="234"/>
        <v>#DIV/0!</v>
      </c>
    </row>
    <row r="1828" ht="11.4" hidden="1" customHeight="1" spans="1:24">
      <c r="A1828" s="184" t="s">
        <v>3192</v>
      </c>
      <c r="B1828" s="184" t="s">
        <v>121</v>
      </c>
      <c r="C1828" s="184" t="s">
        <v>1101</v>
      </c>
      <c r="D1828" s="185" t="s">
        <v>704</v>
      </c>
      <c r="E1828" s="186" t="s">
        <v>906</v>
      </c>
      <c r="F1828" s="186" t="s">
        <v>907</v>
      </c>
      <c r="G1828" s="186" t="s">
        <v>1102</v>
      </c>
      <c r="H1828" s="186" t="s">
        <v>1592</v>
      </c>
      <c r="I1828" s="187" t="s">
        <v>1595</v>
      </c>
      <c r="J1828" s="187" t="s">
        <v>1596</v>
      </c>
      <c r="K1828" s="188"/>
      <c r="L1828" s="188"/>
      <c r="M1828" s="189" t="s">
        <v>989</v>
      </c>
      <c r="N1828" s="190">
        <v>432.3</v>
      </c>
      <c r="O1828" s="190">
        <f t="shared" si="227"/>
        <v>471.21</v>
      </c>
      <c r="P1828" s="191">
        <f t="shared" si="228"/>
        <v>0</v>
      </c>
      <c r="Q1828" s="192">
        <f t="shared" si="229"/>
        <v>0</v>
      </c>
      <c r="R1828" s="193"/>
      <c r="S1828" s="194"/>
      <c r="T1828" s="195">
        <f t="shared" si="230"/>
        <v>0</v>
      </c>
      <c r="U1828" s="195">
        <f t="shared" si="231"/>
        <v>0</v>
      </c>
      <c r="V1828" s="195">
        <f t="shared" si="232"/>
        <v>0</v>
      </c>
      <c r="W1828" s="196" t="e">
        <f t="shared" si="233"/>
        <v>#DIV/0!</v>
      </c>
      <c r="X1828" s="197" t="e">
        <f t="shared" si="234"/>
        <v>#DIV/0!</v>
      </c>
    </row>
    <row r="1829" ht="11.4" hidden="1" customHeight="1" spans="1:24">
      <c r="A1829" s="184" t="s">
        <v>3192</v>
      </c>
      <c r="B1829" s="184" t="s">
        <v>121</v>
      </c>
      <c r="C1829" s="184" t="s">
        <v>1101</v>
      </c>
      <c r="D1829" s="185" t="s">
        <v>704</v>
      </c>
      <c r="E1829" s="186" t="s">
        <v>906</v>
      </c>
      <c r="F1829" s="186" t="s">
        <v>907</v>
      </c>
      <c r="G1829" s="186" t="s">
        <v>1102</v>
      </c>
      <c r="H1829" s="186" t="s">
        <v>1592</v>
      </c>
      <c r="I1829" s="187" t="s">
        <v>1597</v>
      </c>
      <c r="J1829" s="187" t="s">
        <v>1598</v>
      </c>
      <c r="K1829" s="188"/>
      <c r="L1829" s="188"/>
      <c r="M1829" s="189" t="s">
        <v>847</v>
      </c>
      <c r="N1829" s="190">
        <v>618.3</v>
      </c>
      <c r="O1829" s="190">
        <f t="shared" si="227"/>
        <v>673.95</v>
      </c>
      <c r="P1829" s="191">
        <f t="shared" si="228"/>
        <v>0</v>
      </c>
      <c r="Q1829" s="192">
        <f t="shared" si="229"/>
        <v>0</v>
      </c>
      <c r="R1829" s="193"/>
      <c r="S1829" s="194"/>
      <c r="T1829" s="195">
        <f t="shared" si="230"/>
        <v>0</v>
      </c>
      <c r="U1829" s="195">
        <f t="shared" si="231"/>
        <v>0</v>
      </c>
      <c r="V1829" s="195">
        <f t="shared" si="232"/>
        <v>0</v>
      </c>
      <c r="W1829" s="196" t="e">
        <f t="shared" si="233"/>
        <v>#DIV/0!</v>
      </c>
      <c r="X1829" s="197" t="e">
        <f t="shared" si="234"/>
        <v>#DIV/0!</v>
      </c>
    </row>
    <row r="1830" ht="11.4" hidden="1" customHeight="1" spans="1:24">
      <c r="A1830" s="184" t="s">
        <v>3192</v>
      </c>
      <c r="B1830" s="184" t="s">
        <v>121</v>
      </c>
      <c r="C1830" s="184" t="s">
        <v>1101</v>
      </c>
      <c r="D1830" s="185" t="s">
        <v>704</v>
      </c>
      <c r="E1830" s="186" t="s">
        <v>906</v>
      </c>
      <c r="F1830" s="186" t="s">
        <v>907</v>
      </c>
      <c r="G1830" s="186" t="s">
        <v>1102</v>
      </c>
      <c r="H1830" s="186" t="s">
        <v>1592</v>
      </c>
      <c r="I1830" s="187" t="s">
        <v>1599</v>
      </c>
      <c r="J1830" s="187" t="s">
        <v>1600</v>
      </c>
      <c r="K1830" s="188"/>
      <c r="L1830" s="188"/>
      <c r="M1830" s="189" t="s">
        <v>989</v>
      </c>
      <c r="N1830" s="190">
        <v>432.3</v>
      </c>
      <c r="O1830" s="190">
        <f t="shared" si="227"/>
        <v>471.21</v>
      </c>
      <c r="P1830" s="191">
        <f t="shared" si="228"/>
        <v>0</v>
      </c>
      <c r="Q1830" s="192">
        <f t="shared" si="229"/>
        <v>0</v>
      </c>
      <c r="R1830" s="193"/>
      <c r="S1830" s="194"/>
      <c r="T1830" s="195">
        <f t="shared" si="230"/>
        <v>0</v>
      </c>
      <c r="U1830" s="195">
        <f t="shared" si="231"/>
        <v>0</v>
      </c>
      <c r="V1830" s="195">
        <f t="shared" si="232"/>
        <v>0</v>
      </c>
      <c r="W1830" s="196" t="e">
        <f t="shared" si="233"/>
        <v>#DIV/0!</v>
      </c>
      <c r="X1830" s="197" t="e">
        <f t="shared" si="234"/>
        <v>#DIV/0!</v>
      </c>
    </row>
    <row r="1831" ht="11.4" hidden="1" customHeight="1" spans="1:24">
      <c r="A1831" s="184" t="s">
        <v>3192</v>
      </c>
      <c r="B1831" s="184" t="s">
        <v>121</v>
      </c>
      <c r="C1831" s="184" t="s">
        <v>1101</v>
      </c>
      <c r="D1831" s="185" t="s">
        <v>704</v>
      </c>
      <c r="E1831" s="186" t="s">
        <v>906</v>
      </c>
      <c r="F1831" s="186" t="s">
        <v>907</v>
      </c>
      <c r="G1831" s="186" t="s">
        <v>1102</v>
      </c>
      <c r="H1831" s="186" t="s">
        <v>1592</v>
      </c>
      <c r="I1831" s="187" t="s">
        <v>1601</v>
      </c>
      <c r="J1831" s="187" t="s">
        <v>1602</v>
      </c>
      <c r="K1831" s="188"/>
      <c r="L1831" s="188"/>
      <c r="M1831" s="189" t="s">
        <v>847</v>
      </c>
      <c r="N1831" s="190">
        <v>661.33</v>
      </c>
      <c r="O1831" s="190">
        <f t="shared" si="227"/>
        <v>720.85</v>
      </c>
      <c r="P1831" s="191">
        <f t="shared" si="228"/>
        <v>0</v>
      </c>
      <c r="Q1831" s="192">
        <f t="shared" si="229"/>
        <v>0</v>
      </c>
      <c r="R1831" s="193"/>
      <c r="S1831" s="194"/>
      <c r="T1831" s="195">
        <f t="shared" si="230"/>
        <v>0</v>
      </c>
      <c r="U1831" s="195">
        <f t="shared" si="231"/>
        <v>0</v>
      </c>
      <c r="V1831" s="195">
        <f t="shared" si="232"/>
        <v>0</v>
      </c>
      <c r="W1831" s="196" t="e">
        <f t="shared" si="233"/>
        <v>#DIV/0!</v>
      </c>
      <c r="X1831" s="197" t="e">
        <f t="shared" si="234"/>
        <v>#DIV/0!</v>
      </c>
    </row>
    <row r="1832" ht="11.4" hidden="1" customHeight="1" spans="1:24">
      <c r="A1832" s="184" t="s">
        <v>3192</v>
      </c>
      <c r="B1832" s="184" t="s">
        <v>121</v>
      </c>
      <c r="C1832" s="184" t="s">
        <v>1101</v>
      </c>
      <c r="D1832" s="185" t="s">
        <v>704</v>
      </c>
      <c r="E1832" s="186" t="s">
        <v>906</v>
      </c>
      <c r="F1832" s="186" t="s">
        <v>907</v>
      </c>
      <c r="G1832" s="186" t="s">
        <v>1102</v>
      </c>
      <c r="H1832" s="186" t="s">
        <v>1592</v>
      </c>
      <c r="I1832" s="187" t="s">
        <v>1603</v>
      </c>
      <c r="J1832" s="187" t="s">
        <v>1604</v>
      </c>
      <c r="K1832" s="188"/>
      <c r="L1832" s="188"/>
      <c r="M1832" s="189" t="s">
        <v>989</v>
      </c>
      <c r="N1832" s="190">
        <v>466.75</v>
      </c>
      <c r="O1832" s="190">
        <f t="shared" si="227"/>
        <v>508.76</v>
      </c>
      <c r="P1832" s="191">
        <f t="shared" si="228"/>
        <v>0</v>
      </c>
      <c r="Q1832" s="192">
        <f t="shared" si="229"/>
        <v>0</v>
      </c>
      <c r="R1832" s="193"/>
      <c r="S1832" s="194"/>
      <c r="T1832" s="195">
        <f t="shared" si="230"/>
        <v>0</v>
      </c>
      <c r="U1832" s="195">
        <f t="shared" si="231"/>
        <v>0</v>
      </c>
      <c r="V1832" s="195">
        <f t="shared" si="232"/>
        <v>0</v>
      </c>
      <c r="W1832" s="196" t="e">
        <f t="shared" si="233"/>
        <v>#DIV/0!</v>
      </c>
      <c r="X1832" s="197" t="e">
        <f t="shared" si="234"/>
        <v>#DIV/0!</v>
      </c>
    </row>
    <row r="1833" ht="11.4" hidden="1" customHeight="1" spans="1:24">
      <c r="A1833" s="184" t="s">
        <v>3193</v>
      </c>
      <c r="B1833" s="184" t="s">
        <v>136</v>
      </c>
      <c r="C1833" s="184" t="s">
        <v>1606</v>
      </c>
      <c r="D1833" s="185" t="s">
        <v>704</v>
      </c>
      <c r="E1833" s="186" t="s">
        <v>906</v>
      </c>
      <c r="F1833" s="186" t="s">
        <v>907</v>
      </c>
      <c r="G1833" s="186" t="s">
        <v>1102</v>
      </c>
      <c r="H1833" s="186" t="s">
        <v>1607</v>
      </c>
      <c r="I1833" s="187" t="s">
        <v>1608</v>
      </c>
      <c r="J1833" s="187" t="s">
        <v>1609</v>
      </c>
      <c r="K1833" s="188"/>
      <c r="L1833" s="188"/>
      <c r="M1833" s="189" t="s">
        <v>989</v>
      </c>
      <c r="N1833" s="190">
        <v>1581.68</v>
      </c>
      <c r="O1833" s="190">
        <f t="shared" si="227"/>
        <v>1724.03</v>
      </c>
      <c r="P1833" s="191">
        <f t="shared" si="228"/>
        <v>0</v>
      </c>
      <c r="Q1833" s="192">
        <f t="shared" si="229"/>
        <v>0</v>
      </c>
      <c r="R1833" s="193"/>
      <c r="S1833" s="194"/>
      <c r="T1833" s="195">
        <f t="shared" si="230"/>
        <v>0</v>
      </c>
      <c r="U1833" s="195">
        <f t="shared" si="231"/>
        <v>0</v>
      </c>
      <c r="V1833" s="195">
        <f t="shared" si="232"/>
        <v>0</v>
      </c>
      <c r="W1833" s="196" t="e">
        <f t="shared" si="233"/>
        <v>#DIV/0!</v>
      </c>
      <c r="X1833" s="197" t="e">
        <f t="shared" si="234"/>
        <v>#DIV/0!</v>
      </c>
    </row>
    <row r="1834" ht="11.4" hidden="1" customHeight="1" spans="1:24">
      <c r="A1834" s="184" t="s">
        <v>3193</v>
      </c>
      <c r="B1834" s="184" t="s">
        <v>136</v>
      </c>
      <c r="C1834" s="184" t="s">
        <v>1606</v>
      </c>
      <c r="D1834" s="185" t="s">
        <v>704</v>
      </c>
      <c r="E1834" s="186" t="s">
        <v>906</v>
      </c>
      <c r="F1834" s="186" t="s">
        <v>907</v>
      </c>
      <c r="G1834" s="186" t="s">
        <v>1102</v>
      </c>
      <c r="H1834" s="186" t="s">
        <v>1607</v>
      </c>
      <c r="I1834" s="187" t="s">
        <v>1611</v>
      </c>
      <c r="J1834" s="187" t="s">
        <v>1612</v>
      </c>
      <c r="K1834" s="188"/>
      <c r="L1834" s="188"/>
      <c r="M1834" s="189" t="s">
        <v>989</v>
      </c>
      <c r="N1834" s="190">
        <v>1331.19</v>
      </c>
      <c r="O1834" s="190">
        <f t="shared" si="227"/>
        <v>1451</v>
      </c>
      <c r="P1834" s="191">
        <f t="shared" si="228"/>
        <v>0</v>
      </c>
      <c r="Q1834" s="192">
        <f t="shared" si="229"/>
        <v>0</v>
      </c>
      <c r="R1834" s="193"/>
      <c r="S1834" s="194"/>
      <c r="T1834" s="195">
        <f t="shared" si="230"/>
        <v>0</v>
      </c>
      <c r="U1834" s="195">
        <f t="shared" si="231"/>
        <v>0</v>
      </c>
      <c r="V1834" s="195">
        <f t="shared" si="232"/>
        <v>0</v>
      </c>
      <c r="W1834" s="196" t="e">
        <f t="shared" si="233"/>
        <v>#DIV/0!</v>
      </c>
      <c r="X1834" s="197" t="e">
        <f t="shared" si="234"/>
        <v>#DIV/0!</v>
      </c>
    </row>
    <row r="1835" ht="11.4" hidden="1" customHeight="1" spans="1:24">
      <c r="A1835" s="184" t="s">
        <v>3193</v>
      </c>
      <c r="B1835" s="184" t="s">
        <v>136</v>
      </c>
      <c r="C1835" s="184" t="s">
        <v>1606</v>
      </c>
      <c r="D1835" s="185" t="s">
        <v>704</v>
      </c>
      <c r="E1835" s="186" t="s">
        <v>906</v>
      </c>
      <c r="F1835" s="186" t="s">
        <v>907</v>
      </c>
      <c r="G1835" s="186" t="s">
        <v>1102</v>
      </c>
      <c r="H1835" s="186" t="s">
        <v>1607</v>
      </c>
      <c r="I1835" s="187" t="s">
        <v>1613</v>
      </c>
      <c r="J1835" s="187" t="s">
        <v>1614</v>
      </c>
      <c r="K1835" s="188"/>
      <c r="L1835" s="188"/>
      <c r="M1835" s="189" t="s">
        <v>989</v>
      </c>
      <c r="N1835" s="190">
        <v>789.14</v>
      </c>
      <c r="O1835" s="190">
        <f t="shared" si="227"/>
        <v>860.16</v>
      </c>
      <c r="P1835" s="191">
        <f t="shared" si="228"/>
        <v>0</v>
      </c>
      <c r="Q1835" s="192">
        <f t="shared" si="229"/>
        <v>0</v>
      </c>
      <c r="R1835" s="193"/>
      <c r="S1835" s="194"/>
      <c r="T1835" s="195">
        <f t="shared" si="230"/>
        <v>0</v>
      </c>
      <c r="U1835" s="195">
        <f t="shared" si="231"/>
        <v>0</v>
      </c>
      <c r="V1835" s="195">
        <f t="shared" si="232"/>
        <v>0</v>
      </c>
      <c r="W1835" s="196" t="e">
        <f t="shared" si="233"/>
        <v>#DIV/0!</v>
      </c>
      <c r="X1835" s="197" t="e">
        <f t="shared" si="234"/>
        <v>#DIV/0!</v>
      </c>
    </row>
    <row r="1836" ht="11.4" hidden="1" customHeight="1" spans="1:24">
      <c r="A1836" s="184" t="s">
        <v>3193</v>
      </c>
      <c r="B1836" s="184" t="s">
        <v>136</v>
      </c>
      <c r="C1836" s="184" t="s">
        <v>1606</v>
      </c>
      <c r="D1836" s="185" t="s">
        <v>704</v>
      </c>
      <c r="E1836" s="186" t="s">
        <v>906</v>
      </c>
      <c r="F1836" s="186" t="s">
        <v>907</v>
      </c>
      <c r="G1836" s="186" t="s">
        <v>1102</v>
      </c>
      <c r="H1836" s="186" t="s">
        <v>1607</v>
      </c>
      <c r="I1836" s="187" t="s">
        <v>1615</v>
      </c>
      <c r="J1836" s="187" t="s">
        <v>1616</v>
      </c>
      <c r="K1836" s="188"/>
      <c r="L1836" s="188"/>
      <c r="M1836" s="189" t="s">
        <v>989</v>
      </c>
      <c r="N1836" s="190">
        <v>1271.27</v>
      </c>
      <c r="O1836" s="190">
        <f t="shared" si="227"/>
        <v>1385.68</v>
      </c>
      <c r="P1836" s="191">
        <f t="shared" si="228"/>
        <v>0</v>
      </c>
      <c r="Q1836" s="192">
        <f t="shared" si="229"/>
        <v>0</v>
      </c>
      <c r="R1836" s="193"/>
      <c r="S1836" s="194"/>
      <c r="T1836" s="195">
        <f t="shared" si="230"/>
        <v>0</v>
      </c>
      <c r="U1836" s="195">
        <f t="shared" si="231"/>
        <v>0</v>
      </c>
      <c r="V1836" s="195">
        <f t="shared" si="232"/>
        <v>0</v>
      </c>
      <c r="W1836" s="196" t="e">
        <f t="shared" si="233"/>
        <v>#DIV/0!</v>
      </c>
      <c r="X1836" s="197" t="e">
        <f t="shared" si="234"/>
        <v>#DIV/0!</v>
      </c>
    </row>
    <row r="1837" ht="11.4" hidden="1" customHeight="1" spans="1:24">
      <c r="A1837" s="184" t="s">
        <v>3193</v>
      </c>
      <c r="B1837" s="184" t="s">
        <v>136</v>
      </c>
      <c r="C1837" s="184" t="s">
        <v>1606</v>
      </c>
      <c r="D1837" s="185" t="s">
        <v>704</v>
      </c>
      <c r="E1837" s="186" t="s">
        <v>906</v>
      </c>
      <c r="F1837" s="186" t="s">
        <v>907</v>
      </c>
      <c r="G1837" s="186" t="s">
        <v>1102</v>
      </c>
      <c r="H1837" s="186" t="s">
        <v>1607</v>
      </c>
      <c r="I1837" s="187" t="s">
        <v>1617</v>
      </c>
      <c r="J1837" s="187" t="s">
        <v>1618</v>
      </c>
      <c r="K1837" s="188"/>
      <c r="L1837" s="188"/>
      <c r="M1837" s="189" t="s">
        <v>989</v>
      </c>
      <c r="N1837" s="190">
        <v>2120.68</v>
      </c>
      <c r="O1837" s="190">
        <f t="shared" si="227"/>
        <v>2311.54</v>
      </c>
      <c r="P1837" s="191">
        <f t="shared" si="228"/>
        <v>0</v>
      </c>
      <c r="Q1837" s="192">
        <f t="shared" si="229"/>
        <v>0</v>
      </c>
      <c r="R1837" s="193"/>
      <c r="S1837" s="194"/>
      <c r="T1837" s="195">
        <f t="shared" si="230"/>
        <v>0</v>
      </c>
      <c r="U1837" s="195">
        <f t="shared" si="231"/>
        <v>0</v>
      </c>
      <c r="V1837" s="195">
        <f t="shared" si="232"/>
        <v>0</v>
      </c>
      <c r="W1837" s="196" t="e">
        <f t="shared" si="233"/>
        <v>#DIV/0!</v>
      </c>
      <c r="X1837" s="197" t="e">
        <f t="shared" si="234"/>
        <v>#DIV/0!</v>
      </c>
    </row>
    <row r="1838" ht="11.4" hidden="1" customHeight="1" spans="1:24">
      <c r="A1838" s="184" t="s">
        <v>3193</v>
      </c>
      <c r="B1838" s="184" t="s">
        <v>136</v>
      </c>
      <c r="C1838" s="184" t="s">
        <v>1606</v>
      </c>
      <c r="D1838" s="185" t="s">
        <v>704</v>
      </c>
      <c r="E1838" s="186" t="s">
        <v>906</v>
      </c>
      <c r="F1838" s="186" t="s">
        <v>907</v>
      </c>
      <c r="G1838" s="186" t="s">
        <v>1102</v>
      </c>
      <c r="H1838" s="186" t="s">
        <v>1607</v>
      </c>
      <c r="I1838" s="187" t="s">
        <v>1619</v>
      </c>
      <c r="J1838" s="187" t="s">
        <v>1620</v>
      </c>
      <c r="K1838" s="188"/>
      <c r="L1838" s="188"/>
      <c r="M1838" s="189" t="s">
        <v>989</v>
      </c>
      <c r="N1838" s="190">
        <v>1842.69</v>
      </c>
      <c r="O1838" s="190">
        <f t="shared" si="227"/>
        <v>2008.53</v>
      </c>
      <c r="P1838" s="191">
        <f t="shared" si="228"/>
        <v>0</v>
      </c>
      <c r="Q1838" s="192">
        <f t="shared" si="229"/>
        <v>0</v>
      </c>
      <c r="R1838" s="193"/>
      <c r="S1838" s="194"/>
      <c r="T1838" s="195">
        <f t="shared" si="230"/>
        <v>0</v>
      </c>
      <c r="U1838" s="195">
        <f t="shared" si="231"/>
        <v>0</v>
      </c>
      <c r="V1838" s="195">
        <f t="shared" si="232"/>
        <v>0</v>
      </c>
      <c r="W1838" s="196" t="e">
        <f t="shared" si="233"/>
        <v>#DIV/0!</v>
      </c>
      <c r="X1838" s="197" t="e">
        <f t="shared" si="234"/>
        <v>#DIV/0!</v>
      </c>
    </row>
    <row r="1839" ht="11.4" hidden="1" customHeight="1" spans="1:24">
      <c r="A1839" s="184" t="s">
        <v>3193</v>
      </c>
      <c r="B1839" s="184" t="s">
        <v>136</v>
      </c>
      <c r="C1839" s="184" t="s">
        <v>1606</v>
      </c>
      <c r="D1839" s="185" t="s">
        <v>704</v>
      </c>
      <c r="E1839" s="186" t="s">
        <v>906</v>
      </c>
      <c r="F1839" s="186" t="s">
        <v>907</v>
      </c>
      <c r="G1839" s="186" t="s">
        <v>1102</v>
      </c>
      <c r="H1839" s="186" t="s">
        <v>1607</v>
      </c>
      <c r="I1839" s="187" t="s">
        <v>1621</v>
      </c>
      <c r="J1839" s="187" t="s">
        <v>1622</v>
      </c>
      <c r="K1839" s="188"/>
      <c r="L1839" s="188"/>
      <c r="M1839" s="189" t="s">
        <v>989</v>
      </c>
      <c r="N1839" s="190">
        <v>2194.94</v>
      </c>
      <c r="O1839" s="190">
        <f t="shared" si="227"/>
        <v>2392.48</v>
      </c>
      <c r="P1839" s="191">
        <f t="shared" si="228"/>
        <v>0</v>
      </c>
      <c r="Q1839" s="192">
        <f t="shared" si="229"/>
        <v>0</v>
      </c>
      <c r="R1839" s="193"/>
      <c r="S1839" s="194"/>
      <c r="T1839" s="195">
        <f t="shared" si="230"/>
        <v>0</v>
      </c>
      <c r="U1839" s="195">
        <f t="shared" si="231"/>
        <v>0</v>
      </c>
      <c r="V1839" s="195">
        <f t="shared" si="232"/>
        <v>0</v>
      </c>
      <c r="W1839" s="196" t="e">
        <f t="shared" si="233"/>
        <v>#DIV/0!</v>
      </c>
      <c r="X1839" s="197" t="e">
        <f t="shared" si="234"/>
        <v>#DIV/0!</v>
      </c>
    </row>
    <row r="1840" ht="11.4" hidden="1" customHeight="1" spans="1:24">
      <c r="A1840" s="184" t="s">
        <v>3193</v>
      </c>
      <c r="B1840" s="184" t="s">
        <v>136</v>
      </c>
      <c r="C1840" s="184" t="s">
        <v>1606</v>
      </c>
      <c r="D1840" s="185" t="s">
        <v>704</v>
      </c>
      <c r="E1840" s="186" t="s">
        <v>906</v>
      </c>
      <c r="F1840" s="186" t="s">
        <v>907</v>
      </c>
      <c r="G1840" s="186" t="s">
        <v>1102</v>
      </c>
      <c r="H1840" s="186" t="s">
        <v>1607</v>
      </c>
      <c r="I1840" s="187" t="s">
        <v>1623</v>
      </c>
      <c r="J1840" s="187" t="s">
        <v>1624</v>
      </c>
      <c r="K1840" s="188"/>
      <c r="L1840" s="188"/>
      <c r="M1840" s="189" t="s">
        <v>989</v>
      </c>
      <c r="N1840" s="190">
        <v>2552.77</v>
      </c>
      <c r="O1840" s="190">
        <f t="shared" si="227"/>
        <v>2782.52</v>
      </c>
      <c r="P1840" s="191">
        <f t="shared" si="228"/>
        <v>0</v>
      </c>
      <c r="Q1840" s="192">
        <f t="shared" si="229"/>
        <v>0</v>
      </c>
      <c r="R1840" s="193"/>
      <c r="S1840" s="194"/>
      <c r="T1840" s="195">
        <f t="shared" si="230"/>
        <v>0</v>
      </c>
      <c r="U1840" s="195">
        <f t="shared" si="231"/>
        <v>0</v>
      </c>
      <c r="V1840" s="195">
        <f t="shared" si="232"/>
        <v>0</v>
      </c>
      <c r="W1840" s="196" t="e">
        <f t="shared" si="233"/>
        <v>#DIV/0!</v>
      </c>
      <c r="X1840" s="197" t="e">
        <f t="shared" si="234"/>
        <v>#DIV/0!</v>
      </c>
    </row>
    <row r="1841" ht="11.4" hidden="1" customHeight="1" spans="1:24">
      <c r="A1841" s="184" t="s">
        <v>3194</v>
      </c>
      <c r="B1841" s="184" t="s">
        <v>123</v>
      </c>
      <c r="C1841" s="184" t="s">
        <v>1101</v>
      </c>
      <c r="D1841" s="185" t="s">
        <v>704</v>
      </c>
      <c r="E1841" s="186" t="s">
        <v>906</v>
      </c>
      <c r="F1841" s="186" t="s">
        <v>907</v>
      </c>
      <c r="G1841" s="186" t="s">
        <v>1102</v>
      </c>
      <c r="H1841" s="186" t="s">
        <v>547</v>
      </c>
      <c r="I1841" s="187" t="s">
        <v>1626</v>
      </c>
      <c r="J1841" s="187" t="s">
        <v>1627</v>
      </c>
      <c r="K1841" s="188"/>
      <c r="L1841" s="188"/>
      <c r="M1841" s="189" t="s">
        <v>847</v>
      </c>
      <c r="N1841" s="190">
        <v>272.28</v>
      </c>
      <c r="O1841" s="190">
        <f t="shared" si="227"/>
        <v>296.79</v>
      </c>
      <c r="P1841" s="191">
        <f t="shared" si="228"/>
        <v>0</v>
      </c>
      <c r="Q1841" s="192">
        <f t="shared" si="229"/>
        <v>0</v>
      </c>
      <c r="R1841" s="193"/>
      <c r="S1841" s="194"/>
      <c r="T1841" s="195">
        <f t="shared" si="230"/>
        <v>0</v>
      </c>
      <c r="U1841" s="195">
        <f t="shared" si="231"/>
        <v>0</v>
      </c>
      <c r="V1841" s="195">
        <f t="shared" si="232"/>
        <v>0</v>
      </c>
      <c r="W1841" s="196" t="e">
        <f t="shared" si="233"/>
        <v>#DIV/0!</v>
      </c>
      <c r="X1841" s="197" t="e">
        <f t="shared" si="234"/>
        <v>#DIV/0!</v>
      </c>
    </row>
    <row r="1842" ht="11.4" hidden="1" customHeight="1" spans="1:24">
      <c r="A1842" s="184" t="s">
        <v>3194</v>
      </c>
      <c r="B1842" s="184" t="s">
        <v>123</v>
      </c>
      <c r="C1842" s="184" t="s">
        <v>1101</v>
      </c>
      <c r="D1842" s="185" t="s">
        <v>704</v>
      </c>
      <c r="E1842" s="186" t="s">
        <v>906</v>
      </c>
      <c r="F1842" s="186" t="s">
        <v>907</v>
      </c>
      <c r="G1842" s="186" t="s">
        <v>1102</v>
      </c>
      <c r="H1842" s="186" t="s">
        <v>547</v>
      </c>
      <c r="I1842" s="187" t="s">
        <v>1628</v>
      </c>
      <c r="J1842" s="187" t="s">
        <v>1629</v>
      </c>
      <c r="K1842" s="188"/>
      <c r="L1842" s="188"/>
      <c r="M1842" s="189" t="s">
        <v>807</v>
      </c>
      <c r="N1842" s="190">
        <v>51.4</v>
      </c>
      <c r="O1842" s="190">
        <f t="shared" si="227"/>
        <v>56.03</v>
      </c>
      <c r="P1842" s="191">
        <f t="shared" si="228"/>
        <v>0</v>
      </c>
      <c r="Q1842" s="192">
        <f t="shared" si="229"/>
        <v>0</v>
      </c>
      <c r="R1842" s="193"/>
      <c r="S1842" s="194"/>
      <c r="T1842" s="195">
        <f t="shared" si="230"/>
        <v>0</v>
      </c>
      <c r="U1842" s="195">
        <f t="shared" si="231"/>
        <v>0</v>
      </c>
      <c r="V1842" s="195">
        <f t="shared" si="232"/>
        <v>0</v>
      </c>
      <c r="W1842" s="196" t="e">
        <f t="shared" si="233"/>
        <v>#DIV/0!</v>
      </c>
      <c r="X1842" s="197" t="e">
        <f t="shared" si="234"/>
        <v>#DIV/0!</v>
      </c>
    </row>
    <row r="1843" ht="11.4" hidden="1" customHeight="1" spans="1:24">
      <c r="A1843" s="184" t="s">
        <v>3194</v>
      </c>
      <c r="B1843" s="184" t="s">
        <v>123</v>
      </c>
      <c r="C1843" s="184" t="s">
        <v>1101</v>
      </c>
      <c r="D1843" s="185" t="s">
        <v>704</v>
      </c>
      <c r="E1843" s="186" t="s">
        <v>906</v>
      </c>
      <c r="F1843" s="186" t="s">
        <v>907</v>
      </c>
      <c r="G1843" s="186" t="s">
        <v>1102</v>
      </c>
      <c r="H1843" s="186" t="s">
        <v>547</v>
      </c>
      <c r="I1843" s="187" t="s">
        <v>1630</v>
      </c>
      <c r="J1843" s="187" t="s">
        <v>1631</v>
      </c>
      <c r="K1843" s="188"/>
      <c r="L1843" s="188"/>
      <c r="M1843" s="189" t="s">
        <v>847</v>
      </c>
      <c r="N1843" s="190">
        <v>247.97</v>
      </c>
      <c r="O1843" s="190">
        <f t="shared" si="227"/>
        <v>270.29</v>
      </c>
      <c r="P1843" s="191">
        <f t="shared" si="228"/>
        <v>0</v>
      </c>
      <c r="Q1843" s="192">
        <f t="shared" si="229"/>
        <v>0</v>
      </c>
      <c r="R1843" s="193"/>
      <c r="S1843" s="194"/>
      <c r="T1843" s="195">
        <f t="shared" si="230"/>
        <v>0</v>
      </c>
      <c r="U1843" s="195">
        <f t="shared" si="231"/>
        <v>0</v>
      </c>
      <c r="V1843" s="195">
        <f t="shared" si="232"/>
        <v>0</v>
      </c>
      <c r="W1843" s="196" t="e">
        <f t="shared" si="233"/>
        <v>#DIV/0!</v>
      </c>
      <c r="X1843" s="197" t="e">
        <f t="shared" si="234"/>
        <v>#DIV/0!</v>
      </c>
    </row>
    <row r="1844" ht="11.4" hidden="1" customHeight="1" spans="1:24">
      <c r="A1844" s="184" t="s">
        <v>3194</v>
      </c>
      <c r="B1844" s="184" t="s">
        <v>123</v>
      </c>
      <c r="C1844" s="184" t="s">
        <v>1101</v>
      </c>
      <c r="D1844" s="185" t="s">
        <v>704</v>
      </c>
      <c r="E1844" s="186" t="s">
        <v>906</v>
      </c>
      <c r="F1844" s="186" t="s">
        <v>907</v>
      </c>
      <c r="G1844" s="186" t="s">
        <v>1102</v>
      </c>
      <c r="H1844" s="186" t="s">
        <v>547</v>
      </c>
      <c r="I1844" s="187" t="s">
        <v>1632</v>
      </c>
      <c r="J1844" s="187" t="s">
        <v>1633</v>
      </c>
      <c r="K1844" s="188"/>
      <c r="L1844" s="188"/>
      <c r="M1844" s="189" t="s">
        <v>807</v>
      </c>
      <c r="N1844" s="190">
        <v>48.54</v>
      </c>
      <c r="O1844" s="190">
        <f t="shared" si="227"/>
        <v>52.91</v>
      </c>
      <c r="P1844" s="191">
        <f t="shared" si="228"/>
        <v>0</v>
      </c>
      <c r="Q1844" s="192">
        <f t="shared" si="229"/>
        <v>0</v>
      </c>
      <c r="R1844" s="193"/>
      <c r="S1844" s="194"/>
      <c r="T1844" s="195">
        <f t="shared" si="230"/>
        <v>0</v>
      </c>
      <c r="U1844" s="195">
        <f t="shared" si="231"/>
        <v>0</v>
      </c>
      <c r="V1844" s="195">
        <f t="shared" si="232"/>
        <v>0</v>
      </c>
      <c r="W1844" s="196" t="e">
        <f t="shared" si="233"/>
        <v>#DIV/0!</v>
      </c>
      <c r="X1844" s="197" t="e">
        <f t="shared" si="234"/>
        <v>#DIV/0!</v>
      </c>
    </row>
    <row r="1845" ht="11.4" hidden="1" customHeight="1" spans="1:24">
      <c r="A1845" s="184" t="s">
        <v>3194</v>
      </c>
      <c r="B1845" s="184" t="s">
        <v>123</v>
      </c>
      <c r="C1845" s="184" t="s">
        <v>1101</v>
      </c>
      <c r="D1845" s="185" t="s">
        <v>704</v>
      </c>
      <c r="E1845" s="186" t="s">
        <v>906</v>
      </c>
      <c r="F1845" s="186" t="s">
        <v>907</v>
      </c>
      <c r="G1845" s="186" t="s">
        <v>1102</v>
      </c>
      <c r="H1845" s="186" t="s">
        <v>547</v>
      </c>
      <c r="I1845" s="187" t="s">
        <v>1634</v>
      </c>
      <c r="J1845" s="187" t="s">
        <v>1635</v>
      </c>
      <c r="K1845" s="188"/>
      <c r="L1845" s="188"/>
      <c r="M1845" s="189" t="s">
        <v>847</v>
      </c>
      <c r="N1845" s="190">
        <v>273.71</v>
      </c>
      <c r="O1845" s="190">
        <f t="shared" si="227"/>
        <v>298.34</v>
      </c>
      <c r="P1845" s="191">
        <f t="shared" si="228"/>
        <v>0</v>
      </c>
      <c r="Q1845" s="192">
        <f t="shared" si="229"/>
        <v>0</v>
      </c>
      <c r="R1845" s="193"/>
      <c r="S1845" s="194"/>
      <c r="T1845" s="195">
        <f t="shared" si="230"/>
        <v>0</v>
      </c>
      <c r="U1845" s="195">
        <f t="shared" si="231"/>
        <v>0</v>
      </c>
      <c r="V1845" s="195">
        <f t="shared" si="232"/>
        <v>0</v>
      </c>
      <c r="W1845" s="196" t="e">
        <f t="shared" si="233"/>
        <v>#DIV/0!</v>
      </c>
      <c r="X1845" s="197" t="e">
        <f t="shared" si="234"/>
        <v>#DIV/0!</v>
      </c>
    </row>
    <row r="1846" ht="11.4" hidden="1" customHeight="1" spans="1:24">
      <c r="A1846" s="184" t="s">
        <v>3194</v>
      </c>
      <c r="B1846" s="184" t="s">
        <v>123</v>
      </c>
      <c r="C1846" s="184" t="s">
        <v>1101</v>
      </c>
      <c r="D1846" s="185" t="s">
        <v>704</v>
      </c>
      <c r="E1846" s="186" t="s">
        <v>906</v>
      </c>
      <c r="F1846" s="186" t="s">
        <v>907</v>
      </c>
      <c r="G1846" s="186" t="s">
        <v>1102</v>
      </c>
      <c r="H1846" s="186" t="s">
        <v>547</v>
      </c>
      <c r="I1846" s="187" t="s">
        <v>1636</v>
      </c>
      <c r="J1846" s="187" t="s">
        <v>1637</v>
      </c>
      <c r="K1846" s="188"/>
      <c r="L1846" s="188"/>
      <c r="M1846" s="189" t="s">
        <v>807</v>
      </c>
      <c r="N1846" s="190">
        <v>52.83</v>
      </c>
      <c r="O1846" s="190">
        <f t="shared" si="227"/>
        <v>57.58</v>
      </c>
      <c r="P1846" s="191">
        <f t="shared" si="228"/>
        <v>0</v>
      </c>
      <c r="Q1846" s="192">
        <f t="shared" si="229"/>
        <v>0</v>
      </c>
      <c r="R1846" s="193"/>
      <c r="S1846" s="194"/>
      <c r="T1846" s="195">
        <f t="shared" si="230"/>
        <v>0</v>
      </c>
      <c r="U1846" s="195">
        <f t="shared" si="231"/>
        <v>0</v>
      </c>
      <c r="V1846" s="195">
        <f t="shared" si="232"/>
        <v>0</v>
      </c>
      <c r="W1846" s="196" t="e">
        <f t="shared" si="233"/>
        <v>#DIV/0!</v>
      </c>
      <c r="X1846" s="197" t="e">
        <f t="shared" si="234"/>
        <v>#DIV/0!</v>
      </c>
    </row>
    <row r="1847" ht="11.4" hidden="1" customHeight="1" spans="1:24">
      <c r="A1847" s="184" t="s">
        <v>3194</v>
      </c>
      <c r="B1847" s="184" t="s">
        <v>123</v>
      </c>
      <c r="C1847" s="184" t="s">
        <v>1101</v>
      </c>
      <c r="D1847" s="185" t="s">
        <v>704</v>
      </c>
      <c r="E1847" s="186" t="s">
        <v>906</v>
      </c>
      <c r="F1847" s="186" t="s">
        <v>907</v>
      </c>
      <c r="G1847" s="186" t="s">
        <v>1102</v>
      </c>
      <c r="H1847" s="186" t="s">
        <v>547</v>
      </c>
      <c r="I1847" s="187" t="s">
        <v>1638</v>
      </c>
      <c r="J1847" s="187" t="s">
        <v>1639</v>
      </c>
      <c r="K1847" s="188"/>
      <c r="L1847" s="188"/>
      <c r="M1847" s="189" t="s">
        <v>847</v>
      </c>
      <c r="N1847" s="190">
        <v>289.46</v>
      </c>
      <c r="O1847" s="190">
        <f t="shared" si="227"/>
        <v>315.51</v>
      </c>
      <c r="P1847" s="191">
        <f t="shared" si="228"/>
        <v>0</v>
      </c>
      <c r="Q1847" s="192">
        <f t="shared" si="229"/>
        <v>0</v>
      </c>
      <c r="R1847" s="193"/>
      <c r="S1847" s="194"/>
      <c r="T1847" s="195">
        <f t="shared" si="230"/>
        <v>0</v>
      </c>
      <c r="U1847" s="195">
        <f t="shared" si="231"/>
        <v>0</v>
      </c>
      <c r="V1847" s="195">
        <f t="shared" si="232"/>
        <v>0</v>
      </c>
      <c r="W1847" s="196" t="e">
        <f t="shared" si="233"/>
        <v>#DIV/0!</v>
      </c>
      <c r="X1847" s="197" t="e">
        <f t="shared" si="234"/>
        <v>#DIV/0!</v>
      </c>
    </row>
    <row r="1848" ht="11.4" hidden="1" customHeight="1" spans="1:24">
      <c r="A1848" s="184" t="s">
        <v>3194</v>
      </c>
      <c r="B1848" s="184" t="s">
        <v>123</v>
      </c>
      <c r="C1848" s="184" t="s">
        <v>1101</v>
      </c>
      <c r="D1848" s="185" t="s">
        <v>704</v>
      </c>
      <c r="E1848" s="186" t="s">
        <v>906</v>
      </c>
      <c r="F1848" s="186" t="s">
        <v>907</v>
      </c>
      <c r="G1848" s="186" t="s">
        <v>1102</v>
      </c>
      <c r="H1848" s="186" t="s">
        <v>547</v>
      </c>
      <c r="I1848" s="187" t="s">
        <v>1640</v>
      </c>
      <c r="J1848" s="187" t="s">
        <v>1641</v>
      </c>
      <c r="K1848" s="188"/>
      <c r="L1848" s="188"/>
      <c r="M1848" s="189" t="s">
        <v>847</v>
      </c>
      <c r="N1848" s="190">
        <v>49.86</v>
      </c>
      <c r="O1848" s="190">
        <f t="shared" si="227"/>
        <v>54.35</v>
      </c>
      <c r="P1848" s="191">
        <f t="shared" si="228"/>
        <v>0</v>
      </c>
      <c r="Q1848" s="192">
        <f t="shared" si="229"/>
        <v>0</v>
      </c>
      <c r="R1848" s="193"/>
      <c r="S1848" s="194"/>
      <c r="T1848" s="195">
        <f t="shared" si="230"/>
        <v>0</v>
      </c>
      <c r="U1848" s="195">
        <f t="shared" si="231"/>
        <v>0</v>
      </c>
      <c r="V1848" s="195">
        <f t="shared" si="232"/>
        <v>0</v>
      </c>
      <c r="W1848" s="196" t="e">
        <f t="shared" si="233"/>
        <v>#DIV/0!</v>
      </c>
      <c r="X1848" s="197" t="e">
        <f t="shared" si="234"/>
        <v>#DIV/0!</v>
      </c>
    </row>
    <row r="1849" ht="11.4" hidden="1" customHeight="1" spans="1:24">
      <c r="A1849" s="184" t="s">
        <v>3194</v>
      </c>
      <c r="B1849" s="184" t="s">
        <v>123</v>
      </c>
      <c r="C1849" s="184" t="s">
        <v>1101</v>
      </c>
      <c r="D1849" s="185" t="s">
        <v>704</v>
      </c>
      <c r="E1849" s="186" t="s">
        <v>906</v>
      </c>
      <c r="F1849" s="186" t="s">
        <v>907</v>
      </c>
      <c r="G1849" s="186" t="s">
        <v>1102</v>
      </c>
      <c r="H1849" s="186" t="s">
        <v>547</v>
      </c>
      <c r="I1849" s="187" t="s">
        <v>1642</v>
      </c>
      <c r="J1849" s="187" t="s">
        <v>1643</v>
      </c>
      <c r="K1849" s="188"/>
      <c r="L1849" s="188"/>
      <c r="M1849" s="189" t="s">
        <v>847</v>
      </c>
      <c r="N1849" s="190">
        <v>249.51</v>
      </c>
      <c r="O1849" s="190">
        <f t="shared" si="227"/>
        <v>271.97</v>
      </c>
      <c r="P1849" s="191">
        <f t="shared" si="228"/>
        <v>0</v>
      </c>
      <c r="Q1849" s="192">
        <f t="shared" si="229"/>
        <v>0</v>
      </c>
      <c r="R1849" s="193"/>
      <c r="S1849" s="194"/>
      <c r="T1849" s="195">
        <f t="shared" si="230"/>
        <v>0</v>
      </c>
      <c r="U1849" s="195">
        <f t="shared" si="231"/>
        <v>0</v>
      </c>
      <c r="V1849" s="195">
        <f t="shared" si="232"/>
        <v>0</v>
      </c>
      <c r="W1849" s="196" t="e">
        <f t="shared" si="233"/>
        <v>#DIV/0!</v>
      </c>
      <c r="X1849" s="197" t="e">
        <f t="shared" si="234"/>
        <v>#DIV/0!</v>
      </c>
    </row>
    <row r="1850" ht="11.4" hidden="1" customHeight="1" spans="1:24">
      <c r="A1850" s="184" t="s">
        <v>3194</v>
      </c>
      <c r="B1850" s="184" t="s">
        <v>123</v>
      </c>
      <c r="C1850" s="184" t="s">
        <v>1101</v>
      </c>
      <c r="D1850" s="185" t="s">
        <v>704</v>
      </c>
      <c r="E1850" s="186" t="s">
        <v>906</v>
      </c>
      <c r="F1850" s="186" t="s">
        <v>907</v>
      </c>
      <c r="G1850" s="186" t="s">
        <v>1102</v>
      </c>
      <c r="H1850" s="186" t="s">
        <v>547</v>
      </c>
      <c r="I1850" s="187" t="s">
        <v>1644</v>
      </c>
      <c r="J1850" s="187" t="s">
        <v>1645</v>
      </c>
      <c r="K1850" s="188"/>
      <c r="L1850" s="188"/>
      <c r="M1850" s="189" t="s">
        <v>807</v>
      </c>
      <c r="N1850" s="190">
        <v>47.44</v>
      </c>
      <c r="O1850" s="190">
        <f t="shared" si="227"/>
        <v>51.71</v>
      </c>
      <c r="P1850" s="191">
        <f t="shared" si="228"/>
        <v>0</v>
      </c>
      <c r="Q1850" s="192">
        <f t="shared" si="229"/>
        <v>0</v>
      </c>
      <c r="R1850" s="193"/>
      <c r="S1850" s="194"/>
      <c r="T1850" s="195">
        <f t="shared" si="230"/>
        <v>0</v>
      </c>
      <c r="U1850" s="195">
        <f t="shared" si="231"/>
        <v>0</v>
      </c>
      <c r="V1850" s="195">
        <f t="shared" si="232"/>
        <v>0</v>
      </c>
      <c r="W1850" s="196" t="e">
        <f t="shared" si="233"/>
        <v>#DIV/0!</v>
      </c>
      <c r="X1850" s="197" t="e">
        <f t="shared" si="234"/>
        <v>#DIV/0!</v>
      </c>
    </row>
    <row r="1851" ht="11.4" hidden="1" customHeight="1" spans="1:24">
      <c r="A1851" s="184" t="s">
        <v>3194</v>
      </c>
      <c r="B1851" s="184" t="s">
        <v>123</v>
      </c>
      <c r="C1851" s="184" t="s">
        <v>1101</v>
      </c>
      <c r="D1851" s="185" t="s">
        <v>704</v>
      </c>
      <c r="E1851" s="186" t="s">
        <v>906</v>
      </c>
      <c r="F1851" s="186" t="s">
        <v>907</v>
      </c>
      <c r="G1851" s="186" t="s">
        <v>1102</v>
      </c>
      <c r="H1851" s="186" t="s">
        <v>547</v>
      </c>
      <c r="I1851" s="187" t="s">
        <v>1646</v>
      </c>
      <c r="J1851" s="187" t="s">
        <v>1647</v>
      </c>
      <c r="K1851" s="188"/>
      <c r="L1851" s="188"/>
      <c r="M1851" s="189" t="s">
        <v>847</v>
      </c>
      <c r="N1851" s="190">
        <v>290.89</v>
      </c>
      <c r="O1851" s="190">
        <f t="shared" si="227"/>
        <v>317.07</v>
      </c>
      <c r="P1851" s="191">
        <f t="shared" si="228"/>
        <v>0</v>
      </c>
      <c r="Q1851" s="192">
        <f t="shared" si="229"/>
        <v>0</v>
      </c>
      <c r="R1851" s="193"/>
      <c r="S1851" s="194"/>
      <c r="T1851" s="195">
        <f t="shared" si="230"/>
        <v>0</v>
      </c>
      <c r="U1851" s="195">
        <f t="shared" si="231"/>
        <v>0</v>
      </c>
      <c r="V1851" s="195">
        <f t="shared" si="232"/>
        <v>0</v>
      </c>
      <c r="W1851" s="196" t="e">
        <f t="shared" si="233"/>
        <v>#DIV/0!</v>
      </c>
      <c r="X1851" s="197" t="e">
        <f t="shared" si="234"/>
        <v>#DIV/0!</v>
      </c>
    </row>
    <row r="1852" ht="11.4" hidden="1" customHeight="1" spans="1:24">
      <c r="A1852" s="184" t="s">
        <v>3194</v>
      </c>
      <c r="B1852" s="184" t="s">
        <v>123</v>
      </c>
      <c r="C1852" s="184" t="s">
        <v>1101</v>
      </c>
      <c r="D1852" s="185" t="s">
        <v>704</v>
      </c>
      <c r="E1852" s="186" t="s">
        <v>906</v>
      </c>
      <c r="F1852" s="186" t="s">
        <v>907</v>
      </c>
      <c r="G1852" s="186" t="s">
        <v>1102</v>
      </c>
      <c r="H1852" s="186" t="s">
        <v>547</v>
      </c>
      <c r="I1852" s="187" t="s">
        <v>1648</v>
      </c>
      <c r="J1852" s="187" t="s">
        <v>1649</v>
      </c>
      <c r="K1852" s="188"/>
      <c r="L1852" s="188"/>
      <c r="M1852" s="189" t="s">
        <v>807</v>
      </c>
      <c r="N1852" s="190">
        <v>48.65</v>
      </c>
      <c r="O1852" s="190">
        <f t="shared" si="227"/>
        <v>53.03</v>
      </c>
      <c r="P1852" s="191">
        <f t="shared" si="228"/>
        <v>0</v>
      </c>
      <c r="Q1852" s="192">
        <f t="shared" si="229"/>
        <v>0</v>
      </c>
      <c r="R1852" s="193"/>
      <c r="S1852" s="194"/>
      <c r="T1852" s="195">
        <f t="shared" si="230"/>
        <v>0</v>
      </c>
      <c r="U1852" s="195">
        <f t="shared" si="231"/>
        <v>0</v>
      </c>
      <c r="V1852" s="195">
        <f t="shared" si="232"/>
        <v>0</v>
      </c>
      <c r="W1852" s="196" t="e">
        <f t="shared" si="233"/>
        <v>#DIV/0!</v>
      </c>
      <c r="X1852" s="197" t="e">
        <f t="shared" si="234"/>
        <v>#DIV/0!</v>
      </c>
    </row>
    <row r="1853" ht="11.4" hidden="1" customHeight="1" spans="1:24">
      <c r="A1853" s="184" t="s">
        <v>3194</v>
      </c>
      <c r="B1853" s="184" t="s">
        <v>123</v>
      </c>
      <c r="C1853" s="184" t="s">
        <v>1101</v>
      </c>
      <c r="D1853" s="185" t="s">
        <v>704</v>
      </c>
      <c r="E1853" s="186" t="s">
        <v>906</v>
      </c>
      <c r="F1853" s="186" t="s">
        <v>907</v>
      </c>
      <c r="G1853" s="186" t="s">
        <v>1102</v>
      </c>
      <c r="H1853" s="186" t="s">
        <v>547</v>
      </c>
      <c r="I1853" s="187" t="s">
        <v>1650</v>
      </c>
      <c r="J1853" s="187" t="s">
        <v>1651</v>
      </c>
      <c r="K1853" s="188"/>
      <c r="L1853" s="188"/>
      <c r="M1853" s="189" t="s">
        <v>847</v>
      </c>
      <c r="N1853" s="190">
        <v>203.51</v>
      </c>
      <c r="O1853" s="190">
        <f t="shared" si="227"/>
        <v>221.83</v>
      </c>
      <c r="P1853" s="191">
        <f t="shared" si="228"/>
        <v>0</v>
      </c>
      <c r="Q1853" s="192">
        <f t="shared" si="229"/>
        <v>0</v>
      </c>
      <c r="R1853" s="193"/>
      <c r="S1853" s="194"/>
      <c r="T1853" s="195">
        <f t="shared" si="230"/>
        <v>0</v>
      </c>
      <c r="U1853" s="195">
        <f t="shared" si="231"/>
        <v>0</v>
      </c>
      <c r="V1853" s="195">
        <f t="shared" si="232"/>
        <v>0</v>
      </c>
      <c r="W1853" s="196" t="e">
        <f t="shared" si="233"/>
        <v>#DIV/0!</v>
      </c>
      <c r="X1853" s="197" t="e">
        <f t="shared" si="234"/>
        <v>#DIV/0!</v>
      </c>
    </row>
    <row r="1854" ht="11.4" hidden="1" customHeight="1" spans="1:24">
      <c r="A1854" s="184" t="s">
        <v>3194</v>
      </c>
      <c r="B1854" s="184" t="s">
        <v>123</v>
      </c>
      <c r="C1854" s="184" t="s">
        <v>1101</v>
      </c>
      <c r="D1854" s="185" t="s">
        <v>704</v>
      </c>
      <c r="E1854" s="186" t="s">
        <v>906</v>
      </c>
      <c r="F1854" s="186" t="s">
        <v>907</v>
      </c>
      <c r="G1854" s="186" t="s">
        <v>1102</v>
      </c>
      <c r="H1854" s="186" t="s">
        <v>547</v>
      </c>
      <c r="I1854" s="187" t="s">
        <v>1652</v>
      </c>
      <c r="J1854" s="187" t="s">
        <v>1653</v>
      </c>
      <c r="K1854" s="188"/>
      <c r="L1854" s="188"/>
      <c r="M1854" s="189" t="s">
        <v>807</v>
      </c>
      <c r="N1854" s="190">
        <v>41.69</v>
      </c>
      <c r="O1854" s="190">
        <f t="shared" si="227"/>
        <v>45.44</v>
      </c>
      <c r="P1854" s="191">
        <f t="shared" si="228"/>
        <v>0</v>
      </c>
      <c r="Q1854" s="192">
        <f t="shared" si="229"/>
        <v>0</v>
      </c>
      <c r="R1854" s="193"/>
      <c r="S1854" s="194"/>
      <c r="T1854" s="195">
        <f t="shared" si="230"/>
        <v>0</v>
      </c>
      <c r="U1854" s="195">
        <f t="shared" si="231"/>
        <v>0</v>
      </c>
      <c r="V1854" s="195">
        <f t="shared" si="232"/>
        <v>0</v>
      </c>
      <c r="W1854" s="196" t="e">
        <f t="shared" si="233"/>
        <v>#DIV/0!</v>
      </c>
      <c r="X1854" s="197" t="e">
        <f t="shared" si="234"/>
        <v>#DIV/0!</v>
      </c>
    </row>
    <row r="1855" ht="11.4" hidden="1" customHeight="1" spans="1:24">
      <c r="A1855" s="184" t="s">
        <v>3194</v>
      </c>
      <c r="B1855" s="184" t="s">
        <v>123</v>
      </c>
      <c r="C1855" s="184" t="s">
        <v>1101</v>
      </c>
      <c r="D1855" s="185" t="s">
        <v>704</v>
      </c>
      <c r="E1855" s="186" t="s">
        <v>906</v>
      </c>
      <c r="F1855" s="186" t="s">
        <v>907</v>
      </c>
      <c r="G1855" s="186" t="s">
        <v>1102</v>
      </c>
      <c r="H1855" s="186" t="s">
        <v>547</v>
      </c>
      <c r="I1855" s="187" t="s">
        <v>1654</v>
      </c>
      <c r="J1855" s="187" t="s">
        <v>1655</v>
      </c>
      <c r="K1855" s="188"/>
      <c r="L1855" s="188"/>
      <c r="M1855" s="189" t="s">
        <v>847</v>
      </c>
      <c r="N1855" s="190">
        <v>180.15</v>
      </c>
      <c r="O1855" s="190">
        <f t="shared" si="227"/>
        <v>196.36</v>
      </c>
      <c r="P1855" s="191">
        <f t="shared" si="228"/>
        <v>0</v>
      </c>
      <c r="Q1855" s="192">
        <f t="shared" si="229"/>
        <v>0</v>
      </c>
      <c r="R1855" s="193"/>
      <c r="S1855" s="194"/>
      <c r="T1855" s="195">
        <f t="shared" si="230"/>
        <v>0</v>
      </c>
      <c r="U1855" s="195">
        <f t="shared" si="231"/>
        <v>0</v>
      </c>
      <c r="V1855" s="195">
        <f t="shared" si="232"/>
        <v>0</v>
      </c>
      <c r="W1855" s="196" t="e">
        <f t="shared" si="233"/>
        <v>#DIV/0!</v>
      </c>
      <c r="X1855" s="197" t="e">
        <f t="shared" si="234"/>
        <v>#DIV/0!</v>
      </c>
    </row>
    <row r="1856" ht="11.4" hidden="1" customHeight="1" spans="1:24">
      <c r="A1856" s="184" t="s">
        <v>3194</v>
      </c>
      <c r="B1856" s="184" t="s">
        <v>123</v>
      </c>
      <c r="C1856" s="184" t="s">
        <v>1101</v>
      </c>
      <c r="D1856" s="185" t="s">
        <v>704</v>
      </c>
      <c r="E1856" s="186" t="s">
        <v>906</v>
      </c>
      <c r="F1856" s="186" t="s">
        <v>907</v>
      </c>
      <c r="G1856" s="186" t="s">
        <v>1102</v>
      </c>
      <c r="H1856" s="186" t="s">
        <v>547</v>
      </c>
      <c r="I1856" s="187" t="s">
        <v>1656</v>
      </c>
      <c r="J1856" s="187" t="s">
        <v>1657</v>
      </c>
      <c r="K1856" s="188"/>
      <c r="L1856" s="188"/>
      <c r="M1856" s="189" t="s">
        <v>807</v>
      </c>
      <c r="N1856" s="190">
        <v>39.27</v>
      </c>
      <c r="O1856" s="190">
        <f t="shared" si="227"/>
        <v>42.8</v>
      </c>
      <c r="P1856" s="191">
        <f t="shared" si="228"/>
        <v>0</v>
      </c>
      <c r="Q1856" s="192">
        <f t="shared" si="229"/>
        <v>0</v>
      </c>
      <c r="R1856" s="193"/>
      <c r="S1856" s="194"/>
      <c r="T1856" s="195">
        <f t="shared" si="230"/>
        <v>0</v>
      </c>
      <c r="U1856" s="195">
        <f t="shared" si="231"/>
        <v>0</v>
      </c>
      <c r="V1856" s="195">
        <f t="shared" si="232"/>
        <v>0</v>
      </c>
      <c r="W1856" s="196" t="e">
        <f t="shared" si="233"/>
        <v>#DIV/0!</v>
      </c>
      <c r="X1856" s="197" t="e">
        <f t="shared" si="234"/>
        <v>#DIV/0!</v>
      </c>
    </row>
    <row r="1857" ht="11.4" hidden="1" customHeight="1" spans="1:24">
      <c r="A1857" s="184" t="s">
        <v>3194</v>
      </c>
      <c r="B1857" s="184" t="s">
        <v>123</v>
      </c>
      <c r="C1857" s="184" t="s">
        <v>1101</v>
      </c>
      <c r="D1857" s="185" t="s">
        <v>704</v>
      </c>
      <c r="E1857" s="186" t="s">
        <v>906</v>
      </c>
      <c r="F1857" s="186" t="s">
        <v>907</v>
      </c>
      <c r="G1857" s="186" t="s">
        <v>1102</v>
      </c>
      <c r="H1857" s="186" t="s">
        <v>547</v>
      </c>
      <c r="I1857" s="187" t="s">
        <v>1658</v>
      </c>
      <c r="J1857" s="187" t="s">
        <v>1659</v>
      </c>
      <c r="K1857" s="188"/>
      <c r="L1857" s="188"/>
      <c r="M1857" s="189" t="s">
        <v>847</v>
      </c>
      <c r="N1857" s="190">
        <v>215.19</v>
      </c>
      <c r="O1857" s="190">
        <f t="shared" si="227"/>
        <v>234.56</v>
      </c>
      <c r="P1857" s="191">
        <f t="shared" si="228"/>
        <v>0</v>
      </c>
      <c r="Q1857" s="192">
        <f t="shared" si="229"/>
        <v>0</v>
      </c>
      <c r="R1857" s="193"/>
      <c r="S1857" s="194"/>
      <c r="T1857" s="195">
        <f t="shared" si="230"/>
        <v>0</v>
      </c>
      <c r="U1857" s="195">
        <f t="shared" si="231"/>
        <v>0</v>
      </c>
      <c r="V1857" s="195">
        <f t="shared" si="232"/>
        <v>0</v>
      </c>
      <c r="W1857" s="196" t="e">
        <f t="shared" si="233"/>
        <v>#DIV/0!</v>
      </c>
      <c r="X1857" s="197" t="e">
        <f t="shared" si="234"/>
        <v>#DIV/0!</v>
      </c>
    </row>
    <row r="1858" ht="11.4" hidden="1" customHeight="1" spans="1:24">
      <c r="A1858" s="184" t="s">
        <v>3194</v>
      </c>
      <c r="B1858" s="184" t="s">
        <v>123</v>
      </c>
      <c r="C1858" s="184" t="s">
        <v>1101</v>
      </c>
      <c r="D1858" s="185" t="s">
        <v>704</v>
      </c>
      <c r="E1858" s="186" t="s">
        <v>906</v>
      </c>
      <c r="F1858" s="186" t="s">
        <v>907</v>
      </c>
      <c r="G1858" s="186" t="s">
        <v>1102</v>
      </c>
      <c r="H1858" s="186" t="s">
        <v>547</v>
      </c>
      <c r="I1858" s="187" t="s">
        <v>1660</v>
      </c>
      <c r="J1858" s="187" t="s">
        <v>1661</v>
      </c>
      <c r="K1858" s="188"/>
      <c r="L1858" s="188"/>
      <c r="M1858" s="189" t="s">
        <v>807</v>
      </c>
      <c r="N1858" s="190">
        <v>41.69</v>
      </c>
      <c r="O1858" s="190">
        <f t="shared" si="227"/>
        <v>45.44</v>
      </c>
      <c r="P1858" s="191">
        <f t="shared" si="228"/>
        <v>0</v>
      </c>
      <c r="Q1858" s="192">
        <f t="shared" si="229"/>
        <v>0</v>
      </c>
      <c r="R1858" s="193"/>
      <c r="S1858" s="194"/>
      <c r="T1858" s="195">
        <f t="shared" si="230"/>
        <v>0</v>
      </c>
      <c r="U1858" s="195">
        <f t="shared" si="231"/>
        <v>0</v>
      </c>
      <c r="V1858" s="195">
        <f t="shared" si="232"/>
        <v>0</v>
      </c>
      <c r="W1858" s="196" t="e">
        <f t="shared" si="233"/>
        <v>#DIV/0!</v>
      </c>
      <c r="X1858" s="197" t="e">
        <f t="shared" si="234"/>
        <v>#DIV/0!</v>
      </c>
    </row>
    <row r="1859" ht="11.4" hidden="1" customHeight="1" spans="1:24">
      <c r="A1859" s="184" t="s">
        <v>3194</v>
      </c>
      <c r="B1859" s="184" t="s">
        <v>123</v>
      </c>
      <c r="C1859" s="184" t="s">
        <v>1101</v>
      </c>
      <c r="D1859" s="185" t="s">
        <v>704</v>
      </c>
      <c r="E1859" s="186" t="s">
        <v>906</v>
      </c>
      <c r="F1859" s="186" t="s">
        <v>907</v>
      </c>
      <c r="G1859" s="186" t="s">
        <v>1102</v>
      </c>
      <c r="H1859" s="186" t="s">
        <v>547</v>
      </c>
      <c r="I1859" s="187" t="s">
        <v>1662</v>
      </c>
      <c r="J1859" s="187" t="s">
        <v>1663</v>
      </c>
      <c r="K1859" s="188"/>
      <c r="L1859" s="188"/>
      <c r="M1859" s="189" t="s">
        <v>847</v>
      </c>
      <c r="N1859" s="190">
        <v>272.28</v>
      </c>
      <c r="O1859" s="190">
        <f t="shared" si="227"/>
        <v>296.79</v>
      </c>
      <c r="P1859" s="191">
        <f t="shared" si="228"/>
        <v>0</v>
      </c>
      <c r="Q1859" s="192">
        <f t="shared" si="229"/>
        <v>0</v>
      </c>
      <c r="R1859" s="193"/>
      <c r="S1859" s="194"/>
      <c r="T1859" s="195">
        <f t="shared" si="230"/>
        <v>0</v>
      </c>
      <c r="U1859" s="195">
        <f t="shared" si="231"/>
        <v>0</v>
      </c>
      <c r="V1859" s="195">
        <f t="shared" si="232"/>
        <v>0</v>
      </c>
      <c r="W1859" s="196" t="e">
        <f t="shared" si="233"/>
        <v>#DIV/0!</v>
      </c>
      <c r="X1859" s="197" t="e">
        <f t="shared" si="234"/>
        <v>#DIV/0!</v>
      </c>
    </row>
    <row r="1860" ht="11.4" hidden="1" customHeight="1" spans="1:24">
      <c r="A1860" s="184" t="s">
        <v>3194</v>
      </c>
      <c r="B1860" s="184" t="s">
        <v>123</v>
      </c>
      <c r="C1860" s="184" t="s">
        <v>1101</v>
      </c>
      <c r="D1860" s="185" t="s">
        <v>704</v>
      </c>
      <c r="E1860" s="186" t="s">
        <v>906</v>
      </c>
      <c r="F1860" s="186" t="s">
        <v>907</v>
      </c>
      <c r="G1860" s="186" t="s">
        <v>1102</v>
      </c>
      <c r="H1860" s="186" t="s">
        <v>547</v>
      </c>
      <c r="I1860" s="187" t="s">
        <v>1664</v>
      </c>
      <c r="J1860" s="187" t="s">
        <v>1665</v>
      </c>
      <c r="K1860" s="188"/>
      <c r="L1860" s="188"/>
      <c r="M1860" s="189" t="s">
        <v>847</v>
      </c>
      <c r="N1860" s="190">
        <v>253.69</v>
      </c>
      <c r="O1860" s="190">
        <f t="shared" si="227"/>
        <v>276.52</v>
      </c>
      <c r="P1860" s="191">
        <f t="shared" si="228"/>
        <v>0</v>
      </c>
      <c r="Q1860" s="192">
        <f t="shared" si="229"/>
        <v>0</v>
      </c>
      <c r="R1860" s="193"/>
      <c r="S1860" s="194"/>
      <c r="T1860" s="195">
        <f t="shared" si="230"/>
        <v>0</v>
      </c>
      <c r="U1860" s="195">
        <f t="shared" si="231"/>
        <v>0</v>
      </c>
      <c r="V1860" s="195">
        <f t="shared" si="232"/>
        <v>0</v>
      </c>
      <c r="W1860" s="196" t="e">
        <f t="shared" si="233"/>
        <v>#DIV/0!</v>
      </c>
      <c r="X1860" s="197" t="e">
        <f t="shared" si="234"/>
        <v>#DIV/0!</v>
      </c>
    </row>
    <row r="1861" ht="11.4" hidden="1" customHeight="1" spans="1:24">
      <c r="A1861" s="184" t="s">
        <v>3194</v>
      </c>
      <c r="B1861" s="184" t="s">
        <v>123</v>
      </c>
      <c r="C1861" s="184" t="s">
        <v>1101</v>
      </c>
      <c r="D1861" s="185" t="s">
        <v>704</v>
      </c>
      <c r="E1861" s="186" t="s">
        <v>906</v>
      </c>
      <c r="F1861" s="186" t="s">
        <v>907</v>
      </c>
      <c r="G1861" s="186" t="s">
        <v>1102</v>
      </c>
      <c r="H1861" s="186" t="s">
        <v>547</v>
      </c>
      <c r="I1861" s="187" t="s">
        <v>1666</v>
      </c>
      <c r="J1861" s="187" t="s">
        <v>1667</v>
      </c>
      <c r="K1861" s="188"/>
      <c r="L1861" s="188"/>
      <c r="M1861" s="189" t="s">
        <v>847</v>
      </c>
      <c r="N1861" s="190">
        <v>275.14</v>
      </c>
      <c r="O1861" s="190">
        <f t="shared" si="227"/>
        <v>299.9</v>
      </c>
      <c r="P1861" s="191">
        <f t="shared" si="228"/>
        <v>0</v>
      </c>
      <c r="Q1861" s="192">
        <f t="shared" si="229"/>
        <v>0</v>
      </c>
      <c r="R1861" s="193"/>
      <c r="S1861" s="194"/>
      <c r="T1861" s="195">
        <f t="shared" si="230"/>
        <v>0</v>
      </c>
      <c r="U1861" s="195">
        <f t="shared" si="231"/>
        <v>0</v>
      </c>
      <c r="V1861" s="195">
        <f t="shared" si="232"/>
        <v>0</v>
      </c>
      <c r="W1861" s="196" t="e">
        <f t="shared" si="233"/>
        <v>#DIV/0!</v>
      </c>
      <c r="X1861" s="197" t="e">
        <f t="shared" si="234"/>
        <v>#DIV/0!</v>
      </c>
    </row>
    <row r="1862" ht="11.4" hidden="1" customHeight="1" spans="1:24">
      <c r="A1862" s="184" t="s">
        <v>3194</v>
      </c>
      <c r="B1862" s="184" t="s">
        <v>123</v>
      </c>
      <c r="C1862" s="184" t="s">
        <v>1101</v>
      </c>
      <c r="D1862" s="185" t="s">
        <v>704</v>
      </c>
      <c r="E1862" s="186" t="s">
        <v>906</v>
      </c>
      <c r="F1862" s="186" t="s">
        <v>907</v>
      </c>
      <c r="G1862" s="186" t="s">
        <v>1102</v>
      </c>
      <c r="H1862" s="186" t="s">
        <v>547</v>
      </c>
      <c r="I1862" s="187" t="s">
        <v>1668</v>
      </c>
      <c r="J1862" s="187" t="s">
        <v>1669</v>
      </c>
      <c r="K1862" s="188"/>
      <c r="L1862" s="188"/>
      <c r="M1862" s="189" t="s">
        <v>807</v>
      </c>
      <c r="N1862" s="190">
        <v>49.86</v>
      </c>
      <c r="O1862" s="190">
        <f t="shared" si="227"/>
        <v>54.35</v>
      </c>
      <c r="P1862" s="191">
        <f t="shared" si="228"/>
        <v>0</v>
      </c>
      <c r="Q1862" s="192">
        <f t="shared" si="229"/>
        <v>0</v>
      </c>
      <c r="R1862" s="193"/>
      <c r="S1862" s="194"/>
      <c r="T1862" s="195">
        <f t="shared" si="230"/>
        <v>0</v>
      </c>
      <c r="U1862" s="195">
        <f t="shared" si="231"/>
        <v>0</v>
      </c>
      <c r="V1862" s="195">
        <f t="shared" si="232"/>
        <v>0</v>
      </c>
      <c r="W1862" s="196" t="e">
        <f t="shared" si="233"/>
        <v>#DIV/0!</v>
      </c>
      <c r="X1862" s="197" t="e">
        <f t="shared" si="234"/>
        <v>#DIV/0!</v>
      </c>
    </row>
    <row r="1863" ht="11.4" hidden="1" customHeight="1" spans="1:24">
      <c r="A1863" s="184" t="s">
        <v>3194</v>
      </c>
      <c r="B1863" s="184" t="s">
        <v>123</v>
      </c>
      <c r="C1863" s="184" t="s">
        <v>1101</v>
      </c>
      <c r="D1863" s="185" t="s">
        <v>704</v>
      </c>
      <c r="E1863" s="186" t="s">
        <v>906</v>
      </c>
      <c r="F1863" s="186" t="s">
        <v>907</v>
      </c>
      <c r="G1863" s="186" t="s">
        <v>1102</v>
      </c>
      <c r="H1863" s="186" t="s">
        <v>547</v>
      </c>
      <c r="I1863" s="187" t="s">
        <v>1670</v>
      </c>
      <c r="J1863" s="187" t="s">
        <v>1671</v>
      </c>
      <c r="K1863" s="188"/>
      <c r="L1863" s="188"/>
      <c r="M1863" s="189" t="s">
        <v>807</v>
      </c>
      <c r="N1863" s="190">
        <v>48.65</v>
      </c>
      <c r="O1863" s="190">
        <f t="shared" si="227"/>
        <v>53.03</v>
      </c>
      <c r="P1863" s="191">
        <f t="shared" si="228"/>
        <v>0</v>
      </c>
      <c r="Q1863" s="192">
        <f t="shared" si="229"/>
        <v>0</v>
      </c>
      <c r="R1863" s="193"/>
      <c r="S1863" s="194"/>
      <c r="T1863" s="195">
        <f t="shared" si="230"/>
        <v>0</v>
      </c>
      <c r="U1863" s="195">
        <f t="shared" si="231"/>
        <v>0</v>
      </c>
      <c r="V1863" s="195">
        <f t="shared" si="232"/>
        <v>0</v>
      </c>
      <c r="W1863" s="196" t="e">
        <f t="shared" si="233"/>
        <v>#DIV/0!</v>
      </c>
      <c r="X1863" s="197" t="e">
        <f t="shared" si="234"/>
        <v>#DIV/0!</v>
      </c>
    </row>
    <row r="1864" ht="11.4" hidden="1" customHeight="1" spans="1:24">
      <c r="A1864" s="184" t="s">
        <v>3194</v>
      </c>
      <c r="B1864" s="184" t="s">
        <v>123</v>
      </c>
      <c r="C1864" s="184" t="s">
        <v>1101</v>
      </c>
      <c r="D1864" s="185" t="s">
        <v>704</v>
      </c>
      <c r="E1864" s="186" t="s">
        <v>906</v>
      </c>
      <c r="F1864" s="186" t="s">
        <v>907</v>
      </c>
      <c r="G1864" s="186" t="s">
        <v>1102</v>
      </c>
      <c r="H1864" s="186" t="s">
        <v>547</v>
      </c>
      <c r="I1864" s="187" t="s">
        <v>1672</v>
      </c>
      <c r="J1864" s="187" t="s">
        <v>1673</v>
      </c>
      <c r="K1864" s="188"/>
      <c r="L1864" s="188"/>
      <c r="M1864" s="189" t="s">
        <v>807</v>
      </c>
      <c r="N1864" s="190">
        <v>49.86</v>
      </c>
      <c r="O1864" s="190">
        <f t="shared" si="227"/>
        <v>54.35</v>
      </c>
      <c r="P1864" s="191">
        <f t="shared" si="228"/>
        <v>0</v>
      </c>
      <c r="Q1864" s="192">
        <f t="shared" si="229"/>
        <v>0</v>
      </c>
      <c r="R1864" s="193"/>
      <c r="S1864" s="194"/>
      <c r="T1864" s="195">
        <f t="shared" si="230"/>
        <v>0</v>
      </c>
      <c r="U1864" s="195">
        <f t="shared" si="231"/>
        <v>0</v>
      </c>
      <c r="V1864" s="195">
        <f t="shared" si="232"/>
        <v>0</v>
      </c>
      <c r="W1864" s="196" t="e">
        <f t="shared" si="233"/>
        <v>#DIV/0!</v>
      </c>
      <c r="X1864" s="197" t="e">
        <f t="shared" si="234"/>
        <v>#DIV/0!</v>
      </c>
    </row>
    <row r="1865" ht="11.4" hidden="1" customHeight="1" spans="1:24">
      <c r="A1865" s="184" t="s">
        <v>3194</v>
      </c>
      <c r="B1865" s="184" t="s">
        <v>123</v>
      </c>
      <c r="C1865" s="184" t="s">
        <v>1101</v>
      </c>
      <c r="D1865" s="185" t="s">
        <v>704</v>
      </c>
      <c r="E1865" s="186" t="s">
        <v>906</v>
      </c>
      <c r="F1865" s="186" t="s">
        <v>907</v>
      </c>
      <c r="G1865" s="186" t="s">
        <v>1102</v>
      </c>
      <c r="H1865" s="186" t="s">
        <v>547</v>
      </c>
      <c r="I1865" s="187" t="s">
        <v>1674</v>
      </c>
      <c r="J1865" s="187" t="s">
        <v>1675</v>
      </c>
      <c r="K1865" s="188"/>
      <c r="L1865" s="188"/>
      <c r="M1865" s="189" t="s">
        <v>847</v>
      </c>
      <c r="N1865" s="190">
        <v>275.14</v>
      </c>
      <c r="O1865" s="190">
        <f t="shared" si="227"/>
        <v>299.9</v>
      </c>
      <c r="P1865" s="191">
        <f t="shared" si="228"/>
        <v>0</v>
      </c>
      <c r="Q1865" s="192">
        <f t="shared" si="229"/>
        <v>0</v>
      </c>
      <c r="R1865" s="193"/>
      <c r="S1865" s="194"/>
      <c r="T1865" s="195">
        <f t="shared" si="230"/>
        <v>0</v>
      </c>
      <c r="U1865" s="195">
        <f t="shared" si="231"/>
        <v>0</v>
      </c>
      <c r="V1865" s="195">
        <f t="shared" si="232"/>
        <v>0</v>
      </c>
      <c r="W1865" s="196" t="e">
        <f t="shared" si="233"/>
        <v>#DIV/0!</v>
      </c>
      <c r="X1865" s="197" t="e">
        <f t="shared" si="234"/>
        <v>#DIV/0!</v>
      </c>
    </row>
    <row r="1866" ht="11.4" hidden="1" customHeight="1" spans="1:24">
      <c r="A1866" s="184" t="s">
        <v>3194</v>
      </c>
      <c r="B1866" s="184" t="s">
        <v>123</v>
      </c>
      <c r="C1866" s="184" t="s">
        <v>1101</v>
      </c>
      <c r="D1866" s="185" t="s">
        <v>704</v>
      </c>
      <c r="E1866" s="186" t="s">
        <v>906</v>
      </c>
      <c r="F1866" s="186" t="s">
        <v>907</v>
      </c>
      <c r="G1866" s="186" t="s">
        <v>1102</v>
      </c>
      <c r="H1866" s="186" t="s">
        <v>547</v>
      </c>
      <c r="I1866" s="187" t="s">
        <v>1676</v>
      </c>
      <c r="J1866" s="187" t="s">
        <v>1677</v>
      </c>
      <c r="K1866" s="188"/>
      <c r="L1866" s="188"/>
      <c r="M1866" s="189" t="s">
        <v>847</v>
      </c>
      <c r="N1866" s="190">
        <v>265.9</v>
      </c>
      <c r="O1866" s="190">
        <f t="shared" si="227"/>
        <v>289.83</v>
      </c>
      <c r="P1866" s="191">
        <f t="shared" si="228"/>
        <v>0</v>
      </c>
      <c r="Q1866" s="192">
        <f t="shared" si="229"/>
        <v>0</v>
      </c>
      <c r="R1866" s="193"/>
      <c r="S1866" s="194"/>
      <c r="T1866" s="195">
        <f t="shared" si="230"/>
        <v>0</v>
      </c>
      <c r="U1866" s="195">
        <f t="shared" si="231"/>
        <v>0</v>
      </c>
      <c r="V1866" s="195">
        <f t="shared" si="232"/>
        <v>0</v>
      </c>
      <c r="W1866" s="196" t="e">
        <f t="shared" si="233"/>
        <v>#DIV/0!</v>
      </c>
      <c r="X1866" s="197" t="e">
        <f t="shared" si="234"/>
        <v>#DIV/0!</v>
      </c>
    </row>
    <row r="1867" ht="11.4" hidden="1" customHeight="1" spans="1:24">
      <c r="A1867" s="184" t="s">
        <v>3194</v>
      </c>
      <c r="B1867" s="184" t="s">
        <v>123</v>
      </c>
      <c r="C1867" s="184" t="s">
        <v>1101</v>
      </c>
      <c r="D1867" s="185" t="s">
        <v>704</v>
      </c>
      <c r="E1867" s="186" t="s">
        <v>906</v>
      </c>
      <c r="F1867" s="186" t="s">
        <v>907</v>
      </c>
      <c r="G1867" s="186" t="s">
        <v>1102</v>
      </c>
      <c r="H1867" s="186" t="s">
        <v>547</v>
      </c>
      <c r="I1867" s="187" t="s">
        <v>1678</v>
      </c>
      <c r="J1867" s="187" t="s">
        <v>1679</v>
      </c>
      <c r="K1867" s="188"/>
      <c r="L1867" s="188"/>
      <c r="M1867" s="189" t="s">
        <v>847</v>
      </c>
      <c r="N1867" s="190">
        <v>279.43</v>
      </c>
      <c r="O1867" s="190">
        <f t="shared" si="227"/>
        <v>304.58</v>
      </c>
      <c r="P1867" s="191">
        <f t="shared" si="228"/>
        <v>0</v>
      </c>
      <c r="Q1867" s="192">
        <f t="shared" si="229"/>
        <v>0</v>
      </c>
      <c r="R1867" s="193"/>
      <c r="S1867" s="194"/>
      <c r="T1867" s="195">
        <f t="shared" si="230"/>
        <v>0</v>
      </c>
      <c r="U1867" s="195">
        <f t="shared" si="231"/>
        <v>0</v>
      </c>
      <c r="V1867" s="195">
        <f t="shared" si="232"/>
        <v>0</v>
      </c>
      <c r="W1867" s="196" t="e">
        <f t="shared" si="233"/>
        <v>#DIV/0!</v>
      </c>
      <c r="X1867" s="197" t="e">
        <f t="shared" si="234"/>
        <v>#DIV/0!</v>
      </c>
    </row>
    <row r="1868" ht="11.4" hidden="1" customHeight="1" spans="1:24">
      <c r="A1868" s="184" t="s">
        <v>3194</v>
      </c>
      <c r="B1868" s="184" t="s">
        <v>123</v>
      </c>
      <c r="C1868" s="184" t="s">
        <v>1101</v>
      </c>
      <c r="D1868" s="185" t="s">
        <v>704</v>
      </c>
      <c r="E1868" s="186" t="s">
        <v>906</v>
      </c>
      <c r="F1868" s="186" t="s">
        <v>907</v>
      </c>
      <c r="G1868" s="186" t="s">
        <v>1102</v>
      </c>
      <c r="H1868" s="186" t="s">
        <v>547</v>
      </c>
      <c r="I1868" s="187" t="s">
        <v>1680</v>
      </c>
      <c r="J1868" s="187" t="s">
        <v>1681</v>
      </c>
      <c r="K1868" s="188"/>
      <c r="L1868" s="188"/>
      <c r="M1868" s="189" t="s">
        <v>847</v>
      </c>
      <c r="N1868" s="190">
        <v>272.28</v>
      </c>
      <c r="O1868" s="190">
        <f t="shared" si="227"/>
        <v>296.79</v>
      </c>
      <c r="P1868" s="191">
        <f t="shared" si="228"/>
        <v>0</v>
      </c>
      <c r="Q1868" s="192">
        <f t="shared" si="229"/>
        <v>0</v>
      </c>
      <c r="R1868" s="193"/>
      <c r="S1868" s="194"/>
      <c r="T1868" s="195">
        <f t="shared" si="230"/>
        <v>0</v>
      </c>
      <c r="U1868" s="195">
        <f t="shared" si="231"/>
        <v>0</v>
      </c>
      <c r="V1868" s="195">
        <f t="shared" si="232"/>
        <v>0</v>
      </c>
      <c r="W1868" s="196" t="e">
        <f t="shared" si="233"/>
        <v>#DIV/0!</v>
      </c>
      <c r="X1868" s="197" t="e">
        <f t="shared" si="234"/>
        <v>#DIV/0!</v>
      </c>
    </row>
    <row r="1869" ht="11.4" hidden="1" customHeight="1" spans="1:24">
      <c r="A1869" s="184" t="s">
        <v>3194</v>
      </c>
      <c r="B1869" s="184" t="s">
        <v>123</v>
      </c>
      <c r="C1869" s="184" t="s">
        <v>1101</v>
      </c>
      <c r="D1869" s="185" t="s">
        <v>704</v>
      </c>
      <c r="E1869" s="186" t="s">
        <v>906</v>
      </c>
      <c r="F1869" s="186" t="s">
        <v>907</v>
      </c>
      <c r="G1869" s="186" t="s">
        <v>1102</v>
      </c>
      <c r="H1869" s="186" t="s">
        <v>547</v>
      </c>
      <c r="I1869" s="187" t="s">
        <v>1682</v>
      </c>
      <c r="J1869" s="187" t="s">
        <v>1683</v>
      </c>
      <c r="K1869" s="188"/>
      <c r="L1869" s="188"/>
      <c r="M1869" s="189" t="s">
        <v>847</v>
      </c>
      <c r="N1869" s="190">
        <v>250.83</v>
      </c>
      <c r="O1869" s="190">
        <f t="shared" ref="O1869:O1932" si="235">ROUND(N1869*(1+$F$10),2)</f>
        <v>273.4</v>
      </c>
      <c r="P1869" s="191">
        <f t="shared" ref="P1869:P1932" si="236">ROUND(K1869*N1869,2)</f>
        <v>0</v>
      </c>
      <c r="Q1869" s="192">
        <f t="shared" si="229"/>
        <v>0</v>
      </c>
      <c r="R1869" s="193"/>
      <c r="S1869" s="194"/>
      <c r="T1869" s="195">
        <f t="shared" si="230"/>
        <v>0</v>
      </c>
      <c r="U1869" s="195">
        <f t="shared" si="231"/>
        <v>0</v>
      </c>
      <c r="V1869" s="195">
        <f t="shared" si="232"/>
        <v>0</v>
      </c>
      <c r="W1869" s="196" t="e">
        <f t="shared" si="233"/>
        <v>#DIV/0!</v>
      </c>
      <c r="X1869" s="197" t="e">
        <f t="shared" si="234"/>
        <v>#DIV/0!</v>
      </c>
    </row>
    <row r="1870" ht="11.4" hidden="1" customHeight="1" spans="1:24">
      <c r="A1870" s="184" t="s">
        <v>3194</v>
      </c>
      <c r="B1870" s="184" t="s">
        <v>123</v>
      </c>
      <c r="C1870" s="184" t="s">
        <v>1101</v>
      </c>
      <c r="D1870" s="185" t="s">
        <v>704</v>
      </c>
      <c r="E1870" s="186" t="s">
        <v>906</v>
      </c>
      <c r="F1870" s="186" t="s">
        <v>907</v>
      </c>
      <c r="G1870" s="186" t="s">
        <v>1102</v>
      </c>
      <c r="H1870" s="186" t="s">
        <v>547</v>
      </c>
      <c r="I1870" s="187" t="s">
        <v>1684</v>
      </c>
      <c r="J1870" s="187" t="s">
        <v>1685</v>
      </c>
      <c r="K1870" s="188"/>
      <c r="L1870" s="188"/>
      <c r="M1870" s="189" t="s">
        <v>847</v>
      </c>
      <c r="N1870" s="190">
        <v>275.14</v>
      </c>
      <c r="O1870" s="190">
        <f t="shared" si="235"/>
        <v>299.9</v>
      </c>
      <c r="P1870" s="191">
        <f t="shared" si="236"/>
        <v>0</v>
      </c>
      <c r="Q1870" s="192">
        <f t="shared" ref="Q1870:Q1933" si="237">ROUND(L1870*N1870,2)</f>
        <v>0</v>
      </c>
      <c r="R1870" s="193"/>
      <c r="S1870" s="194"/>
      <c r="T1870" s="195">
        <f t="shared" ref="T1870:T1933" si="238">K1870-L1870</f>
        <v>0</v>
      </c>
      <c r="U1870" s="195">
        <f t="shared" ref="U1870:U1933" si="239">P1870-Q1870</f>
        <v>0</v>
      </c>
      <c r="V1870" s="195">
        <f t="shared" ref="V1870:V1933" si="240">ABS(U1870)</f>
        <v>0</v>
      </c>
      <c r="W1870" s="196" t="e">
        <f t="shared" ref="W1870:W1933" si="241">T1870/L1870</f>
        <v>#DIV/0!</v>
      </c>
      <c r="X1870" s="197" t="e">
        <f t="shared" ref="X1870:X1933" si="242">ABS(W1870)</f>
        <v>#DIV/0!</v>
      </c>
    </row>
    <row r="1871" ht="11.4" hidden="1" customHeight="1" spans="1:24">
      <c r="A1871" s="184" t="s">
        <v>3194</v>
      </c>
      <c r="B1871" s="184" t="s">
        <v>123</v>
      </c>
      <c r="C1871" s="184" t="s">
        <v>1101</v>
      </c>
      <c r="D1871" s="185" t="s">
        <v>704</v>
      </c>
      <c r="E1871" s="186" t="s">
        <v>906</v>
      </c>
      <c r="F1871" s="186" t="s">
        <v>907</v>
      </c>
      <c r="G1871" s="186" t="s">
        <v>1102</v>
      </c>
      <c r="H1871" s="186" t="s">
        <v>547</v>
      </c>
      <c r="I1871" s="187" t="s">
        <v>1686</v>
      </c>
      <c r="J1871" s="187" t="s">
        <v>1687</v>
      </c>
      <c r="K1871" s="188"/>
      <c r="L1871" s="188"/>
      <c r="M1871" s="189" t="s">
        <v>807</v>
      </c>
      <c r="N1871" s="190">
        <v>130.79</v>
      </c>
      <c r="O1871" s="190">
        <f t="shared" si="235"/>
        <v>142.56</v>
      </c>
      <c r="P1871" s="191">
        <f t="shared" si="236"/>
        <v>0</v>
      </c>
      <c r="Q1871" s="192">
        <f t="shared" si="237"/>
        <v>0</v>
      </c>
      <c r="R1871" s="193"/>
      <c r="S1871" s="194"/>
      <c r="T1871" s="195">
        <f t="shared" si="238"/>
        <v>0</v>
      </c>
      <c r="U1871" s="195">
        <f t="shared" si="239"/>
        <v>0</v>
      </c>
      <c r="V1871" s="195">
        <f t="shared" si="240"/>
        <v>0</v>
      </c>
      <c r="W1871" s="196" t="e">
        <f t="shared" si="241"/>
        <v>#DIV/0!</v>
      </c>
      <c r="X1871" s="197" t="e">
        <f t="shared" si="242"/>
        <v>#DIV/0!</v>
      </c>
    </row>
    <row r="1872" ht="11.4" hidden="1" customHeight="1" spans="1:24">
      <c r="A1872" s="184" t="s">
        <v>3194</v>
      </c>
      <c r="B1872" s="184" t="s">
        <v>123</v>
      </c>
      <c r="C1872" s="184" t="s">
        <v>1101</v>
      </c>
      <c r="D1872" s="185" t="s">
        <v>704</v>
      </c>
      <c r="E1872" s="186" t="s">
        <v>906</v>
      </c>
      <c r="F1872" s="186" t="s">
        <v>907</v>
      </c>
      <c r="G1872" s="186" t="s">
        <v>1102</v>
      </c>
      <c r="H1872" s="186" t="s">
        <v>547</v>
      </c>
      <c r="I1872" s="187" t="s">
        <v>1688</v>
      </c>
      <c r="J1872" s="187" t="s">
        <v>1689</v>
      </c>
      <c r="K1872" s="188"/>
      <c r="L1872" s="188"/>
      <c r="M1872" s="189" t="s">
        <v>847</v>
      </c>
      <c r="N1872" s="190">
        <v>75.79</v>
      </c>
      <c r="O1872" s="190">
        <f t="shared" si="235"/>
        <v>82.61</v>
      </c>
      <c r="P1872" s="191">
        <f t="shared" si="236"/>
        <v>0</v>
      </c>
      <c r="Q1872" s="192">
        <f t="shared" si="237"/>
        <v>0</v>
      </c>
      <c r="R1872" s="193"/>
      <c r="S1872" s="194"/>
      <c r="T1872" s="195">
        <f t="shared" si="238"/>
        <v>0</v>
      </c>
      <c r="U1872" s="195">
        <f t="shared" si="239"/>
        <v>0</v>
      </c>
      <c r="V1872" s="195">
        <f t="shared" si="240"/>
        <v>0</v>
      </c>
      <c r="W1872" s="196" t="e">
        <f t="shared" si="241"/>
        <v>#DIV/0!</v>
      </c>
      <c r="X1872" s="197" t="e">
        <f t="shared" si="242"/>
        <v>#DIV/0!</v>
      </c>
    </row>
    <row r="1873" ht="11.4" hidden="1" customHeight="1" spans="1:24">
      <c r="A1873" s="184" t="s">
        <v>3194</v>
      </c>
      <c r="B1873" s="184" t="s">
        <v>123</v>
      </c>
      <c r="C1873" s="184" t="s">
        <v>1101</v>
      </c>
      <c r="D1873" s="185" t="s">
        <v>704</v>
      </c>
      <c r="E1873" s="186" t="s">
        <v>906</v>
      </c>
      <c r="F1873" s="186" t="s">
        <v>907</v>
      </c>
      <c r="G1873" s="186" t="s">
        <v>1102</v>
      </c>
      <c r="H1873" s="186" t="s">
        <v>547</v>
      </c>
      <c r="I1873" s="187" t="s">
        <v>1690</v>
      </c>
      <c r="J1873" s="187" t="s">
        <v>1691</v>
      </c>
      <c r="K1873" s="188"/>
      <c r="L1873" s="188"/>
      <c r="M1873" s="189" t="s">
        <v>807</v>
      </c>
      <c r="N1873" s="190">
        <v>343.86</v>
      </c>
      <c r="O1873" s="190">
        <f t="shared" si="235"/>
        <v>374.81</v>
      </c>
      <c r="P1873" s="191">
        <f t="shared" si="236"/>
        <v>0</v>
      </c>
      <c r="Q1873" s="192">
        <f t="shared" si="237"/>
        <v>0</v>
      </c>
      <c r="R1873" s="193"/>
      <c r="S1873" s="194"/>
      <c r="T1873" s="195">
        <f t="shared" si="238"/>
        <v>0</v>
      </c>
      <c r="U1873" s="195">
        <f t="shared" si="239"/>
        <v>0</v>
      </c>
      <c r="V1873" s="195">
        <f t="shared" si="240"/>
        <v>0</v>
      </c>
      <c r="W1873" s="196" t="e">
        <f t="shared" si="241"/>
        <v>#DIV/0!</v>
      </c>
      <c r="X1873" s="197" t="e">
        <f t="shared" si="242"/>
        <v>#DIV/0!</v>
      </c>
    </row>
    <row r="1874" ht="11.4" hidden="1" customHeight="1" spans="1:24">
      <c r="A1874" s="184" t="s">
        <v>3194</v>
      </c>
      <c r="B1874" s="184" t="s">
        <v>123</v>
      </c>
      <c r="C1874" s="184" t="s">
        <v>1101</v>
      </c>
      <c r="D1874" s="185" t="s">
        <v>704</v>
      </c>
      <c r="E1874" s="186" t="s">
        <v>906</v>
      </c>
      <c r="F1874" s="186" t="s">
        <v>907</v>
      </c>
      <c r="G1874" s="186" t="s">
        <v>1102</v>
      </c>
      <c r="H1874" s="186" t="s">
        <v>547</v>
      </c>
      <c r="I1874" s="187" t="s">
        <v>1692</v>
      </c>
      <c r="J1874" s="187" t="s">
        <v>1693</v>
      </c>
      <c r="K1874" s="188"/>
      <c r="L1874" s="188"/>
      <c r="M1874" s="189" t="s">
        <v>807</v>
      </c>
      <c r="N1874" s="190">
        <v>341.66</v>
      </c>
      <c r="O1874" s="190">
        <f t="shared" si="235"/>
        <v>372.41</v>
      </c>
      <c r="P1874" s="191">
        <f t="shared" si="236"/>
        <v>0</v>
      </c>
      <c r="Q1874" s="192">
        <f t="shared" si="237"/>
        <v>0</v>
      </c>
      <c r="R1874" s="193"/>
      <c r="S1874" s="194"/>
      <c r="T1874" s="195">
        <f t="shared" si="238"/>
        <v>0</v>
      </c>
      <c r="U1874" s="195">
        <f t="shared" si="239"/>
        <v>0</v>
      </c>
      <c r="V1874" s="195">
        <f t="shared" si="240"/>
        <v>0</v>
      </c>
      <c r="W1874" s="196" t="e">
        <f t="shared" si="241"/>
        <v>#DIV/0!</v>
      </c>
      <c r="X1874" s="197" t="e">
        <f t="shared" si="242"/>
        <v>#DIV/0!</v>
      </c>
    </row>
    <row r="1875" ht="11.4" hidden="1" customHeight="1" spans="1:24">
      <c r="A1875" s="184" t="s">
        <v>3194</v>
      </c>
      <c r="B1875" s="184" t="s">
        <v>123</v>
      </c>
      <c r="C1875" s="184" t="s">
        <v>1101</v>
      </c>
      <c r="D1875" s="185" t="s">
        <v>704</v>
      </c>
      <c r="E1875" s="186" t="s">
        <v>906</v>
      </c>
      <c r="F1875" s="186" t="s">
        <v>907</v>
      </c>
      <c r="G1875" s="186" t="s">
        <v>1102</v>
      </c>
      <c r="H1875" s="186" t="s">
        <v>547</v>
      </c>
      <c r="I1875" s="187" t="s">
        <v>1694</v>
      </c>
      <c r="J1875" s="187" t="s">
        <v>1695</v>
      </c>
      <c r="K1875" s="188"/>
      <c r="L1875" s="188"/>
      <c r="M1875" s="189" t="s">
        <v>807</v>
      </c>
      <c r="N1875" s="190">
        <v>481.91</v>
      </c>
      <c r="O1875" s="190">
        <f t="shared" si="235"/>
        <v>525.28</v>
      </c>
      <c r="P1875" s="191">
        <f t="shared" si="236"/>
        <v>0</v>
      </c>
      <c r="Q1875" s="192">
        <f t="shared" si="237"/>
        <v>0</v>
      </c>
      <c r="R1875" s="193"/>
      <c r="S1875" s="194"/>
      <c r="T1875" s="195">
        <f t="shared" si="238"/>
        <v>0</v>
      </c>
      <c r="U1875" s="195">
        <f t="shared" si="239"/>
        <v>0</v>
      </c>
      <c r="V1875" s="195">
        <f t="shared" si="240"/>
        <v>0</v>
      </c>
      <c r="W1875" s="196" t="e">
        <f t="shared" si="241"/>
        <v>#DIV/0!</v>
      </c>
      <c r="X1875" s="197" t="e">
        <f t="shared" si="242"/>
        <v>#DIV/0!</v>
      </c>
    </row>
    <row r="1876" ht="11.4" hidden="1" customHeight="1" spans="1:24">
      <c r="A1876" s="184" t="s">
        <v>3194</v>
      </c>
      <c r="B1876" s="184" t="s">
        <v>123</v>
      </c>
      <c r="C1876" s="184" t="s">
        <v>1101</v>
      </c>
      <c r="D1876" s="185" t="s">
        <v>704</v>
      </c>
      <c r="E1876" s="186" t="s">
        <v>906</v>
      </c>
      <c r="F1876" s="186" t="s">
        <v>907</v>
      </c>
      <c r="G1876" s="186" t="s">
        <v>1102</v>
      </c>
      <c r="H1876" s="186" t="s">
        <v>547</v>
      </c>
      <c r="I1876" s="187" t="s">
        <v>1696</v>
      </c>
      <c r="J1876" s="187" t="s">
        <v>1697</v>
      </c>
      <c r="K1876" s="188"/>
      <c r="L1876" s="188"/>
      <c r="M1876" s="189" t="s">
        <v>807</v>
      </c>
      <c r="N1876" s="190">
        <v>232.76</v>
      </c>
      <c r="O1876" s="190">
        <f t="shared" si="235"/>
        <v>253.71</v>
      </c>
      <c r="P1876" s="191">
        <f t="shared" si="236"/>
        <v>0</v>
      </c>
      <c r="Q1876" s="192">
        <f t="shared" si="237"/>
        <v>0</v>
      </c>
      <c r="R1876" s="193"/>
      <c r="S1876" s="194"/>
      <c r="T1876" s="195">
        <f t="shared" si="238"/>
        <v>0</v>
      </c>
      <c r="U1876" s="195">
        <f t="shared" si="239"/>
        <v>0</v>
      </c>
      <c r="V1876" s="195">
        <f t="shared" si="240"/>
        <v>0</v>
      </c>
      <c r="W1876" s="196" t="e">
        <f t="shared" si="241"/>
        <v>#DIV/0!</v>
      </c>
      <c r="X1876" s="197" t="e">
        <f t="shared" si="242"/>
        <v>#DIV/0!</v>
      </c>
    </row>
    <row r="1877" ht="11.4" hidden="1" customHeight="1" spans="1:24">
      <c r="A1877" s="184" t="s">
        <v>3194</v>
      </c>
      <c r="B1877" s="184" t="s">
        <v>123</v>
      </c>
      <c r="C1877" s="184" t="s">
        <v>1101</v>
      </c>
      <c r="D1877" s="185" t="s">
        <v>704</v>
      </c>
      <c r="E1877" s="186" t="s">
        <v>906</v>
      </c>
      <c r="F1877" s="186" t="s">
        <v>907</v>
      </c>
      <c r="G1877" s="186" t="s">
        <v>1102</v>
      </c>
      <c r="H1877" s="186" t="s">
        <v>547</v>
      </c>
      <c r="I1877" s="187" t="s">
        <v>1698</v>
      </c>
      <c r="J1877" s="187" t="s">
        <v>1699</v>
      </c>
      <c r="K1877" s="188"/>
      <c r="L1877" s="188"/>
      <c r="M1877" s="189" t="s">
        <v>847</v>
      </c>
      <c r="N1877" s="190">
        <v>606.85</v>
      </c>
      <c r="O1877" s="190">
        <f t="shared" si="235"/>
        <v>661.47</v>
      </c>
      <c r="P1877" s="191">
        <f t="shared" si="236"/>
        <v>0</v>
      </c>
      <c r="Q1877" s="192">
        <f t="shared" si="237"/>
        <v>0</v>
      </c>
      <c r="R1877" s="193"/>
      <c r="S1877" s="194"/>
      <c r="T1877" s="195">
        <f t="shared" si="238"/>
        <v>0</v>
      </c>
      <c r="U1877" s="195">
        <f t="shared" si="239"/>
        <v>0</v>
      </c>
      <c r="V1877" s="195">
        <f t="shared" si="240"/>
        <v>0</v>
      </c>
      <c r="W1877" s="196" t="e">
        <f t="shared" si="241"/>
        <v>#DIV/0!</v>
      </c>
      <c r="X1877" s="197" t="e">
        <f t="shared" si="242"/>
        <v>#DIV/0!</v>
      </c>
    </row>
    <row r="1878" ht="11.4" hidden="1" customHeight="1" spans="1:24">
      <c r="A1878" s="184" t="s">
        <v>3194</v>
      </c>
      <c r="B1878" s="184" t="s">
        <v>123</v>
      </c>
      <c r="C1878" s="184" t="s">
        <v>1101</v>
      </c>
      <c r="D1878" s="185" t="s">
        <v>704</v>
      </c>
      <c r="E1878" s="186" t="s">
        <v>906</v>
      </c>
      <c r="F1878" s="186" t="s">
        <v>907</v>
      </c>
      <c r="G1878" s="186" t="s">
        <v>1102</v>
      </c>
      <c r="H1878" s="186" t="s">
        <v>547</v>
      </c>
      <c r="I1878" s="187" t="s">
        <v>1700</v>
      </c>
      <c r="J1878" s="187" t="s">
        <v>1701</v>
      </c>
      <c r="K1878" s="188"/>
      <c r="L1878" s="188"/>
      <c r="M1878" s="189" t="s">
        <v>807</v>
      </c>
      <c r="N1878" s="190">
        <v>930.48</v>
      </c>
      <c r="O1878" s="190">
        <f t="shared" si="235"/>
        <v>1014.22</v>
      </c>
      <c r="P1878" s="191">
        <f t="shared" si="236"/>
        <v>0</v>
      </c>
      <c r="Q1878" s="192">
        <f t="shared" si="237"/>
        <v>0</v>
      </c>
      <c r="R1878" s="193"/>
      <c r="S1878" s="194"/>
      <c r="T1878" s="195">
        <f t="shared" si="238"/>
        <v>0</v>
      </c>
      <c r="U1878" s="195">
        <f t="shared" si="239"/>
        <v>0</v>
      </c>
      <c r="V1878" s="195">
        <f t="shared" si="240"/>
        <v>0</v>
      </c>
      <c r="W1878" s="196" t="e">
        <f t="shared" si="241"/>
        <v>#DIV/0!</v>
      </c>
      <c r="X1878" s="197" t="e">
        <f t="shared" si="242"/>
        <v>#DIV/0!</v>
      </c>
    </row>
    <row r="1879" ht="11.4" hidden="1" customHeight="1" spans="1:24">
      <c r="A1879" s="184" t="s">
        <v>3194</v>
      </c>
      <c r="B1879" s="184" t="s">
        <v>123</v>
      </c>
      <c r="C1879" s="184" t="s">
        <v>1101</v>
      </c>
      <c r="D1879" s="185" t="s">
        <v>704</v>
      </c>
      <c r="E1879" s="186" t="s">
        <v>906</v>
      </c>
      <c r="F1879" s="186" t="s">
        <v>907</v>
      </c>
      <c r="G1879" s="186" t="s">
        <v>1102</v>
      </c>
      <c r="H1879" s="186" t="s">
        <v>547</v>
      </c>
      <c r="I1879" s="187" t="s">
        <v>1702</v>
      </c>
      <c r="J1879" s="187" t="s">
        <v>1703</v>
      </c>
      <c r="K1879" s="188"/>
      <c r="L1879" s="188"/>
      <c r="M1879" s="189" t="s">
        <v>847</v>
      </c>
      <c r="N1879" s="190">
        <v>233.36</v>
      </c>
      <c r="O1879" s="190">
        <f t="shared" si="235"/>
        <v>254.36</v>
      </c>
      <c r="P1879" s="191">
        <f t="shared" si="236"/>
        <v>0</v>
      </c>
      <c r="Q1879" s="192">
        <f t="shared" si="237"/>
        <v>0</v>
      </c>
      <c r="R1879" s="193"/>
      <c r="S1879" s="194"/>
      <c r="T1879" s="195">
        <f t="shared" si="238"/>
        <v>0</v>
      </c>
      <c r="U1879" s="195">
        <f t="shared" si="239"/>
        <v>0</v>
      </c>
      <c r="V1879" s="195">
        <f t="shared" si="240"/>
        <v>0</v>
      </c>
      <c r="W1879" s="196" t="e">
        <f t="shared" si="241"/>
        <v>#DIV/0!</v>
      </c>
      <c r="X1879" s="197" t="e">
        <f t="shared" si="242"/>
        <v>#DIV/0!</v>
      </c>
    </row>
    <row r="1880" ht="11.4" hidden="1" customHeight="1" spans="1:24">
      <c r="A1880" s="184" t="s">
        <v>3194</v>
      </c>
      <c r="B1880" s="184" t="s">
        <v>123</v>
      </c>
      <c r="C1880" s="184" t="s">
        <v>1101</v>
      </c>
      <c r="D1880" s="185" t="s">
        <v>704</v>
      </c>
      <c r="E1880" s="186" t="s">
        <v>906</v>
      </c>
      <c r="F1880" s="186" t="s">
        <v>907</v>
      </c>
      <c r="G1880" s="186" t="s">
        <v>1102</v>
      </c>
      <c r="H1880" s="186" t="s">
        <v>547</v>
      </c>
      <c r="I1880" s="187" t="s">
        <v>1704</v>
      </c>
      <c r="J1880" s="187" t="s">
        <v>1705</v>
      </c>
      <c r="K1880" s="188"/>
      <c r="L1880" s="188"/>
      <c r="M1880" s="189" t="s">
        <v>847</v>
      </c>
      <c r="N1880" s="190">
        <v>163.76</v>
      </c>
      <c r="O1880" s="190">
        <f t="shared" si="235"/>
        <v>178.5</v>
      </c>
      <c r="P1880" s="191">
        <f t="shared" si="236"/>
        <v>0</v>
      </c>
      <c r="Q1880" s="192">
        <f t="shared" si="237"/>
        <v>0</v>
      </c>
      <c r="R1880" s="193"/>
      <c r="S1880" s="194"/>
      <c r="T1880" s="195">
        <f t="shared" si="238"/>
        <v>0</v>
      </c>
      <c r="U1880" s="195">
        <f t="shared" si="239"/>
        <v>0</v>
      </c>
      <c r="V1880" s="195">
        <f t="shared" si="240"/>
        <v>0</v>
      </c>
      <c r="W1880" s="196" t="e">
        <f t="shared" si="241"/>
        <v>#DIV/0!</v>
      </c>
      <c r="X1880" s="197" t="e">
        <f t="shared" si="242"/>
        <v>#DIV/0!</v>
      </c>
    </row>
    <row r="1881" ht="11.4" hidden="1" customHeight="1" spans="1:24">
      <c r="A1881" s="184" t="s">
        <v>3194</v>
      </c>
      <c r="B1881" s="184" t="s">
        <v>123</v>
      </c>
      <c r="C1881" s="184" t="s">
        <v>1101</v>
      </c>
      <c r="D1881" s="185" t="s">
        <v>704</v>
      </c>
      <c r="E1881" s="186" t="s">
        <v>906</v>
      </c>
      <c r="F1881" s="186" t="s">
        <v>907</v>
      </c>
      <c r="G1881" s="186" t="s">
        <v>1102</v>
      </c>
      <c r="H1881" s="186" t="s">
        <v>547</v>
      </c>
      <c r="I1881" s="187" t="s">
        <v>1336</v>
      </c>
      <c r="J1881" s="187" t="s">
        <v>1337</v>
      </c>
      <c r="K1881" s="188"/>
      <c r="L1881" s="188"/>
      <c r="M1881" s="189" t="s">
        <v>847</v>
      </c>
      <c r="N1881" s="190">
        <v>62.19</v>
      </c>
      <c r="O1881" s="190">
        <f t="shared" si="235"/>
        <v>67.79</v>
      </c>
      <c r="P1881" s="191">
        <f t="shared" si="236"/>
        <v>0</v>
      </c>
      <c r="Q1881" s="192">
        <f t="shared" si="237"/>
        <v>0</v>
      </c>
      <c r="R1881" s="193"/>
      <c r="S1881" s="194"/>
      <c r="T1881" s="195">
        <f t="shared" si="238"/>
        <v>0</v>
      </c>
      <c r="U1881" s="195">
        <f t="shared" si="239"/>
        <v>0</v>
      </c>
      <c r="V1881" s="195">
        <f t="shared" si="240"/>
        <v>0</v>
      </c>
      <c r="W1881" s="196" t="e">
        <f t="shared" si="241"/>
        <v>#DIV/0!</v>
      </c>
      <c r="X1881" s="197" t="e">
        <f t="shared" si="242"/>
        <v>#DIV/0!</v>
      </c>
    </row>
    <row r="1882" ht="11.4" hidden="1" customHeight="1" spans="1:24">
      <c r="A1882" s="184" t="s">
        <v>3195</v>
      </c>
      <c r="B1882" s="184" t="s">
        <v>125</v>
      </c>
      <c r="C1882" s="184" t="s">
        <v>1101</v>
      </c>
      <c r="D1882" s="185" t="s">
        <v>704</v>
      </c>
      <c r="E1882" s="186" t="s">
        <v>906</v>
      </c>
      <c r="F1882" s="186" t="s">
        <v>907</v>
      </c>
      <c r="G1882" s="186" t="s">
        <v>1102</v>
      </c>
      <c r="H1882" s="186" t="s">
        <v>1707</v>
      </c>
      <c r="I1882" s="187" t="s">
        <v>1104</v>
      </c>
      <c r="J1882" s="187" t="s">
        <v>1105</v>
      </c>
      <c r="K1882" s="188"/>
      <c r="L1882" s="188"/>
      <c r="M1882" s="189" t="s">
        <v>847</v>
      </c>
      <c r="N1882" s="190">
        <v>180.78</v>
      </c>
      <c r="O1882" s="190">
        <f t="shared" si="235"/>
        <v>197.05</v>
      </c>
      <c r="P1882" s="191">
        <f t="shared" si="236"/>
        <v>0</v>
      </c>
      <c r="Q1882" s="192">
        <f t="shared" si="237"/>
        <v>0</v>
      </c>
      <c r="R1882" s="193"/>
      <c r="S1882" s="194"/>
      <c r="T1882" s="195">
        <f t="shared" si="238"/>
        <v>0</v>
      </c>
      <c r="U1882" s="195">
        <f t="shared" si="239"/>
        <v>0</v>
      </c>
      <c r="V1882" s="195">
        <f t="shared" si="240"/>
        <v>0</v>
      </c>
      <c r="W1882" s="196" t="e">
        <f t="shared" si="241"/>
        <v>#DIV/0!</v>
      </c>
      <c r="X1882" s="197" t="e">
        <f t="shared" si="242"/>
        <v>#DIV/0!</v>
      </c>
    </row>
    <row r="1883" ht="11.4" hidden="1" customHeight="1" spans="1:24">
      <c r="A1883" s="184" t="s">
        <v>3195</v>
      </c>
      <c r="B1883" s="184" t="s">
        <v>125</v>
      </c>
      <c r="C1883" s="184" t="s">
        <v>1101</v>
      </c>
      <c r="D1883" s="185" t="s">
        <v>704</v>
      </c>
      <c r="E1883" s="186" t="s">
        <v>906</v>
      </c>
      <c r="F1883" s="186" t="s">
        <v>907</v>
      </c>
      <c r="G1883" s="186" t="s">
        <v>1102</v>
      </c>
      <c r="H1883" s="186" t="s">
        <v>1707</v>
      </c>
      <c r="I1883" s="187" t="s">
        <v>1106</v>
      </c>
      <c r="J1883" s="187" t="s">
        <v>1107</v>
      </c>
      <c r="K1883" s="188"/>
      <c r="L1883" s="188"/>
      <c r="M1883" s="189" t="s">
        <v>807</v>
      </c>
      <c r="N1883" s="190">
        <v>41.36</v>
      </c>
      <c r="O1883" s="190">
        <f t="shared" si="235"/>
        <v>45.08</v>
      </c>
      <c r="P1883" s="191">
        <f t="shared" si="236"/>
        <v>0</v>
      </c>
      <c r="Q1883" s="192">
        <f t="shared" si="237"/>
        <v>0</v>
      </c>
      <c r="R1883" s="193"/>
      <c r="S1883" s="194"/>
      <c r="T1883" s="195">
        <f t="shared" si="238"/>
        <v>0</v>
      </c>
      <c r="U1883" s="195">
        <f t="shared" si="239"/>
        <v>0</v>
      </c>
      <c r="V1883" s="195">
        <f t="shared" si="240"/>
        <v>0</v>
      </c>
      <c r="W1883" s="196" t="e">
        <f t="shared" si="241"/>
        <v>#DIV/0!</v>
      </c>
      <c r="X1883" s="197" t="e">
        <f t="shared" si="242"/>
        <v>#DIV/0!</v>
      </c>
    </row>
    <row r="1884" ht="11.4" hidden="1" customHeight="1" spans="1:24">
      <c r="A1884" s="184" t="s">
        <v>3195</v>
      </c>
      <c r="B1884" s="184" t="s">
        <v>125</v>
      </c>
      <c r="C1884" s="184" t="s">
        <v>1101</v>
      </c>
      <c r="D1884" s="185" t="s">
        <v>704</v>
      </c>
      <c r="E1884" s="186" t="s">
        <v>906</v>
      </c>
      <c r="F1884" s="186" t="s">
        <v>907</v>
      </c>
      <c r="G1884" s="186" t="s">
        <v>1102</v>
      </c>
      <c r="H1884" s="186" t="s">
        <v>1707</v>
      </c>
      <c r="I1884" s="187" t="s">
        <v>1109</v>
      </c>
      <c r="J1884" s="187" t="s">
        <v>1110</v>
      </c>
      <c r="K1884" s="188"/>
      <c r="L1884" s="188"/>
      <c r="M1884" s="189" t="s">
        <v>847</v>
      </c>
      <c r="N1884" s="190">
        <v>160.21</v>
      </c>
      <c r="O1884" s="190">
        <f t="shared" si="235"/>
        <v>174.63</v>
      </c>
      <c r="P1884" s="191">
        <f t="shared" si="236"/>
        <v>0</v>
      </c>
      <c r="Q1884" s="192">
        <f t="shared" si="237"/>
        <v>0</v>
      </c>
      <c r="R1884" s="193"/>
      <c r="S1884" s="194"/>
      <c r="T1884" s="195">
        <f t="shared" si="238"/>
        <v>0</v>
      </c>
      <c r="U1884" s="195">
        <f t="shared" si="239"/>
        <v>0</v>
      </c>
      <c r="V1884" s="195">
        <f t="shared" si="240"/>
        <v>0</v>
      </c>
      <c r="W1884" s="196" t="e">
        <f t="shared" si="241"/>
        <v>#DIV/0!</v>
      </c>
      <c r="X1884" s="197" t="e">
        <f t="shared" si="242"/>
        <v>#DIV/0!</v>
      </c>
    </row>
    <row r="1885" ht="11.4" hidden="1" customHeight="1" spans="1:24">
      <c r="A1885" s="184" t="s">
        <v>3195</v>
      </c>
      <c r="B1885" s="184" t="s">
        <v>125</v>
      </c>
      <c r="C1885" s="184" t="s">
        <v>1101</v>
      </c>
      <c r="D1885" s="185" t="s">
        <v>704</v>
      </c>
      <c r="E1885" s="186" t="s">
        <v>906</v>
      </c>
      <c r="F1885" s="186" t="s">
        <v>907</v>
      </c>
      <c r="G1885" s="186" t="s">
        <v>1102</v>
      </c>
      <c r="H1885" s="186" t="s">
        <v>1707</v>
      </c>
      <c r="I1885" s="187" t="s">
        <v>1111</v>
      </c>
      <c r="J1885" s="187" t="s">
        <v>1112</v>
      </c>
      <c r="K1885" s="188"/>
      <c r="L1885" s="188"/>
      <c r="M1885" s="189" t="s">
        <v>807</v>
      </c>
      <c r="N1885" s="190">
        <v>38.94</v>
      </c>
      <c r="O1885" s="190">
        <f t="shared" si="235"/>
        <v>42.44</v>
      </c>
      <c r="P1885" s="191">
        <f t="shared" si="236"/>
        <v>0</v>
      </c>
      <c r="Q1885" s="192">
        <f t="shared" si="237"/>
        <v>0</v>
      </c>
      <c r="R1885" s="193"/>
      <c r="S1885" s="194"/>
      <c r="T1885" s="195">
        <f t="shared" si="238"/>
        <v>0</v>
      </c>
      <c r="U1885" s="195">
        <f t="shared" si="239"/>
        <v>0</v>
      </c>
      <c r="V1885" s="195">
        <f t="shared" si="240"/>
        <v>0</v>
      </c>
      <c r="W1885" s="196" t="e">
        <f t="shared" si="241"/>
        <v>#DIV/0!</v>
      </c>
      <c r="X1885" s="197" t="e">
        <f t="shared" si="242"/>
        <v>#DIV/0!</v>
      </c>
    </row>
    <row r="1886" ht="11.4" hidden="1" customHeight="1" spans="1:24">
      <c r="A1886" s="184" t="s">
        <v>3195</v>
      </c>
      <c r="B1886" s="184" t="s">
        <v>125</v>
      </c>
      <c r="C1886" s="184" t="s">
        <v>1101</v>
      </c>
      <c r="D1886" s="185" t="s">
        <v>704</v>
      </c>
      <c r="E1886" s="186" t="s">
        <v>906</v>
      </c>
      <c r="F1886" s="186" t="s">
        <v>907</v>
      </c>
      <c r="G1886" s="186" t="s">
        <v>1102</v>
      </c>
      <c r="H1886" s="186" t="s">
        <v>1707</v>
      </c>
      <c r="I1886" s="187" t="s">
        <v>1113</v>
      </c>
      <c r="J1886" s="187" t="s">
        <v>1114</v>
      </c>
      <c r="K1886" s="188"/>
      <c r="L1886" s="188"/>
      <c r="M1886" s="189" t="s">
        <v>847</v>
      </c>
      <c r="N1886" s="190">
        <v>181.99</v>
      </c>
      <c r="O1886" s="190">
        <f t="shared" si="235"/>
        <v>198.37</v>
      </c>
      <c r="P1886" s="191">
        <f t="shared" si="236"/>
        <v>0</v>
      </c>
      <c r="Q1886" s="192">
        <f t="shared" si="237"/>
        <v>0</v>
      </c>
      <c r="R1886" s="193"/>
      <c r="S1886" s="194"/>
      <c r="T1886" s="195">
        <f t="shared" si="238"/>
        <v>0</v>
      </c>
      <c r="U1886" s="195">
        <f t="shared" si="239"/>
        <v>0</v>
      </c>
      <c r="V1886" s="195">
        <f t="shared" si="240"/>
        <v>0</v>
      </c>
      <c r="W1886" s="196" t="e">
        <f t="shared" si="241"/>
        <v>#DIV/0!</v>
      </c>
      <c r="X1886" s="197" t="e">
        <f t="shared" si="242"/>
        <v>#DIV/0!</v>
      </c>
    </row>
    <row r="1887" ht="11.4" hidden="1" customHeight="1" spans="1:24">
      <c r="A1887" s="184" t="s">
        <v>3195</v>
      </c>
      <c r="B1887" s="184" t="s">
        <v>125</v>
      </c>
      <c r="C1887" s="184" t="s">
        <v>1101</v>
      </c>
      <c r="D1887" s="185" t="s">
        <v>704</v>
      </c>
      <c r="E1887" s="186" t="s">
        <v>906</v>
      </c>
      <c r="F1887" s="186" t="s">
        <v>907</v>
      </c>
      <c r="G1887" s="186" t="s">
        <v>1102</v>
      </c>
      <c r="H1887" s="186" t="s">
        <v>1707</v>
      </c>
      <c r="I1887" s="187" t="s">
        <v>1115</v>
      </c>
      <c r="J1887" s="187" t="s">
        <v>1116</v>
      </c>
      <c r="K1887" s="188"/>
      <c r="L1887" s="188"/>
      <c r="M1887" s="189" t="s">
        <v>807</v>
      </c>
      <c r="N1887" s="190">
        <v>42.57</v>
      </c>
      <c r="O1887" s="190">
        <f t="shared" si="235"/>
        <v>46.4</v>
      </c>
      <c r="P1887" s="191">
        <f t="shared" si="236"/>
        <v>0</v>
      </c>
      <c r="Q1887" s="192">
        <f t="shared" si="237"/>
        <v>0</v>
      </c>
      <c r="R1887" s="193"/>
      <c r="S1887" s="194"/>
      <c r="T1887" s="195">
        <f t="shared" si="238"/>
        <v>0</v>
      </c>
      <c r="U1887" s="195">
        <f t="shared" si="239"/>
        <v>0</v>
      </c>
      <c r="V1887" s="195">
        <f t="shared" si="240"/>
        <v>0</v>
      </c>
      <c r="W1887" s="196" t="e">
        <f t="shared" si="241"/>
        <v>#DIV/0!</v>
      </c>
      <c r="X1887" s="197" t="e">
        <f t="shared" si="242"/>
        <v>#DIV/0!</v>
      </c>
    </row>
    <row r="1888" ht="11.4" hidden="1" customHeight="1" spans="1:24">
      <c r="A1888" s="184" t="s">
        <v>3195</v>
      </c>
      <c r="B1888" s="184" t="s">
        <v>125</v>
      </c>
      <c r="C1888" s="184" t="s">
        <v>1101</v>
      </c>
      <c r="D1888" s="185" t="s">
        <v>704</v>
      </c>
      <c r="E1888" s="186" t="s">
        <v>906</v>
      </c>
      <c r="F1888" s="186" t="s">
        <v>907</v>
      </c>
      <c r="G1888" s="186" t="s">
        <v>1102</v>
      </c>
      <c r="H1888" s="186" t="s">
        <v>1707</v>
      </c>
      <c r="I1888" s="187" t="s">
        <v>1117</v>
      </c>
      <c r="J1888" s="187" t="s">
        <v>1118</v>
      </c>
      <c r="K1888" s="188"/>
      <c r="L1888" s="188"/>
      <c r="M1888" s="189" t="s">
        <v>847</v>
      </c>
      <c r="N1888" s="190">
        <v>187.98</v>
      </c>
      <c r="O1888" s="190">
        <f t="shared" si="235"/>
        <v>204.9</v>
      </c>
      <c r="P1888" s="191">
        <f t="shared" si="236"/>
        <v>0</v>
      </c>
      <c r="Q1888" s="192">
        <f t="shared" si="237"/>
        <v>0</v>
      </c>
      <c r="R1888" s="193"/>
      <c r="S1888" s="194"/>
      <c r="T1888" s="195">
        <f t="shared" si="238"/>
        <v>0</v>
      </c>
      <c r="U1888" s="195">
        <f t="shared" si="239"/>
        <v>0</v>
      </c>
      <c r="V1888" s="195">
        <f t="shared" si="240"/>
        <v>0</v>
      </c>
      <c r="W1888" s="196" t="e">
        <f t="shared" si="241"/>
        <v>#DIV/0!</v>
      </c>
      <c r="X1888" s="197" t="e">
        <f t="shared" si="242"/>
        <v>#DIV/0!</v>
      </c>
    </row>
    <row r="1889" ht="11.4" hidden="1" customHeight="1" spans="1:24">
      <c r="A1889" s="184" t="s">
        <v>3195</v>
      </c>
      <c r="B1889" s="184" t="s">
        <v>125</v>
      </c>
      <c r="C1889" s="184" t="s">
        <v>1101</v>
      </c>
      <c r="D1889" s="185" t="s">
        <v>704</v>
      </c>
      <c r="E1889" s="186" t="s">
        <v>906</v>
      </c>
      <c r="F1889" s="186" t="s">
        <v>907</v>
      </c>
      <c r="G1889" s="186" t="s">
        <v>1102</v>
      </c>
      <c r="H1889" s="186" t="s">
        <v>1707</v>
      </c>
      <c r="I1889" s="187" t="s">
        <v>1119</v>
      </c>
      <c r="J1889" s="187" t="s">
        <v>1120</v>
      </c>
      <c r="K1889" s="188"/>
      <c r="L1889" s="188"/>
      <c r="M1889" s="189" t="s">
        <v>847</v>
      </c>
      <c r="N1889" s="190">
        <v>171.66</v>
      </c>
      <c r="O1889" s="190">
        <f t="shared" si="235"/>
        <v>187.11</v>
      </c>
      <c r="P1889" s="191">
        <f t="shared" si="236"/>
        <v>0</v>
      </c>
      <c r="Q1889" s="192">
        <f t="shared" si="237"/>
        <v>0</v>
      </c>
      <c r="R1889" s="193"/>
      <c r="S1889" s="194"/>
      <c r="T1889" s="195">
        <f t="shared" si="238"/>
        <v>0</v>
      </c>
      <c r="U1889" s="195">
        <f t="shared" si="239"/>
        <v>0</v>
      </c>
      <c r="V1889" s="195">
        <f t="shared" si="240"/>
        <v>0</v>
      </c>
      <c r="W1889" s="196" t="e">
        <f t="shared" si="241"/>
        <v>#DIV/0!</v>
      </c>
      <c r="X1889" s="197" t="e">
        <f t="shared" si="242"/>
        <v>#DIV/0!</v>
      </c>
    </row>
    <row r="1890" ht="11.4" hidden="1" customHeight="1" spans="1:24">
      <c r="A1890" s="184" t="s">
        <v>3195</v>
      </c>
      <c r="B1890" s="184" t="s">
        <v>125</v>
      </c>
      <c r="C1890" s="184" t="s">
        <v>1101</v>
      </c>
      <c r="D1890" s="185" t="s">
        <v>704</v>
      </c>
      <c r="E1890" s="186" t="s">
        <v>906</v>
      </c>
      <c r="F1890" s="186" t="s">
        <v>907</v>
      </c>
      <c r="G1890" s="186" t="s">
        <v>1102</v>
      </c>
      <c r="H1890" s="186" t="s">
        <v>1707</v>
      </c>
      <c r="I1890" s="187" t="s">
        <v>1121</v>
      </c>
      <c r="J1890" s="187" t="s">
        <v>1122</v>
      </c>
      <c r="K1890" s="188"/>
      <c r="L1890" s="188"/>
      <c r="M1890" s="189" t="s">
        <v>847</v>
      </c>
      <c r="N1890" s="190">
        <v>189.15</v>
      </c>
      <c r="O1890" s="190">
        <f t="shared" si="235"/>
        <v>206.17</v>
      </c>
      <c r="P1890" s="191">
        <f t="shared" si="236"/>
        <v>0</v>
      </c>
      <c r="Q1890" s="192">
        <f t="shared" si="237"/>
        <v>0</v>
      </c>
      <c r="R1890" s="193"/>
      <c r="S1890" s="194"/>
      <c r="T1890" s="195">
        <f t="shared" si="238"/>
        <v>0</v>
      </c>
      <c r="U1890" s="195">
        <f t="shared" si="239"/>
        <v>0</v>
      </c>
      <c r="V1890" s="195">
        <f t="shared" si="240"/>
        <v>0</v>
      </c>
      <c r="W1890" s="196" t="e">
        <f t="shared" si="241"/>
        <v>#DIV/0!</v>
      </c>
      <c r="X1890" s="197" t="e">
        <f t="shared" si="242"/>
        <v>#DIV/0!</v>
      </c>
    </row>
    <row r="1891" ht="11.4" hidden="1" customHeight="1" spans="1:24">
      <c r="A1891" s="184" t="s">
        <v>3195</v>
      </c>
      <c r="B1891" s="184" t="s">
        <v>125</v>
      </c>
      <c r="C1891" s="184" t="s">
        <v>1101</v>
      </c>
      <c r="D1891" s="185" t="s">
        <v>704</v>
      </c>
      <c r="E1891" s="186" t="s">
        <v>906</v>
      </c>
      <c r="F1891" s="186" t="s">
        <v>907</v>
      </c>
      <c r="G1891" s="186" t="s">
        <v>1102</v>
      </c>
      <c r="H1891" s="186" t="s">
        <v>1707</v>
      </c>
      <c r="I1891" s="187" t="s">
        <v>1123</v>
      </c>
      <c r="J1891" s="187" t="s">
        <v>1124</v>
      </c>
      <c r="K1891" s="188"/>
      <c r="L1891" s="188"/>
      <c r="M1891" s="189" t="s">
        <v>807</v>
      </c>
      <c r="N1891" s="190">
        <v>41.36</v>
      </c>
      <c r="O1891" s="190">
        <f t="shared" si="235"/>
        <v>45.08</v>
      </c>
      <c r="P1891" s="191">
        <f t="shared" si="236"/>
        <v>0</v>
      </c>
      <c r="Q1891" s="192">
        <f t="shared" si="237"/>
        <v>0</v>
      </c>
      <c r="R1891" s="193"/>
      <c r="S1891" s="194"/>
      <c r="T1891" s="195">
        <f t="shared" si="238"/>
        <v>0</v>
      </c>
      <c r="U1891" s="195">
        <f t="shared" si="239"/>
        <v>0</v>
      </c>
      <c r="V1891" s="195">
        <f t="shared" si="240"/>
        <v>0</v>
      </c>
      <c r="W1891" s="196" t="e">
        <f t="shared" si="241"/>
        <v>#DIV/0!</v>
      </c>
      <c r="X1891" s="197" t="e">
        <f t="shared" si="242"/>
        <v>#DIV/0!</v>
      </c>
    </row>
    <row r="1892" ht="11.4" hidden="1" customHeight="1" spans="1:24">
      <c r="A1892" s="184" t="s">
        <v>3195</v>
      </c>
      <c r="B1892" s="184" t="s">
        <v>125</v>
      </c>
      <c r="C1892" s="184" t="s">
        <v>1101</v>
      </c>
      <c r="D1892" s="185" t="s">
        <v>704</v>
      </c>
      <c r="E1892" s="186" t="s">
        <v>906</v>
      </c>
      <c r="F1892" s="186" t="s">
        <v>907</v>
      </c>
      <c r="G1892" s="186" t="s">
        <v>1102</v>
      </c>
      <c r="H1892" s="186" t="s">
        <v>1707</v>
      </c>
      <c r="I1892" s="187" t="s">
        <v>1125</v>
      </c>
      <c r="J1892" s="187" t="s">
        <v>1126</v>
      </c>
      <c r="K1892" s="188"/>
      <c r="L1892" s="188"/>
      <c r="M1892" s="189" t="s">
        <v>807</v>
      </c>
      <c r="N1892" s="190">
        <v>38.94</v>
      </c>
      <c r="O1892" s="190">
        <f t="shared" si="235"/>
        <v>42.44</v>
      </c>
      <c r="P1892" s="191">
        <f t="shared" si="236"/>
        <v>0</v>
      </c>
      <c r="Q1892" s="192">
        <f t="shared" si="237"/>
        <v>0</v>
      </c>
      <c r="R1892" s="193"/>
      <c r="S1892" s="194"/>
      <c r="T1892" s="195">
        <f t="shared" si="238"/>
        <v>0</v>
      </c>
      <c r="U1892" s="195">
        <f t="shared" si="239"/>
        <v>0</v>
      </c>
      <c r="V1892" s="195">
        <f t="shared" si="240"/>
        <v>0</v>
      </c>
      <c r="W1892" s="196" t="e">
        <f t="shared" si="241"/>
        <v>#DIV/0!</v>
      </c>
      <c r="X1892" s="197" t="e">
        <f t="shared" si="242"/>
        <v>#DIV/0!</v>
      </c>
    </row>
    <row r="1893" ht="11.4" hidden="1" customHeight="1" spans="1:24">
      <c r="A1893" s="184" t="s">
        <v>3195</v>
      </c>
      <c r="B1893" s="184" t="s">
        <v>125</v>
      </c>
      <c r="C1893" s="184" t="s">
        <v>1101</v>
      </c>
      <c r="D1893" s="185" t="s">
        <v>704</v>
      </c>
      <c r="E1893" s="186" t="s">
        <v>906</v>
      </c>
      <c r="F1893" s="186" t="s">
        <v>907</v>
      </c>
      <c r="G1893" s="186" t="s">
        <v>1102</v>
      </c>
      <c r="H1893" s="186" t="s">
        <v>1707</v>
      </c>
      <c r="I1893" s="187" t="s">
        <v>1127</v>
      </c>
      <c r="J1893" s="187" t="s">
        <v>1128</v>
      </c>
      <c r="K1893" s="188"/>
      <c r="L1893" s="188"/>
      <c r="M1893" s="189" t="s">
        <v>807</v>
      </c>
      <c r="N1893" s="190">
        <v>40.15</v>
      </c>
      <c r="O1893" s="190">
        <f t="shared" si="235"/>
        <v>43.76</v>
      </c>
      <c r="P1893" s="191">
        <f t="shared" si="236"/>
        <v>0</v>
      </c>
      <c r="Q1893" s="192">
        <f t="shared" si="237"/>
        <v>0</v>
      </c>
      <c r="R1893" s="193"/>
      <c r="S1893" s="194"/>
      <c r="T1893" s="195">
        <f t="shared" si="238"/>
        <v>0</v>
      </c>
      <c r="U1893" s="195">
        <f t="shared" si="239"/>
        <v>0</v>
      </c>
      <c r="V1893" s="195">
        <f t="shared" si="240"/>
        <v>0</v>
      </c>
      <c r="W1893" s="196" t="e">
        <f t="shared" si="241"/>
        <v>#DIV/0!</v>
      </c>
      <c r="X1893" s="197" t="e">
        <f t="shared" si="242"/>
        <v>#DIV/0!</v>
      </c>
    </row>
    <row r="1894" ht="11.4" hidden="1" customHeight="1" spans="1:24">
      <c r="A1894" s="184" t="s">
        <v>3195</v>
      </c>
      <c r="B1894" s="184" t="s">
        <v>125</v>
      </c>
      <c r="C1894" s="184" t="s">
        <v>1101</v>
      </c>
      <c r="D1894" s="185" t="s">
        <v>704</v>
      </c>
      <c r="E1894" s="186" t="s">
        <v>906</v>
      </c>
      <c r="F1894" s="186" t="s">
        <v>907</v>
      </c>
      <c r="G1894" s="186" t="s">
        <v>1102</v>
      </c>
      <c r="H1894" s="186" t="s">
        <v>1707</v>
      </c>
      <c r="I1894" s="187" t="s">
        <v>1708</v>
      </c>
      <c r="J1894" s="187" t="s">
        <v>1709</v>
      </c>
      <c r="K1894" s="188"/>
      <c r="L1894" s="188"/>
      <c r="M1894" s="189" t="s">
        <v>847</v>
      </c>
      <c r="N1894" s="190">
        <v>203.87</v>
      </c>
      <c r="O1894" s="190">
        <f t="shared" si="235"/>
        <v>222.22</v>
      </c>
      <c r="P1894" s="191">
        <f t="shared" si="236"/>
        <v>0</v>
      </c>
      <c r="Q1894" s="192">
        <f t="shared" si="237"/>
        <v>0</v>
      </c>
      <c r="R1894" s="193"/>
      <c r="S1894" s="194"/>
      <c r="T1894" s="195">
        <f t="shared" si="238"/>
        <v>0</v>
      </c>
      <c r="U1894" s="195">
        <f t="shared" si="239"/>
        <v>0</v>
      </c>
      <c r="V1894" s="195">
        <f t="shared" si="240"/>
        <v>0</v>
      </c>
      <c r="W1894" s="196" t="e">
        <f t="shared" si="241"/>
        <v>#DIV/0!</v>
      </c>
      <c r="X1894" s="197" t="e">
        <f t="shared" si="242"/>
        <v>#DIV/0!</v>
      </c>
    </row>
    <row r="1895" ht="11.4" hidden="1" customHeight="1" spans="1:24">
      <c r="A1895" s="184" t="s">
        <v>3195</v>
      </c>
      <c r="B1895" s="184" t="s">
        <v>125</v>
      </c>
      <c r="C1895" s="184" t="s">
        <v>1101</v>
      </c>
      <c r="D1895" s="185" t="s">
        <v>704</v>
      </c>
      <c r="E1895" s="186" t="s">
        <v>906</v>
      </c>
      <c r="F1895" s="186" t="s">
        <v>907</v>
      </c>
      <c r="G1895" s="186" t="s">
        <v>1102</v>
      </c>
      <c r="H1895" s="186" t="s">
        <v>1707</v>
      </c>
      <c r="I1895" s="187" t="s">
        <v>1710</v>
      </c>
      <c r="J1895" s="187" t="s">
        <v>1711</v>
      </c>
      <c r="K1895" s="188"/>
      <c r="L1895" s="188"/>
      <c r="M1895" s="189" t="s">
        <v>807</v>
      </c>
      <c r="N1895" s="190">
        <v>101.27</v>
      </c>
      <c r="O1895" s="190">
        <f t="shared" si="235"/>
        <v>110.38</v>
      </c>
      <c r="P1895" s="191">
        <f t="shared" si="236"/>
        <v>0</v>
      </c>
      <c r="Q1895" s="192">
        <f t="shared" si="237"/>
        <v>0</v>
      </c>
      <c r="R1895" s="193"/>
      <c r="S1895" s="194"/>
      <c r="T1895" s="195">
        <f t="shared" si="238"/>
        <v>0</v>
      </c>
      <c r="U1895" s="195">
        <f t="shared" si="239"/>
        <v>0</v>
      </c>
      <c r="V1895" s="195">
        <f t="shared" si="240"/>
        <v>0</v>
      </c>
      <c r="W1895" s="196" t="e">
        <f t="shared" si="241"/>
        <v>#DIV/0!</v>
      </c>
      <c r="X1895" s="197" t="e">
        <f t="shared" si="242"/>
        <v>#DIV/0!</v>
      </c>
    </row>
    <row r="1896" ht="11.4" hidden="1" customHeight="1" spans="1:24">
      <c r="A1896" s="184" t="s">
        <v>3195</v>
      </c>
      <c r="B1896" s="184" t="s">
        <v>125</v>
      </c>
      <c r="C1896" s="184" t="s">
        <v>1101</v>
      </c>
      <c r="D1896" s="185" t="s">
        <v>704</v>
      </c>
      <c r="E1896" s="186" t="s">
        <v>906</v>
      </c>
      <c r="F1896" s="186" t="s">
        <v>907</v>
      </c>
      <c r="G1896" s="186" t="s">
        <v>1102</v>
      </c>
      <c r="H1896" s="186" t="s">
        <v>1707</v>
      </c>
      <c r="I1896" s="187" t="s">
        <v>1712</v>
      </c>
      <c r="J1896" s="187" t="s">
        <v>1713</v>
      </c>
      <c r="K1896" s="188"/>
      <c r="L1896" s="188"/>
      <c r="M1896" s="189" t="s">
        <v>847</v>
      </c>
      <c r="N1896" s="190">
        <v>194.19</v>
      </c>
      <c r="O1896" s="190">
        <f t="shared" si="235"/>
        <v>211.67</v>
      </c>
      <c r="P1896" s="191">
        <f t="shared" si="236"/>
        <v>0</v>
      </c>
      <c r="Q1896" s="192">
        <f t="shared" si="237"/>
        <v>0</v>
      </c>
      <c r="R1896" s="193"/>
      <c r="S1896" s="194"/>
      <c r="T1896" s="195">
        <f t="shared" si="238"/>
        <v>0</v>
      </c>
      <c r="U1896" s="195">
        <f t="shared" si="239"/>
        <v>0</v>
      </c>
      <c r="V1896" s="195">
        <f t="shared" si="240"/>
        <v>0</v>
      </c>
      <c r="W1896" s="196" t="e">
        <f t="shared" si="241"/>
        <v>#DIV/0!</v>
      </c>
      <c r="X1896" s="197" t="e">
        <f t="shared" si="242"/>
        <v>#DIV/0!</v>
      </c>
    </row>
    <row r="1897" ht="11.4" hidden="1" customHeight="1" spans="1:24">
      <c r="A1897" s="184" t="s">
        <v>3195</v>
      </c>
      <c r="B1897" s="184" t="s">
        <v>125</v>
      </c>
      <c r="C1897" s="184" t="s">
        <v>1101</v>
      </c>
      <c r="D1897" s="185" t="s">
        <v>704</v>
      </c>
      <c r="E1897" s="186" t="s">
        <v>906</v>
      </c>
      <c r="F1897" s="186" t="s">
        <v>907</v>
      </c>
      <c r="G1897" s="186" t="s">
        <v>1102</v>
      </c>
      <c r="H1897" s="186" t="s">
        <v>1707</v>
      </c>
      <c r="I1897" s="187" t="s">
        <v>1714</v>
      </c>
      <c r="J1897" s="187" t="s">
        <v>1715</v>
      </c>
      <c r="K1897" s="188"/>
      <c r="L1897" s="188"/>
      <c r="M1897" s="189" t="s">
        <v>807</v>
      </c>
      <c r="N1897" s="190">
        <v>83.12</v>
      </c>
      <c r="O1897" s="190">
        <f t="shared" si="235"/>
        <v>90.6</v>
      </c>
      <c r="P1897" s="191">
        <f t="shared" si="236"/>
        <v>0</v>
      </c>
      <c r="Q1897" s="192">
        <f t="shared" si="237"/>
        <v>0</v>
      </c>
      <c r="R1897" s="193"/>
      <c r="S1897" s="194"/>
      <c r="T1897" s="195">
        <f t="shared" si="238"/>
        <v>0</v>
      </c>
      <c r="U1897" s="195">
        <f t="shared" si="239"/>
        <v>0</v>
      </c>
      <c r="V1897" s="195">
        <f t="shared" si="240"/>
        <v>0</v>
      </c>
      <c r="W1897" s="196" t="e">
        <f t="shared" si="241"/>
        <v>#DIV/0!</v>
      </c>
      <c r="X1897" s="197" t="e">
        <f t="shared" si="242"/>
        <v>#DIV/0!</v>
      </c>
    </row>
    <row r="1898" ht="11.4" hidden="1" customHeight="1" spans="1:24">
      <c r="A1898" s="184" t="s">
        <v>3195</v>
      </c>
      <c r="B1898" s="184" t="s">
        <v>125</v>
      </c>
      <c r="C1898" s="184" t="s">
        <v>1101</v>
      </c>
      <c r="D1898" s="185" t="s">
        <v>704</v>
      </c>
      <c r="E1898" s="186" t="s">
        <v>906</v>
      </c>
      <c r="F1898" s="186" t="s">
        <v>907</v>
      </c>
      <c r="G1898" s="186" t="s">
        <v>1102</v>
      </c>
      <c r="H1898" s="186" t="s">
        <v>1707</v>
      </c>
      <c r="I1898" s="187" t="s">
        <v>1716</v>
      </c>
      <c r="J1898" s="187" t="s">
        <v>1717</v>
      </c>
      <c r="K1898" s="188"/>
      <c r="L1898" s="188"/>
      <c r="M1898" s="189" t="s">
        <v>847</v>
      </c>
      <c r="N1898" s="190">
        <v>202.66</v>
      </c>
      <c r="O1898" s="190">
        <f t="shared" si="235"/>
        <v>220.9</v>
      </c>
      <c r="P1898" s="191">
        <f t="shared" si="236"/>
        <v>0</v>
      </c>
      <c r="Q1898" s="192">
        <f t="shared" si="237"/>
        <v>0</v>
      </c>
      <c r="R1898" s="193"/>
      <c r="S1898" s="194"/>
      <c r="T1898" s="195">
        <f t="shared" si="238"/>
        <v>0</v>
      </c>
      <c r="U1898" s="195">
        <f t="shared" si="239"/>
        <v>0</v>
      </c>
      <c r="V1898" s="195">
        <f t="shared" si="240"/>
        <v>0</v>
      </c>
      <c r="W1898" s="196" t="e">
        <f t="shared" si="241"/>
        <v>#DIV/0!</v>
      </c>
      <c r="X1898" s="197" t="e">
        <f t="shared" si="242"/>
        <v>#DIV/0!</v>
      </c>
    </row>
    <row r="1899" ht="11.4" hidden="1" customHeight="1" spans="1:24">
      <c r="A1899" s="184" t="s">
        <v>3195</v>
      </c>
      <c r="B1899" s="184" t="s">
        <v>125</v>
      </c>
      <c r="C1899" s="184" t="s">
        <v>1101</v>
      </c>
      <c r="D1899" s="185" t="s">
        <v>704</v>
      </c>
      <c r="E1899" s="186" t="s">
        <v>906</v>
      </c>
      <c r="F1899" s="186" t="s">
        <v>907</v>
      </c>
      <c r="G1899" s="186" t="s">
        <v>1102</v>
      </c>
      <c r="H1899" s="186" t="s">
        <v>1707</v>
      </c>
      <c r="I1899" s="187" t="s">
        <v>1718</v>
      </c>
      <c r="J1899" s="187" t="s">
        <v>1719</v>
      </c>
      <c r="K1899" s="188"/>
      <c r="L1899" s="188"/>
      <c r="M1899" s="189" t="s">
        <v>807</v>
      </c>
      <c r="N1899" s="190">
        <v>101.27</v>
      </c>
      <c r="O1899" s="190">
        <f t="shared" si="235"/>
        <v>110.38</v>
      </c>
      <c r="P1899" s="191">
        <f t="shared" si="236"/>
        <v>0</v>
      </c>
      <c r="Q1899" s="192">
        <f t="shared" si="237"/>
        <v>0</v>
      </c>
      <c r="R1899" s="193"/>
      <c r="S1899" s="194"/>
      <c r="T1899" s="195">
        <f t="shared" si="238"/>
        <v>0</v>
      </c>
      <c r="U1899" s="195">
        <f t="shared" si="239"/>
        <v>0</v>
      </c>
      <c r="V1899" s="195">
        <f t="shared" si="240"/>
        <v>0</v>
      </c>
      <c r="W1899" s="196" t="e">
        <f t="shared" si="241"/>
        <v>#DIV/0!</v>
      </c>
      <c r="X1899" s="197" t="e">
        <f t="shared" si="242"/>
        <v>#DIV/0!</v>
      </c>
    </row>
    <row r="1900" ht="11.4" hidden="1" customHeight="1" spans="1:24">
      <c r="A1900" s="184" t="s">
        <v>3195</v>
      </c>
      <c r="B1900" s="184" t="s">
        <v>125</v>
      </c>
      <c r="C1900" s="184" t="s">
        <v>1101</v>
      </c>
      <c r="D1900" s="185" t="s">
        <v>704</v>
      </c>
      <c r="E1900" s="186" t="s">
        <v>906</v>
      </c>
      <c r="F1900" s="186" t="s">
        <v>907</v>
      </c>
      <c r="G1900" s="186" t="s">
        <v>1102</v>
      </c>
      <c r="H1900" s="186" t="s">
        <v>1707</v>
      </c>
      <c r="I1900" s="187" t="s">
        <v>1141</v>
      </c>
      <c r="J1900" s="187" t="s">
        <v>1142</v>
      </c>
      <c r="K1900" s="188"/>
      <c r="L1900" s="188"/>
      <c r="M1900" s="189" t="s">
        <v>847</v>
      </c>
      <c r="N1900" s="190">
        <v>196.14</v>
      </c>
      <c r="O1900" s="190">
        <f t="shared" si="235"/>
        <v>213.79</v>
      </c>
      <c r="P1900" s="191">
        <f t="shared" si="236"/>
        <v>0</v>
      </c>
      <c r="Q1900" s="192">
        <f t="shared" si="237"/>
        <v>0</v>
      </c>
      <c r="R1900" s="193"/>
      <c r="S1900" s="194"/>
      <c r="T1900" s="195">
        <f t="shared" si="238"/>
        <v>0</v>
      </c>
      <c r="U1900" s="195">
        <f t="shared" si="239"/>
        <v>0</v>
      </c>
      <c r="V1900" s="195">
        <f t="shared" si="240"/>
        <v>0</v>
      </c>
      <c r="W1900" s="196" t="e">
        <f t="shared" si="241"/>
        <v>#DIV/0!</v>
      </c>
      <c r="X1900" s="197" t="e">
        <f t="shared" si="242"/>
        <v>#DIV/0!</v>
      </c>
    </row>
    <row r="1901" ht="11.4" hidden="1" customHeight="1" spans="1:24">
      <c r="A1901" s="184" t="s">
        <v>3195</v>
      </c>
      <c r="B1901" s="184" t="s">
        <v>125</v>
      </c>
      <c r="C1901" s="184" t="s">
        <v>1101</v>
      </c>
      <c r="D1901" s="185" t="s">
        <v>704</v>
      </c>
      <c r="E1901" s="186" t="s">
        <v>906</v>
      </c>
      <c r="F1901" s="186" t="s">
        <v>907</v>
      </c>
      <c r="G1901" s="186" t="s">
        <v>1102</v>
      </c>
      <c r="H1901" s="186" t="s">
        <v>1707</v>
      </c>
      <c r="I1901" s="187" t="s">
        <v>1143</v>
      </c>
      <c r="J1901" s="187" t="s">
        <v>1144</v>
      </c>
      <c r="K1901" s="188"/>
      <c r="L1901" s="188"/>
      <c r="M1901" s="189" t="s">
        <v>807</v>
      </c>
      <c r="N1901" s="190">
        <v>41.47</v>
      </c>
      <c r="O1901" s="190">
        <f t="shared" si="235"/>
        <v>45.2</v>
      </c>
      <c r="P1901" s="191">
        <f t="shared" si="236"/>
        <v>0</v>
      </c>
      <c r="Q1901" s="192">
        <f t="shared" si="237"/>
        <v>0</v>
      </c>
      <c r="R1901" s="193"/>
      <c r="S1901" s="194"/>
      <c r="T1901" s="195">
        <f t="shared" si="238"/>
        <v>0</v>
      </c>
      <c r="U1901" s="195">
        <f t="shared" si="239"/>
        <v>0</v>
      </c>
      <c r="V1901" s="195">
        <f t="shared" si="240"/>
        <v>0</v>
      </c>
      <c r="W1901" s="196" t="e">
        <f t="shared" si="241"/>
        <v>#DIV/0!</v>
      </c>
      <c r="X1901" s="197" t="e">
        <f t="shared" si="242"/>
        <v>#DIV/0!</v>
      </c>
    </row>
    <row r="1902" ht="11.4" hidden="1" customHeight="1" spans="1:24">
      <c r="A1902" s="184" t="s">
        <v>3195</v>
      </c>
      <c r="B1902" s="184" t="s">
        <v>125</v>
      </c>
      <c r="C1902" s="184" t="s">
        <v>1101</v>
      </c>
      <c r="D1902" s="185" t="s">
        <v>704</v>
      </c>
      <c r="E1902" s="186" t="s">
        <v>906</v>
      </c>
      <c r="F1902" s="186" t="s">
        <v>907</v>
      </c>
      <c r="G1902" s="186" t="s">
        <v>1102</v>
      </c>
      <c r="H1902" s="186" t="s">
        <v>1707</v>
      </c>
      <c r="I1902" s="187" t="s">
        <v>1145</v>
      </c>
      <c r="J1902" s="187" t="s">
        <v>1146</v>
      </c>
      <c r="K1902" s="188"/>
      <c r="L1902" s="188"/>
      <c r="M1902" s="189" t="s">
        <v>847</v>
      </c>
      <c r="N1902" s="190">
        <v>179.82</v>
      </c>
      <c r="O1902" s="190">
        <f t="shared" si="235"/>
        <v>196</v>
      </c>
      <c r="P1902" s="191">
        <f t="shared" si="236"/>
        <v>0</v>
      </c>
      <c r="Q1902" s="192">
        <f t="shared" si="237"/>
        <v>0</v>
      </c>
      <c r="R1902" s="193"/>
      <c r="S1902" s="194"/>
      <c r="T1902" s="195">
        <f t="shared" si="238"/>
        <v>0</v>
      </c>
      <c r="U1902" s="195">
        <f t="shared" si="239"/>
        <v>0</v>
      </c>
      <c r="V1902" s="195">
        <f t="shared" si="240"/>
        <v>0</v>
      </c>
      <c r="W1902" s="196" t="e">
        <f t="shared" si="241"/>
        <v>#DIV/0!</v>
      </c>
      <c r="X1902" s="197" t="e">
        <f t="shared" si="242"/>
        <v>#DIV/0!</v>
      </c>
    </row>
    <row r="1903" ht="11.4" hidden="1" customHeight="1" spans="1:24">
      <c r="A1903" s="184" t="s">
        <v>3195</v>
      </c>
      <c r="B1903" s="184" t="s">
        <v>125</v>
      </c>
      <c r="C1903" s="184" t="s">
        <v>1101</v>
      </c>
      <c r="D1903" s="185" t="s">
        <v>704</v>
      </c>
      <c r="E1903" s="186" t="s">
        <v>906</v>
      </c>
      <c r="F1903" s="186" t="s">
        <v>907</v>
      </c>
      <c r="G1903" s="186" t="s">
        <v>1102</v>
      </c>
      <c r="H1903" s="186" t="s">
        <v>1707</v>
      </c>
      <c r="I1903" s="187" t="s">
        <v>1147</v>
      </c>
      <c r="J1903" s="187" t="s">
        <v>1148</v>
      </c>
      <c r="K1903" s="188"/>
      <c r="L1903" s="188"/>
      <c r="M1903" s="189" t="s">
        <v>807</v>
      </c>
      <c r="N1903" s="190">
        <v>37.84</v>
      </c>
      <c r="O1903" s="190">
        <f t="shared" si="235"/>
        <v>41.25</v>
      </c>
      <c r="P1903" s="191">
        <f t="shared" si="236"/>
        <v>0</v>
      </c>
      <c r="Q1903" s="192">
        <f t="shared" si="237"/>
        <v>0</v>
      </c>
      <c r="R1903" s="193"/>
      <c r="S1903" s="194"/>
      <c r="T1903" s="195">
        <f t="shared" si="238"/>
        <v>0</v>
      </c>
      <c r="U1903" s="195">
        <f t="shared" si="239"/>
        <v>0</v>
      </c>
      <c r="V1903" s="195">
        <f t="shared" si="240"/>
        <v>0</v>
      </c>
      <c r="W1903" s="196" t="e">
        <f t="shared" si="241"/>
        <v>#DIV/0!</v>
      </c>
      <c r="X1903" s="197" t="e">
        <f t="shared" si="242"/>
        <v>#DIV/0!</v>
      </c>
    </row>
    <row r="1904" ht="11.4" hidden="1" customHeight="1" spans="1:24">
      <c r="A1904" s="184" t="s">
        <v>3195</v>
      </c>
      <c r="B1904" s="184" t="s">
        <v>125</v>
      </c>
      <c r="C1904" s="184" t="s">
        <v>1101</v>
      </c>
      <c r="D1904" s="185" t="s">
        <v>704</v>
      </c>
      <c r="E1904" s="186" t="s">
        <v>906</v>
      </c>
      <c r="F1904" s="186" t="s">
        <v>907</v>
      </c>
      <c r="G1904" s="186" t="s">
        <v>1102</v>
      </c>
      <c r="H1904" s="186" t="s">
        <v>1707</v>
      </c>
      <c r="I1904" s="187" t="s">
        <v>1149</v>
      </c>
      <c r="J1904" s="187" t="s">
        <v>1150</v>
      </c>
      <c r="K1904" s="188"/>
      <c r="L1904" s="188"/>
      <c r="M1904" s="189" t="s">
        <v>847</v>
      </c>
      <c r="N1904" s="190">
        <v>193.81</v>
      </c>
      <c r="O1904" s="190">
        <f t="shared" si="235"/>
        <v>211.25</v>
      </c>
      <c r="P1904" s="191">
        <f t="shared" si="236"/>
        <v>0</v>
      </c>
      <c r="Q1904" s="192">
        <f t="shared" si="237"/>
        <v>0</v>
      </c>
      <c r="R1904" s="193"/>
      <c r="S1904" s="194"/>
      <c r="T1904" s="195">
        <f t="shared" si="238"/>
        <v>0</v>
      </c>
      <c r="U1904" s="195">
        <f t="shared" si="239"/>
        <v>0</v>
      </c>
      <c r="V1904" s="195">
        <f t="shared" si="240"/>
        <v>0</v>
      </c>
      <c r="W1904" s="196" t="e">
        <f t="shared" si="241"/>
        <v>#DIV/0!</v>
      </c>
      <c r="X1904" s="197" t="e">
        <f t="shared" si="242"/>
        <v>#DIV/0!</v>
      </c>
    </row>
    <row r="1905" ht="11.4" hidden="1" customHeight="1" spans="1:24">
      <c r="A1905" s="184" t="s">
        <v>3195</v>
      </c>
      <c r="B1905" s="184" t="s">
        <v>125</v>
      </c>
      <c r="C1905" s="184" t="s">
        <v>1101</v>
      </c>
      <c r="D1905" s="185" t="s">
        <v>704</v>
      </c>
      <c r="E1905" s="186" t="s">
        <v>906</v>
      </c>
      <c r="F1905" s="186" t="s">
        <v>907</v>
      </c>
      <c r="G1905" s="186" t="s">
        <v>1102</v>
      </c>
      <c r="H1905" s="186" t="s">
        <v>1707</v>
      </c>
      <c r="I1905" s="187" t="s">
        <v>1151</v>
      </c>
      <c r="J1905" s="187" t="s">
        <v>1152</v>
      </c>
      <c r="K1905" s="188"/>
      <c r="L1905" s="188"/>
      <c r="M1905" s="189" t="s">
        <v>807</v>
      </c>
      <c r="N1905" s="190">
        <v>39.05</v>
      </c>
      <c r="O1905" s="190">
        <f t="shared" si="235"/>
        <v>42.56</v>
      </c>
      <c r="P1905" s="191">
        <f t="shared" si="236"/>
        <v>0</v>
      </c>
      <c r="Q1905" s="192">
        <f t="shared" si="237"/>
        <v>0</v>
      </c>
      <c r="R1905" s="193"/>
      <c r="S1905" s="194"/>
      <c r="T1905" s="195">
        <f t="shared" si="238"/>
        <v>0</v>
      </c>
      <c r="U1905" s="195">
        <f t="shared" si="239"/>
        <v>0</v>
      </c>
      <c r="V1905" s="195">
        <f t="shared" si="240"/>
        <v>0</v>
      </c>
      <c r="W1905" s="196" t="e">
        <f t="shared" si="241"/>
        <v>#DIV/0!</v>
      </c>
      <c r="X1905" s="197" t="e">
        <f t="shared" si="242"/>
        <v>#DIV/0!</v>
      </c>
    </row>
    <row r="1906" ht="11.4" hidden="1" customHeight="1" spans="1:24">
      <c r="A1906" s="184" t="s">
        <v>3195</v>
      </c>
      <c r="B1906" s="184" t="s">
        <v>125</v>
      </c>
      <c r="C1906" s="184" t="s">
        <v>1101</v>
      </c>
      <c r="D1906" s="185" t="s">
        <v>704</v>
      </c>
      <c r="E1906" s="186" t="s">
        <v>906</v>
      </c>
      <c r="F1906" s="186" t="s">
        <v>907</v>
      </c>
      <c r="G1906" s="186" t="s">
        <v>1102</v>
      </c>
      <c r="H1906" s="186" t="s">
        <v>1707</v>
      </c>
      <c r="I1906" s="187" t="s">
        <v>1153</v>
      </c>
      <c r="J1906" s="187" t="s">
        <v>1154</v>
      </c>
      <c r="K1906" s="188"/>
      <c r="L1906" s="188"/>
      <c r="M1906" s="189" t="s">
        <v>847</v>
      </c>
      <c r="N1906" s="190">
        <v>178.2</v>
      </c>
      <c r="O1906" s="190">
        <f t="shared" si="235"/>
        <v>194.24</v>
      </c>
      <c r="P1906" s="191">
        <f t="shared" si="236"/>
        <v>0</v>
      </c>
      <c r="Q1906" s="192">
        <f t="shared" si="237"/>
        <v>0</v>
      </c>
      <c r="R1906" s="193"/>
      <c r="S1906" s="194"/>
      <c r="T1906" s="195">
        <f t="shared" si="238"/>
        <v>0</v>
      </c>
      <c r="U1906" s="195">
        <f t="shared" si="239"/>
        <v>0</v>
      </c>
      <c r="V1906" s="195">
        <f t="shared" si="240"/>
        <v>0</v>
      </c>
      <c r="W1906" s="196" t="e">
        <f t="shared" si="241"/>
        <v>#DIV/0!</v>
      </c>
      <c r="X1906" s="197" t="e">
        <f t="shared" si="242"/>
        <v>#DIV/0!</v>
      </c>
    </row>
    <row r="1907" ht="11.4" hidden="1" customHeight="1" spans="1:24">
      <c r="A1907" s="184" t="s">
        <v>3195</v>
      </c>
      <c r="B1907" s="184" t="s">
        <v>125</v>
      </c>
      <c r="C1907" s="184" t="s">
        <v>1101</v>
      </c>
      <c r="D1907" s="185" t="s">
        <v>704</v>
      </c>
      <c r="E1907" s="186" t="s">
        <v>906</v>
      </c>
      <c r="F1907" s="186" t="s">
        <v>907</v>
      </c>
      <c r="G1907" s="186" t="s">
        <v>1102</v>
      </c>
      <c r="H1907" s="186" t="s">
        <v>1707</v>
      </c>
      <c r="I1907" s="187" t="s">
        <v>1155</v>
      </c>
      <c r="J1907" s="187" t="s">
        <v>1156</v>
      </c>
      <c r="K1907" s="188"/>
      <c r="L1907" s="188"/>
      <c r="M1907" s="189" t="s">
        <v>847</v>
      </c>
      <c r="N1907" s="190">
        <v>170.67</v>
      </c>
      <c r="O1907" s="190">
        <f t="shared" si="235"/>
        <v>186.03</v>
      </c>
      <c r="P1907" s="191">
        <f t="shared" si="236"/>
        <v>0</v>
      </c>
      <c r="Q1907" s="192">
        <f t="shared" si="237"/>
        <v>0</v>
      </c>
      <c r="R1907" s="193"/>
      <c r="S1907" s="194"/>
      <c r="T1907" s="195">
        <f t="shared" si="238"/>
        <v>0</v>
      </c>
      <c r="U1907" s="195">
        <f t="shared" si="239"/>
        <v>0</v>
      </c>
      <c r="V1907" s="195">
        <f t="shared" si="240"/>
        <v>0</v>
      </c>
      <c r="W1907" s="196" t="e">
        <f t="shared" si="241"/>
        <v>#DIV/0!</v>
      </c>
      <c r="X1907" s="197" t="e">
        <f t="shared" si="242"/>
        <v>#DIV/0!</v>
      </c>
    </row>
    <row r="1908" ht="11.4" hidden="1" customHeight="1" spans="1:24">
      <c r="A1908" s="184" t="s">
        <v>3195</v>
      </c>
      <c r="B1908" s="184" t="s">
        <v>125</v>
      </c>
      <c r="C1908" s="184" t="s">
        <v>1101</v>
      </c>
      <c r="D1908" s="185" t="s">
        <v>704</v>
      </c>
      <c r="E1908" s="186" t="s">
        <v>906</v>
      </c>
      <c r="F1908" s="186" t="s">
        <v>907</v>
      </c>
      <c r="G1908" s="186" t="s">
        <v>1102</v>
      </c>
      <c r="H1908" s="186" t="s">
        <v>1707</v>
      </c>
      <c r="I1908" s="187" t="s">
        <v>1157</v>
      </c>
      <c r="J1908" s="187" t="s">
        <v>1158</v>
      </c>
      <c r="K1908" s="188"/>
      <c r="L1908" s="188"/>
      <c r="M1908" s="189" t="s">
        <v>847</v>
      </c>
      <c r="N1908" s="190">
        <v>181.7</v>
      </c>
      <c r="O1908" s="190">
        <f t="shared" si="235"/>
        <v>198.05</v>
      </c>
      <c r="P1908" s="191">
        <f t="shared" si="236"/>
        <v>0</v>
      </c>
      <c r="Q1908" s="192">
        <f t="shared" si="237"/>
        <v>0</v>
      </c>
      <c r="R1908" s="193"/>
      <c r="S1908" s="194"/>
      <c r="T1908" s="195">
        <f t="shared" si="238"/>
        <v>0</v>
      </c>
      <c r="U1908" s="195">
        <f t="shared" si="239"/>
        <v>0</v>
      </c>
      <c r="V1908" s="195">
        <f t="shared" si="240"/>
        <v>0</v>
      </c>
      <c r="W1908" s="196" t="e">
        <f t="shared" si="241"/>
        <v>#DIV/0!</v>
      </c>
      <c r="X1908" s="197" t="e">
        <f t="shared" si="242"/>
        <v>#DIV/0!</v>
      </c>
    </row>
    <row r="1909" ht="11.4" hidden="1" customHeight="1" spans="1:24">
      <c r="A1909" s="184" t="s">
        <v>3195</v>
      </c>
      <c r="B1909" s="184" t="s">
        <v>125</v>
      </c>
      <c r="C1909" s="184" t="s">
        <v>1101</v>
      </c>
      <c r="D1909" s="185" t="s">
        <v>704</v>
      </c>
      <c r="E1909" s="186" t="s">
        <v>906</v>
      </c>
      <c r="F1909" s="186" t="s">
        <v>907</v>
      </c>
      <c r="G1909" s="186" t="s">
        <v>1102</v>
      </c>
      <c r="H1909" s="186" t="s">
        <v>1720</v>
      </c>
      <c r="I1909" s="187" t="s">
        <v>1175</v>
      </c>
      <c r="J1909" s="187" t="s">
        <v>1176</v>
      </c>
      <c r="K1909" s="188"/>
      <c r="L1909" s="188"/>
      <c r="M1909" s="189" t="s">
        <v>847</v>
      </c>
      <c r="N1909" s="190">
        <v>114.06</v>
      </c>
      <c r="O1909" s="190">
        <f t="shared" si="235"/>
        <v>124.33</v>
      </c>
      <c r="P1909" s="191">
        <f t="shared" si="236"/>
        <v>0</v>
      </c>
      <c r="Q1909" s="192">
        <f t="shared" si="237"/>
        <v>0</v>
      </c>
      <c r="R1909" s="193"/>
      <c r="S1909" s="194"/>
      <c r="T1909" s="195">
        <f t="shared" si="238"/>
        <v>0</v>
      </c>
      <c r="U1909" s="195">
        <f t="shared" si="239"/>
        <v>0</v>
      </c>
      <c r="V1909" s="195">
        <f t="shared" si="240"/>
        <v>0</v>
      </c>
      <c r="W1909" s="196" t="e">
        <f t="shared" si="241"/>
        <v>#DIV/0!</v>
      </c>
      <c r="X1909" s="197" t="e">
        <f t="shared" si="242"/>
        <v>#DIV/0!</v>
      </c>
    </row>
    <row r="1910" ht="11.4" hidden="1" customHeight="1" spans="1:24">
      <c r="A1910" s="184" t="s">
        <v>3195</v>
      </c>
      <c r="B1910" s="184" t="s">
        <v>125</v>
      </c>
      <c r="C1910" s="184" t="s">
        <v>1101</v>
      </c>
      <c r="D1910" s="185" t="s">
        <v>704</v>
      </c>
      <c r="E1910" s="186" t="s">
        <v>906</v>
      </c>
      <c r="F1910" s="186" t="s">
        <v>907</v>
      </c>
      <c r="G1910" s="186" t="s">
        <v>1102</v>
      </c>
      <c r="H1910" s="186" t="s">
        <v>1720</v>
      </c>
      <c r="I1910" s="187" t="s">
        <v>1178</v>
      </c>
      <c r="J1910" s="187" t="s">
        <v>1179</v>
      </c>
      <c r="K1910" s="188"/>
      <c r="L1910" s="188"/>
      <c r="M1910" s="189" t="s">
        <v>847</v>
      </c>
      <c r="N1910" s="190">
        <v>197.83</v>
      </c>
      <c r="O1910" s="190">
        <f t="shared" si="235"/>
        <v>215.63</v>
      </c>
      <c r="P1910" s="191">
        <f t="shared" si="236"/>
        <v>0</v>
      </c>
      <c r="Q1910" s="192">
        <f t="shared" si="237"/>
        <v>0</v>
      </c>
      <c r="R1910" s="193"/>
      <c r="S1910" s="194"/>
      <c r="T1910" s="195">
        <f t="shared" si="238"/>
        <v>0</v>
      </c>
      <c r="U1910" s="195">
        <f t="shared" si="239"/>
        <v>0</v>
      </c>
      <c r="V1910" s="195">
        <f t="shared" si="240"/>
        <v>0</v>
      </c>
      <c r="W1910" s="196" t="e">
        <f t="shared" si="241"/>
        <v>#DIV/0!</v>
      </c>
      <c r="X1910" s="197" t="e">
        <f t="shared" si="242"/>
        <v>#DIV/0!</v>
      </c>
    </row>
    <row r="1911" ht="11.4" hidden="1" customHeight="1" spans="1:24">
      <c r="A1911" s="184" t="s">
        <v>3195</v>
      </c>
      <c r="B1911" s="184" t="s">
        <v>125</v>
      </c>
      <c r="C1911" s="184" t="s">
        <v>1101</v>
      </c>
      <c r="D1911" s="185" t="s">
        <v>704</v>
      </c>
      <c r="E1911" s="186" t="s">
        <v>906</v>
      </c>
      <c r="F1911" s="186" t="s">
        <v>907</v>
      </c>
      <c r="G1911" s="186" t="s">
        <v>1102</v>
      </c>
      <c r="H1911" s="186" t="s">
        <v>1720</v>
      </c>
      <c r="I1911" s="187" t="s">
        <v>1181</v>
      </c>
      <c r="J1911" s="187" t="s">
        <v>1182</v>
      </c>
      <c r="K1911" s="188"/>
      <c r="L1911" s="188"/>
      <c r="M1911" s="189" t="s">
        <v>847</v>
      </c>
      <c r="N1911" s="190">
        <v>182.9</v>
      </c>
      <c r="O1911" s="190">
        <f t="shared" si="235"/>
        <v>199.36</v>
      </c>
      <c r="P1911" s="191">
        <f t="shared" si="236"/>
        <v>0</v>
      </c>
      <c r="Q1911" s="192">
        <f t="shared" si="237"/>
        <v>0</v>
      </c>
      <c r="R1911" s="193"/>
      <c r="S1911" s="194"/>
      <c r="T1911" s="195">
        <f t="shared" si="238"/>
        <v>0</v>
      </c>
      <c r="U1911" s="195">
        <f t="shared" si="239"/>
        <v>0</v>
      </c>
      <c r="V1911" s="195">
        <f t="shared" si="240"/>
        <v>0</v>
      </c>
      <c r="W1911" s="196" t="e">
        <f t="shared" si="241"/>
        <v>#DIV/0!</v>
      </c>
      <c r="X1911" s="197" t="e">
        <f t="shared" si="242"/>
        <v>#DIV/0!</v>
      </c>
    </row>
    <row r="1912" ht="11.4" hidden="1" customHeight="1" spans="1:24">
      <c r="A1912" s="184" t="s">
        <v>3195</v>
      </c>
      <c r="B1912" s="184" t="s">
        <v>125</v>
      </c>
      <c r="C1912" s="184" t="s">
        <v>1101</v>
      </c>
      <c r="D1912" s="185" t="s">
        <v>704</v>
      </c>
      <c r="E1912" s="186" t="s">
        <v>906</v>
      </c>
      <c r="F1912" s="186" t="s">
        <v>907</v>
      </c>
      <c r="G1912" s="186" t="s">
        <v>1102</v>
      </c>
      <c r="H1912" s="186" t="s">
        <v>1720</v>
      </c>
      <c r="I1912" s="187" t="s">
        <v>1183</v>
      </c>
      <c r="J1912" s="187" t="s">
        <v>1184</v>
      </c>
      <c r="K1912" s="188"/>
      <c r="L1912" s="188"/>
      <c r="M1912" s="189" t="s">
        <v>847</v>
      </c>
      <c r="N1912" s="190">
        <v>186.66</v>
      </c>
      <c r="O1912" s="190">
        <f t="shared" si="235"/>
        <v>203.46</v>
      </c>
      <c r="P1912" s="191">
        <f t="shared" si="236"/>
        <v>0</v>
      </c>
      <c r="Q1912" s="192">
        <f t="shared" si="237"/>
        <v>0</v>
      </c>
      <c r="R1912" s="193"/>
      <c r="S1912" s="194"/>
      <c r="T1912" s="195">
        <f t="shared" si="238"/>
        <v>0</v>
      </c>
      <c r="U1912" s="195">
        <f t="shared" si="239"/>
        <v>0</v>
      </c>
      <c r="V1912" s="195">
        <f t="shared" si="240"/>
        <v>0</v>
      </c>
      <c r="W1912" s="196" t="e">
        <f t="shared" si="241"/>
        <v>#DIV/0!</v>
      </c>
      <c r="X1912" s="197" t="e">
        <f t="shared" si="242"/>
        <v>#DIV/0!</v>
      </c>
    </row>
    <row r="1913" ht="11.4" hidden="1" customHeight="1" spans="1:24">
      <c r="A1913" s="184" t="s">
        <v>3195</v>
      </c>
      <c r="B1913" s="184" t="s">
        <v>125</v>
      </c>
      <c r="C1913" s="184" t="s">
        <v>1101</v>
      </c>
      <c r="D1913" s="185" t="s">
        <v>704</v>
      </c>
      <c r="E1913" s="186" t="s">
        <v>906</v>
      </c>
      <c r="F1913" s="186" t="s">
        <v>907</v>
      </c>
      <c r="G1913" s="186" t="s">
        <v>1102</v>
      </c>
      <c r="H1913" s="186" t="s">
        <v>1720</v>
      </c>
      <c r="I1913" s="187" t="s">
        <v>1185</v>
      </c>
      <c r="J1913" s="187" t="s">
        <v>1186</v>
      </c>
      <c r="K1913" s="188"/>
      <c r="L1913" s="188"/>
      <c r="M1913" s="189" t="s">
        <v>847</v>
      </c>
      <c r="N1913" s="190">
        <v>174.35</v>
      </c>
      <c r="O1913" s="190">
        <f t="shared" si="235"/>
        <v>190.04</v>
      </c>
      <c r="P1913" s="191">
        <f t="shared" si="236"/>
        <v>0</v>
      </c>
      <c r="Q1913" s="192">
        <f t="shared" si="237"/>
        <v>0</v>
      </c>
      <c r="R1913" s="193"/>
      <c r="S1913" s="194"/>
      <c r="T1913" s="195">
        <f t="shared" si="238"/>
        <v>0</v>
      </c>
      <c r="U1913" s="195">
        <f t="shared" si="239"/>
        <v>0</v>
      </c>
      <c r="V1913" s="195">
        <f t="shared" si="240"/>
        <v>0</v>
      </c>
      <c r="W1913" s="196" t="e">
        <f t="shared" si="241"/>
        <v>#DIV/0!</v>
      </c>
      <c r="X1913" s="197" t="e">
        <f t="shared" si="242"/>
        <v>#DIV/0!</v>
      </c>
    </row>
    <row r="1914" ht="11.4" hidden="1" customHeight="1" spans="1:24">
      <c r="A1914" s="184" t="s">
        <v>3195</v>
      </c>
      <c r="B1914" s="184" t="s">
        <v>125</v>
      </c>
      <c r="C1914" s="184" t="s">
        <v>1101</v>
      </c>
      <c r="D1914" s="185" t="s">
        <v>704</v>
      </c>
      <c r="E1914" s="186" t="s">
        <v>906</v>
      </c>
      <c r="F1914" s="186" t="s">
        <v>907</v>
      </c>
      <c r="G1914" s="186" t="s">
        <v>1102</v>
      </c>
      <c r="H1914" s="186" t="s">
        <v>1720</v>
      </c>
      <c r="I1914" s="187" t="s">
        <v>1193</v>
      </c>
      <c r="J1914" s="187" t="s">
        <v>1194</v>
      </c>
      <c r="K1914" s="188"/>
      <c r="L1914" s="188"/>
      <c r="M1914" s="189" t="s">
        <v>847</v>
      </c>
      <c r="N1914" s="190">
        <v>70.85</v>
      </c>
      <c r="O1914" s="190">
        <f t="shared" si="235"/>
        <v>77.23</v>
      </c>
      <c r="P1914" s="191">
        <f t="shared" si="236"/>
        <v>0</v>
      </c>
      <c r="Q1914" s="192">
        <f t="shared" si="237"/>
        <v>0</v>
      </c>
      <c r="R1914" s="193"/>
      <c r="S1914" s="194"/>
      <c r="T1914" s="195">
        <f t="shared" si="238"/>
        <v>0</v>
      </c>
      <c r="U1914" s="195">
        <f t="shared" si="239"/>
        <v>0</v>
      </c>
      <c r="V1914" s="195">
        <f t="shared" si="240"/>
        <v>0</v>
      </c>
      <c r="W1914" s="196" t="e">
        <f t="shared" si="241"/>
        <v>#DIV/0!</v>
      </c>
      <c r="X1914" s="197" t="e">
        <f t="shared" si="242"/>
        <v>#DIV/0!</v>
      </c>
    </row>
    <row r="1915" ht="11.4" hidden="1" customHeight="1" spans="1:24">
      <c r="A1915" s="184" t="s">
        <v>3195</v>
      </c>
      <c r="B1915" s="184" t="s">
        <v>125</v>
      </c>
      <c r="C1915" s="184" t="s">
        <v>1101</v>
      </c>
      <c r="D1915" s="185" t="s">
        <v>704</v>
      </c>
      <c r="E1915" s="186" t="s">
        <v>906</v>
      </c>
      <c r="F1915" s="186" t="s">
        <v>907</v>
      </c>
      <c r="G1915" s="186" t="s">
        <v>1102</v>
      </c>
      <c r="H1915" s="186" t="s">
        <v>1720</v>
      </c>
      <c r="I1915" s="187" t="s">
        <v>1195</v>
      </c>
      <c r="J1915" s="187" t="s">
        <v>1196</v>
      </c>
      <c r="K1915" s="188"/>
      <c r="L1915" s="188"/>
      <c r="M1915" s="189" t="s">
        <v>847</v>
      </c>
      <c r="N1915" s="190">
        <v>307.56</v>
      </c>
      <c r="O1915" s="190">
        <f t="shared" si="235"/>
        <v>335.24</v>
      </c>
      <c r="P1915" s="191">
        <f t="shared" si="236"/>
        <v>0</v>
      </c>
      <c r="Q1915" s="192">
        <f t="shared" si="237"/>
        <v>0</v>
      </c>
      <c r="R1915" s="193"/>
      <c r="S1915" s="194"/>
      <c r="T1915" s="195">
        <f t="shared" si="238"/>
        <v>0</v>
      </c>
      <c r="U1915" s="195">
        <f t="shared" si="239"/>
        <v>0</v>
      </c>
      <c r="V1915" s="195">
        <f t="shared" si="240"/>
        <v>0</v>
      </c>
      <c r="W1915" s="196" t="e">
        <f t="shared" si="241"/>
        <v>#DIV/0!</v>
      </c>
      <c r="X1915" s="197" t="e">
        <f t="shared" si="242"/>
        <v>#DIV/0!</v>
      </c>
    </row>
    <row r="1916" ht="11.4" hidden="1" customHeight="1" spans="1:24">
      <c r="A1916" s="184" t="s">
        <v>3195</v>
      </c>
      <c r="B1916" s="184" t="s">
        <v>125</v>
      </c>
      <c r="C1916" s="184" t="s">
        <v>1101</v>
      </c>
      <c r="D1916" s="185" t="s">
        <v>704</v>
      </c>
      <c r="E1916" s="186" t="s">
        <v>906</v>
      </c>
      <c r="F1916" s="186" t="s">
        <v>907</v>
      </c>
      <c r="G1916" s="186" t="s">
        <v>1102</v>
      </c>
      <c r="H1916" s="186" t="s">
        <v>1720</v>
      </c>
      <c r="I1916" s="187" t="s">
        <v>1197</v>
      </c>
      <c r="J1916" s="187" t="s">
        <v>1198</v>
      </c>
      <c r="K1916" s="188"/>
      <c r="L1916" s="188"/>
      <c r="M1916" s="189" t="s">
        <v>847</v>
      </c>
      <c r="N1916" s="190">
        <v>39.59</v>
      </c>
      <c r="O1916" s="190">
        <f t="shared" si="235"/>
        <v>43.15</v>
      </c>
      <c r="P1916" s="191">
        <f t="shared" si="236"/>
        <v>0</v>
      </c>
      <c r="Q1916" s="192">
        <f t="shared" si="237"/>
        <v>0</v>
      </c>
      <c r="R1916" s="193"/>
      <c r="S1916" s="194"/>
      <c r="T1916" s="195">
        <f t="shared" si="238"/>
        <v>0</v>
      </c>
      <c r="U1916" s="195">
        <f t="shared" si="239"/>
        <v>0</v>
      </c>
      <c r="V1916" s="195">
        <f t="shared" si="240"/>
        <v>0</v>
      </c>
      <c r="W1916" s="196" t="e">
        <f t="shared" si="241"/>
        <v>#DIV/0!</v>
      </c>
      <c r="X1916" s="197" t="e">
        <f t="shared" si="242"/>
        <v>#DIV/0!</v>
      </c>
    </row>
    <row r="1917" ht="11.4" hidden="1" customHeight="1" spans="1:24">
      <c r="A1917" s="184" t="s">
        <v>3195</v>
      </c>
      <c r="B1917" s="184" t="s">
        <v>125</v>
      </c>
      <c r="C1917" s="184" t="s">
        <v>1101</v>
      </c>
      <c r="D1917" s="185" t="s">
        <v>704</v>
      </c>
      <c r="E1917" s="186" t="s">
        <v>906</v>
      </c>
      <c r="F1917" s="186" t="s">
        <v>907</v>
      </c>
      <c r="G1917" s="186" t="s">
        <v>1102</v>
      </c>
      <c r="H1917" s="186" t="s">
        <v>1720</v>
      </c>
      <c r="I1917" s="187" t="s">
        <v>1559</v>
      </c>
      <c r="J1917" s="187" t="s">
        <v>1560</v>
      </c>
      <c r="K1917" s="188"/>
      <c r="L1917" s="188"/>
      <c r="M1917" s="189" t="s">
        <v>847</v>
      </c>
      <c r="N1917" s="190">
        <v>58.39</v>
      </c>
      <c r="O1917" s="190">
        <f t="shared" si="235"/>
        <v>63.65</v>
      </c>
      <c r="P1917" s="191">
        <f t="shared" si="236"/>
        <v>0</v>
      </c>
      <c r="Q1917" s="192">
        <f t="shared" si="237"/>
        <v>0</v>
      </c>
      <c r="R1917" s="193"/>
      <c r="S1917" s="194"/>
      <c r="T1917" s="195">
        <f t="shared" si="238"/>
        <v>0</v>
      </c>
      <c r="U1917" s="195">
        <f t="shared" si="239"/>
        <v>0</v>
      </c>
      <c r="V1917" s="195">
        <f t="shared" si="240"/>
        <v>0</v>
      </c>
      <c r="W1917" s="196" t="e">
        <f t="shared" si="241"/>
        <v>#DIV/0!</v>
      </c>
      <c r="X1917" s="197" t="e">
        <f t="shared" si="242"/>
        <v>#DIV/0!</v>
      </c>
    </row>
    <row r="1918" ht="11.4" hidden="1" customHeight="1" spans="1:24">
      <c r="A1918" s="184" t="s">
        <v>3195</v>
      </c>
      <c r="B1918" s="184" t="s">
        <v>125</v>
      </c>
      <c r="C1918" s="184" t="s">
        <v>1101</v>
      </c>
      <c r="D1918" s="185" t="s">
        <v>704</v>
      </c>
      <c r="E1918" s="186" t="s">
        <v>906</v>
      </c>
      <c r="F1918" s="186" t="s">
        <v>907</v>
      </c>
      <c r="G1918" s="186" t="s">
        <v>1102</v>
      </c>
      <c r="H1918" s="186" t="s">
        <v>1720</v>
      </c>
      <c r="I1918" s="187" t="s">
        <v>1199</v>
      </c>
      <c r="J1918" s="187" t="s">
        <v>1200</v>
      </c>
      <c r="K1918" s="188"/>
      <c r="L1918" s="188"/>
      <c r="M1918" s="189" t="s">
        <v>847</v>
      </c>
      <c r="N1918" s="190">
        <v>203.22</v>
      </c>
      <c r="O1918" s="190">
        <f t="shared" si="235"/>
        <v>221.51</v>
      </c>
      <c r="P1918" s="191">
        <f t="shared" si="236"/>
        <v>0</v>
      </c>
      <c r="Q1918" s="192">
        <f t="shared" si="237"/>
        <v>0</v>
      </c>
      <c r="R1918" s="193"/>
      <c r="S1918" s="194"/>
      <c r="T1918" s="195">
        <f t="shared" si="238"/>
        <v>0</v>
      </c>
      <c r="U1918" s="195">
        <f t="shared" si="239"/>
        <v>0</v>
      </c>
      <c r="V1918" s="195">
        <f t="shared" si="240"/>
        <v>0</v>
      </c>
      <c r="W1918" s="196" t="e">
        <f t="shared" si="241"/>
        <v>#DIV/0!</v>
      </c>
      <c r="X1918" s="197" t="e">
        <f t="shared" si="242"/>
        <v>#DIV/0!</v>
      </c>
    </row>
    <row r="1919" ht="11.4" hidden="1" customHeight="1" spans="1:24">
      <c r="A1919" s="184" t="s">
        <v>3195</v>
      </c>
      <c r="B1919" s="184" t="s">
        <v>125</v>
      </c>
      <c r="C1919" s="184" t="s">
        <v>1101</v>
      </c>
      <c r="D1919" s="185" t="s">
        <v>704</v>
      </c>
      <c r="E1919" s="186" t="s">
        <v>906</v>
      </c>
      <c r="F1919" s="186" t="s">
        <v>907</v>
      </c>
      <c r="G1919" s="186" t="s">
        <v>1102</v>
      </c>
      <c r="H1919" s="186" t="s">
        <v>1720</v>
      </c>
      <c r="I1919" s="187" t="s">
        <v>1201</v>
      </c>
      <c r="J1919" s="187" t="s">
        <v>1202</v>
      </c>
      <c r="K1919" s="188"/>
      <c r="L1919" s="188"/>
      <c r="M1919" s="189" t="s">
        <v>847</v>
      </c>
      <c r="N1919" s="190">
        <v>268.9</v>
      </c>
      <c r="O1919" s="190">
        <f t="shared" si="235"/>
        <v>293.1</v>
      </c>
      <c r="P1919" s="191">
        <f t="shared" si="236"/>
        <v>0</v>
      </c>
      <c r="Q1919" s="192">
        <f t="shared" si="237"/>
        <v>0</v>
      </c>
      <c r="R1919" s="193"/>
      <c r="S1919" s="194"/>
      <c r="T1919" s="195">
        <f t="shared" si="238"/>
        <v>0</v>
      </c>
      <c r="U1919" s="195">
        <f t="shared" si="239"/>
        <v>0</v>
      </c>
      <c r="V1919" s="195">
        <f t="shared" si="240"/>
        <v>0</v>
      </c>
      <c r="W1919" s="196" t="e">
        <f t="shared" si="241"/>
        <v>#DIV/0!</v>
      </c>
      <c r="X1919" s="197" t="e">
        <f t="shared" si="242"/>
        <v>#DIV/0!</v>
      </c>
    </row>
    <row r="1920" ht="11.4" hidden="1" customHeight="1" spans="1:24">
      <c r="A1920" s="184" t="s">
        <v>3195</v>
      </c>
      <c r="B1920" s="184" t="s">
        <v>125</v>
      </c>
      <c r="C1920" s="184" t="s">
        <v>1101</v>
      </c>
      <c r="D1920" s="185" t="s">
        <v>704</v>
      </c>
      <c r="E1920" s="186" t="s">
        <v>906</v>
      </c>
      <c r="F1920" s="186" t="s">
        <v>907</v>
      </c>
      <c r="G1920" s="186" t="s">
        <v>1102</v>
      </c>
      <c r="H1920" s="186" t="s">
        <v>1720</v>
      </c>
      <c r="I1920" s="187" t="s">
        <v>1203</v>
      </c>
      <c r="J1920" s="187" t="s">
        <v>1204</v>
      </c>
      <c r="K1920" s="188"/>
      <c r="L1920" s="188"/>
      <c r="M1920" s="189" t="s">
        <v>847</v>
      </c>
      <c r="N1920" s="190">
        <v>17.39</v>
      </c>
      <c r="O1920" s="190">
        <f t="shared" si="235"/>
        <v>18.96</v>
      </c>
      <c r="P1920" s="191">
        <f t="shared" si="236"/>
        <v>0</v>
      </c>
      <c r="Q1920" s="192">
        <f t="shared" si="237"/>
        <v>0</v>
      </c>
      <c r="R1920" s="193"/>
      <c r="S1920" s="194"/>
      <c r="T1920" s="195">
        <f t="shared" si="238"/>
        <v>0</v>
      </c>
      <c r="U1920" s="195">
        <f t="shared" si="239"/>
        <v>0</v>
      </c>
      <c r="V1920" s="195">
        <f t="shared" si="240"/>
        <v>0</v>
      </c>
      <c r="W1920" s="196" t="e">
        <f t="shared" si="241"/>
        <v>#DIV/0!</v>
      </c>
      <c r="X1920" s="197" t="e">
        <f t="shared" si="242"/>
        <v>#DIV/0!</v>
      </c>
    </row>
    <row r="1921" ht="11.4" hidden="1" customHeight="1" spans="1:24">
      <c r="A1921" s="184" t="s">
        <v>3195</v>
      </c>
      <c r="B1921" s="184" t="s">
        <v>125</v>
      </c>
      <c r="C1921" s="184" t="s">
        <v>1101</v>
      </c>
      <c r="D1921" s="185" t="s">
        <v>704</v>
      </c>
      <c r="E1921" s="186" t="s">
        <v>906</v>
      </c>
      <c r="F1921" s="186" t="s">
        <v>907</v>
      </c>
      <c r="G1921" s="186" t="s">
        <v>1102</v>
      </c>
      <c r="H1921" s="186" t="s">
        <v>1720</v>
      </c>
      <c r="I1921" s="187" t="s">
        <v>1206</v>
      </c>
      <c r="J1921" s="187" t="s">
        <v>1207</v>
      </c>
      <c r="K1921" s="188"/>
      <c r="L1921" s="188"/>
      <c r="M1921" s="189" t="s">
        <v>847</v>
      </c>
      <c r="N1921" s="190">
        <v>266.78</v>
      </c>
      <c r="O1921" s="190">
        <f t="shared" si="235"/>
        <v>290.79</v>
      </c>
      <c r="P1921" s="191">
        <f t="shared" si="236"/>
        <v>0</v>
      </c>
      <c r="Q1921" s="192">
        <f t="shared" si="237"/>
        <v>0</v>
      </c>
      <c r="R1921" s="193"/>
      <c r="S1921" s="194"/>
      <c r="T1921" s="195">
        <f t="shared" si="238"/>
        <v>0</v>
      </c>
      <c r="U1921" s="195">
        <f t="shared" si="239"/>
        <v>0</v>
      </c>
      <c r="V1921" s="195">
        <f t="shared" si="240"/>
        <v>0</v>
      </c>
      <c r="W1921" s="196" t="e">
        <f t="shared" si="241"/>
        <v>#DIV/0!</v>
      </c>
      <c r="X1921" s="197" t="e">
        <f t="shared" si="242"/>
        <v>#DIV/0!</v>
      </c>
    </row>
    <row r="1922" ht="11.4" hidden="1" customHeight="1" spans="1:24">
      <c r="A1922" s="184" t="s">
        <v>3195</v>
      </c>
      <c r="B1922" s="184" t="s">
        <v>125</v>
      </c>
      <c r="C1922" s="184" t="s">
        <v>1101</v>
      </c>
      <c r="D1922" s="185" t="s">
        <v>704</v>
      </c>
      <c r="E1922" s="186" t="s">
        <v>906</v>
      </c>
      <c r="F1922" s="186" t="s">
        <v>907</v>
      </c>
      <c r="G1922" s="186" t="s">
        <v>1102</v>
      </c>
      <c r="H1922" s="186" t="s">
        <v>1720</v>
      </c>
      <c r="I1922" s="187" t="s">
        <v>1210</v>
      </c>
      <c r="J1922" s="187" t="s">
        <v>1211</v>
      </c>
      <c r="K1922" s="188"/>
      <c r="L1922" s="188"/>
      <c r="M1922" s="189" t="s">
        <v>847</v>
      </c>
      <c r="N1922" s="190">
        <v>288.72</v>
      </c>
      <c r="O1922" s="190">
        <f t="shared" si="235"/>
        <v>314.7</v>
      </c>
      <c r="P1922" s="191">
        <f t="shared" si="236"/>
        <v>0</v>
      </c>
      <c r="Q1922" s="192">
        <f t="shared" si="237"/>
        <v>0</v>
      </c>
      <c r="R1922" s="193"/>
      <c r="S1922" s="194"/>
      <c r="T1922" s="195">
        <f t="shared" si="238"/>
        <v>0</v>
      </c>
      <c r="U1922" s="195">
        <f t="shared" si="239"/>
        <v>0</v>
      </c>
      <c r="V1922" s="195">
        <f t="shared" si="240"/>
        <v>0</v>
      </c>
      <c r="W1922" s="196" t="e">
        <f t="shared" si="241"/>
        <v>#DIV/0!</v>
      </c>
      <c r="X1922" s="197" t="e">
        <f t="shared" si="242"/>
        <v>#DIV/0!</v>
      </c>
    </row>
    <row r="1923" ht="11.4" hidden="1" customHeight="1" spans="1:24">
      <c r="A1923" s="184" t="s">
        <v>3195</v>
      </c>
      <c r="B1923" s="184" t="s">
        <v>125</v>
      </c>
      <c r="C1923" s="184" t="s">
        <v>1101</v>
      </c>
      <c r="D1923" s="185" t="s">
        <v>704</v>
      </c>
      <c r="E1923" s="186" t="s">
        <v>906</v>
      </c>
      <c r="F1923" s="186" t="s">
        <v>907</v>
      </c>
      <c r="G1923" s="186" t="s">
        <v>1102</v>
      </c>
      <c r="H1923" s="186" t="s">
        <v>1720</v>
      </c>
      <c r="I1923" s="187" t="s">
        <v>1212</v>
      </c>
      <c r="J1923" s="187" t="s">
        <v>1213</v>
      </c>
      <c r="K1923" s="188"/>
      <c r="L1923" s="188"/>
      <c r="M1923" s="189" t="s">
        <v>847</v>
      </c>
      <c r="N1923" s="190">
        <v>267.97</v>
      </c>
      <c r="O1923" s="190">
        <f t="shared" si="235"/>
        <v>292.09</v>
      </c>
      <c r="P1923" s="191">
        <f t="shared" si="236"/>
        <v>0</v>
      </c>
      <c r="Q1923" s="192">
        <f t="shared" si="237"/>
        <v>0</v>
      </c>
      <c r="R1923" s="193"/>
      <c r="S1923" s="194"/>
      <c r="T1923" s="195">
        <f t="shared" si="238"/>
        <v>0</v>
      </c>
      <c r="U1923" s="195">
        <f t="shared" si="239"/>
        <v>0</v>
      </c>
      <c r="V1923" s="195">
        <f t="shared" si="240"/>
        <v>0</v>
      </c>
      <c r="W1923" s="196" t="e">
        <f t="shared" si="241"/>
        <v>#DIV/0!</v>
      </c>
      <c r="X1923" s="197" t="e">
        <f t="shared" si="242"/>
        <v>#DIV/0!</v>
      </c>
    </row>
    <row r="1924" ht="11.4" hidden="1" customHeight="1" spans="1:24">
      <c r="A1924" s="184" t="s">
        <v>3195</v>
      </c>
      <c r="B1924" s="184" t="s">
        <v>125</v>
      </c>
      <c r="C1924" s="184" t="s">
        <v>1101</v>
      </c>
      <c r="D1924" s="185" t="s">
        <v>704</v>
      </c>
      <c r="E1924" s="186" t="s">
        <v>906</v>
      </c>
      <c r="F1924" s="186" t="s">
        <v>907</v>
      </c>
      <c r="G1924" s="186" t="s">
        <v>1102</v>
      </c>
      <c r="H1924" s="186" t="s">
        <v>1720</v>
      </c>
      <c r="I1924" s="187" t="s">
        <v>1216</v>
      </c>
      <c r="J1924" s="187" t="s">
        <v>1217</v>
      </c>
      <c r="K1924" s="188"/>
      <c r="L1924" s="188"/>
      <c r="M1924" s="189" t="s">
        <v>847</v>
      </c>
      <c r="N1924" s="190">
        <v>288.72</v>
      </c>
      <c r="O1924" s="190">
        <f t="shared" si="235"/>
        <v>314.7</v>
      </c>
      <c r="P1924" s="191">
        <f t="shared" si="236"/>
        <v>0</v>
      </c>
      <c r="Q1924" s="192">
        <f t="shared" si="237"/>
        <v>0</v>
      </c>
      <c r="R1924" s="193"/>
      <c r="S1924" s="194"/>
      <c r="T1924" s="195">
        <f t="shared" si="238"/>
        <v>0</v>
      </c>
      <c r="U1924" s="195">
        <f t="shared" si="239"/>
        <v>0</v>
      </c>
      <c r="V1924" s="195">
        <f t="shared" si="240"/>
        <v>0</v>
      </c>
      <c r="W1924" s="196" t="e">
        <f t="shared" si="241"/>
        <v>#DIV/0!</v>
      </c>
      <c r="X1924" s="197" t="e">
        <f t="shared" si="242"/>
        <v>#DIV/0!</v>
      </c>
    </row>
    <row r="1925" ht="11.4" hidden="1" customHeight="1" spans="1:24">
      <c r="A1925" s="184" t="s">
        <v>3195</v>
      </c>
      <c r="B1925" s="184" t="s">
        <v>125</v>
      </c>
      <c r="C1925" s="184" t="s">
        <v>1101</v>
      </c>
      <c r="D1925" s="185" t="s">
        <v>704</v>
      </c>
      <c r="E1925" s="186" t="s">
        <v>906</v>
      </c>
      <c r="F1925" s="186" t="s">
        <v>907</v>
      </c>
      <c r="G1925" s="186" t="s">
        <v>1102</v>
      </c>
      <c r="H1925" s="186" t="s">
        <v>1720</v>
      </c>
      <c r="I1925" s="187" t="s">
        <v>1218</v>
      </c>
      <c r="J1925" s="187" t="s">
        <v>1219</v>
      </c>
      <c r="K1925" s="188"/>
      <c r="L1925" s="188"/>
      <c r="M1925" s="189" t="s">
        <v>847</v>
      </c>
      <c r="N1925" s="190">
        <v>250.15</v>
      </c>
      <c r="O1925" s="190">
        <f t="shared" si="235"/>
        <v>272.66</v>
      </c>
      <c r="P1925" s="191">
        <f t="shared" si="236"/>
        <v>0</v>
      </c>
      <c r="Q1925" s="192">
        <f t="shared" si="237"/>
        <v>0</v>
      </c>
      <c r="R1925" s="193"/>
      <c r="S1925" s="194"/>
      <c r="T1925" s="195">
        <f t="shared" si="238"/>
        <v>0</v>
      </c>
      <c r="U1925" s="195">
        <f t="shared" si="239"/>
        <v>0</v>
      </c>
      <c r="V1925" s="195">
        <f t="shared" si="240"/>
        <v>0</v>
      </c>
      <c r="W1925" s="196" t="e">
        <f t="shared" si="241"/>
        <v>#DIV/0!</v>
      </c>
      <c r="X1925" s="197" t="e">
        <f t="shared" si="242"/>
        <v>#DIV/0!</v>
      </c>
    </row>
    <row r="1926" ht="11.4" hidden="1" customHeight="1" spans="1:24">
      <c r="A1926" s="184" t="s">
        <v>3195</v>
      </c>
      <c r="B1926" s="184" t="s">
        <v>125</v>
      </c>
      <c r="C1926" s="184" t="s">
        <v>1101</v>
      </c>
      <c r="D1926" s="185" t="s">
        <v>704</v>
      </c>
      <c r="E1926" s="186" t="s">
        <v>906</v>
      </c>
      <c r="F1926" s="186" t="s">
        <v>907</v>
      </c>
      <c r="G1926" s="186" t="s">
        <v>1102</v>
      </c>
      <c r="H1926" s="186" t="s">
        <v>1720</v>
      </c>
      <c r="I1926" s="187" t="s">
        <v>1222</v>
      </c>
      <c r="J1926" s="187" t="s">
        <v>1223</v>
      </c>
      <c r="K1926" s="188"/>
      <c r="L1926" s="188"/>
      <c r="M1926" s="189" t="s">
        <v>847</v>
      </c>
      <c r="N1926" s="190">
        <v>270.9</v>
      </c>
      <c r="O1926" s="190">
        <f t="shared" si="235"/>
        <v>295.28</v>
      </c>
      <c r="P1926" s="191">
        <f t="shared" si="236"/>
        <v>0</v>
      </c>
      <c r="Q1926" s="192">
        <f t="shared" si="237"/>
        <v>0</v>
      </c>
      <c r="R1926" s="193"/>
      <c r="S1926" s="194"/>
      <c r="T1926" s="195">
        <f t="shared" si="238"/>
        <v>0</v>
      </c>
      <c r="U1926" s="195">
        <f t="shared" si="239"/>
        <v>0</v>
      </c>
      <c r="V1926" s="195">
        <f t="shared" si="240"/>
        <v>0</v>
      </c>
      <c r="W1926" s="196" t="e">
        <f t="shared" si="241"/>
        <v>#DIV/0!</v>
      </c>
      <c r="X1926" s="197" t="e">
        <f t="shared" si="242"/>
        <v>#DIV/0!</v>
      </c>
    </row>
    <row r="1927" ht="11.4" hidden="1" customHeight="1" spans="1:24">
      <c r="A1927" s="184" t="s">
        <v>3195</v>
      </c>
      <c r="B1927" s="184" t="s">
        <v>125</v>
      </c>
      <c r="C1927" s="184" t="s">
        <v>1101</v>
      </c>
      <c r="D1927" s="185" t="s">
        <v>704</v>
      </c>
      <c r="E1927" s="186" t="s">
        <v>906</v>
      </c>
      <c r="F1927" s="186" t="s">
        <v>907</v>
      </c>
      <c r="G1927" s="186" t="s">
        <v>1102</v>
      </c>
      <c r="H1927" s="186" t="s">
        <v>1720</v>
      </c>
      <c r="I1927" s="187" t="s">
        <v>1224</v>
      </c>
      <c r="J1927" s="187" t="s">
        <v>1225</v>
      </c>
      <c r="K1927" s="188"/>
      <c r="L1927" s="188"/>
      <c r="M1927" s="189" t="s">
        <v>847</v>
      </c>
      <c r="N1927" s="190">
        <v>385.58</v>
      </c>
      <c r="O1927" s="190">
        <f t="shared" si="235"/>
        <v>420.28</v>
      </c>
      <c r="P1927" s="191">
        <f t="shared" si="236"/>
        <v>0</v>
      </c>
      <c r="Q1927" s="192">
        <f t="shared" si="237"/>
        <v>0</v>
      </c>
      <c r="R1927" s="193"/>
      <c r="S1927" s="194"/>
      <c r="T1927" s="195">
        <f t="shared" si="238"/>
        <v>0</v>
      </c>
      <c r="U1927" s="195">
        <f t="shared" si="239"/>
        <v>0</v>
      </c>
      <c r="V1927" s="195">
        <f t="shared" si="240"/>
        <v>0</v>
      </c>
      <c r="W1927" s="196" t="e">
        <f t="shared" si="241"/>
        <v>#DIV/0!</v>
      </c>
      <c r="X1927" s="197" t="e">
        <f t="shared" si="242"/>
        <v>#DIV/0!</v>
      </c>
    </row>
    <row r="1928" ht="11.4" hidden="1" customHeight="1" spans="1:24">
      <c r="A1928" s="184" t="s">
        <v>3195</v>
      </c>
      <c r="B1928" s="184" t="s">
        <v>125</v>
      </c>
      <c r="C1928" s="184" t="s">
        <v>1101</v>
      </c>
      <c r="D1928" s="185" t="s">
        <v>704</v>
      </c>
      <c r="E1928" s="186" t="s">
        <v>906</v>
      </c>
      <c r="F1928" s="186" t="s">
        <v>907</v>
      </c>
      <c r="G1928" s="186" t="s">
        <v>1102</v>
      </c>
      <c r="H1928" s="186" t="s">
        <v>1720</v>
      </c>
      <c r="I1928" s="187" t="s">
        <v>1228</v>
      </c>
      <c r="J1928" s="187" t="s">
        <v>1229</v>
      </c>
      <c r="K1928" s="188"/>
      <c r="L1928" s="188"/>
      <c r="M1928" s="189" t="s">
        <v>847</v>
      </c>
      <c r="N1928" s="190">
        <v>406.33</v>
      </c>
      <c r="O1928" s="190">
        <f t="shared" si="235"/>
        <v>442.9</v>
      </c>
      <c r="P1928" s="191">
        <f t="shared" si="236"/>
        <v>0</v>
      </c>
      <c r="Q1928" s="192">
        <f t="shared" si="237"/>
        <v>0</v>
      </c>
      <c r="R1928" s="193"/>
      <c r="S1928" s="194"/>
      <c r="T1928" s="195">
        <f t="shared" si="238"/>
        <v>0</v>
      </c>
      <c r="U1928" s="195">
        <f t="shared" si="239"/>
        <v>0</v>
      </c>
      <c r="V1928" s="195">
        <f t="shared" si="240"/>
        <v>0</v>
      </c>
      <c r="W1928" s="196" t="e">
        <f t="shared" si="241"/>
        <v>#DIV/0!</v>
      </c>
      <c r="X1928" s="197" t="e">
        <f t="shared" si="242"/>
        <v>#DIV/0!</v>
      </c>
    </row>
    <row r="1929" ht="11.4" hidden="1" customHeight="1" spans="1:24">
      <c r="A1929" s="184" t="s">
        <v>3195</v>
      </c>
      <c r="B1929" s="184" t="s">
        <v>125</v>
      </c>
      <c r="C1929" s="184" t="s">
        <v>1101</v>
      </c>
      <c r="D1929" s="185" t="s">
        <v>704</v>
      </c>
      <c r="E1929" s="186" t="s">
        <v>906</v>
      </c>
      <c r="F1929" s="186" t="s">
        <v>907</v>
      </c>
      <c r="G1929" s="186" t="s">
        <v>1102</v>
      </c>
      <c r="H1929" s="186" t="s">
        <v>1720</v>
      </c>
      <c r="I1929" s="187" t="s">
        <v>1230</v>
      </c>
      <c r="J1929" s="187" t="s">
        <v>1231</v>
      </c>
      <c r="K1929" s="188"/>
      <c r="L1929" s="188"/>
      <c r="M1929" s="189" t="s">
        <v>847</v>
      </c>
      <c r="N1929" s="190">
        <v>387.96</v>
      </c>
      <c r="O1929" s="190">
        <f t="shared" si="235"/>
        <v>422.88</v>
      </c>
      <c r="P1929" s="191">
        <f t="shared" si="236"/>
        <v>0</v>
      </c>
      <c r="Q1929" s="192">
        <f t="shared" si="237"/>
        <v>0</v>
      </c>
      <c r="R1929" s="193"/>
      <c r="S1929" s="194"/>
      <c r="T1929" s="195">
        <f t="shared" si="238"/>
        <v>0</v>
      </c>
      <c r="U1929" s="195">
        <f t="shared" si="239"/>
        <v>0</v>
      </c>
      <c r="V1929" s="195">
        <f t="shared" si="240"/>
        <v>0</v>
      </c>
      <c r="W1929" s="196" t="e">
        <f t="shared" si="241"/>
        <v>#DIV/0!</v>
      </c>
      <c r="X1929" s="197" t="e">
        <f t="shared" si="242"/>
        <v>#DIV/0!</v>
      </c>
    </row>
    <row r="1930" ht="11.4" hidden="1" customHeight="1" spans="1:24">
      <c r="A1930" s="184" t="s">
        <v>3195</v>
      </c>
      <c r="B1930" s="184" t="s">
        <v>125</v>
      </c>
      <c r="C1930" s="184" t="s">
        <v>1101</v>
      </c>
      <c r="D1930" s="185" t="s">
        <v>704</v>
      </c>
      <c r="E1930" s="186" t="s">
        <v>906</v>
      </c>
      <c r="F1930" s="186" t="s">
        <v>907</v>
      </c>
      <c r="G1930" s="186" t="s">
        <v>1102</v>
      </c>
      <c r="H1930" s="186" t="s">
        <v>1720</v>
      </c>
      <c r="I1930" s="187" t="s">
        <v>1234</v>
      </c>
      <c r="J1930" s="187" t="s">
        <v>1235</v>
      </c>
      <c r="K1930" s="188"/>
      <c r="L1930" s="188"/>
      <c r="M1930" s="189" t="s">
        <v>847</v>
      </c>
      <c r="N1930" s="190">
        <v>408.71</v>
      </c>
      <c r="O1930" s="190">
        <f t="shared" si="235"/>
        <v>445.49</v>
      </c>
      <c r="P1930" s="191">
        <f t="shared" si="236"/>
        <v>0</v>
      </c>
      <c r="Q1930" s="192">
        <f t="shared" si="237"/>
        <v>0</v>
      </c>
      <c r="R1930" s="193"/>
      <c r="S1930" s="194"/>
      <c r="T1930" s="195">
        <f t="shared" si="238"/>
        <v>0</v>
      </c>
      <c r="U1930" s="195">
        <f t="shared" si="239"/>
        <v>0</v>
      </c>
      <c r="V1930" s="195">
        <f t="shared" si="240"/>
        <v>0</v>
      </c>
      <c r="W1930" s="196" t="e">
        <f t="shared" si="241"/>
        <v>#DIV/0!</v>
      </c>
      <c r="X1930" s="197" t="e">
        <f t="shared" si="242"/>
        <v>#DIV/0!</v>
      </c>
    </row>
    <row r="1931" ht="11.4" hidden="1" customHeight="1" spans="1:24">
      <c r="A1931" s="184" t="s">
        <v>3195</v>
      </c>
      <c r="B1931" s="184" t="s">
        <v>125</v>
      </c>
      <c r="C1931" s="184" t="s">
        <v>1101</v>
      </c>
      <c r="D1931" s="185" t="s">
        <v>704</v>
      </c>
      <c r="E1931" s="186" t="s">
        <v>906</v>
      </c>
      <c r="F1931" s="186" t="s">
        <v>907</v>
      </c>
      <c r="G1931" s="186" t="s">
        <v>1102</v>
      </c>
      <c r="H1931" s="186" t="s">
        <v>1720</v>
      </c>
      <c r="I1931" s="187" t="s">
        <v>1236</v>
      </c>
      <c r="J1931" s="187" t="s">
        <v>1237</v>
      </c>
      <c r="K1931" s="188"/>
      <c r="L1931" s="188"/>
      <c r="M1931" s="189" t="s">
        <v>847</v>
      </c>
      <c r="N1931" s="190">
        <v>385.58</v>
      </c>
      <c r="O1931" s="190">
        <f t="shared" si="235"/>
        <v>420.28</v>
      </c>
      <c r="P1931" s="191">
        <f t="shared" si="236"/>
        <v>0</v>
      </c>
      <c r="Q1931" s="192">
        <f t="shared" si="237"/>
        <v>0</v>
      </c>
      <c r="R1931" s="193"/>
      <c r="S1931" s="194"/>
      <c r="T1931" s="195">
        <f t="shared" si="238"/>
        <v>0</v>
      </c>
      <c r="U1931" s="195">
        <f t="shared" si="239"/>
        <v>0</v>
      </c>
      <c r="V1931" s="195">
        <f t="shared" si="240"/>
        <v>0</v>
      </c>
      <c r="W1931" s="196" t="e">
        <f t="shared" si="241"/>
        <v>#DIV/0!</v>
      </c>
      <c r="X1931" s="197" t="e">
        <f t="shared" si="242"/>
        <v>#DIV/0!</v>
      </c>
    </row>
    <row r="1932" ht="11.4" hidden="1" customHeight="1" spans="1:24">
      <c r="A1932" s="184" t="s">
        <v>3195</v>
      </c>
      <c r="B1932" s="184" t="s">
        <v>125</v>
      </c>
      <c r="C1932" s="184" t="s">
        <v>1101</v>
      </c>
      <c r="D1932" s="185" t="s">
        <v>704</v>
      </c>
      <c r="E1932" s="186" t="s">
        <v>906</v>
      </c>
      <c r="F1932" s="186" t="s">
        <v>907</v>
      </c>
      <c r="G1932" s="186" t="s">
        <v>1102</v>
      </c>
      <c r="H1932" s="186" t="s">
        <v>1720</v>
      </c>
      <c r="I1932" s="187" t="s">
        <v>1240</v>
      </c>
      <c r="J1932" s="187" t="s">
        <v>1241</v>
      </c>
      <c r="K1932" s="188"/>
      <c r="L1932" s="188"/>
      <c r="M1932" s="189" t="s">
        <v>847</v>
      </c>
      <c r="N1932" s="190">
        <v>406.33</v>
      </c>
      <c r="O1932" s="190">
        <f t="shared" si="235"/>
        <v>442.9</v>
      </c>
      <c r="P1932" s="191">
        <f t="shared" si="236"/>
        <v>0</v>
      </c>
      <c r="Q1932" s="192">
        <f t="shared" si="237"/>
        <v>0</v>
      </c>
      <c r="R1932" s="193"/>
      <c r="S1932" s="194"/>
      <c r="T1932" s="195">
        <f t="shared" si="238"/>
        <v>0</v>
      </c>
      <c r="U1932" s="195">
        <f t="shared" si="239"/>
        <v>0</v>
      </c>
      <c r="V1932" s="195">
        <f t="shared" si="240"/>
        <v>0</v>
      </c>
      <c r="W1932" s="196" t="e">
        <f t="shared" si="241"/>
        <v>#DIV/0!</v>
      </c>
      <c r="X1932" s="197" t="e">
        <f t="shared" si="242"/>
        <v>#DIV/0!</v>
      </c>
    </row>
    <row r="1933" ht="11.4" hidden="1" customHeight="1" spans="1:24">
      <c r="A1933" s="184" t="s">
        <v>3195</v>
      </c>
      <c r="B1933" s="184" t="s">
        <v>125</v>
      </c>
      <c r="C1933" s="184" t="s">
        <v>1101</v>
      </c>
      <c r="D1933" s="185" t="s">
        <v>704</v>
      </c>
      <c r="E1933" s="186" t="s">
        <v>906</v>
      </c>
      <c r="F1933" s="186" t="s">
        <v>907</v>
      </c>
      <c r="G1933" s="186" t="s">
        <v>1102</v>
      </c>
      <c r="H1933" s="186" t="s">
        <v>1722</v>
      </c>
      <c r="I1933" s="187" t="s">
        <v>1359</v>
      </c>
      <c r="J1933" s="187" t="s">
        <v>1360</v>
      </c>
      <c r="K1933" s="188"/>
      <c r="L1933" s="188"/>
      <c r="M1933" s="189" t="s">
        <v>847</v>
      </c>
      <c r="N1933" s="190">
        <v>127.36</v>
      </c>
      <c r="O1933" s="190">
        <f t="shared" ref="O1933:O1996" si="243">ROUND(N1933*(1+$F$10),2)</f>
        <v>138.82</v>
      </c>
      <c r="P1933" s="191">
        <f t="shared" ref="P1933:P1996" si="244">ROUND(K1933*N1933,2)</f>
        <v>0</v>
      </c>
      <c r="Q1933" s="192">
        <f t="shared" si="237"/>
        <v>0</v>
      </c>
      <c r="R1933" s="193"/>
      <c r="S1933" s="194"/>
      <c r="T1933" s="195">
        <f t="shared" si="238"/>
        <v>0</v>
      </c>
      <c r="U1933" s="195">
        <f t="shared" si="239"/>
        <v>0</v>
      </c>
      <c r="V1933" s="195">
        <f t="shared" si="240"/>
        <v>0</v>
      </c>
      <c r="W1933" s="196" t="e">
        <f t="shared" si="241"/>
        <v>#DIV/0!</v>
      </c>
      <c r="X1933" s="197" t="e">
        <f t="shared" si="242"/>
        <v>#DIV/0!</v>
      </c>
    </row>
    <row r="1934" ht="11.4" hidden="1" customHeight="1" spans="1:24">
      <c r="A1934" s="184" t="s">
        <v>3195</v>
      </c>
      <c r="B1934" s="184" t="s">
        <v>125</v>
      </c>
      <c r="C1934" s="184" t="s">
        <v>1101</v>
      </c>
      <c r="D1934" s="185" t="s">
        <v>704</v>
      </c>
      <c r="E1934" s="186" t="s">
        <v>906</v>
      </c>
      <c r="F1934" s="186" t="s">
        <v>907</v>
      </c>
      <c r="G1934" s="186" t="s">
        <v>1102</v>
      </c>
      <c r="H1934" s="186" t="s">
        <v>1722</v>
      </c>
      <c r="I1934" s="187" t="s">
        <v>1362</v>
      </c>
      <c r="J1934" s="187" t="s">
        <v>1363</v>
      </c>
      <c r="K1934" s="188"/>
      <c r="L1934" s="188"/>
      <c r="M1934" s="189" t="s">
        <v>847</v>
      </c>
      <c r="N1934" s="190">
        <v>138.36</v>
      </c>
      <c r="O1934" s="190">
        <f t="shared" si="243"/>
        <v>150.81</v>
      </c>
      <c r="P1934" s="191">
        <f t="shared" si="244"/>
        <v>0</v>
      </c>
      <c r="Q1934" s="192">
        <f t="shared" ref="Q1934:Q1997" si="245">ROUND(L1934*N1934,2)</f>
        <v>0</v>
      </c>
      <c r="R1934" s="193"/>
      <c r="S1934" s="194"/>
      <c r="T1934" s="195">
        <f t="shared" ref="T1934:T1997" si="246">K1934-L1934</f>
        <v>0</v>
      </c>
      <c r="U1934" s="195">
        <f t="shared" ref="U1934:U1997" si="247">P1934-Q1934</f>
        <v>0</v>
      </c>
      <c r="V1934" s="195">
        <f t="shared" ref="V1934:V1997" si="248">ABS(U1934)</f>
        <v>0</v>
      </c>
      <c r="W1934" s="196" t="e">
        <f t="shared" ref="W1934:W1997" si="249">T1934/L1934</f>
        <v>#DIV/0!</v>
      </c>
      <c r="X1934" s="197" t="e">
        <f t="shared" ref="X1934:X1997" si="250">ABS(W1934)</f>
        <v>#DIV/0!</v>
      </c>
    </row>
    <row r="1935" ht="11.4" hidden="1" customHeight="1" spans="1:24">
      <c r="A1935" s="184" t="s">
        <v>3195</v>
      </c>
      <c r="B1935" s="184" t="s">
        <v>125</v>
      </c>
      <c r="C1935" s="184" t="s">
        <v>1101</v>
      </c>
      <c r="D1935" s="185" t="s">
        <v>704</v>
      </c>
      <c r="E1935" s="186" t="s">
        <v>906</v>
      </c>
      <c r="F1935" s="186" t="s">
        <v>907</v>
      </c>
      <c r="G1935" s="186" t="s">
        <v>1102</v>
      </c>
      <c r="H1935" s="186" t="s">
        <v>1722</v>
      </c>
      <c r="I1935" s="187" t="s">
        <v>1723</v>
      </c>
      <c r="J1935" s="187" t="s">
        <v>1724</v>
      </c>
      <c r="K1935" s="188"/>
      <c r="L1935" s="188"/>
      <c r="M1935" s="189" t="s">
        <v>847</v>
      </c>
      <c r="N1935" s="190">
        <v>132.76</v>
      </c>
      <c r="O1935" s="190">
        <f t="shared" si="243"/>
        <v>144.71</v>
      </c>
      <c r="P1935" s="191">
        <f t="shared" si="244"/>
        <v>0</v>
      </c>
      <c r="Q1935" s="192">
        <f t="shared" si="245"/>
        <v>0</v>
      </c>
      <c r="R1935" s="193"/>
      <c r="S1935" s="194"/>
      <c r="T1935" s="195">
        <f t="shared" si="246"/>
        <v>0</v>
      </c>
      <c r="U1935" s="195">
        <f t="shared" si="247"/>
        <v>0</v>
      </c>
      <c r="V1935" s="195">
        <f t="shared" si="248"/>
        <v>0</v>
      </c>
      <c r="W1935" s="196" t="e">
        <f t="shared" si="249"/>
        <v>#DIV/0!</v>
      </c>
      <c r="X1935" s="197" t="e">
        <f t="shared" si="250"/>
        <v>#DIV/0!</v>
      </c>
    </row>
    <row r="1936" ht="11.4" hidden="1" customHeight="1" spans="1:24">
      <c r="A1936" s="184" t="s">
        <v>3195</v>
      </c>
      <c r="B1936" s="184" t="s">
        <v>125</v>
      </c>
      <c r="C1936" s="184" t="s">
        <v>1101</v>
      </c>
      <c r="D1936" s="185" t="s">
        <v>704</v>
      </c>
      <c r="E1936" s="186" t="s">
        <v>906</v>
      </c>
      <c r="F1936" s="186" t="s">
        <v>907</v>
      </c>
      <c r="G1936" s="186" t="s">
        <v>1102</v>
      </c>
      <c r="H1936" s="186" t="s">
        <v>1722</v>
      </c>
      <c r="I1936" s="187" t="s">
        <v>1384</v>
      </c>
      <c r="J1936" s="187" t="s">
        <v>1385</v>
      </c>
      <c r="K1936" s="188"/>
      <c r="L1936" s="188"/>
      <c r="M1936" s="189" t="s">
        <v>847</v>
      </c>
      <c r="N1936" s="190">
        <v>139.73</v>
      </c>
      <c r="O1936" s="190">
        <f t="shared" si="243"/>
        <v>152.31</v>
      </c>
      <c r="P1936" s="191">
        <f t="shared" si="244"/>
        <v>0</v>
      </c>
      <c r="Q1936" s="192">
        <f t="shared" si="245"/>
        <v>0</v>
      </c>
      <c r="R1936" s="193"/>
      <c r="S1936" s="194"/>
      <c r="T1936" s="195">
        <f t="shared" si="246"/>
        <v>0</v>
      </c>
      <c r="U1936" s="195">
        <f t="shared" si="247"/>
        <v>0</v>
      </c>
      <c r="V1936" s="195">
        <f t="shared" si="248"/>
        <v>0</v>
      </c>
      <c r="W1936" s="196" t="e">
        <f t="shared" si="249"/>
        <v>#DIV/0!</v>
      </c>
      <c r="X1936" s="197" t="e">
        <f t="shared" si="250"/>
        <v>#DIV/0!</v>
      </c>
    </row>
    <row r="1937" ht="11.4" hidden="1" customHeight="1" spans="1:24">
      <c r="A1937" s="184" t="s">
        <v>3195</v>
      </c>
      <c r="B1937" s="184" t="s">
        <v>125</v>
      </c>
      <c r="C1937" s="184" t="s">
        <v>1101</v>
      </c>
      <c r="D1937" s="185" t="s">
        <v>704</v>
      </c>
      <c r="E1937" s="186" t="s">
        <v>906</v>
      </c>
      <c r="F1937" s="186" t="s">
        <v>907</v>
      </c>
      <c r="G1937" s="186" t="s">
        <v>1102</v>
      </c>
      <c r="H1937" s="186" t="s">
        <v>1725</v>
      </c>
      <c r="I1937" s="187" t="s">
        <v>1726</v>
      </c>
      <c r="J1937" s="187" t="s">
        <v>3196</v>
      </c>
      <c r="K1937" s="188"/>
      <c r="L1937" s="188"/>
      <c r="M1937" s="189" t="s">
        <v>793</v>
      </c>
      <c r="N1937" s="190">
        <v>10720.16</v>
      </c>
      <c r="O1937" s="190">
        <f t="shared" si="243"/>
        <v>11684.97</v>
      </c>
      <c r="P1937" s="191">
        <f t="shared" si="244"/>
        <v>0</v>
      </c>
      <c r="Q1937" s="192">
        <f t="shared" si="245"/>
        <v>0</v>
      </c>
      <c r="R1937" s="193"/>
      <c r="S1937" s="194"/>
      <c r="T1937" s="195">
        <f t="shared" si="246"/>
        <v>0</v>
      </c>
      <c r="U1937" s="195">
        <f t="shared" si="247"/>
        <v>0</v>
      </c>
      <c r="V1937" s="195">
        <f t="shared" si="248"/>
        <v>0</v>
      </c>
      <c r="W1937" s="196" t="e">
        <f t="shared" si="249"/>
        <v>#DIV/0!</v>
      </c>
      <c r="X1937" s="197" t="e">
        <f t="shared" si="250"/>
        <v>#DIV/0!</v>
      </c>
    </row>
    <row r="1938" ht="11.4" hidden="1" customHeight="1" spans="1:24">
      <c r="A1938" s="184" t="s">
        <v>3195</v>
      </c>
      <c r="B1938" s="184" t="s">
        <v>125</v>
      </c>
      <c r="C1938" s="184" t="s">
        <v>1101</v>
      </c>
      <c r="D1938" s="185" t="s">
        <v>704</v>
      </c>
      <c r="E1938" s="186" t="s">
        <v>906</v>
      </c>
      <c r="F1938" s="186" t="s">
        <v>907</v>
      </c>
      <c r="G1938" s="186" t="s">
        <v>1102</v>
      </c>
      <c r="H1938" s="186" t="s">
        <v>1725</v>
      </c>
      <c r="I1938" s="187" t="s">
        <v>1728</v>
      </c>
      <c r="J1938" s="187" t="s">
        <v>1729</v>
      </c>
      <c r="K1938" s="188"/>
      <c r="L1938" s="188"/>
      <c r="M1938" s="189" t="s">
        <v>1580</v>
      </c>
      <c r="N1938" s="190">
        <v>211.97</v>
      </c>
      <c r="O1938" s="190">
        <f t="shared" si="243"/>
        <v>231.05</v>
      </c>
      <c r="P1938" s="191">
        <f t="shared" si="244"/>
        <v>0</v>
      </c>
      <c r="Q1938" s="192">
        <f t="shared" si="245"/>
        <v>0</v>
      </c>
      <c r="R1938" s="193"/>
      <c r="S1938" s="194"/>
      <c r="T1938" s="195">
        <f t="shared" si="246"/>
        <v>0</v>
      </c>
      <c r="U1938" s="195">
        <f t="shared" si="247"/>
        <v>0</v>
      </c>
      <c r="V1938" s="195">
        <f t="shared" si="248"/>
        <v>0</v>
      </c>
      <c r="W1938" s="196" t="e">
        <f t="shared" si="249"/>
        <v>#DIV/0!</v>
      </c>
      <c r="X1938" s="197" t="e">
        <f t="shared" si="250"/>
        <v>#DIV/0!</v>
      </c>
    </row>
    <row r="1939" ht="11.4" hidden="1" customHeight="1" spans="1:24">
      <c r="A1939" s="184" t="s">
        <v>3195</v>
      </c>
      <c r="B1939" s="184" t="s">
        <v>125</v>
      </c>
      <c r="C1939" s="184" t="s">
        <v>1101</v>
      </c>
      <c r="D1939" s="185" t="s">
        <v>704</v>
      </c>
      <c r="E1939" s="186" t="s">
        <v>906</v>
      </c>
      <c r="F1939" s="186" t="s">
        <v>907</v>
      </c>
      <c r="G1939" s="186" t="s">
        <v>1102</v>
      </c>
      <c r="H1939" s="186" t="s">
        <v>1725</v>
      </c>
      <c r="I1939" s="187" t="s">
        <v>1730</v>
      </c>
      <c r="J1939" s="187" t="s">
        <v>1731</v>
      </c>
      <c r="K1939" s="188"/>
      <c r="L1939" s="188"/>
      <c r="M1939" s="189" t="s">
        <v>1580</v>
      </c>
      <c r="N1939" s="190">
        <v>191.29</v>
      </c>
      <c r="O1939" s="190">
        <f t="shared" si="243"/>
        <v>208.51</v>
      </c>
      <c r="P1939" s="191">
        <f t="shared" si="244"/>
        <v>0</v>
      </c>
      <c r="Q1939" s="192">
        <f t="shared" si="245"/>
        <v>0</v>
      </c>
      <c r="R1939" s="193"/>
      <c r="S1939" s="194"/>
      <c r="T1939" s="195">
        <f t="shared" si="246"/>
        <v>0</v>
      </c>
      <c r="U1939" s="195">
        <f t="shared" si="247"/>
        <v>0</v>
      </c>
      <c r="V1939" s="195">
        <f t="shared" si="248"/>
        <v>0</v>
      </c>
      <c r="W1939" s="196" t="e">
        <f t="shared" si="249"/>
        <v>#DIV/0!</v>
      </c>
      <c r="X1939" s="197" t="e">
        <f t="shared" si="250"/>
        <v>#DIV/0!</v>
      </c>
    </row>
    <row r="1940" ht="11.4" hidden="1" customHeight="1" spans="1:24">
      <c r="A1940" s="184" t="s">
        <v>3195</v>
      </c>
      <c r="B1940" s="184" t="s">
        <v>125</v>
      </c>
      <c r="C1940" s="184" t="s">
        <v>1101</v>
      </c>
      <c r="D1940" s="185" t="s">
        <v>704</v>
      </c>
      <c r="E1940" s="186" t="s">
        <v>906</v>
      </c>
      <c r="F1940" s="186" t="s">
        <v>907</v>
      </c>
      <c r="G1940" s="186" t="s">
        <v>1102</v>
      </c>
      <c r="H1940" s="186" t="s">
        <v>1725</v>
      </c>
      <c r="I1940" s="187" t="s">
        <v>1732</v>
      </c>
      <c r="J1940" s="187" t="s">
        <v>1733</v>
      </c>
      <c r="K1940" s="188"/>
      <c r="L1940" s="188"/>
      <c r="M1940" s="189" t="s">
        <v>793</v>
      </c>
      <c r="N1940" s="190">
        <v>404.91</v>
      </c>
      <c r="O1940" s="190">
        <f t="shared" si="243"/>
        <v>441.35</v>
      </c>
      <c r="P1940" s="191">
        <f t="shared" si="244"/>
        <v>0</v>
      </c>
      <c r="Q1940" s="192">
        <f t="shared" si="245"/>
        <v>0</v>
      </c>
      <c r="R1940" s="193"/>
      <c r="S1940" s="194"/>
      <c r="T1940" s="195">
        <f t="shared" si="246"/>
        <v>0</v>
      </c>
      <c r="U1940" s="195">
        <f t="shared" si="247"/>
        <v>0</v>
      </c>
      <c r="V1940" s="195">
        <f t="shared" si="248"/>
        <v>0</v>
      </c>
      <c r="W1940" s="196" t="e">
        <f t="shared" si="249"/>
        <v>#DIV/0!</v>
      </c>
      <c r="X1940" s="197" t="e">
        <f t="shared" si="250"/>
        <v>#DIV/0!</v>
      </c>
    </row>
    <row r="1941" ht="11.4" hidden="1" customHeight="1" spans="1:24">
      <c r="A1941" s="184" t="s">
        <v>3195</v>
      </c>
      <c r="B1941" s="184" t="s">
        <v>125</v>
      </c>
      <c r="C1941" s="184" t="s">
        <v>1101</v>
      </c>
      <c r="D1941" s="185" t="s">
        <v>704</v>
      </c>
      <c r="E1941" s="186" t="s">
        <v>906</v>
      </c>
      <c r="F1941" s="186" t="s">
        <v>907</v>
      </c>
      <c r="G1941" s="186" t="s">
        <v>1102</v>
      </c>
      <c r="H1941" s="186" t="s">
        <v>1725</v>
      </c>
      <c r="I1941" s="187" t="s">
        <v>1734</v>
      </c>
      <c r="J1941" s="187" t="s">
        <v>1735</v>
      </c>
      <c r="K1941" s="188"/>
      <c r="L1941" s="188"/>
      <c r="M1941" s="189" t="s">
        <v>847</v>
      </c>
      <c r="N1941" s="190">
        <v>645.8</v>
      </c>
      <c r="O1941" s="190">
        <f t="shared" si="243"/>
        <v>703.92</v>
      </c>
      <c r="P1941" s="191">
        <f t="shared" si="244"/>
        <v>0</v>
      </c>
      <c r="Q1941" s="192">
        <f t="shared" si="245"/>
        <v>0</v>
      </c>
      <c r="R1941" s="193"/>
      <c r="S1941" s="194"/>
      <c r="T1941" s="195">
        <f t="shared" si="246"/>
        <v>0</v>
      </c>
      <c r="U1941" s="195">
        <f t="shared" si="247"/>
        <v>0</v>
      </c>
      <c r="V1941" s="195">
        <f t="shared" si="248"/>
        <v>0</v>
      </c>
      <c r="W1941" s="196" t="e">
        <f t="shared" si="249"/>
        <v>#DIV/0!</v>
      </c>
      <c r="X1941" s="197" t="e">
        <f t="shared" si="250"/>
        <v>#DIV/0!</v>
      </c>
    </row>
    <row r="1942" ht="11.4" hidden="1" customHeight="1" spans="1:24">
      <c r="A1942" s="184" t="s">
        <v>3195</v>
      </c>
      <c r="B1942" s="184" t="s">
        <v>125</v>
      </c>
      <c r="C1942" s="184" t="s">
        <v>1101</v>
      </c>
      <c r="D1942" s="185" t="s">
        <v>704</v>
      </c>
      <c r="E1942" s="186" t="s">
        <v>906</v>
      </c>
      <c r="F1942" s="186" t="s">
        <v>907</v>
      </c>
      <c r="G1942" s="186" t="s">
        <v>1102</v>
      </c>
      <c r="H1942" s="186" t="s">
        <v>1725</v>
      </c>
      <c r="I1942" s="187" t="s">
        <v>1736</v>
      </c>
      <c r="J1942" s="187" t="s">
        <v>1737</v>
      </c>
      <c r="K1942" s="188"/>
      <c r="L1942" s="188"/>
      <c r="M1942" s="189" t="s">
        <v>847</v>
      </c>
      <c r="N1942" s="190"/>
      <c r="O1942" s="190">
        <f t="shared" si="243"/>
        <v>0</v>
      </c>
      <c r="P1942" s="191">
        <f t="shared" si="244"/>
        <v>0</v>
      </c>
      <c r="Q1942" s="192">
        <f t="shared" si="245"/>
        <v>0</v>
      </c>
      <c r="R1942" s="193"/>
      <c r="S1942" s="194"/>
      <c r="T1942" s="195">
        <f t="shared" si="246"/>
        <v>0</v>
      </c>
      <c r="U1942" s="195">
        <f t="shared" si="247"/>
        <v>0</v>
      </c>
      <c r="V1942" s="195">
        <f t="shared" si="248"/>
        <v>0</v>
      </c>
      <c r="W1942" s="196" t="e">
        <f t="shared" si="249"/>
        <v>#DIV/0!</v>
      </c>
      <c r="X1942" s="197" t="e">
        <f t="shared" si="250"/>
        <v>#DIV/0!</v>
      </c>
    </row>
    <row r="1943" ht="11.4" hidden="1" customHeight="1" spans="1:24">
      <c r="A1943" s="184" t="s">
        <v>3195</v>
      </c>
      <c r="B1943" s="184" t="s">
        <v>125</v>
      </c>
      <c r="C1943" s="184" t="s">
        <v>1101</v>
      </c>
      <c r="D1943" s="185" t="s">
        <v>704</v>
      </c>
      <c r="E1943" s="186" t="s">
        <v>906</v>
      </c>
      <c r="F1943" s="186" t="s">
        <v>907</v>
      </c>
      <c r="G1943" s="186" t="s">
        <v>1102</v>
      </c>
      <c r="H1943" s="186" t="s">
        <v>1725</v>
      </c>
      <c r="I1943" s="187" t="s">
        <v>1738</v>
      </c>
      <c r="J1943" s="187" t="s">
        <v>1739</v>
      </c>
      <c r="K1943" s="188"/>
      <c r="L1943" s="188"/>
      <c r="M1943" s="189" t="s">
        <v>793</v>
      </c>
      <c r="N1943" s="190"/>
      <c r="O1943" s="190">
        <f t="shared" si="243"/>
        <v>0</v>
      </c>
      <c r="P1943" s="191">
        <f t="shared" si="244"/>
        <v>0</v>
      </c>
      <c r="Q1943" s="192">
        <f t="shared" si="245"/>
        <v>0</v>
      </c>
      <c r="R1943" s="193"/>
      <c r="S1943" s="194"/>
      <c r="T1943" s="195">
        <f t="shared" si="246"/>
        <v>0</v>
      </c>
      <c r="U1943" s="195">
        <f t="shared" si="247"/>
        <v>0</v>
      </c>
      <c r="V1943" s="195">
        <f t="shared" si="248"/>
        <v>0</v>
      </c>
      <c r="W1943" s="196" t="e">
        <f t="shared" si="249"/>
        <v>#DIV/0!</v>
      </c>
      <c r="X1943" s="197" t="e">
        <f t="shared" si="250"/>
        <v>#DIV/0!</v>
      </c>
    </row>
    <row r="1944" ht="11.4" hidden="1" customHeight="1" spans="1:24">
      <c r="A1944" s="184" t="s">
        <v>3197</v>
      </c>
      <c r="B1944" s="184" t="s">
        <v>109</v>
      </c>
      <c r="C1944" s="184" t="s">
        <v>1101</v>
      </c>
      <c r="D1944" s="185" t="s">
        <v>704</v>
      </c>
      <c r="E1944" s="186" t="s">
        <v>906</v>
      </c>
      <c r="F1944" s="186" t="s">
        <v>907</v>
      </c>
      <c r="G1944" s="186" t="s">
        <v>1102</v>
      </c>
      <c r="H1944" s="186" t="s">
        <v>1741</v>
      </c>
      <c r="I1944" s="187" t="s">
        <v>1708</v>
      </c>
      <c r="J1944" s="187" t="s">
        <v>1709</v>
      </c>
      <c r="K1944" s="188"/>
      <c r="L1944" s="188"/>
      <c r="M1944" s="189" t="s">
        <v>847</v>
      </c>
      <c r="N1944" s="190">
        <v>203.87</v>
      </c>
      <c r="O1944" s="190">
        <f t="shared" si="243"/>
        <v>222.22</v>
      </c>
      <c r="P1944" s="191">
        <f t="shared" si="244"/>
        <v>0</v>
      </c>
      <c r="Q1944" s="192">
        <f t="shared" si="245"/>
        <v>0</v>
      </c>
      <c r="R1944" s="193"/>
      <c r="S1944" s="194"/>
      <c r="T1944" s="195">
        <f t="shared" si="246"/>
        <v>0</v>
      </c>
      <c r="U1944" s="195">
        <f t="shared" si="247"/>
        <v>0</v>
      </c>
      <c r="V1944" s="195">
        <f t="shared" si="248"/>
        <v>0</v>
      </c>
      <c r="W1944" s="196" t="e">
        <f t="shared" si="249"/>
        <v>#DIV/0!</v>
      </c>
      <c r="X1944" s="197" t="e">
        <f t="shared" si="250"/>
        <v>#DIV/0!</v>
      </c>
    </row>
    <row r="1945" ht="11.4" hidden="1" customHeight="1" spans="1:24">
      <c r="A1945" s="184" t="s">
        <v>3197</v>
      </c>
      <c r="B1945" s="184" t="s">
        <v>109</v>
      </c>
      <c r="C1945" s="184" t="s">
        <v>1101</v>
      </c>
      <c r="D1945" s="185" t="s">
        <v>704</v>
      </c>
      <c r="E1945" s="186" t="s">
        <v>906</v>
      </c>
      <c r="F1945" s="186" t="s">
        <v>907</v>
      </c>
      <c r="G1945" s="186" t="s">
        <v>1102</v>
      </c>
      <c r="H1945" s="186" t="s">
        <v>1741</v>
      </c>
      <c r="I1945" s="187" t="s">
        <v>1710</v>
      </c>
      <c r="J1945" s="187" t="s">
        <v>1711</v>
      </c>
      <c r="K1945" s="188"/>
      <c r="L1945" s="188"/>
      <c r="M1945" s="189" t="s">
        <v>807</v>
      </c>
      <c r="N1945" s="190">
        <v>101.27</v>
      </c>
      <c r="O1945" s="190">
        <f t="shared" si="243"/>
        <v>110.38</v>
      </c>
      <c r="P1945" s="191">
        <f t="shared" si="244"/>
        <v>0</v>
      </c>
      <c r="Q1945" s="192">
        <f t="shared" si="245"/>
        <v>0</v>
      </c>
      <c r="R1945" s="193"/>
      <c r="S1945" s="194"/>
      <c r="T1945" s="195">
        <f t="shared" si="246"/>
        <v>0</v>
      </c>
      <c r="U1945" s="195">
        <f t="shared" si="247"/>
        <v>0</v>
      </c>
      <c r="V1945" s="195">
        <f t="shared" si="248"/>
        <v>0</v>
      </c>
      <c r="W1945" s="196" t="e">
        <f t="shared" si="249"/>
        <v>#DIV/0!</v>
      </c>
      <c r="X1945" s="197" t="e">
        <f t="shared" si="250"/>
        <v>#DIV/0!</v>
      </c>
    </row>
    <row r="1946" ht="11.4" hidden="1" customHeight="1" spans="1:24">
      <c r="A1946" s="184" t="s">
        <v>3197</v>
      </c>
      <c r="B1946" s="184" t="s">
        <v>109</v>
      </c>
      <c r="C1946" s="184" t="s">
        <v>1101</v>
      </c>
      <c r="D1946" s="185" t="s">
        <v>704</v>
      </c>
      <c r="E1946" s="186" t="s">
        <v>906</v>
      </c>
      <c r="F1946" s="186" t="s">
        <v>907</v>
      </c>
      <c r="G1946" s="186" t="s">
        <v>1102</v>
      </c>
      <c r="H1946" s="186" t="s">
        <v>1741</v>
      </c>
      <c r="I1946" s="187" t="s">
        <v>1712</v>
      </c>
      <c r="J1946" s="187" t="s">
        <v>1713</v>
      </c>
      <c r="K1946" s="188"/>
      <c r="L1946" s="188"/>
      <c r="M1946" s="189" t="s">
        <v>847</v>
      </c>
      <c r="N1946" s="190">
        <v>194.19</v>
      </c>
      <c r="O1946" s="190">
        <f t="shared" si="243"/>
        <v>211.67</v>
      </c>
      <c r="P1946" s="191">
        <f t="shared" si="244"/>
        <v>0</v>
      </c>
      <c r="Q1946" s="192">
        <f t="shared" si="245"/>
        <v>0</v>
      </c>
      <c r="R1946" s="193"/>
      <c r="S1946" s="194"/>
      <c r="T1946" s="195">
        <f t="shared" si="246"/>
        <v>0</v>
      </c>
      <c r="U1946" s="195">
        <f t="shared" si="247"/>
        <v>0</v>
      </c>
      <c r="V1946" s="195">
        <f t="shared" si="248"/>
        <v>0</v>
      </c>
      <c r="W1946" s="196" t="e">
        <f t="shared" si="249"/>
        <v>#DIV/0!</v>
      </c>
      <c r="X1946" s="197" t="e">
        <f t="shared" si="250"/>
        <v>#DIV/0!</v>
      </c>
    </row>
    <row r="1947" ht="11.4" hidden="1" customHeight="1" spans="1:24">
      <c r="A1947" s="184" t="s">
        <v>3197</v>
      </c>
      <c r="B1947" s="184" t="s">
        <v>109</v>
      </c>
      <c r="C1947" s="184" t="s">
        <v>1101</v>
      </c>
      <c r="D1947" s="185" t="s">
        <v>704</v>
      </c>
      <c r="E1947" s="186" t="s">
        <v>906</v>
      </c>
      <c r="F1947" s="186" t="s">
        <v>907</v>
      </c>
      <c r="G1947" s="186" t="s">
        <v>1102</v>
      </c>
      <c r="H1947" s="186" t="s">
        <v>1741</v>
      </c>
      <c r="I1947" s="187" t="s">
        <v>1714</v>
      </c>
      <c r="J1947" s="187" t="s">
        <v>1715</v>
      </c>
      <c r="K1947" s="188"/>
      <c r="L1947" s="188"/>
      <c r="M1947" s="189" t="s">
        <v>807</v>
      </c>
      <c r="N1947" s="190">
        <v>83.12</v>
      </c>
      <c r="O1947" s="190">
        <f t="shared" si="243"/>
        <v>90.6</v>
      </c>
      <c r="P1947" s="191">
        <f t="shared" si="244"/>
        <v>0</v>
      </c>
      <c r="Q1947" s="192">
        <f t="shared" si="245"/>
        <v>0</v>
      </c>
      <c r="R1947" s="193"/>
      <c r="S1947" s="194"/>
      <c r="T1947" s="195">
        <f t="shared" si="246"/>
        <v>0</v>
      </c>
      <c r="U1947" s="195">
        <f t="shared" si="247"/>
        <v>0</v>
      </c>
      <c r="V1947" s="195">
        <f t="shared" si="248"/>
        <v>0</v>
      </c>
      <c r="W1947" s="196" t="e">
        <f t="shared" si="249"/>
        <v>#DIV/0!</v>
      </c>
      <c r="X1947" s="197" t="e">
        <f t="shared" si="250"/>
        <v>#DIV/0!</v>
      </c>
    </row>
    <row r="1948" ht="11.4" hidden="1" customHeight="1" spans="1:24">
      <c r="A1948" s="184" t="s">
        <v>3197</v>
      </c>
      <c r="B1948" s="184" t="s">
        <v>109</v>
      </c>
      <c r="C1948" s="184" t="s">
        <v>1101</v>
      </c>
      <c r="D1948" s="185" t="s">
        <v>704</v>
      </c>
      <c r="E1948" s="186" t="s">
        <v>906</v>
      </c>
      <c r="F1948" s="186" t="s">
        <v>907</v>
      </c>
      <c r="G1948" s="186" t="s">
        <v>1102</v>
      </c>
      <c r="H1948" s="186" t="s">
        <v>1741</v>
      </c>
      <c r="I1948" s="187" t="s">
        <v>1716</v>
      </c>
      <c r="J1948" s="187" t="s">
        <v>1717</v>
      </c>
      <c r="K1948" s="188"/>
      <c r="L1948" s="188"/>
      <c r="M1948" s="189" t="s">
        <v>847</v>
      </c>
      <c r="N1948" s="190">
        <v>202.66</v>
      </c>
      <c r="O1948" s="190">
        <f t="shared" si="243"/>
        <v>220.9</v>
      </c>
      <c r="P1948" s="191">
        <f t="shared" si="244"/>
        <v>0</v>
      </c>
      <c r="Q1948" s="192">
        <f t="shared" si="245"/>
        <v>0</v>
      </c>
      <c r="R1948" s="193"/>
      <c r="S1948" s="194"/>
      <c r="T1948" s="195">
        <f t="shared" si="246"/>
        <v>0</v>
      </c>
      <c r="U1948" s="195">
        <f t="shared" si="247"/>
        <v>0</v>
      </c>
      <c r="V1948" s="195">
        <f t="shared" si="248"/>
        <v>0</v>
      </c>
      <c r="W1948" s="196" t="e">
        <f t="shared" si="249"/>
        <v>#DIV/0!</v>
      </c>
      <c r="X1948" s="197" t="e">
        <f t="shared" si="250"/>
        <v>#DIV/0!</v>
      </c>
    </row>
    <row r="1949" ht="11.4" hidden="1" customHeight="1" spans="1:24">
      <c r="A1949" s="184" t="s">
        <v>3197</v>
      </c>
      <c r="B1949" s="184" t="s">
        <v>109</v>
      </c>
      <c r="C1949" s="184" t="s">
        <v>1101</v>
      </c>
      <c r="D1949" s="185" t="s">
        <v>704</v>
      </c>
      <c r="E1949" s="186" t="s">
        <v>906</v>
      </c>
      <c r="F1949" s="186" t="s">
        <v>907</v>
      </c>
      <c r="G1949" s="186" t="s">
        <v>1102</v>
      </c>
      <c r="H1949" s="186" t="s">
        <v>1741</v>
      </c>
      <c r="I1949" s="187" t="s">
        <v>1718</v>
      </c>
      <c r="J1949" s="187" t="s">
        <v>1719</v>
      </c>
      <c r="K1949" s="188"/>
      <c r="L1949" s="188"/>
      <c r="M1949" s="189" t="s">
        <v>807</v>
      </c>
      <c r="N1949" s="190">
        <v>101.27</v>
      </c>
      <c r="O1949" s="190">
        <f t="shared" si="243"/>
        <v>110.38</v>
      </c>
      <c r="P1949" s="191">
        <f t="shared" si="244"/>
        <v>0</v>
      </c>
      <c r="Q1949" s="192">
        <f t="shared" si="245"/>
        <v>0</v>
      </c>
      <c r="R1949" s="193"/>
      <c r="S1949" s="194"/>
      <c r="T1949" s="195">
        <f t="shared" si="246"/>
        <v>0</v>
      </c>
      <c r="U1949" s="195">
        <f t="shared" si="247"/>
        <v>0</v>
      </c>
      <c r="V1949" s="195">
        <f t="shared" si="248"/>
        <v>0</v>
      </c>
      <c r="W1949" s="196" t="e">
        <f t="shared" si="249"/>
        <v>#DIV/0!</v>
      </c>
      <c r="X1949" s="197" t="e">
        <f t="shared" si="250"/>
        <v>#DIV/0!</v>
      </c>
    </row>
    <row r="1950" ht="11.4" hidden="1" customHeight="1" spans="1:24">
      <c r="A1950" s="184" t="s">
        <v>3197</v>
      </c>
      <c r="B1950" s="184" t="s">
        <v>109</v>
      </c>
      <c r="C1950" s="184" t="s">
        <v>1101</v>
      </c>
      <c r="D1950" s="185" t="s">
        <v>704</v>
      </c>
      <c r="E1950" s="186" t="s">
        <v>906</v>
      </c>
      <c r="F1950" s="186" t="s">
        <v>907</v>
      </c>
      <c r="G1950" s="186" t="s">
        <v>1102</v>
      </c>
      <c r="H1950" s="186" t="s">
        <v>1741</v>
      </c>
      <c r="I1950" s="187" t="s">
        <v>1104</v>
      </c>
      <c r="J1950" s="187" t="s">
        <v>1105</v>
      </c>
      <c r="K1950" s="188"/>
      <c r="L1950" s="188"/>
      <c r="M1950" s="189" t="s">
        <v>847</v>
      </c>
      <c r="N1950" s="190">
        <v>180.78</v>
      </c>
      <c r="O1950" s="190">
        <f t="shared" si="243"/>
        <v>197.05</v>
      </c>
      <c r="P1950" s="191">
        <f t="shared" si="244"/>
        <v>0</v>
      </c>
      <c r="Q1950" s="192">
        <f t="shared" si="245"/>
        <v>0</v>
      </c>
      <c r="R1950" s="193"/>
      <c r="S1950" s="194"/>
      <c r="T1950" s="195">
        <f t="shared" si="246"/>
        <v>0</v>
      </c>
      <c r="U1950" s="195">
        <f t="shared" si="247"/>
        <v>0</v>
      </c>
      <c r="V1950" s="195">
        <f t="shared" si="248"/>
        <v>0</v>
      </c>
      <c r="W1950" s="196" t="e">
        <f t="shared" si="249"/>
        <v>#DIV/0!</v>
      </c>
      <c r="X1950" s="197" t="e">
        <f t="shared" si="250"/>
        <v>#DIV/0!</v>
      </c>
    </row>
    <row r="1951" ht="11.4" hidden="1" customHeight="1" spans="1:24">
      <c r="A1951" s="184" t="s">
        <v>3197</v>
      </c>
      <c r="B1951" s="184" t="s">
        <v>109</v>
      </c>
      <c r="C1951" s="184" t="s">
        <v>1101</v>
      </c>
      <c r="D1951" s="185" t="s">
        <v>704</v>
      </c>
      <c r="E1951" s="186" t="s">
        <v>906</v>
      </c>
      <c r="F1951" s="186" t="s">
        <v>907</v>
      </c>
      <c r="G1951" s="186" t="s">
        <v>1102</v>
      </c>
      <c r="H1951" s="186" t="s">
        <v>1741</v>
      </c>
      <c r="I1951" s="187" t="s">
        <v>1106</v>
      </c>
      <c r="J1951" s="187" t="s">
        <v>1107</v>
      </c>
      <c r="K1951" s="188"/>
      <c r="L1951" s="188"/>
      <c r="M1951" s="189" t="s">
        <v>807</v>
      </c>
      <c r="N1951" s="190">
        <v>41.36</v>
      </c>
      <c r="O1951" s="190">
        <f t="shared" si="243"/>
        <v>45.08</v>
      </c>
      <c r="P1951" s="191">
        <f t="shared" si="244"/>
        <v>0</v>
      </c>
      <c r="Q1951" s="192">
        <f t="shared" si="245"/>
        <v>0</v>
      </c>
      <c r="R1951" s="193"/>
      <c r="S1951" s="194"/>
      <c r="T1951" s="195">
        <f t="shared" si="246"/>
        <v>0</v>
      </c>
      <c r="U1951" s="195">
        <f t="shared" si="247"/>
        <v>0</v>
      </c>
      <c r="V1951" s="195">
        <f t="shared" si="248"/>
        <v>0</v>
      </c>
      <c r="W1951" s="196" t="e">
        <f t="shared" si="249"/>
        <v>#DIV/0!</v>
      </c>
      <c r="X1951" s="197" t="e">
        <f t="shared" si="250"/>
        <v>#DIV/0!</v>
      </c>
    </row>
    <row r="1952" ht="11.4" hidden="1" customHeight="1" spans="1:24">
      <c r="A1952" s="184" t="s">
        <v>3197</v>
      </c>
      <c r="B1952" s="184" t="s">
        <v>109</v>
      </c>
      <c r="C1952" s="184" t="s">
        <v>1101</v>
      </c>
      <c r="D1952" s="185" t="s">
        <v>704</v>
      </c>
      <c r="E1952" s="186" t="s">
        <v>906</v>
      </c>
      <c r="F1952" s="186" t="s">
        <v>907</v>
      </c>
      <c r="G1952" s="186" t="s">
        <v>1102</v>
      </c>
      <c r="H1952" s="186" t="s">
        <v>1741</v>
      </c>
      <c r="I1952" s="187" t="s">
        <v>1109</v>
      </c>
      <c r="J1952" s="187" t="s">
        <v>1110</v>
      </c>
      <c r="K1952" s="188"/>
      <c r="L1952" s="188"/>
      <c r="M1952" s="189" t="s">
        <v>847</v>
      </c>
      <c r="N1952" s="190">
        <v>160.21</v>
      </c>
      <c r="O1952" s="190">
        <f t="shared" si="243"/>
        <v>174.63</v>
      </c>
      <c r="P1952" s="191">
        <f t="shared" si="244"/>
        <v>0</v>
      </c>
      <c r="Q1952" s="192">
        <f t="shared" si="245"/>
        <v>0</v>
      </c>
      <c r="R1952" s="193"/>
      <c r="S1952" s="194"/>
      <c r="T1952" s="195">
        <f t="shared" si="246"/>
        <v>0</v>
      </c>
      <c r="U1952" s="195">
        <f t="shared" si="247"/>
        <v>0</v>
      </c>
      <c r="V1952" s="195">
        <f t="shared" si="248"/>
        <v>0</v>
      </c>
      <c r="W1952" s="196" t="e">
        <f t="shared" si="249"/>
        <v>#DIV/0!</v>
      </c>
      <c r="X1952" s="197" t="e">
        <f t="shared" si="250"/>
        <v>#DIV/0!</v>
      </c>
    </row>
    <row r="1953" ht="11.4" hidden="1" customHeight="1" spans="1:24">
      <c r="A1953" s="184" t="s">
        <v>3197</v>
      </c>
      <c r="B1953" s="184" t="s">
        <v>109</v>
      </c>
      <c r="C1953" s="184" t="s">
        <v>1101</v>
      </c>
      <c r="D1953" s="185" t="s">
        <v>704</v>
      </c>
      <c r="E1953" s="186" t="s">
        <v>906</v>
      </c>
      <c r="F1953" s="186" t="s">
        <v>907</v>
      </c>
      <c r="G1953" s="186" t="s">
        <v>1102</v>
      </c>
      <c r="H1953" s="186" t="s">
        <v>1741</v>
      </c>
      <c r="I1953" s="187" t="s">
        <v>1111</v>
      </c>
      <c r="J1953" s="187" t="s">
        <v>1112</v>
      </c>
      <c r="K1953" s="188"/>
      <c r="L1953" s="188"/>
      <c r="M1953" s="189" t="s">
        <v>807</v>
      </c>
      <c r="N1953" s="190">
        <v>38.94</v>
      </c>
      <c r="O1953" s="190">
        <f t="shared" si="243"/>
        <v>42.44</v>
      </c>
      <c r="P1953" s="191">
        <f t="shared" si="244"/>
        <v>0</v>
      </c>
      <c r="Q1953" s="192">
        <f t="shared" si="245"/>
        <v>0</v>
      </c>
      <c r="R1953" s="193"/>
      <c r="S1953" s="194"/>
      <c r="T1953" s="195">
        <f t="shared" si="246"/>
        <v>0</v>
      </c>
      <c r="U1953" s="195">
        <f t="shared" si="247"/>
        <v>0</v>
      </c>
      <c r="V1953" s="195">
        <f t="shared" si="248"/>
        <v>0</v>
      </c>
      <c r="W1953" s="196" t="e">
        <f t="shared" si="249"/>
        <v>#DIV/0!</v>
      </c>
      <c r="X1953" s="197" t="e">
        <f t="shared" si="250"/>
        <v>#DIV/0!</v>
      </c>
    </row>
    <row r="1954" ht="11.4" hidden="1" customHeight="1" spans="1:24">
      <c r="A1954" s="184" t="s">
        <v>3197</v>
      </c>
      <c r="B1954" s="184" t="s">
        <v>109</v>
      </c>
      <c r="C1954" s="184" t="s">
        <v>1101</v>
      </c>
      <c r="D1954" s="185" t="s">
        <v>704</v>
      </c>
      <c r="E1954" s="186" t="s">
        <v>906</v>
      </c>
      <c r="F1954" s="186" t="s">
        <v>907</v>
      </c>
      <c r="G1954" s="186" t="s">
        <v>1102</v>
      </c>
      <c r="H1954" s="186" t="s">
        <v>1741</v>
      </c>
      <c r="I1954" s="187" t="s">
        <v>1113</v>
      </c>
      <c r="J1954" s="187" t="s">
        <v>1114</v>
      </c>
      <c r="K1954" s="188"/>
      <c r="L1954" s="188"/>
      <c r="M1954" s="189" t="s">
        <v>847</v>
      </c>
      <c r="N1954" s="190">
        <v>181.99</v>
      </c>
      <c r="O1954" s="190">
        <f t="shared" si="243"/>
        <v>198.37</v>
      </c>
      <c r="P1954" s="191">
        <f t="shared" si="244"/>
        <v>0</v>
      </c>
      <c r="Q1954" s="192">
        <f t="shared" si="245"/>
        <v>0</v>
      </c>
      <c r="R1954" s="193"/>
      <c r="S1954" s="194"/>
      <c r="T1954" s="195">
        <f t="shared" si="246"/>
        <v>0</v>
      </c>
      <c r="U1954" s="195">
        <f t="shared" si="247"/>
        <v>0</v>
      </c>
      <c r="V1954" s="195">
        <f t="shared" si="248"/>
        <v>0</v>
      </c>
      <c r="W1954" s="196" t="e">
        <f t="shared" si="249"/>
        <v>#DIV/0!</v>
      </c>
      <c r="X1954" s="197" t="e">
        <f t="shared" si="250"/>
        <v>#DIV/0!</v>
      </c>
    </row>
    <row r="1955" ht="11.4" hidden="1" customHeight="1" spans="1:24">
      <c r="A1955" s="184" t="s">
        <v>3197</v>
      </c>
      <c r="B1955" s="184" t="s">
        <v>109</v>
      </c>
      <c r="C1955" s="184" t="s">
        <v>1101</v>
      </c>
      <c r="D1955" s="185" t="s">
        <v>704</v>
      </c>
      <c r="E1955" s="186" t="s">
        <v>906</v>
      </c>
      <c r="F1955" s="186" t="s">
        <v>907</v>
      </c>
      <c r="G1955" s="186" t="s">
        <v>1102</v>
      </c>
      <c r="H1955" s="186" t="s">
        <v>1741</v>
      </c>
      <c r="I1955" s="187" t="s">
        <v>1115</v>
      </c>
      <c r="J1955" s="187" t="s">
        <v>1116</v>
      </c>
      <c r="K1955" s="188"/>
      <c r="L1955" s="188"/>
      <c r="M1955" s="189" t="s">
        <v>807</v>
      </c>
      <c r="N1955" s="190">
        <v>42.57</v>
      </c>
      <c r="O1955" s="190">
        <f t="shared" si="243"/>
        <v>46.4</v>
      </c>
      <c r="P1955" s="191">
        <f t="shared" si="244"/>
        <v>0</v>
      </c>
      <c r="Q1955" s="192">
        <f t="shared" si="245"/>
        <v>0</v>
      </c>
      <c r="R1955" s="193"/>
      <c r="S1955" s="194"/>
      <c r="T1955" s="195">
        <f t="shared" si="246"/>
        <v>0</v>
      </c>
      <c r="U1955" s="195">
        <f t="shared" si="247"/>
        <v>0</v>
      </c>
      <c r="V1955" s="195">
        <f t="shared" si="248"/>
        <v>0</v>
      </c>
      <c r="W1955" s="196" t="e">
        <f t="shared" si="249"/>
        <v>#DIV/0!</v>
      </c>
      <c r="X1955" s="197" t="e">
        <f t="shared" si="250"/>
        <v>#DIV/0!</v>
      </c>
    </row>
    <row r="1956" ht="11.4" hidden="1" customHeight="1" spans="1:24">
      <c r="A1956" s="184" t="s">
        <v>3197</v>
      </c>
      <c r="B1956" s="184" t="s">
        <v>109</v>
      </c>
      <c r="C1956" s="184" t="s">
        <v>1101</v>
      </c>
      <c r="D1956" s="185" t="s">
        <v>704</v>
      </c>
      <c r="E1956" s="186" t="s">
        <v>906</v>
      </c>
      <c r="F1956" s="186" t="s">
        <v>907</v>
      </c>
      <c r="G1956" s="186" t="s">
        <v>1102</v>
      </c>
      <c r="H1956" s="186" t="s">
        <v>1741</v>
      </c>
      <c r="I1956" s="187" t="s">
        <v>1117</v>
      </c>
      <c r="J1956" s="187" t="s">
        <v>1118</v>
      </c>
      <c r="K1956" s="188"/>
      <c r="L1956" s="188"/>
      <c r="M1956" s="189" t="s">
        <v>847</v>
      </c>
      <c r="N1956" s="190">
        <v>187.98</v>
      </c>
      <c r="O1956" s="190">
        <f t="shared" si="243"/>
        <v>204.9</v>
      </c>
      <c r="P1956" s="191">
        <f t="shared" si="244"/>
        <v>0</v>
      </c>
      <c r="Q1956" s="192">
        <f t="shared" si="245"/>
        <v>0</v>
      </c>
      <c r="R1956" s="193"/>
      <c r="S1956" s="194"/>
      <c r="T1956" s="195">
        <f t="shared" si="246"/>
        <v>0</v>
      </c>
      <c r="U1956" s="195">
        <f t="shared" si="247"/>
        <v>0</v>
      </c>
      <c r="V1956" s="195">
        <f t="shared" si="248"/>
        <v>0</v>
      </c>
      <c r="W1956" s="196" t="e">
        <f t="shared" si="249"/>
        <v>#DIV/0!</v>
      </c>
      <c r="X1956" s="197" t="e">
        <f t="shared" si="250"/>
        <v>#DIV/0!</v>
      </c>
    </row>
    <row r="1957" ht="11.4" hidden="1" customHeight="1" spans="1:24">
      <c r="A1957" s="184" t="s">
        <v>3197</v>
      </c>
      <c r="B1957" s="184" t="s">
        <v>109</v>
      </c>
      <c r="C1957" s="184" t="s">
        <v>1101</v>
      </c>
      <c r="D1957" s="185" t="s">
        <v>704</v>
      </c>
      <c r="E1957" s="186" t="s">
        <v>906</v>
      </c>
      <c r="F1957" s="186" t="s">
        <v>907</v>
      </c>
      <c r="G1957" s="186" t="s">
        <v>1102</v>
      </c>
      <c r="H1957" s="186" t="s">
        <v>1741</v>
      </c>
      <c r="I1957" s="187" t="s">
        <v>1119</v>
      </c>
      <c r="J1957" s="187" t="s">
        <v>1120</v>
      </c>
      <c r="K1957" s="188"/>
      <c r="L1957" s="188"/>
      <c r="M1957" s="189" t="s">
        <v>847</v>
      </c>
      <c r="N1957" s="190">
        <v>171.66</v>
      </c>
      <c r="O1957" s="190">
        <f t="shared" si="243"/>
        <v>187.11</v>
      </c>
      <c r="P1957" s="191">
        <f t="shared" si="244"/>
        <v>0</v>
      </c>
      <c r="Q1957" s="192">
        <f t="shared" si="245"/>
        <v>0</v>
      </c>
      <c r="R1957" s="193"/>
      <c r="S1957" s="194"/>
      <c r="T1957" s="195">
        <f t="shared" si="246"/>
        <v>0</v>
      </c>
      <c r="U1957" s="195">
        <f t="shared" si="247"/>
        <v>0</v>
      </c>
      <c r="V1957" s="195">
        <f t="shared" si="248"/>
        <v>0</v>
      </c>
      <c r="W1957" s="196" t="e">
        <f t="shared" si="249"/>
        <v>#DIV/0!</v>
      </c>
      <c r="X1957" s="197" t="e">
        <f t="shared" si="250"/>
        <v>#DIV/0!</v>
      </c>
    </row>
    <row r="1958" ht="11.4" hidden="1" customHeight="1" spans="1:24">
      <c r="A1958" s="184" t="s">
        <v>3197</v>
      </c>
      <c r="B1958" s="184" t="s">
        <v>109</v>
      </c>
      <c r="C1958" s="184" t="s">
        <v>1101</v>
      </c>
      <c r="D1958" s="185" t="s">
        <v>704</v>
      </c>
      <c r="E1958" s="186" t="s">
        <v>906</v>
      </c>
      <c r="F1958" s="186" t="s">
        <v>907</v>
      </c>
      <c r="G1958" s="186" t="s">
        <v>1102</v>
      </c>
      <c r="H1958" s="186" t="s">
        <v>1741</v>
      </c>
      <c r="I1958" s="187" t="s">
        <v>1121</v>
      </c>
      <c r="J1958" s="187" t="s">
        <v>1122</v>
      </c>
      <c r="K1958" s="188"/>
      <c r="L1958" s="188"/>
      <c r="M1958" s="189" t="s">
        <v>847</v>
      </c>
      <c r="N1958" s="190">
        <v>189.15</v>
      </c>
      <c r="O1958" s="190">
        <f t="shared" si="243"/>
        <v>206.17</v>
      </c>
      <c r="P1958" s="191">
        <f t="shared" si="244"/>
        <v>0</v>
      </c>
      <c r="Q1958" s="192">
        <f t="shared" si="245"/>
        <v>0</v>
      </c>
      <c r="R1958" s="193"/>
      <c r="S1958" s="194"/>
      <c r="T1958" s="195">
        <f t="shared" si="246"/>
        <v>0</v>
      </c>
      <c r="U1958" s="195">
        <f t="shared" si="247"/>
        <v>0</v>
      </c>
      <c r="V1958" s="195">
        <f t="shared" si="248"/>
        <v>0</v>
      </c>
      <c r="W1958" s="196" t="e">
        <f t="shared" si="249"/>
        <v>#DIV/0!</v>
      </c>
      <c r="X1958" s="197" t="e">
        <f t="shared" si="250"/>
        <v>#DIV/0!</v>
      </c>
    </row>
    <row r="1959" ht="11.4" hidden="1" customHeight="1" spans="1:24">
      <c r="A1959" s="184" t="s">
        <v>3197</v>
      </c>
      <c r="B1959" s="184" t="s">
        <v>109</v>
      </c>
      <c r="C1959" s="184" t="s">
        <v>1101</v>
      </c>
      <c r="D1959" s="185" t="s">
        <v>704</v>
      </c>
      <c r="E1959" s="186" t="s">
        <v>906</v>
      </c>
      <c r="F1959" s="186" t="s">
        <v>907</v>
      </c>
      <c r="G1959" s="186" t="s">
        <v>1102</v>
      </c>
      <c r="H1959" s="186" t="s">
        <v>1741</v>
      </c>
      <c r="I1959" s="187" t="s">
        <v>1123</v>
      </c>
      <c r="J1959" s="187" t="s">
        <v>1124</v>
      </c>
      <c r="K1959" s="188"/>
      <c r="L1959" s="188"/>
      <c r="M1959" s="189" t="s">
        <v>807</v>
      </c>
      <c r="N1959" s="190">
        <v>41.36</v>
      </c>
      <c r="O1959" s="190">
        <f t="shared" si="243"/>
        <v>45.08</v>
      </c>
      <c r="P1959" s="191">
        <f t="shared" si="244"/>
        <v>0</v>
      </c>
      <c r="Q1959" s="192">
        <f t="shared" si="245"/>
        <v>0</v>
      </c>
      <c r="R1959" s="193"/>
      <c r="S1959" s="194"/>
      <c r="T1959" s="195">
        <f t="shared" si="246"/>
        <v>0</v>
      </c>
      <c r="U1959" s="195">
        <f t="shared" si="247"/>
        <v>0</v>
      </c>
      <c r="V1959" s="195">
        <f t="shared" si="248"/>
        <v>0</v>
      </c>
      <c r="W1959" s="196" t="e">
        <f t="shared" si="249"/>
        <v>#DIV/0!</v>
      </c>
      <c r="X1959" s="197" t="e">
        <f t="shared" si="250"/>
        <v>#DIV/0!</v>
      </c>
    </row>
    <row r="1960" ht="11.4" hidden="1" customHeight="1" spans="1:24">
      <c r="A1960" s="184" t="s">
        <v>3197</v>
      </c>
      <c r="B1960" s="184" t="s">
        <v>109</v>
      </c>
      <c r="C1960" s="184" t="s">
        <v>1101</v>
      </c>
      <c r="D1960" s="185" t="s">
        <v>704</v>
      </c>
      <c r="E1960" s="186" t="s">
        <v>906</v>
      </c>
      <c r="F1960" s="186" t="s">
        <v>907</v>
      </c>
      <c r="G1960" s="186" t="s">
        <v>1102</v>
      </c>
      <c r="H1960" s="186" t="s">
        <v>1741</v>
      </c>
      <c r="I1960" s="187" t="s">
        <v>1125</v>
      </c>
      <c r="J1960" s="187" t="s">
        <v>1126</v>
      </c>
      <c r="K1960" s="188"/>
      <c r="L1960" s="188"/>
      <c r="M1960" s="189" t="s">
        <v>807</v>
      </c>
      <c r="N1960" s="190">
        <v>38.94</v>
      </c>
      <c r="O1960" s="190">
        <f t="shared" si="243"/>
        <v>42.44</v>
      </c>
      <c r="P1960" s="191">
        <f t="shared" si="244"/>
        <v>0</v>
      </c>
      <c r="Q1960" s="192">
        <f t="shared" si="245"/>
        <v>0</v>
      </c>
      <c r="R1960" s="193"/>
      <c r="S1960" s="194"/>
      <c r="T1960" s="195">
        <f t="shared" si="246"/>
        <v>0</v>
      </c>
      <c r="U1960" s="195">
        <f t="shared" si="247"/>
        <v>0</v>
      </c>
      <c r="V1960" s="195">
        <f t="shared" si="248"/>
        <v>0</v>
      </c>
      <c r="W1960" s="196" t="e">
        <f t="shared" si="249"/>
        <v>#DIV/0!</v>
      </c>
      <c r="X1960" s="197" t="e">
        <f t="shared" si="250"/>
        <v>#DIV/0!</v>
      </c>
    </row>
    <row r="1961" ht="11.4" hidden="1" customHeight="1" spans="1:24">
      <c r="A1961" s="184" t="s">
        <v>3197</v>
      </c>
      <c r="B1961" s="184" t="s">
        <v>109</v>
      </c>
      <c r="C1961" s="184" t="s">
        <v>1101</v>
      </c>
      <c r="D1961" s="185" t="s">
        <v>704</v>
      </c>
      <c r="E1961" s="186" t="s">
        <v>906</v>
      </c>
      <c r="F1961" s="186" t="s">
        <v>907</v>
      </c>
      <c r="G1961" s="186" t="s">
        <v>1102</v>
      </c>
      <c r="H1961" s="186" t="s">
        <v>1741</v>
      </c>
      <c r="I1961" s="187" t="s">
        <v>1127</v>
      </c>
      <c r="J1961" s="187" t="s">
        <v>1128</v>
      </c>
      <c r="K1961" s="188"/>
      <c r="L1961" s="188"/>
      <c r="M1961" s="189" t="s">
        <v>807</v>
      </c>
      <c r="N1961" s="190">
        <v>40.15</v>
      </c>
      <c r="O1961" s="190">
        <f t="shared" si="243"/>
        <v>43.76</v>
      </c>
      <c r="P1961" s="191">
        <f t="shared" si="244"/>
        <v>0</v>
      </c>
      <c r="Q1961" s="192">
        <f t="shared" si="245"/>
        <v>0</v>
      </c>
      <c r="R1961" s="193"/>
      <c r="S1961" s="194"/>
      <c r="T1961" s="195">
        <f t="shared" si="246"/>
        <v>0</v>
      </c>
      <c r="U1961" s="195">
        <f t="shared" si="247"/>
        <v>0</v>
      </c>
      <c r="V1961" s="195">
        <f t="shared" si="248"/>
        <v>0</v>
      </c>
      <c r="W1961" s="196" t="e">
        <f t="shared" si="249"/>
        <v>#DIV/0!</v>
      </c>
      <c r="X1961" s="197" t="e">
        <f t="shared" si="250"/>
        <v>#DIV/0!</v>
      </c>
    </row>
    <row r="1962" ht="11.4" hidden="1" customHeight="1" spans="1:24">
      <c r="A1962" s="184" t="s">
        <v>3197</v>
      </c>
      <c r="B1962" s="184" t="s">
        <v>109</v>
      </c>
      <c r="C1962" s="184" t="s">
        <v>1101</v>
      </c>
      <c r="D1962" s="185" t="s">
        <v>704</v>
      </c>
      <c r="E1962" s="186" t="s">
        <v>906</v>
      </c>
      <c r="F1962" s="186" t="s">
        <v>907</v>
      </c>
      <c r="G1962" s="186" t="s">
        <v>1102</v>
      </c>
      <c r="H1962" s="186" t="s">
        <v>1741</v>
      </c>
      <c r="I1962" s="187" t="s">
        <v>1141</v>
      </c>
      <c r="J1962" s="187" t="s">
        <v>1142</v>
      </c>
      <c r="K1962" s="188"/>
      <c r="L1962" s="188"/>
      <c r="M1962" s="189" t="s">
        <v>847</v>
      </c>
      <c r="N1962" s="190">
        <v>196.14</v>
      </c>
      <c r="O1962" s="190">
        <f t="shared" si="243"/>
        <v>213.79</v>
      </c>
      <c r="P1962" s="191">
        <f t="shared" si="244"/>
        <v>0</v>
      </c>
      <c r="Q1962" s="192">
        <f t="shared" si="245"/>
        <v>0</v>
      </c>
      <c r="R1962" s="193"/>
      <c r="S1962" s="194"/>
      <c r="T1962" s="195">
        <f t="shared" si="246"/>
        <v>0</v>
      </c>
      <c r="U1962" s="195">
        <f t="shared" si="247"/>
        <v>0</v>
      </c>
      <c r="V1962" s="195">
        <f t="shared" si="248"/>
        <v>0</v>
      </c>
      <c r="W1962" s="196" t="e">
        <f t="shared" si="249"/>
        <v>#DIV/0!</v>
      </c>
      <c r="X1962" s="197" t="e">
        <f t="shared" si="250"/>
        <v>#DIV/0!</v>
      </c>
    </row>
    <row r="1963" ht="11.4" hidden="1" customHeight="1" spans="1:24">
      <c r="A1963" s="184" t="s">
        <v>3197</v>
      </c>
      <c r="B1963" s="184" t="s">
        <v>109</v>
      </c>
      <c r="C1963" s="184" t="s">
        <v>1101</v>
      </c>
      <c r="D1963" s="185" t="s">
        <v>704</v>
      </c>
      <c r="E1963" s="186" t="s">
        <v>906</v>
      </c>
      <c r="F1963" s="186" t="s">
        <v>907</v>
      </c>
      <c r="G1963" s="186" t="s">
        <v>1102</v>
      </c>
      <c r="H1963" s="186" t="s">
        <v>1741</v>
      </c>
      <c r="I1963" s="187" t="s">
        <v>1143</v>
      </c>
      <c r="J1963" s="187" t="s">
        <v>1144</v>
      </c>
      <c r="K1963" s="188"/>
      <c r="L1963" s="188"/>
      <c r="M1963" s="189" t="s">
        <v>807</v>
      </c>
      <c r="N1963" s="190">
        <v>41.47</v>
      </c>
      <c r="O1963" s="190">
        <f t="shared" si="243"/>
        <v>45.2</v>
      </c>
      <c r="P1963" s="191">
        <f t="shared" si="244"/>
        <v>0</v>
      </c>
      <c r="Q1963" s="192">
        <f t="shared" si="245"/>
        <v>0</v>
      </c>
      <c r="R1963" s="193"/>
      <c r="S1963" s="194"/>
      <c r="T1963" s="195">
        <f t="shared" si="246"/>
        <v>0</v>
      </c>
      <c r="U1963" s="195">
        <f t="shared" si="247"/>
        <v>0</v>
      </c>
      <c r="V1963" s="195">
        <f t="shared" si="248"/>
        <v>0</v>
      </c>
      <c r="W1963" s="196" t="e">
        <f t="shared" si="249"/>
        <v>#DIV/0!</v>
      </c>
      <c r="X1963" s="197" t="e">
        <f t="shared" si="250"/>
        <v>#DIV/0!</v>
      </c>
    </row>
    <row r="1964" ht="11.4" hidden="1" customHeight="1" spans="1:24">
      <c r="A1964" s="184" t="s">
        <v>3197</v>
      </c>
      <c r="B1964" s="184" t="s">
        <v>109</v>
      </c>
      <c r="C1964" s="184" t="s">
        <v>1101</v>
      </c>
      <c r="D1964" s="185" t="s">
        <v>704</v>
      </c>
      <c r="E1964" s="186" t="s">
        <v>906</v>
      </c>
      <c r="F1964" s="186" t="s">
        <v>907</v>
      </c>
      <c r="G1964" s="186" t="s">
        <v>1102</v>
      </c>
      <c r="H1964" s="186" t="s">
        <v>1741</v>
      </c>
      <c r="I1964" s="187" t="s">
        <v>1145</v>
      </c>
      <c r="J1964" s="187" t="s">
        <v>1146</v>
      </c>
      <c r="K1964" s="188"/>
      <c r="L1964" s="188"/>
      <c r="M1964" s="189" t="s">
        <v>847</v>
      </c>
      <c r="N1964" s="190">
        <v>179.82</v>
      </c>
      <c r="O1964" s="190">
        <f t="shared" si="243"/>
        <v>196</v>
      </c>
      <c r="P1964" s="191">
        <f t="shared" si="244"/>
        <v>0</v>
      </c>
      <c r="Q1964" s="192">
        <f t="shared" si="245"/>
        <v>0</v>
      </c>
      <c r="R1964" s="193"/>
      <c r="S1964" s="194"/>
      <c r="T1964" s="195">
        <f t="shared" si="246"/>
        <v>0</v>
      </c>
      <c r="U1964" s="195">
        <f t="shared" si="247"/>
        <v>0</v>
      </c>
      <c r="V1964" s="195">
        <f t="shared" si="248"/>
        <v>0</v>
      </c>
      <c r="W1964" s="196" t="e">
        <f t="shared" si="249"/>
        <v>#DIV/0!</v>
      </c>
      <c r="X1964" s="197" t="e">
        <f t="shared" si="250"/>
        <v>#DIV/0!</v>
      </c>
    </row>
    <row r="1965" ht="11.4" hidden="1" customHeight="1" spans="1:24">
      <c r="A1965" s="184" t="s">
        <v>3197</v>
      </c>
      <c r="B1965" s="184" t="s">
        <v>109</v>
      </c>
      <c r="C1965" s="184" t="s">
        <v>1101</v>
      </c>
      <c r="D1965" s="185" t="s">
        <v>704</v>
      </c>
      <c r="E1965" s="186" t="s">
        <v>906</v>
      </c>
      <c r="F1965" s="186" t="s">
        <v>907</v>
      </c>
      <c r="G1965" s="186" t="s">
        <v>1102</v>
      </c>
      <c r="H1965" s="186" t="s">
        <v>1741</v>
      </c>
      <c r="I1965" s="187" t="s">
        <v>1147</v>
      </c>
      <c r="J1965" s="187" t="s">
        <v>1148</v>
      </c>
      <c r="K1965" s="188"/>
      <c r="L1965" s="188"/>
      <c r="M1965" s="189" t="s">
        <v>807</v>
      </c>
      <c r="N1965" s="190">
        <v>37.84</v>
      </c>
      <c r="O1965" s="190">
        <f t="shared" si="243"/>
        <v>41.25</v>
      </c>
      <c r="P1965" s="191">
        <f t="shared" si="244"/>
        <v>0</v>
      </c>
      <c r="Q1965" s="192">
        <f t="shared" si="245"/>
        <v>0</v>
      </c>
      <c r="R1965" s="193"/>
      <c r="S1965" s="194"/>
      <c r="T1965" s="195">
        <f t="shared" si="246"/>
        <v>0</v>
      </c>
      <c r="U1965" s="195">
        <f t="shared" si="247"/>
        <v>0</v>
      </c>
      <c r="V1965" s="195">
        <f t="shared" si="248"/>
        <v>0</v>
      </c>
      <c r="W1965" s="196" t="e">
        <f t="shared" si="249"/>
        <v>#DIV/0!</v>
      </c>
      <c r="X1965" s="197" t="e">
        <f t="shared" si="250"/>
        <v>#DIV/0!</v>
      </c>
    </row>
    <row r="1966" ht="11.4" hidden="1" customHeight="1" spans="1:24">
      <c r="A1966" s="184" t="s">
        <v>3197</v>
      </c>
      <c r="B1966" s="184" t="s">
        <v>109</v>
      </c>
      <c r="C1966" s="184" t="s">
        <v>1101</v>
      </c>
      <c r="D1966" s="185" t="s">
        <v>704</v>
      </c>
      <c r="E1966" s="186" t="s">
        <v>906</v>
      </c>
      <c r="F1966" s="186" t="s">
        <v>907</v>
      </c>
      <c r="G1966" s="186" t="s">
        <v>1102</v>
      </c>
      <c r="H1966" s="186" t="s">
        <v>1741</v>
      </c>
      <c r="I1966" s="187" t="s">
        <v>1149</v>
      </c>
      <c r="J1966" s="187" t="s">
        <v>1150</v>
      </c>
      <c r="K1966" s="188"/>
      <c r="L1966" s="188"/>
      <c r="M1966" s="189" t="s">
        <v>847</v>
      </c>
      <c r="N1966" s="190">
        <v>193.81</v>
      </c>
      <c r="O1966" s="190">
        <f t="shared" si="243"/>
        <v>211.25</v>
      </c>
      <c r="P1966" s="191">
        <f t="shared" si="244"/>
        <v>0</v>
      </c>
      <c r="Q1966" s="192">
        <f t="shared" si="245"/>
        <v>0</v>
      </c>
      <c r="R1966" s="193"/>
      <c r="S1966" s="194"/>
      <c r="T1966" s="195">
        <f t="shared" si="246"/>
        <v>0</v>
      </c>
      <c r="U1966" s="195">
        <f t="shared" si="247"/>
        <v>0</v>
      </c>
      <c r="V1966" s="195">
        <f t="shared" si="248"/>
        <v>0</v>
      </c>
      <c r="W1966" s="196" t="e">
        <f t="shared" si="249"/>
        <v>#DIV/0!</v>
      </c>
      <c r="X1966" s="197" t="e">
        <f t="shared" si="250"/>
        <v>#DIV/0!</v>
      </c>
    </row>
    <row r="1967" ht="11.4" hidden="1" customHeight="1" spans="1:24">
      <c r="A1967" s="184" t="s">
        <v>3197</v>
      </c>
      <c r="B1967" s="184" t="s">
        <v>109</v>
      </c>
      <c r="C1967" s="184" t="s">
        <v>1101</v>
      </c>
      <c r="D1967" s="185" t="s">
        <v>704</v>
      </c>
      <c r="E1967" s="186" t="s">
        <v>906</v>
      </c>
      <c r="F1967" s="186" t="s">
        <v>907</v>
      </c>
      <c r="G1967" s="186" t="s">
        <v>1102</v>
      </c>
      <c r="H1967" s="186" t="s">
        <v>1741</v>
      </c>
      <c r="I1967" s="187" t="s">
        <v>1151</v>
      </c>
      <c r="J1967" s="187" t="s">
        <v>1152</v>
      </c>
      <c r="K1967" s="188"/>
      <c r="L1967" s="188"/>
      <c r="M1967" s="189" t="s">
        <v>807</v>
      </c>
      <c r="N1967" s="190">
        <v>39.05</v>
      </c>
      <c r="O1967" s="190">
        <f t="shared" si="243"/>
        <v>42.56</v>
      </c>
      <c r="P1967" s="191">
        <f t="shared" si="244"/>
        <v>0</v>
      </c>
      <c r="Q1967" s="192">
        <f t="shared" si="245"/>
        <v>0</v>
      </c>
      <c r="R1967" s="193"/>
      <c r="S1967" s="194"/>
      <c r="T1967" s="195">
        <f t="shared" si="246"/>
        <v>0</v>
      </c>
      <c r="U1967" s="195">
        <f t="shared" si="247"/>
        <v>0</v>
      </c>
      <c r="V1967" s="195">
        <f t="shared" si="248"/>
        <v>0</v>
      </c>
      <c r="W1967" s="196" t="e">
        <f t="shared" si="249"/>
        <v>#DIV/0!</v>
      </c>
      <c r="X1967" s="197" t="e">
        <f t="shared" si="250"/>
        <v>#DIV/0!</v>
      </c>
    </row>
    <row r="1968" ht="11.4" hidden="1" customHeight="1" spans="1:24">
      <c r="A1968" s="184" t="s">
        <v>3197</v>
      </c>
      <c r="B1968" s="184" t="s">
        <v>109</v>
      </c>
      <c r="C1968" s="184" t="s">
        <v>1101</v>
      </c>
      <c r="D1968" s="185" t="s">
        <v>704</v>
      </c>
      <c r="E1968" s="186" t="s">
        <v>906</v>
      </c>
      <c r="F1968" s="186" t="s">
        <v>907</v>
      </c>
      <c r="G1968" s="186" t="s">
        <v>1102</v>
      </c>
      <c r="H1968" s="186" t="s">
        <v>1741</v>
      </c>
      <c r="I1968" s="187" t="s">
        <v>1743</v>
      </c>
      <c r="J1968" s="187" t="s">
        <v>1744</v>
      </c>
      <c r="K1968" s="188"/>
      <c r="L1968" s="188"/>
      <c r="M1968" s="189" t="s">
        <v>847</v>
      </c>
      <c r="N1968" s="190">
        <v>46.31</v>
      </c>
      <c r="O1968" s="190">
        <f t="shared" si="243"/>
        <v>50.48</v>
      </c>
      <c r="P1968" s="191">
        <f t="shared" si="244"/>
        <v>0</v>
      </c>
      <c r="Q1968" s="192">
        <f t="shared" si="245"/>
        <v>0</v>
      </c>
      <c r="R1968" s="193"/>
      <c r="S1968" s="194"/>
      <c r="T1968" s="195">
        <f t="shared" si="246"/>
        <v>0</v>
      </c>
      <c r="U1968" s="195">
        <f t="shared" si="247"/>
        <v>0</v>
      </c>
      <c r="V1968" s="195">
        <f t="shared" si="248"/>
        <v>0</v>
      </c>
      <c r="W1968" s="196" t="e">
        <f t="shared" si="249"/>
        <v>#DIV/0!</v>
      </c>
      <c r="X1968" s="197" t="e">
        <f t="shared" si="250"/>
        <v>#DIV/0!</v>
      </c>
    </row>
    <row r="1969" ht="11.4" hidden="1" customHeight="1" spans="1:24">
      <c r="A1969" s="184" t="s">
        <v>3197</v>
      </c>
      <c r="B1969" s="184" t="s">
        <v>109</v>
      </c>
      <c r="C1969" s="184" t="s">
        <v>1101</v>
      </c>
      <c r="D1969" s="185" t="s">
        <v>704</v>
      </c>
      <c r="E1969" s="186" t="s">
        <v>906</v>
      </c>
      <c r="F1969" s="186" t="s">
        <v>907</v>
      </c>
      <c r="G1969" s="186" t="s">
        <v>1102</v>
      </c>
      <c r="H1969" s="186" t="s">
        <v>1479</v>
      </c>
      <c r="I1969" s="187" t="s">
        <v>1745</v>
      </c>
      <c r="J1969" s="187" t="s">
        <v>1746</v>
      </c>
      <c r="K1969" s="188"/>
      <c r="L1969" s="188"/>
      <c r="M1969" s="189" t="s">
        <v>847</v>
      </c>
      <c r="N1969" s="190">
        <v>118.11</v>
      </c>
      <c r="O1969" s="190">
        <f t="shared" si="243"/>
        <v>128.74</v>
      </c>
      <c r="P1969" s="191">
        <f t="shared" si="244"/>
        <v>0</v>
      </c>
      <c r="Q1969" s="192">
        <f t="shared" si="245"/>
        <v>0</v>
      </c>
      <c r="R1969" s="193"/>
      <c r="S1969" s="194"/>
      <c r="T1969" s="195">
        <f t="shared" si="246"/>
        <v>0</v>
      </c>
      <c r="U1969" s="195">
        <f t="shared" si="247"/>
        <v>0</v>
      </c>
      <c r="V1969" s="195">
        <f t="shared" si="248"/>
        <v>0</v>
      </c>
      <c r="W1969" s="196" t="e">
        <f t="shared" si="249"/>
        <v>#DIV/0!</v>
      </c>
      <c r="X1969" s="197" t="e">
        <f t="shared" si="250"/>
        <v>#DIV/0!</v>
      </c>
    </row>
    <row r="1970" ht="11.4" hidden="1" customHeight="1" spans="1:24">
      <c r="A1970" s="184" t="s">
        <v>3197</v>
      </c>
      <c r="B1970" s="184" t="s">
        <v>109</v>
      </c>
      <c r="C1970" s="184" t="s">
        <v>1101</v>
      </c>
      <c r="D1970" s="185" t="s">
        <v>704</v>
      </c>
      <c r="E1970" s="186" t="s">
        <v>906</v>
      </c>
      <c r="F1970" s="186" t="s">
        <v>907</v>
      </c>
      <c r="G1970" s="186" t="s">
        <v>1102</v>
      </c>
      <c r="H1970" s="186" t="s">
        <v>1479</v>
      </c>
      <c r="I1970" s="187" t="s">
        <v>1747</v>
      </c>
      <c r="J1970" s="187" t="s">
        <v>1748</v>
      </c>
      <c r="K1970" s="188"/>
      <c r="L1970" s="188"/>
      <c r="M1970" s="189" t="s">
        <v>847</v>
      </c>
      <c r="N1970" s="190">
        <v>113.49</v>
      </c>
      <c r="O1970" s="190">
        <f t="shared" si="243"/>
        <v>123.7</v>
      </c>
      <c r="P1970" s="191">
        <f t="shared" si="244"/>
        <v>0</v>
      </c>
      <c r="Q1970" s="192">
        <f t="shared" si="245"/>
        <v>0</v>
      </c>
      <c r="R1970" s="193"/>
      <c r="S1970" s="194"/>
      <c r="T1970" s="195">
        <f t="shared" si="246"/>
        <v>0</v>
      </c>
      <c r="U1970" s="195">
        <f t="shared" si="247"/>
        <v>0</v>
      </c>
      <c r="V1970" s="195">
        <f t="shared" si="248"/>
        <v>0</v>
      </c>
      <c r="W1970" s="196" t="e">
        <f t="shared" si="249"/>
        <v>#DIV/0!</v>
      </c>
      <c r="X1970" s="197" t="e">
        <f t="shared" si="250"/>
        <v>#DIV/0!</v>
      </c>
    </row>
    <row r="1971" ht="11.4" hidden="1" customHeight="1" spans="1:24">
      <c r="A1971" s="184" t="s">
        <v>3197</v>
      </c>
      <c r="B1971" s="184" t="s">
        <v>109</v>
      </c>
      <c r="C1971" s="184" t="s">
        <v>1101</v>
      </c>
      <c r="D1971" s="185" t="s">
        <v>704</v>
      </c>
      <c r="E1971" s="186" t="s">
        <v>906</v>
      </c>
      <c r="F1971" s="186" t="s">
        <v>907</v>
      </c>
      <c r="G1971" s="186" t="s">
        <v>1102</v>
      </c>
      <c r="H1971" s="186" t="s">
        <v>1479</v>
      </c>
      <c r="I1971" s="187" t="s">
        <v>1749</v>
      </c>
      <c r="J1971" s="187" t="s">
        <v>1750</v>
      </c>
      <c r="K1971" s="188"/>
      <c r="L1971" s="188"/>
      <c r="M1971" s="189" t="s">
        <v>847</v>
      </c>
      <c r="N1971" s="190">
        <v>118.11</v>
      </c>
      <c r="O1971" s="190">
        <f t="shared" si="243"/>
        <v>128.74</v>
      </c>
      <c r="P1971" s="191">
        <f t="shared" si="244"/>
        <v>0</v>
      </c>
      <c r="Q1971" s="192">
        <f t="shared" si="245"/>
        <v>0</v>
      </c>
      <c r="R1971" s="193"/>
      <c r="S1971" s="194"/>
      <c r="T1971" s="195">
        <f t="shared" si="246"/>
        <v>0</v>
      </c>
      <c r="U1971" s="195">
        <f t="shared" si="247"/>
        <v>0</v>
      </c>
      <c r="V1971" s="195">
        <f t="shared" si="248"/>
        <v>0</v>
      </c>
      <c r="W1971" s="196" t="e">
        <f t="shared" si="249"/>
        <v>#DIV/0!</v>
      </c>
      <c r="X1971" s="197" t="e">
        <f t="shared" si="250"/>
        <v>#DIV/0!</v>
      </c>
    </row>
    <row r="1972" ht="11.4" hidden="1" customHeight="1" spans="1:24">
      <c r="A1972" s="184" t="s">
        <v>3197</v>
      </c>
      <c r="B1972" s="184" t="s">
        <v>109</v>
      </c>
      <c r="C1972" s="184" t="s">
        <v>1101</v>
      </c>
      <c r="D1972" s="185" t="s">
        <v>704</v>
      </c>
      <c r="E1972" s="186" t="s">
        <v>906</v>
      </c>
      <c r="F1972" s="186" t="s">
        <v>907</v>
      </c>
      <c r="G1972" s="186" t="s">
        <v>1102</v>
      </c>
      <c r="H1972" s="186" t="s">
        <v>1479</v>
      </c>
      <c r="I1972" s="187" t="s">
        <v>1751</v>
      </c>
      <c r="J1972" s="187" t="s">
        <v>1752</v>
      </c>
      <c r="K1972" s="188"/>
      <c r="L1972" s="188"/>
      <c r="M1972" s="189" t="s">
        <v>847</v>
      </c>
      <c r="N1972" s="190">
        <v>467.36</v>
      </c>
      <c r="O1972" s="190">
        <f t="shared" si="243"/>
        <v>509.42</v>
      </c>
      <c r="P1972" s="191">
        <f t="shared" si="244"/>
        <v>0</v>
      </c>
      <c r="Q1972" s="192">
        <f t="shared" si="245"/>
        <v>0</v>
      </c>
      <c r="R1972" s="193"/>
      <c r="S1972" s="194"/>
      <c r="T1972" s="195">
        <f t="shared" si="246"/>
        <v>0</v>
      </c>
      <c r="U1972" s="195">
        <f t="shared" si="247"/>
        <v>0</v>
      </c>
      <c r="V1972" s="195">
        <f t="shared" si="248"/>
        <v>0</v>
      </c>
      <c r="W1972" s="196" t="e">
        <f t="shared" si="249"/>
        <v>#DIV/0!</v>
      </c>
      <c r="X1972" s="197" t="e">
        <f t="shared" si="250"/>
        <v>#DIV/0!</v>
      </c>
    </row>
    <row r="1973" ht="11.4" hidden="1" customHeight="1" spans="1:24">
      <c r="A1973" s="184" t="s">
        <v>3197</v>
      </c>
      <c r="B1973" s="184" t="s">
        <v>109</v>
      </c>
      <c r="C1973" s="184" t="s">
        <v>1101</v>
      </c>
      <c r="D1973" s="185" t="s">
        <v>704</v>
      </c>
      <c r="E1973" s="186" t="s">
        <v>906</v>
      </c>
      <c r="F1973" s="186" t="s">
        <v>907</v>
      </c>
      <c r="G1973" s="186" t="s">
        <v>1102</v>
      </c>
      <c r="H1973" s="186" t="s">
        <v>1479</v>
      </c>
      <c r="I1973" s="187" t="s">
        <v>1753</v>
      </c>
      <c r="J1973" s="187" t="s">
        <v>1754</v>
      </c>
      <c r="K1973" s="188"/>
      <c r="L1973" s="188"/>
      <c r="M1973" s="189" t="s">
        <v>1755</v>
      </c>
      <c r="N1973" s="190">
        <v>184.69</v>
      </c>
      <c r="O1973" s="190">
        <f t="shared" si="243"/>
        <v>201.31</v>
      </c>
      <c r="P1973" s="191">
        <f t="shared" si="244"/>
        <v>0</v>
      </c>
      <c r="Q1973" s="192">
        <f t="shared" si="245"/>
        <v>0</v>
      </c>
      <c r="R1973" s="193"/>
      <c r="S1973" s="194"/>
      <c r="T1973" s="195">
        <f t="shared" si="246"/>
        <v>0</v>
      </c>
      <c r="U1973" s="195">
        <f t="shared" si="247"/>
        <v>0</v>
      </c>
      <c r="V1973" s="195">
        <f t="shared" si="248"/>
        <v>0</v>
      </c>
      <c r="W1973" s="196" t="e">
        <f t="shared" si="249"/>
        <v>#DIV/0!</v>
      </c>
      <c r="X1973" s="197" t="e">
        <f t="shared" si="250"/>
        <v>#DIV/0!</v>
      </c>
    </row>
    <row r="1974" ht="11.4" hidden="1" customHeight="1" spans="1:24">
      <c r="A1974" s="184" t="s">
        <v>3197</v>
      </c>
      <c r="B1974" s="184" t="s">
        <v>109</v>
      </c>
      <c r="C1974" s="184" t="s">
        <v>1101</v>
      </c>
      <c r="D1974" s="185" t="s">
        <v>704</v>
      </c>
      <c r="E1974" s="186" t="s">
        <v>906</v>
      </c>
      <c r="F1974" s="186" t="s">
        <v>907</v>
      </c>
      <c r="G1974" s="186" t="s">
        <v>1102</v>
      </c>
      <c r="H1974" s="186" t="s">
        <v>1479</v>
      </c>
      <c r="I1974" s="187" t="s">
        <v>1756</v>
      </c>
      <c r="J1974" s="187" t="s">
        <v>1757</v>
      </c>
      <c r="K1974" s="188"/>
      <c r="L1974" s="188"/>
      <c r="M1974" s="189" t="s">
        <v>1755</v>
      </c>
      <c r="N1974" s="190">
        <v>374.99</v>
      </c>
      <c r="O1974" s="190">
        <f t="shared" si="243"/>
        <v>408.74</v>
      </c>
      <c r="P1974" s="191">
        <f t="shared" si="244"/>
        <v>0</v>
      </c>
      <c r="Q1974" s="192">
        <f t="shared" si="245"/>
        <v>0</v>
      </c>
      <c r="R1974" s="193"/>
      <c r="S1974" s="194"/>
      <c r="T1974" s="195">
        <f t="shared" si="246"/>
        <v>0</v>
      </c>
      <c r="U1974" s="195">
        <f t="shared" si="247"/>
        <v>0</v>
      </c>
      <c r="V1974" s="195">
        <f t="shared" si="248"/>
        <v>0</v>
      </c>
      <c r="W1974" s="196" t="e">
        <f t="shared" si="249"/>
        <v>#DIV/0!</v>
      </c>
      <c r="X1974" s="197" t="e">
        <f t="shared" si="250"/>
        <v>#DIV/0!</v>
      </c>
    </row>
    <row r="1975" ht="11.4" hidden="1" customHeight="1" spans="1:24">
      <c r="A1975" s="184" t="s">
        <v>3197</v>
      </c>
      <c r="B1975" s="184" t="s">
        <v>109</v>
      </c>
      <c r="C1975" s="184" t="s">
        <v>1101</v>
      </c>
      <c r="D1975" s="185" t="s">
        <v>704</v>
      </c>
      <c r="E1975" s="186" t="s">
        <v>906</v>
      </c>
      <c r="F1975" s="186" t="s">
        <v>907</v>
      </c>
      <c r="G1975" s="186" t="s">
        <v>1102</v>
      </c>
      <c r="H1975" s="186" t="s">
        <v>1479</v>
      </c>
      <c r="I1975" s="187" t="s">
        <v>1758</v>
      </c>
      <c r="J1975" s="187" t="s">
        <v>1759</v>
      </c>
      <c r="K1975" s="188"/>
      <c r="L1975" s="188"/>
      <c r="M1975" s="189" t="s">
        <v>847</v>
      </c>
      <c r="N1975" s="190">
        <v>167.98</v>
      </c>
      <c r="O1975" s="190">
        <f t="shared" si="243"/>
        <v>183.1</v>
      </c>
      <c r="P1975" s="191">
        <f t="shared" si="244"/>
        <v>0</v>
      </c>
      <c r="Q1975" s="192">
        <f t="shared" si="245"/>
        <v>0</v>
      </c>
      <c r="R1975" s="193"/>
      <c r="S1975" s="194"/>
      <c r="T1975" s="195">
        <f t="shared" si="246"/>
        <v>0</v>
      </c>
      <c r="U1975" s="195">
        <f t="shared" si="247"/>
        <v>0</v>
      </c>
      <c r="V1975" s="195">
        <f t="shared" si="248"/>
        <v>0</v>
      </c>
      <c r="W1975" s="196" t="e">
        <f t="shared" si="249"/>
        <v>#DIV/0!</v>
      </c>
      <c r="X1975" s="197" t="e">
        <f t="shared" si="250"/>
        <v>#DIV/0!</v>
      </c>
    </row>
    <row r="1976" ht="11.4" hidden="1" customHeight="1" spans="1:24">
      <c r="A1976" s="184" t="s">
        <v>3197</v>
      </c>
      <c r="B1976" s="184" t="s">
        <v>109</v>
      </c>
      <c r="C1976" s="184" t="s">
        <v>1101</v>
      </c>
      <c r="D1976" s="185" t="s">
        <v>704</v>
      </c>
      <c r="E1976" s="186" t="s">
        <v>906</v>
      </c>
      <c r="F1976" s="186" t="s">
        <v>907</v>
      </c>
      <c r="G1976" s="186" t="s">
        <v>1102</v>
      </c>
      <c r="H1976" s="186" t="s">
        <v>1479</v>
      </c>
      <c r="I1976" s="187" t="s">
        <v>1760</v>
      </c>
      <c r="J1976" s="187" t="s">
        <v>1761</v>
      </c>
      <c r="K1976" s="188"/>
      <c r="L1976" s="188"/>
      <c r="M1976" s="189" t="s">
        <v>847</v>
      </c>
      <c r="N1976" s="190">
        <v>147.41</v>
      </c>
      <c r="O1976" s="190">
        <f t="shared" si="243"/>
        <v>160.68</v>
      </c>
      <c r="P1976" s="191">
        <f t="shared" si="244"/>
        <v>0</v>
      </c>
      <c r="Q1976" s="192">
        <f t="shared" si="245"/>
        <v>0</v>
      </c>
      <c r="R1976" s="193"/>
      <c r="S1976" s="194"/>
      <c r="T1976" s="195">
        <f t="shared" si="246"/>
        <v>0</v>
      </c>
      <c r="U1976" s="195">
        <f t="shared" si="247"/>
        <v>0</v>
      </c>
      <c r="V1976" s="195">
        <f t="shared" si="248"/>
        <v>0</v>
      </c>
      <c r="W1976" s="196" t="e">
        <f t="shared" si="249"/>
        <v>#DIV/0!</v>
      </c>
      <c r="X1976" s="197" t="e">
        <f t="shared" si="250"/>
        <v>#DIV/0!</v>
      </c>
    </row>
    <row r="1977" ht="11.4" hidden="1" customHeight="1" spans="1:24">
      <c r="A1977" s="184" t="s">
        <v>3197</v>
      </c>
      <c r="B1977" s="184" t="s">
        <v>109</v>
      </c>
      <c r="C1977" s="184" t="s">
        <v>1101</v>
      </c>
      <c r="D1977" s="185" t="s">
        <v>704</v>
      </c>
      <c r="E1977" s="186" t="s">
        <v>906</v>
      </c>
      <c r="F1977" s="186" t="s">
        <v>907</v>
      </c>
      <c r="G1977" s="186" t="s">
        <v>1102</v>
      </c>
      <c r="H1977" s="186" t="s">
        <v>1479</v>
      </c>
      <c r="I1977" s="187" t="s">
        <v>1294</v>
      </c>
      <c r="J1977" s="187" t="s">
        <v>1295</v>
      </c>
      <c r="K1977" s="188"/>
      <c r="L1977" s="188"/>
      <c r="M1977" s="189" t="s">
        <v>847</v>
      </c>
      <c r="N1977" s="190">
        <v>169.19</v>
      </c>
      <c r="O1977" s="190">
        <f t="shared" si="243"/>
        <v>184.42</v>
      </c>
      <c r="P1977" s="191">
        <f t="shared" si="244"/>
        <v>0</v>
      </c>
      <c r="Q1977" s="192">
        <f t="shared" si="245"/>
        <v>0</v>
      </c>
      <c r="R1977" s="193"/>
      <c r="S1977" s="194"/>
      <c r="T1977" s="195">
        <f t="shared" si="246"/>
        <v>0</v>
      </c>
      <c r="U1977" s="195">
        <f t="shared" si="247"/>
        <v>0</v>
      </c>
      <c r="V1977" s="195">
        <f t="shared" si="248"/>
        <v>0</v>
      </c>
      <c r="W1977" s="196" t="e">
        <f t="shared" si="249"/>
        <v>#DIV/0!</v>
      </c>
      <c r="X1977" s="197" t="e">
        <f t="shared" si="250"/>
        <v>#DIV/0!</v>
      </c>
    </row>
    <row r="1978" ht="11.4" hidden="1" customHeight="1" spans="1:24">
      <c r="A1978" s="184" t="s">
        <v>3197</v>
      </c>
      <c r="B1978" s="184" t="s">
        <v>109</v>
      </c>
      <c r="C1978" s="184" t="s">
        <v>1101</v>
      </c>
      <c r="D1978" s="185" t="s">
        <v>704</v>
      </c>
      <c r="E1978" s="186" t="s">
        <v>906</v>
      </c>
      <c r="F1978" s="186" t="s">
        <v>907</v>
      </c>
      <c r="G1978" s="186" t="s">
        <v>1102</v>
      </c>
      <c r="H1978" s="186" t="s">
        <v>1479</v>
      </c>
      <c r="I1978" s="187" t="s">
        <v>1314</v>
      </c>
      <c r="J1978" s="187" t="s">
        <v>1315</v>
      </c>
      <c r="K1978" s="188"/>
      <c r="L1978" s="188"/>
      <c r="M1978" s="189" t="s">
        <v>847</v>
      </c>
      <c r="N1978" s="190">
        <v>179.53</v>
      </c>
      <c r="O1978" s="190">
        <f t="shared" si="243"/>
        <v>195.69</v>
      </c>
      <c r="P1978" s="191">
        <f t="shared" si="244"/>
        <v>0</v>
      </c>
      <c r="Q1978" s="192">
        <f t="shared" si="245"/>
        <v>0</v>
      </c>
      <c r="R1978" s="193"/>
      <c r="S1978" s="194"/>
      <c r="T1978" s="195">
        <f t="shared" si="246"/>
        <v>0</v>
      </c>
      <c r="U1978" s="195">
        <f t="shared" si="247"/>
        <v>0</v>
      </c>
      <c r="V1978" s="195">
        <f t="shared" si="248"/>
        <v>0</v>
      </c>
      <c r="W1978" s="196" t="e">
        <f t="shared" si="249"/>
        <v>#DIV/0!</v>
      </c>
      <c r="X1978" s="197" t="e">
        <f t="shared" si="250"/>
        <v>#DIV/0!</v>
      </c>
    </row>
    <row r="1979" ht="11.4" hidden="1" customHeight="1" spans="1:24">
      <c r="A1979" s="184" t="s">
        <v>3197</v>
      </c>
      <c r="B1979" s="184" t="s">
        <v>109</v>
      </c>
      <c r="C1979" s="184" t="s">
        <v>1101</v>
      </c>
      <c r="D1979" s="185" t="s">
        <v>704</v>
      </c>
      <c r="E1979" s="186" t="s">
        <v>906</v>
      </c>
      <c r="F1979" s="186" t="s">
        <v>907</v>
      </c>
      <c r="G1979" s="186" t="s">
        <v>1102</v>
      </c>
      <c r="H1979" s="186" t="s">
        <v>1479</v>
      </c>
      <c r="I1979" s="187" t="s">
        <v>1316</v>
      </c>
      <c r="J1979" s="187" t="s">
        <v>1317</v>
      </c>
      <c r="K1979" s="188"/>
      <c r="L1979" s="188"/>
      <c r="M1979" s="189" t="s">
        <v>847</v>
      </c>
      <c r="N1979" s="190">
        <v>168.64</v>
      </c>
      <c r="O1979" s="190">
        <f t="shared" si="243"/>
        <v>183.82</v>
      </c>
      <c r="P1979" s="191">
        <f t="shared" si="244"/>
        <v>0</v>
      </c>
      <c r="Q1979" s="192">
        <f t="shared" si="245"/>
        <v>0</v>
      </c>
      <c r="R1979" s="193"/>
      <c r="S1979" s="194"/>
      <c r="T1979" s="195">
        <f t="shared" si="246"/>
        <v>0</v>
      </c>
      <c r="U1979" s="195">
        <f t="shared" si="247"/>
        <v>0</v>
      </c>
      <c r="V1979" s="195">
        <f t="shared" si="248"/>
        <v>0</v>
      </c>
      <c r="W1979" s="196" t="e">
        <f t="shared" si="249"/>
        <v>#DIV/0!</v>
      </c>
      <c r="X1979" s="197" t="e">
        <f t="shared" si="250"/>
        <v>#DIV/0!</v>
      </c>
    </row>
    <row r="1980" ht="11.4" hidden="1" customHeight="1" spans="1:24">
      <c r="A1980" s="184" t="s">
        <v>3197</v>
      </c>
      <c r="B1980" s="184" t="s">
        <v>109</v>
      </c>
      <c r="C1980" s="184" t="s">
        <v>1101</v>
      </c>
      <c r="D1980" s="185" t="s">
        <v>704</v>
      </c>
      <c r="E1980" s="186" t="s">
        <v>906</v>
      </c>
      <c r="F1980" s="186" t="s">
        <v>907</v>
      </c>
      <c r="G1980" s="186" t="s">
        <v>1102</v>
      </c>
      <c r="H1980" s="186" t="s">
        <v>1479</v>
      </c>
      <c r="I1980" s="187" t="s">
        <v>1318</v>
      </c>
      <c r="J1980" s="187" t="s">
        <v>1319</v>
      </c>
      <c r="K1980" s="188"/>
      <c r="L1980" s="188"/>
      <c r="M1980" s="189" t="s">
        <v>847</v>
      </c>
      <c r="N1980" s="190">
        <v>179.53</v>
      </c>
      <c r="O1980" s="190">
        <f t="shared" si="243"/>
        <v>195.69</v>
      </c>
      <c r="P1980" s="191">
        <f t="shared" si="244"/>
        <v>0</v>
      </c>
      <c r="Q1980" s="192">
        <f t="shared" si="245"/>
        <v>0</v>
      </c>
      <c r="R1980" s="193"/>
      <c r="S1980" s="194"/>
      <c r="T1980" s="195">
        <f t="shared" si="246"/>
        <v>0</v>
      </c>
      <c r="U1980" s="195">
        <f t="shared" si="247"/>
        <v>0</v>
      </c>
      <c r="V1980" s="195">
        <f t="shared" si="248"/>
        <v>0</v>
      </c>
      <c r="W1980" s="196" t="e">
        <f t="shared" si="249"/>
        <v>#DIV/0!</v>
      </c>
      <c r="X1980" s="197" t="e">
        <f t="shared" si="250"/>
        <v>#DIV/0!</v>
      </c>
    </row>
    <row r="1981" ht="11.4" hidden="1" customHeight="1" spans="1:24">
      <c r="A1981" s="184" t="s">
        <v>3197</v>
      </c>
      <c r="B1981" s="184" t="s">
        <v>109</v>
      </c>
      <c r="C1981" s="184" t="s">
        <v>1101</v>
      </c>
      <c r="D1981" s="185" t="s">
        <v>704</v>
      </c>
      <c r="E1981" s="186" t="s">
        <v>906</v>
      </c>
      <c r="F1981" s="186" t="s">
        <v>907</v>
      </c>
      <c r="G1981" s="186" t="s">
        <v>1102</v>
      </c>
      <c r="H1981" s="186" t="s">
        <v>1479</v>
      </c>
      <c r="I1981" s="187" t="s">
        <v>1175</v>
      </c>
      <c r="J1981" s="187" t="s">
        <v>1176</v>
      </c>
      <c r="K1981" s="188"/>
      <c r="L1981" s="188"/>
      <c r="M1981" s="189" t="s">
        <v>847</v>
      </c>
      <c r="N1981" s="190">
        <v>114.06</v>
      </c>
      <c r="O1981" s="190">
        <f t="shared" si="243"/>
        <v>124.33</v>
      </c>
      <c r="P1981" s="191">
        <f t="shared" si="244"/>
        <v>0</v>
      </c>
      <c r="Q1981" s="192">
        <f t="shared" si="245"/>
        <v>0</v>
      </c>
      <c r="R1981" s="193"/>
      <c r="S1981" s="194"/>
      <c r="T1981" s="195">
        <f t="shared" si="246"/>
        <v>0</v>
      </c>
      <c r="U1981" s="195">
        <f t="shared" si="247"/>
        <v>0</v>
      </c>
      <c r="V1981" s="195">
        <f t="shared" si="248"/>
        <v>0</v>
      </c>
      <c r="W1981" s="196" t="e">
        <f t="shared" si="249"/>
        <v>#DIV/0!</v>
      </c>
      <c r="X1981" s="197" t="e">
        <f t="shared" si="250"/>
        <v>#DIV/0!</v>
      </c>
    </row>
    <row r="1982" ht="11.4" hidden="1" customHeight="1" spans="1:24">
      <c r="A1982" s="184" t="s">
        <v>3197</v>
      </c>
      <c r="B1982" s="184" t="s">
        <v>109</v>
      </c>
      <c r="C1982" s="184" t="s">
        <v>1101</v>
      </c>
      <c r="D1982" s="185" t="s">
        <v>704</v>
      </c>
      <c r="E1982" s="186" t="s">
        <v>906</v>
      </c>
      <c r="F1982" s="186" t="s">
        <v>907</v>
      </c>
      <c r="G1982" s="186" t="s">
        <v>1102</v>
      </c>
      <c r="H1982" s="186" t="s">
        <v>1479</v>
      </c>
      <c r="I1982" s="187" t="s">
        <v>1178</v>
      </c>
      <c r="J1982" s="187" t="s">
        <v>1179</v>
      </c>
      <c r="K1982" s="188"/>
      <c r="L1982" s="188"/>
      <c r="M1982" s="189" t="s">
        <v>847</v>
      </c>
      <c r="N1982" s="190">
        <v>197.83</v>
      </c>
      <c r="O1982" s="190">
        <f t="shared" si="243"/>
        <v>215.63</v>
      </c>
      <c r="P1982" s="191">
        <f t="shared" si="244"/>
        <v>0</v>
      </c>
      <c r="Q1982" s="192">
        <f t="shared" si="245"/>
        <v>0</v>
      </c>
      <c r="R1982" s="193"/>
      <c r="S1982" s="194"/>
      <c r="T1982" s="195">
        <f t="shared" si="246"/>
        <v>0</v>
      </c>
      <c r="U1982" s="195">
        <f t="shared" si="247"/>
        <v>0</v>
      </c>
      <c r="V1982" s="195">
        <f t="shared" si="248"/>
        <v>0</v>
      </c>
      <c r="W1982" s="196" t="e">
        <f t="shared" si="249"/>
        <v>#DIV/0!</v>
      </c>
      <c r="X1982" s="197" t="e">
        <f t="shared" si="250"/>
        <v>#DIV/0!</v>
      </c>
    </row>
    <row r="1983" ht="11.4" hidden="1" customHeight="1" spans="1:24">
      <c r="A1983" s="184" t="s">
        <v>3197</v>
      </c>
      <c r="B1983" s="184" t="s">
        <v>109</v>
      </c>
      <c r="C1983" s="184" t="s">
        <v>1101</v>
      </c>
      <c r="D1983" s="185" t="s">
        <v>704</v>
      </c>
      <c r="E1983" s="186" t="s">
        <v>906</v>
      </c>
      <c r="F1983" s="186" t="s">
        <v>907</v>
      </c>
      <c r="G1983" s="186" t="s">
        <v>1102</v>
      </c>
      <c r="H1983" s="186" t="s">
        <v>1479</v>
      </c>
      <c r="I1983" s="187" t="s">
        <v>1181</v>
      </c>
      <c r="J1983" s="187" t="s">
        <v>1182</v>
      </c>
      <c r="K1983" s="188"/>
      <c r="L1983" s="188"/>
      <c r="M1983" s="189" t="s">
        <v>847</v>
      </c>
      <c r="N1983" s="190">
        <v>182.9</v>
      </c>
      <c r="O1983" s="190">
        <f t="shared" si="243"/>
        <v>199.36</v>
      </c>
      <c r="P1983" s="191">
        <f t="shared" si="244"/>
        <v>0</v>
      </c>
      <c r="Q1983" s="192">
        <f t="shared" si="245"/>
        <v>0</v>
      </c>
      <c r="R1983" s="193"/>
      <c r="S1983" s="194"/>
      <c r="T1983" s="195">
        <f t="shared" si="246"/>
        <v>0</v>
      </c>
      <c r="U1983" s="195">
        <f t="shared" si="247"/>
        <v>0</v>
      </c>
      <c r="V1983" s="195">
        <f t="shared" si="248"/>
        <v>0</v>
      </c>
      <c r="W1983" s="196" t="e">
        <f t="shared" si="249"/>
        <v>#DIV/0!</v>
      </c>
      <c r="X1983" s="197" t="e">
        <f t="shared" si="250"/>
        <v>#DIV/0!</v>
      </c>
    </row>
    <row r="1984" ht="11.4" hidden="1" customHeight="1" spans="1:24">
      <c r="A1984" s="184" t="s">
        <v>3197</v>
      </c>
      <c r="B1984" s="184" t="s">
        <v>109</v>
      </c>
      <c r="C1984" s="184" t="s">
        <v>1101</v>
      </c>
      <c r="D1984" s="185" t="s">
        <v>704</v>
      </c>
      <c r="E1984" s="186" t="s">
        <v>906</v>
      </c>
      <c r="F1984" s="186" t="s">
        <v>907</v>
      </c>
      <c r="G1984" s="186" t="s">
        <v>1102</v>
      </c>
      <c r="H1984" s="186" t="s">
        <v>1479</v>
      </c>
      <c r="I1984" s="187" t="s">
        <v>1183</v>
      </c>
      <c r="J1984" s="187" t="s">
        <v>1184</v>
      </c>
      <c r="K1984" s="188"/>
      <c r="L1984" s="188"/>
      <c r="M1984" s="189" t="s">
        <v>847</v>
      </c>
      <c r="N1984" s="190">
        <v>186.66</v>
      </c>
      <c r="O1984" s="190">
        <f t="shared" si="243"/>
        <v>203.46</v>
      </c>
      <c r="P1984" s="191">
        <f t="shared" si="244"/>
        <v>0</v>
      </c>
      <c r="Q1984" s="192">
        <f t="shared" si="245"/>
        <v>0</v>
      </c>
      <c r="R1984" s="193"/>
      <c r="S1984" s="194"/>
      <c r="T1984" s="195">
        <f t="shared" si="246"/>
        <v>0</v>
      </c>
      <c r="U1984" s="195">
        <f t="shared" si="247"/>
        <v>0</v>
      </c>
      <c r="V1984" s="195">
        <f t="shared" si="248"/>
        <v>0</v>
      </c>
      <c r="W1984" s="196" t="e">
        <f t="shared" si="249"/>
        <v>#DIV/0!</v>
      </c>
      <c r="X1984" s="197" t="e">
        <f t="shared" si="250"/>
        <v>#DIV/0!</v>
      </c>
    </row>
    <row r="1985" ht="11.4" hidden="1" customHeight="1" spans="1:24">
      <c r="A1985" s="184" t="s">
        <v>3197</v>
      </c>
      <c r="B1985" s="184" t="s">
        <v>109</v>
      </c>
      <c r="C1985" s="184" t="s">
        <v>1101</v>
      </c>
      <c r="D1985" s="185" t="s">
        <v>704</v>
      </c>
      <c r="E1985" s="186" t="s">
        <v>906</v>
      </c>
      <c r="F1985" s="186" t="s">
        <v>907</v>
      </c>
      <c r="G1985" s="186" t="s">
        <v>1102</v>
      </c>
      <c r="H1985" s="186" t="s">
        <v>1479</v>
      </c>
      <c r="I1985" s="187" t="s">
        <v>1185</v>
      </c>
      <c r="J1985" s="187" t="s">
        <v>1186</v>
      </c>
      <c r="K1985" s="188"/>
      <c r="L1985" s="188"/>
      <c r="M1985" s="189" t="s">
        <v>847</v>
      </c>
      <c r="N1985" s="190">
        <v>174.35</v>
      </c>
      <c r="O1985" s="190">
        <f t="shared" si="243"/>
        <v>190.04</v>
      </c>
      <c r="P1985" s="191">
        <f t="shared" si="244"/>
        <v>0</v>
      </c>
      <c r="Q1985" s="192">
        <f t="shared" si="245"/>
        <v>0</v>
      </c>
      <c r="R1985" s="193"/>
      <c r="S1985" s="194"/>
      <c r="T1985" s="195">
        <f t="shared" si="246"/>
        <v>0</v>
      </c>
      <c r="U1985" s="195">
        <f t="shared" si="247"/>
        <v>0</v>
      </c>
      <c r="V1985" s="195">
        <f t="shared" si="248"/>
        <v>0</v>
      </c>
      <c r="W1985" s="196" t="e">
        <f t="shared" si="249"/>
        <v>#DIV/0!</v>
      </c>
      <c r="X1985" s="197" t="e">
        <f t="shared" si="250"/>
        <v>#DIV/0!</v>
      </c>
    </row>
    <row r="1986" ht="11.4" hidden="1" customHeight="1" spans="1:24">
      <c r="A1986" s="184" t="s">
        <v>3197</v>
      </c>
      <c r="B1986" s="184" t="s">
        <v>109</v>
      </c>
      <c r="C1986" s="184" t="s">
        <v>1101</v>
      </c>
      <c r="D1986" s="185" t="s">
        <v>704</v>
      </c>
      <c r="E1986" s="186" t="s">
        <v>906</v>
      </c>
      <c r="F1986" s="186" t="s">
        <v>907</v>
      </c>
      <c r="G1986" s="186" t="s">
        <v>1102</v>
      </c>
      <c r="H1986" s="186" t="s">
        <v>1479</v>
      </c>
      <c r="I1986" s="187" t="s">
        <v>1193</v>
      </c>
      <c r="J1986" s="187" t="s">
        <v>1194</v>
      </c>
      <c r="K1986" s="188"/>
      <c r="L1986" s="188"/>
      <c r="M1986" s="189" t="s">
        <v>847</v>
      </c>
      <c r="N1986" s="190">
        <v>70.85</v>
      </c>
      <c r="O1986" s="190">
        <f t="shared" si="243"/>
        <v>77.23</v>
      </c>
      <c r="P1986" s="191">
        <f t="shared" si="244"/>
        <v>0</v>
      </c>
      <c r="Q1986" s="192">
        <f t="shared" si="245"/>
        <v>0</v>
      </c>
      <c r="R1986" s="193"/>
      <c r="S1986" s="194"/>
      <c r="T1986" s="195">
        <f t="shared" si="246"/>
        <v>0</v>
      </c>
      <c r="U1986" s="195">
        <f t="shared" si="247"/>
        <v>0</v>
      </c>
      <c r="V1986" s="195">
        <f t="shared" si="248"/>
        <v>0</v>
      </c>
      <c r="W1986" s="196" t="e">
        <f t="shared" si="249"/>
        <v>#DIV/0!</v>
      </c>
      <c r="X1986" s="197" t="e">
        <f t="shared" si="250"/>
        <v>#DIV/0!</v>
      </c>
    </row>
    <row r="1987" ht="11.4" hidden="1" customHeight="1" spans="1:24">
      <c r="A1987" s="184" t="s">
        <v>3197</v>
      </c>
      <c r="B1987" s="184" t="s">
        <v>109</v>
      </c>
      <c r="C1987" s="184" t="s">
        <v>1101</v>
      </c>
      <c r="D1987" s="185" t="s">
        <v>704</v>
      </c>
      <c r="E1987" s="186" t="s">
        <v>906</v>
      </c>
      <c r="F1987" s="186" t="s">
        <v>907</v>
      </c>
      <c r="G1987" s="186" t="s">
        <v>1102</v>
      </c>
      <c r="H1987" s="186" t="s">
        <v>1479</v>
      </c>
      <c r="I1987" s="187" t="s">
        <v>1195</v>
      </c>
      <c r="J1987" s="187" t="s">
        <v>1196</v>
      </c>
      <c r="K1987" s="188"/>
      <c r="L1987" s="188"/>
      <c r="M1987" s="189" t="s">
        <v>847</v>
      </c>
      <c r="N1987" s="190">
        <v>307.56</v>
      </c>
      <c r="O1987" s="190">
        <f t="shared" si="243"/>
        <v>335.24</v>
      </c>
      <c r="P1987" s="191">
        <f t="shared" si="244"/>
        <v>0</v>
      </c>
      <c r="Q1987" s="192">
        <f t="shared" si="245"/>
        <v>0</v>
      </c>
      <c r="R1987" s="193"/>
      <c r="S1987" s="194"/>
      <c r="T1987" s="195">
        <f t="shared" si="246"/>
        <v>0</v>
      </c>
      <c r="U1987" s="195">
        <f t="shared" si="247"/>
        <v>0</v>
      </c>
      <c r="V1987" s="195">
        <f t="shared" si="248"/>
        <v>0</v>
      </c>
      <c r="W1987" s="196" t="e">
        <f t="shared" si="249"/>
        <v>#DIV/0!</v>
      </c>
      <c r="X1987" s="197" t="e">
        <f t="shared" si="250"/>
        <v>#DIV/0!</v>
      </c>
    </row>
    <row r="1988" ht="11.4" hidden="1" customHeight="1" spans="1:24">
      <c r="A1988" s="184" t="s">
        <v>3197</v>
      </c>
      <c r="B1988" s="184" t="s">
        <v>109</v>
      </c>
      <c r="C1988" s="184" t="s">
        <v>1101</v>
      </c>
      <c r="D1988" s="185" t="s">
        <v>704</v>
      </c>
      <c r="E1988" s="186" t="s">
        <v>906</v>
      </c>
      <c r="F1988" s="186" t="s">
        <v>907</v>
      </c>
      <c r="G1988" s="186" t="s">
        <v>1102</v>
      </c>
      <c r="H1988" s="186" t="s">
        <v>1479</v>
      </c>
      <c r="I1988" s="187" t="s">
        <v>1197</v>
      </c>
      <c r="J1988" s="187" t="s">
        <v>1198</v>
      </c>
      <c r="K1988" s="188"/>
      <c r="L1988" s="188"/>
      <c r="M1988" s="189" t="s">
        <v>847</v>
      </c>
      <c r="N1988" s="190">
        <v>39.59</v>
      </c>
      <c r="O1988" s="190">
        <f t="shared" si="243"/>
        <v>43.15</v>
      </c>
      <c r="P1988" s="191">
        <f t="shared" si="244"/>
        <v>0</v>
      </c>
      <c r="Q1988" s="192">
        <f t="shared" si="245"/>
        <v>0</v>
      </c>
      <c r="R1988" s="193"/>
      <c r="S1988" s="194"/>
      <c r="T1988" s="195">
        <f t="shared" si="246"/>
        <v>0</v>
      </c>
      <c r="U1988" s="195">
        <f t="shared" si="247"/>
        <v>0</v>
      </c>
      <c r="V1988" s="195">
        <f t="shared" si="248"/>
        <v>0</v>
      </c>
      <c r="W1988" s="196" t="e">
        <f t="shared" si="249"/>
        <v>#DIV/0!</v>
      </c>
      <c r="X1988" s="197" t="e">
        <f t="shared" si="250"/>
        <v>#DIV/0!</v>
      </c>
    </row>
    <row r="1989" ht="11.4" hidden="1" customHeight="1" spans="1:24">
      <c r="A1989" s="184" t="s">
        <v>3197</v>
      </c>
      <c r="B1989" s="184" t="s">
        <v>109</v>
      </c>
      <c r="C1989" s="184" t="s">
        <v>1101</v>
      </c>
      <c r="D1989" s="185" t="s">
        <v>704</v>
      </c>
      <c r="E1989" s="186" t="s">
        <v>906</v>
      </c>
      <c r="F1989" s="186" t="s">
        <v>907</v>
      </c>
      <c r="G1989" s="186" t="s">
        <v>1102</v>
      </c>
      <c r="H1989" s="186" t="s">
        <v>1479</v>
      </c>
      <c r="I1989" s="187" t="s">
        <v>1559</v>
      </c>
      <c r="J1989" s="187" t="s">
        <v>1560</v>
      </c>
      <c r="K1989" s="188"/>
      <c r="L1989" s="188"/>
      <c r="M1989" s="189" t="s">
        <v>847</v>
      </c>
      <c r="N1989" s="190">
        <v>58.39</v>
      </c>
      <c r="O1989" s="190">
        <f t="shared" si="243"/>
        <v>63.65</v>
      </c>
      <c r="P1989" s="191">
        <f t="shared" si="244"/>
        <v>0</v>
      </c>
      <c r="Q1989" s="192">
        <f t="shared" si="245"/>
        <v>0</v>
      </c>
      <c r="R1989" s="193"/>
      <c r="S1989" s="194"/>
      <c r="T1989" s="195">
        <f t="shared" si="246"/>
        <v>0</v>
      </c>
      <c r="U1989" s="195">
        <f t="shared" si="247"/>
        <v>0</v>
      </c>
      <c r="V1989" s="195">
        <f t="shared" si="248"/>
        <v>0</v>
      </c>
      <c r="W1989" s="196" t="e">
        <f t="shared" si="249"/>
        <v>#DIV/0!</v>
      </c>
      <c r="X1989" s="197" t="e">
        <f t="shared" si="250"/>
        <v>#DIV/0!</v>
      </c>
    </row>
    <row r="1990" ht="11.4" hidden="1" customHeight="1" spans="1:24">
      <c r="A1990" s="184" t="s">
        <v>3197</v>
      </c>
      <c r="B1990" s="184" t="s">
        <v>109</v>
      </c>
      <c r="C1990" s="184" t="s">
        <v>1101</v>
      </c>
      <c r="D1990" s="185" t="s">
        <v>704</v>
      </c>
      <c r="E1990" s="186" t="s">
        <v>906</v>
      </c>
      <c r="F1990" s="186" t="s">
        <v>907</v>
      </c>
      <c r="G1990" s="186" t="s">
        <v>1102</v>
      </c>
      <c r="H1990" s="186" t="s">
        <v>1479</v>
      </c>
      <c r="I1990" s="187" t="s">
        <v>1203</v>
      </c>
      <c r="J1990" s="187" t="s">
        <v>1204</v>
      </c>
      <c r="K1990" s="188"/>
      <c r="L1990" s="188"/>
      <c r="M1990" s="189" t="s">
        <v>847</v>
      </c>
      <c r="N1990" s="190">
        <v>17.39</v>
      </c>
      <c r="O1990" s="190">
        <f t="shared" si="243"/>
        <v>18.96</v>
      </c>
      <c r="P1990" s="191">
        <f t="shared" si="244"/>
        <v>0</v>
      </c>
      <c r="Q1990" s="192">
        <f t="shared" si="245"/>
        <v>0</v>
      </c>
      <c r="R1990" s="193"/>
      <c r="S1990" s="194"/>
      <c r="T1990" s="195">
        <f t="shared" si="246"/>
        <v>0</v>
      </c>
      <c r="U1990" s="195">
        <f t="shared" si="247"/>
        <v>0</v>
      </c>
      <c r="V1990" s="195">
        <f t="shared" si="248"/>
        <v>0</v>
      </c>
      <c r="W1990" s="196" t="e">
        <f t="shared" si="249"/>
        <v>#DIV/0!</v>
      </c>
      <c r="X1990" s="197" t="e">
        <f t="shared" si="250"/>
        <v>#DIV/0!</v>
      </c>
    </row>
    <row r="1991" ht="11.4" hidden="1" customHeight="1" spans="1:24">
      <c r="A1991" s="184" t="s">
        <v>3197</v>
      </c>
      <c r="B1991" s="184" t="s">
        <v>109</v>
      </c>
      <c r="C1991" s="184" t="s">
        <v>1101</v>
      </c>
      <c r="D1991" s="185" t="s">
        <v>704</v>
      </c>
      <c r="E1991" s="186" t="s">
        <v>906</v>
      </c>
      <c r="F1991" s="186" t="s">
        <v>907</v>
      </c>
      <c r="G1991" s="186" t="s">
        <v>1102</v>
      </c>
      <c r="H1991" s="186" t="s">
        <v>1763</v>
      </c>
      <c r="I1991" s="187" t="s">
        <v>1723</v>
      </c>
      <c r="J1991" s="187" t="s">
        <v>1724</v>
      </c>
      <c r="K1991" s="188"/>
      <c r="L1991" s="188"/>
      <c r="M1991" s="189" t="s">
        <v>847</v>
      </c>
      <c r="N1991" s="190">
        <v>132.76</v>
      </c>
      <c r="O1991" s="190">
        <f t="shared" si="243"/>
        <v>144.71</v>
      </c>
      <c r="P1991" s="191">
        <f t="shared" si="244"/>
        <v>0</v>
      </c>
      <c r="Q1991" s="192">
        <f t="shared" si="245"/>
        <v>0</v>
      </c>
      <c r="R1991" s="193"/>
      <c r="S1991" s="194"/>
      <c r="T1991" s="195">
        <f t="shared" si="246"/>
        <v>0</v>
      </c>
      <c r="U1991" s="195">
        <f t="shared" si="247"/>
        <v>0</v>
      </c>
      <c r="V1991" s="195">
        <f t="shared" si="248"/>
        <v>0</v>
      </c>
      <c r="W1991" s="196" t="e">
        <f t="shared" si="249"/>
        <v>#DIV/0!</v>
      </c>
      <c r="X1991" s="197" t="e">
        <f t="shared" si="250"/>
        <v>#DIV/0!</v>
      </c>
    </row>
    <row r="1992" ht="11.4" hidden="1" customHeight="1" spans="1:24">
      <c r="A1992" s="184" t="s">
        <v>3197</v>
      </c>
      <c r="B1992" s="184" t="s">
        <v>109</v>
      </c>
      <c r="C1992" s="184" t="s">
        <v>1101</v>
      </c>
      <c r="D1992" s="185" t="s">
        <v>704</v>
      </c>
      <c r="E1992" s="186" t="s">
        <v>906</v>
      </c>
      <c r="F1992" s="186" t="s">
        <v>907</v>
      </c>
      <c r="G1992" s="186" t="s">
        <v>1102</v>
      </c>
      <c r="H1992" s="186" t="s">
        <v>1763</v>
      </c>
      <c r="I1992" s="187" t="s">
        <v>1764</v>
      </c>
      <c r="J1992" s="187" t="s">
        <v>1765</v>
      </c>
      <c r="K1992" s="188"/>
      <c r="L1992" s="188"/>
      <c r="M1992" s="189" t="s">
        <v>847</v>
      </c>
      <c r="N1992" s="190">
        <v>139.73</v>
      </c>
      <c r="O1992" s="190">
        <f t="shared" si="243"/>
        <v>152.31</v>
      </c>
      <c r="P1992" s="191">
        <f t="shared" si="244"/>
        <v>0</v>
      </c>
      <c r="Q1992" s="192">
        <f t="shared" si="245"/>
        <v>0</v>
      </c>
      <c r="R1992" s="193"/>
      <c r="S1992" s="194"/>
      <c r="T1992" s="195">
        <f t="shared" si="246"/>
        <v>0</v>
      </c>
      <c r="U1992" s="195">
        <f t="shared" si="247"/>
        <v>0</v>
      </c>
      <c r="V1992" s="195">
        <f t="shared" si="248"/>
        <v>0</v>
      </c>
      <c r="W1992" s="196" t="e">
        <f t="shared" si="249"/>
        <v>#DIV/0!</v>
      </c>
      <c r="X1992" s="197" t="e">
        <f t="shared" si="250"/>
        <v>#DIV/0!</v>
      </c>
    </row>
    <row r="1993" ht="11.4" hidden="1" customHeight="1" spans="1:24">
      <c r="A1993" s="184" t="s">
        <v>3197</v>
      </c>
      <c r="B1993" s="184" t="s">
        <v>109</v>
      </c>
      <c r="C1993" s="184" t="s">
        <v>1101</v>
      </c>
      <c r="D1993" s="185" t="s">
        <v>704</v>
      </c>
      <c r="E1993" s="186" t="s">
        <v>906</v>
      </c>
      <c r="F1993" s="186" t="s">
        <v>907</v>
      </c>
      <c r="G1993" s="186" t="s">
        <v>1102</v>
      </c>
      <c r="H1993" s="186" t="s">
        <v>1763</v>
      </c>
      <c r="I1993" s="187" t="s">
        <v>1359</v>
      </c>
      <c r="J1993" s="187" t="s">
        <v>1360</v>
      </c>
      <c r="K1993" s="188"/>
      <c r="L1993" s="188"/>
      <c r="M1993" s="189" t="s">
        <v>847</v>
      </c>
      <c r="N1993" s="190">
        <v>127.36</v>
      </c>
      <c r="O1993" s="190">
        <f t="shared" si="243"/>
        <v>138.82</v>
      </c>
      <c r="P1993" s="191">
        <f t="shared" si="244"/>
        <v>0</v>
      </c>
      <c r="Q1993" s="192">
        <f t="shared" si="245"/>
        <v>0</v>
      </c>
      <c r="R1993" s="193"/>
      <c r="S1993" s="194"/>
      <c r="T1993" s="195">
        <f t="shared" si="246"/>
        <v>0</v>
      </c>
      <c r="U1993" s="195">
        <f t="shared" si="247"/>
        <v>0</v>
      </c>
      <c r="V1993" s="195">
        <f t="shared" si="248"/>
        <v>0</v>
      </c>
      <c r="W1993" s="196" t="e">
        <f t="shared" si="249"/>
        <v>#DIV/0!</v>
      </c>
      <c r="X1993" s="197" t="e">
        <f t="shared" si="250"/>
        <v>#DIV/0!</v>
      </c>
    </row>
    <row r="1994" ht="11.4" hidden="1" customHeight="1" spans="1:24">
      <c r="A1994" s="184" t="s">
        <v>3197</v>
      </c>
      <c r="B1994" s="184" t="s">
        <v>109</v>
      </c>
      <c r="C1994" s="184" t="s">
        <v>1101</v>
      </c>
      <c r="D1994" s="185" t="s">
        <v>704</v>
      </c>
      <c r="E1994" s="186" t="s">
        <v>906</v>
      </c>
      <c r="F1994" s="186" t="s">
        <v>907</v>
      </c>
      <c r="G1994" s="186" t="s">
        <v>1102</v>
      </c>
      <c r="H1994" s="186" t="s">
        <v>1763</v>
      </c>
      <c r="I1994" s="187" t="s">
        <v>1362</v>
      </c>
      <c r="J1994" s="187" t="s">
        <v>1363</v>
      </c>
      <c r="K1994" s="188"/>
      <c r="L1994" s="188"/>
      <c r="M1994" s="189" t="s">
        <v>847</v>
      </c>
      <c r="N1994" s="190">
        <v>138.36</v>
      </c>
      <c r="O1994" s="190">
        <f t="shared" si="243"/>
        <v>150.81</v>
      </c>
      <c r="P1994" s="191">
        <f t="shared" si="244"/>
        <v>0</v>
      </c>
      <c r="Q1994" s="192">
        <f t="shared" si="245"/>
        <v>0</v>
      </c>
      <c r="R1994" s="193"/>
      <c r="S1994" s="194"/>
      <c r="T1994" s="195">
        <f t="shared" si="246"/>
        <v>0</v>
      </c>
      <c r="U1994" s="195">
        <f t="shared" si="247"/>
        <v>0</v>
      </c>
      <c r="V1994" s="195">
        <f t="shared" si="248"/>
        <v>0</v>
      </c>
      <c r="W1994" s="196" t="e">
        <f t="shared" si="249"/>
        <v>#DIV/0!</v>
      </c>
      <c r="X1994" s="197" t="e">
        <f t="shared" si="250"/>
        <v>#DIV/0!</v>
      </c>
    </row>
    <row r="1995" ht="11.4" hidden="1" customHeight="1" spans="1:24">
      <c r="A1995" s="184" t="s">
        <v>3197</v>
      </c>
      <c r="B1995" s="184" t="s">
        <v>109</v>
      </c>
      <c r="C1995" s="184" t="s">
        <v>1101</v>
      </c>
      <c r="D1995" s="185" t="s">
        <v>704</v>
      </c>
      <c r="E1995" s="186" t="s">
        <v>906</v>
      </c>
      <c r="F1995" s="186" t="s">
        <v>907</v>
      </c>
      <c r="G1995" s="186" t="s">
        <v>1102</v>
      </c>
      <c r="H1995" s="186" t="s">
        <v>1763</v>
      </c>
      <c r="I1995" s="187" t="s">
        <v>1766</v>
      </c>
      <c r="J1995" s="187" t="s">
        <v>1767</v>
      </c>
      <c r="K1995" s="188"/>
      <c r="L1995" s="188"/>
      <c r="M1995" s="189" t="s">
        <v>807</v>
      </c>
      <c r="N1995" s="190">
        <v>323.64</v>
      </c>
      <c r="O1995" s="190">
        <f t="shared" si="243"/>
        <v>352.77</v>
      </c>
      <c r="P1995" s="191">
        <f t="shared" si="244"/>
        <v>0</v>
      </c>
      <c r="Q1995" s="192">
        <f t="shared" si="245"/>
        <v>0</v>
      </c>
      <c r="R1995" s="193"/>
      <c r="S1995" s="194"/>
      <c r="T1995" s="195">
        <f t="shared" si="246"/>
        <v>0</v>
      </c>
      <c r="U1995" s="195">
        <f t="shared" si="247"/>
        <v>0</v>
      </c>
      <c r="V1995" s="195">
        <f t="shared" si="248"/>
        <v>0</v>
      </c>
      <c r="W1995" s="196" t="e">
        <f t="shared" si="249"/>
        <v>#DIV/0!</v>
      </c>
      <c r="X1995" s="197" t="e">
        <f t="shared" si="250"/>
        <v>#DIV/0!</v>
      </c>
    </row>
    <row r="1996" ht="11.4" hidden="1" customHeight="1" spans="1:24">
      <c r="A1996" s="184" t="s">
        <v>3197</v>
      </c>
      <c r="B1996" s="184" t="s">
        <v>109</v>
      </c>
      <c r="C1996" s="184" t="s">
        <v>1101</v>
      </c>
      <c r="D1996" s="185" t="s">
        <v>704</v>
      </c>
      <c r="E1996" s="186" t="s">
        <v>906</v>
      </c>
      <c r="F1996" s="186" t="s">
        <v>907</v>
      </c>
      <c r="G1996" s="186" t="s">
        <v>1102</v>
      </c>
      <c r="H1996" s="186" t="s">
        <v>1768</v>
      </c>
      <c r="I1996" s="187" t="s">
        <v>1769</v>
      </c>
      <c r="J1996" s="187" t="s">
        <v>1770</v>
      </c>
      <c r="K1996" s="188"/>
      <c r="L1996" s="188"/>
      <c r="M1996" s="189" t="s">
        <v>807</v>
      </c>
      <c r="N1996" s="190">
        <v>1368.15</v>
      </c>
      <c r="O1996" s="190">
        <f t="shared" si="243"/>
        <v>1491.28</v>
      </c>
      <c r="P1996" s="191">
        <f t="shared" si="244"/>
        <v>0</v>
      </c>
      <c r="Q1996" s="192">
        <f t="shared" si="245"/>
        <v>0</v>
      </c>
      <c r="R1996" s="193"/>
      <c r="S1996" s="194"/>
      <c r="T1996" s="195">
        <f t="shared" si="246"/>
        <v>0</v>
      </c>
      <c r="U1996" s="195">
        <f t="shared" si="247"/>
        <v>0</v>
      </c>
      <c r="V1996" s="195">
        <f t="shared" si="248"/>
        <v>0</v>
      </c>
      <c r="W1996" s="196" t="e">
        <f t="shared" si="249"/>
        <v>#DIV/0!</v>
      </c>
      <c r="X1996" s="197" t="e">
        <f t="shared" si="250"/>
        <v>#DIV/0!</v>
      </c>
    </row>
    <row r="1997" ht="11.4" hidden="1" customHeight="1" spans="1:24">
      <c r="A1997" s="184" t="s">
        <v>3197</v>
      </c>
      <c r="B1997" s="184" t="s">
        <v>109</v>
      </c>
      <c r="C1997" s="184" t="s">
        <v>1101</v>
      </c>
      <c r="D1997" s="185" t="s">
        <v>704</v>
      </c>
      <c r="E1997" s="186" t="s">
        <v>906</v>
      </c>
      <c r="F1997" s="186" t="s">
        <v>907</v>
      </c>
      <c r="G1997" s="186" t="s">
        <v>1102</v>
      </c>
      <c r="H1997" s="186" t="s">
        <v>1768</v>
      </c>
      <c r="I1997" s="187" t="s">
        <v>1771</v>
      </c>
      <c r="J1997" s="187" t="s">
        <v>1772</v>
      </c>
      <c r="K1997" s="188"/>
      <c r="L1997" s="188"/>
      <c r="M1997" s="189" t="s">
        <v>793</v>
      </c>
      <c r="N1997" s="190">
        <v>1175</v>
      </c>
      <c r="O1997" s="190">
        <f t="shared" ref="O1997:O2060" si="251">ROUND(N1997*(1+$F$10),2)</f>
        <v>1280.75</v>
      </c>
      <c r="P1997" s="191">
        <f t="shared" ref="P1997:P2060" si="252">ROUND(K1997*N1997,2)</f>
        <v>0</v>
      </c>
      <c r="Q1997" s="192">
        <f t="shared" si="245"/>
        <v>0</v>
      </c>
      <c r="R1997" s="193"/>
      <c r="S1997" s="194"/>
      <c r="T1997" s="195">
        <f t="shared" si="246"/>
        <v>0</v>
      </c>
      <c r="U1997" s="195">
        <f t="shared" si="247"/>
        <v>0</v>
      </c>
      <c r="V1997" s="195">
        <f t="shared" si="248"/>
        <v>0</v>
      </c>
      <c r="W1997" s="196" t="e">
        <f t="shared" si="249"/>
        <v>#DIV/0!</v>
      </c>
      <c r="X1997" s="197" t="e">
        <f t="shared" si="250"/>
        <v>#DIV/0!</v>
      </c>
    </row>
    <row r="1998" ht="11.4" hidden="1" customHeight="1" spans="1:24">
      <c r="A1998" s="184" t="s">
        <v>3197</v>
      </c>
      <c r="B1998" s="184" t="s">
        <v>109</v>
      </c>
      <c r="C1998" s="184" t="s">
        <v>1101</v>
      </c>
      <c r="D1998" s="185" t="s">
        <v>704</v>
      </c>
      <c r="E1998" s="186" t="s">
        <v>906</v>
      </c>
      <c r="F1998" s="186" t="s">
        <v>907</v>
      </c>
      <c r="G1998" s="186" t="s">
        <v>1102</v>
      </c>
      <c r="H1998" s="186" t="s">
        <v>1768</v>
      </c>
      <c r="I1998" s="187" t="s">
        <v>1774</v>
      </c>
      <c r="J1998" s="187" t="s">
        <v>1775</v>
      </c>
      <c r="K1998" s="188"/>
      <c r="L1998" s="188"/>
      <c r="M1998" s="189" t="s">
        <v>793</v>
      </c>
      <c r="N1998" s="190"/>
      <c r="O1998" s="190">
        <f t="shared" si="251"/>
        <v>0</v>
      </c>
      <c r="P1998" s="191">
        <f t="shared" si="252"/>
        <v>0</v>
      </c>
      <c r="Q1998" s="192">
        <f t="shared" ref="Q1998:Q2061" si="253">ROUND(L1998*N1998,2)</f>
        <v>0</v>
      </c>
      <c r="R1998" s="193"/>
      <c r="S1998" s="194"/>
      <c r="T1998" s="195">
        <f t="shared" ref="T1998:T2061" si="254">K1998-L1998</f>
        <v>0</v>
      </c>
      <c r="U1998" s="195">
        <f t="shared" ref="U1998:U2061" si="255">P1998-Q1998</f>
        <v>0</v>
      </c>
      <c r="V1998" s="195">
        <f t="shared" ref="V1998:V2061" si="256">ABS(U1998)</f>
        <v>0</v>
      </c>
      <c r="W1998" s="196" t="e">
        <f t="shared" ref="W1998:W2061" si="257">T1998/L1998</f>
        <v>#DIV/0!</v>
      </c>
      <c r="X1998" s="197" t="e">
        <f t="shared" ref="X1998:X2061" si="258">ABS(W1998)</f>
        <v>#DIV/0!</v>
      </c>
    </row>
    <row r="1999" ht="11.4" hidden="1" customHeight="1" spans="1:24">
      <c r="A1999" s="184" t="s">
        <v>3197</v>
      </c>
      <c r="B1999" s="184" t="s">
        <v>109</v>
      </c>
      <c r="C1999" s="184" t="s">
        <v>1101</v>
      </c>
      <c r="D1999" s="185" t="s">
        <v>704</v>
      </c>
      <c r="E1999" s="186" t="s">
        <v>906</v>
      </c>
      <c r="F1999" s="186" t="s">
        <v>907</v>
      </c>
      <c r="G1999" s="186" t="s">
        <v>1102</v>
      </c>
      <c r="H1999" s="186" t="s">
        <v>1768</v>
      </c>
      <c r="I1999" s="187" t="s">
        <v>1776</v>
      </c>
      <c r="J1999" s="187" t="s">
        <v>1777</v>
      </c>
      <c r="K1999" s="188"/>
      <c r="L1999" s="188"/>
      <c r="M1999" s="189" t="s">
        <v>1778</v>
      </c>
      <c r="N1999" s="190">
        <v>1841.7</v>
      </c>
      <c r="O1999" s="190">
        <f t="shared" si="251"/>
        <v>2007.45</v>
      </c>
      <c r="P1999" s="191">
        <f t="shared" si="252"/>
        <v>0</v>
      </c>
      <c r="Q1999" s="192">
        <f t="shared" si="253"/>
        <v>0</v>
      </c>
      <c r="R1999" s="193"/>
      <c r="S1999" s="194"/>
      <c r="T1999" s="195">
        <f t="shared" si="254"/>
        <v>0</v>
      </c>
      <c r="U1999" s="195">
        <f t="shared" si="255"/>
        <v>0</v>
      </c>
      <c r="V1999" s="195">
        <f t="shared" si="256"/>
        <v>0</v>
      </c>
      <c r="W1999" s="196" t="e">
        <f t="shared" si="257"/>
        <v>#DIV/0!</v>
      </c>
      <c r="X1999" s="197" t="e">
        <f t="shared" si="258"/>
        <v>#DIV/0!</v>
      </c>
    </row>
    <row r="2000" ht="11.4" hidden="1" customHeight="1" spans="1:24">
      <c r="A2000" s="184" t="s">
        <v>3197</v>
      </c>
      <c r="B2000" s="184" t="s">
        <v>109</v>
      </c>
      <c r="C2000" s="184" t="s">
        <v>1101</v>
      </c>
      <c r="D2000" s="185" t="s">
        <v>704</v>
      </c>
      <c r="E2000" s="186" t="s">
        <v>906</v>
      </c>
      <c r="F2000" s="186" t="s">
        <v>907</v>
      </c>
      <c r="G2000" s="186" t="s">
        <v>1102</v>
      </c>
      <c r="H2000" s="186" t="s">
        <v>1768</v>
      </c>
      <c r="I2000" s="187" t="s">
        <v>1779</v>
      </c>
      <c r="J2000" s="187" t="s">
        <v>1780</v>
      </c>
      <c r="K2000" s="188"/>
      <c r="L2000" s="188"/>
      <c r="M2000" s="189" t="s">
        <v>793</v>
      </c>
      <c r="N2000" s="190">
        <v>493.05</v>
      </c>
      <c r="O2000" s="190">
        <f t="shared" si="251"/>
        <v>537.42</v>
      </c>
      <c r="P2000" s="191">
        <f t="shared" si="252"/>
        <v>0</v>
      </c>
      <c r="Q2000" s="192">
        <f t="shared" si="253"/>
        <v>0</v>
      </c>
      <c r="R2000" s="193"/>
      <c r="S2000" s="194"/>
      <c r="T2000" s="195">
        <f t="shared" si="254"/>
        <v>0</v>
      </c>
      <c r="U2000" s="195">
        <f t="shared" si="255"/>
        <v>0</v>
      </c>
      <c r="V2000" s="195">
        <f t="shared" si="256"/>
        <v>0</v>
      </c>
      <c r="W2000" s="196" t="e">
        <f t="shared" si="257"/>
        <v>#DIV/0!</v>
      </c>
      <c r="X2000" s="197" t="e">
        <f t="shared" si="258"/>
        <v>#DIV/0!</v>
      </c>
    </row>
    <row r="2001" ht="11.4" hidden="1" customHeight="1" spans="1:24">
      <c r="A2001" s="184" t="s">
        <v>3198</v>
      </c>
      <c r="B2001" s="184" t="s">
        <v>130</v>
      </c>
      <c r="C2001" s="184" t="s">
        <v>1782</v>
      </c>
      <c r="D2001" s="185" t="s">
        <v>704</v>
      </c>
      <c r="E2001" s="186" t="s">
        <v>906</v>
      </c>
      <c r="F2001" s="186" t="s">
        <v>907</v>
      </c>
      <c r="G2001" s="186" t="s">
        <v>1102</v>
      </c>
      <c r="H2001" s="186" t="s">
        <v>1783</v>
      </c>
      <c r="I2001" s="187" t="s">
        <v>1784</v>
      </c>
      <c r="J2001" s="187" t="s">
        <v>1785</v>
      </c>
      <c r="K2001" s="188"/>
      <c r="L2001" s="188"/>
      <c r="M2001" s="189" t="s">
        <v>847</v>
      </c>
      <c r="N2001" s="190">
        <v>153.82</v>
      </c>
      <c r="O2001" s="190">
        <f t="shared" si="251"/>
        <v>167.66</v>
      </c>
      <c r="P2001" s="191">
        <f t="shared" si="252"/>
        <v>0</v>
      </c>
      <c r="Q2001" s="192">
        <f t="shared" si="253"/>
        <v>0</v>
      </c>
      <c r="R2001" s="193"/>
      <c r="S2001" s="194"/>
      <c r="T2001" s="195">
        <f t="shared" si="254"/>
        <v>0</v>
      </c>
      <c r="U2001" s="195">
        <f t="shared" si="255"/>
        <v>0</v>
      </c>
      <c r="V2001" s="195">
        <f t="shared" si="256"/>
        <v>0</v>
      </c>
      <c r="W2001" s="196" t="e">
        <f t="shared" si="257"/>
        <v>#DIV/0!</v>
      </c>
      <c r="X2001" s="197" t="e">
        <f t="shared" si="258"/>
        <v>#DIV/0!</v>
      </c>
    </row>
    <row r="2002" ht="11.4" hidden="1" customHeight="1" spans="1:24">
      <c r="A2002" s="184" t="s">
        <v>3198</v>
      </c>
      <c r="B2002" s="184" t="s">
        <v>130</v>
      </c>
      <c r="C2002" s="184" t="s">
        <v>1782</v>
      </c>
      <c r="D2002" s="185" t="s">
        <v>704</v>
      </c>
      <c r="E2002" s="186" t="s">
        <v>906</v>
      </c>
      <c r="F2002" s="186" t="s">
        <v>907</v>
      </c>
      <c r="G2002" s="186" t="s">
        <v>1102</v>
      </c>
      <c r="H2002" s="186" t="s">
        <v>1783</v>
      </c>
      <c r="I2002" s="187" t="s">
        <v>1786</v>
      </c>
      <c r="J2002" s="187" t="s">
        <v>1787</v>
      </c>
      <c r="K2002" s="188"/>
      <c r="L2002" s="188"/>
      <c r="M2002" s="189" t="s">
        <v>847</v>
      </c>
      <c r="N2002" s="190">
        <v>121.97</v>
      </c>
      <c r="O2002" s="190">
        <f t="shared" si="251"/>
        <v>132.95</v>
      </c>
      <c r="P2002" s="191">
        <f t="shared" si="252"/>
        <v>0</v>
      </c>
      <c r="Q2002" s="192">
        <f t="shared" si="253"/>
        <v>0</v>
      </c>
      <c r="R2002" s="193"/>
      <c r="S2002" s="194"/>
      <c r="T2002" s="195">
        <f t="shared" si="254"/>
        <v>0</v>
      </c>
      <c r="U2002" s="195">
        <f t="shared" si="255"/>
        <v>0</v>
      </c>
      <c r="V2002" s="195">
        <f t="shared" si="256"/>
        <v>0</v>
      </c>
      <c r="W2002" s="196" t="e">
        <f t="shared" si="257"/>
        <v>#DIV/0!</v>
      </c>
      <c r="X2002" s="197" t="e">
        <f t="shared" si="258"/>
        <v>#DIV/0!</v>
      </c>
    </row>
    <row r="2003" ht="11.4" hidden="1" customHeight="1" spans="1:24">
      <c r="A2003" s="184" t="s">
        <v>3198</v>
      </c>
      <c r="B2003" s="184" t="s">
        <v>130</v>
      </c>
      <c r="C2003" s="184" t="s">
        <v>1782</v>
      </c>
      <c r="D2003" s="185" t="s">
        <v>704</v>
      </c>
      <c r="E2003" s="186" t="s">
        <v>906</v>
      </c>
      <c r="F2003" s="186" t="s">
        <v>907</v>
      </c>
      <c r="G2003" s="186" t="s">
        <v>1102</v>
      </c>
      <c r="H2003" s="186" t="s">
        <v>1783</v>
      </c>
      <c r="I2003" s="187" t="s">
        <v>1788</v>
      </c>
      <c r="J2003" s="187" t="s">
        <v>1789</v>
      </c>
      <c r="K2003" s="188"/>
      <c r="L2003" s="188"/>
      <c r="M2003" s="189" t="s">
        <v>847</v>
      </c>
      <c r="N2003" s="190">
        <v>93.01</v>
      </c>
      <c r="O2003" s="190">
        <f t="shared" si="251"/>
        <v>101.38</v>
      </c>
      <c r="P2003" s="191">
        <f t="shared" si="252"/>
        <v>0</v>
      </c>
      <c r="Q2003" s="192">
        <f t="shared" si="253"/>
        <v>0</v>
      </c>
      <c r="R2003" s="193"/>
      <c r="S2003" s="194"/>
      <c r="T2003" s="195">
        <f t="shared" si="254"/>
        <v>0</v>
      </c>
      <c r="U2003" s="195">
        <f t="shared" si="255"/>
        <v>0</v>
      </c>
      <c r="V2003" s="195">
        <f t="shared" si="256"/>
        <v>0</v>
      </c>
      <c r="W2003" s="196" t="e">
        <f t="shared" si="257"/>
        <v>#DIV/0!</v>
      </c>
      <c r="X2003" s="197" t="e">
        <f t="shared" si="258"/>
        <v>#DIV/0!</v>
      </c>
    </row>
    <row r="2004" ht="11.4" hidden="1" customHeight="1" spans="1:24">
      <c r="A2004" s="184" t="s">
        <v>3198</v>
      </c>
      <c r="B2004" s="184" t="s">
        <v>130</v>
      </c>
      <c r="C2004" s="184" t="s">
        <v>1782</v>
      </c>
      <c r="D2004" s="185" t="s">
        <v>704</v>
      </c>
      <c r="E2004" s="186" t="s">
        <v>906</v>
      </c>
      <c r="F2004" s="186" t="s">
        <v>907</v>
      </c>
      <c r="G2004" s="186" t="s">
        <v>1102</v>
      </c>
      <c r="H2004" s="186" t="s">
        <v>1783</v>
      </c>
      <c r="I2004" s="187" t="s">
        <v>1790</v>
      </c>
      <c r="J2004" s="187" t="s">
        <v>1791</v>
      </c>
      <c r="K2004" s="188"/>
      <c r="L2004" s="188"/>
      <c r="M2004" s="189" t="s">
        <v>847</v>
      </c>
      <c r="N2004" s="190">
        <v>147.12</v>
      </c>
      <c r="O2004" s="190">
        <f t="shared" si="251"/>
        <v>160.36</v>
      </c>
      <c r="P2004" s="191">
        <f t="shared" si="252"/>
        <v>0</v>
      </c>
      <c r="Q2004" s="192">
        <f t="shared" si="253"/>
        <v>0</v>
      </c>
      <c r="R2004" s="193"/>
      <c r="S2004" s="194"/>
      <c r="T2004" s="195">
        <f t="shared" si="254"/>
        <v>0</v>
      </c>
      <c r="U2004" s="195">
        <f t="shared" si="255"/>
        <v>0</v>
      </c>
      <c r="V2004" s="195">
        <f t="shared" si="256"/>
        <v>0</v>
      </c>
      <c r="W2004" s="196" t="e">
        <f t="shared" si="257"/>
        <v>#DIV/0!</v>
      </c>
      <c r="X2004" s="197" t="e">
        <f t="shared" si="258"/>
        <v>#DIV/0!</v>
      </c>
    </row>
    <row r="2005" ht="11.4" hidden="1" customHeight="1" spans="1:24">
      <c r="A2005" s="184" t="s">
        <v>3198</v>
      </c>
      <c r="B2005" s="184" t="s">
        <v>130</v>
      </c>
      <c r="C2005" s="184" t="s">
        <v>1782</v>
      </c>
      <c r="D2005" s="185" t="s">
        <v>704</v>
      </c>
      <c r="E2005" s="186" t="s">
        <v>906</v>
      </c>
      <c r="F2005" s="186" t="s">
        <v>907</v>
      </c>
      <c r="G2005" s="186" t="s">
        <v>1102</v>
      </c>
      <c r="H2005" s="186" t="s">
        <v>1783</v>
      </c>
      <c r="I2005" s="187" t="s">
        <v>1792</v>
      </c>
      <c r="J2005" s="187" t="s">
        <v>1793</v>
      </c>
      <c r="K2005" s="188"/>
      <c r="L2005" s="188"/>
      <c r="M2005" s="189" t="s">
        <v>847</v>
      </c>
      <c r="N2005" s="190">
        <v>246.52</v>
      </c>
      <c r="O2005" s="190">
        <f t="shared" si="251"/>
        <v>268.71</v>
      </c>
      <c r="P2005" s="191">
        <f t="shared" si="252"/>
        <v>0</v>
      </c>
      <c r="Q2005" s="192">
        <f t="shared" si="253"/>
        <v>0</v>
      </c>
      <c r="R2005" s="193"/>
      <c r="S2005" s="194"/>
      <c r="T2005" s="195">
        <f t="shared" si="254"/>
        <v>0</v>
      </c>
      <c r="U2005" s="195">
        <f t="shared" si="255"/>
        <v>0</v>
      </c>
      <c r="V2005" s="195">
        <f t="shared" si="256"/>
        <v>0</v>
      </c>
      <c r="W2005" s="196" t="e">
        <f t="shared" si="257"/>
        <v>#DIV/0!</v>
      </c>
      <c r="X2005" s="197" t="e">
        <f t="shared" si="258"/>
        <v>#DIV/0!</v>
      </c>
    </row>
    <row r="2006" ht="11.4" hidden="1" customHeight="1" spans="1:24">
      <c r="A2006" s="184" t="s">
        <v>3198</v>
      </c>
      <c r="B2006" s="184" t="s">
        <v>130</v>
      </c>
      <c r="C2006" s="184" t="s">
        <v>1782</v>
      </c>
      <c r="D2006" s="185" t="s">
        <v>704</v>
      </c>
      <c r="E2006" s="186" t="s">
        <v>906</v>
      </c>
      <c r="F2006" s="186" t="s">
        <v>907</v>
      </c>
      <c r="G2006" s="186" t="s">
        <v>1102</v>
      </c>
      <c r="H2006" s="186" t="s">
        <v>1783</v>
      </c>
      <c r="I2006" s="187" t="s">
        <v>1794</v>
      </c>
      <c r="J2006" s="187" t="s">
        <v>1795</v>
      </c>
      <c r="K2006" s="188"/>
      <c r="L2006" s="188"/>
      <c r="M2006" s="189" t="s">
        <v>847</v>
      </c>
      <c r="N2006" s="190">
        <v>142.03</v>
      </c>
      <c r="O2006" s="190">
        <f t="shared" si="251"/>
        <v>154.81</v>
      </c>
      <c r="P2006" s="191">
        <f t="shared" si="252"/>
        <v>0</v>
      </c>
      <c r="Q2006" s="192">
        <f t="shared" si="253"/>
        <v>0</v>
      </c>
      <c r="R2006" s="193"/>
      <c r="S2006" s="194"/>
      <c r="T2006" s="195">
        <f t="shared" si="254"/>
        <v>0</v>
      </c>
      <c r="U2006" s="195">
        <f t="shared" si="255"/>
        <v>0</v>
      </c>
      <c r="V2006" s="195">
        <f t="shared" si="256"/>
        <v>0</v>
      </c>
      <c r="W2006" s="196" t="e">
        <f t="shared" si="257"/>
        <v>#DIV/0!</v>
      </c>
      <c r="X2006" s="197" t="e">
        <f t="shared" si="258"/>
        <v>#DIV/0!</v>
      </c>
    </row>
    <row r="2007" ht="11.4" hidden="1" customHeight="1" spans="1:24">
      <c r="A2007" s="184" t="s">
        <v>3198</v>
      </c>
      <c r="B2007" s="184" t="s">
        <v>130</v>
      </c>
      <c r="C2007" s="184" t="s">
        <v>1782</v>
      </c>
      <c r="D2007" s="185" t="s">
        <v>704</v>
      </c>
      <c r="E2007" s="186" t="s">
        <v>906</v>
      </c>
      <c r="F2007" s="186" t="s">
        <v>907</v>
      </c>
      <c r="G2007" s="186" t="s">
        <v>1102</v>
      </c>
      <c r="H2007" s="186" t="s">
        <v>1783</v>
      </c>
      <c r="I2007" s="187" t="s">
        <v>1796</v>
      </c>
      <c r="J2007" s="187" t="s">
        <v>1797</v>
      </c>
      <c r="K2007" s="188"/>
      <c r="L2007" s="188"/>
      <c r="M2007" s="189" t="s">
        <v>807</v>
      </c>
      <c r="N2007" s="190">
        <v>550.98</v>
      </c>
      <c r="O2007" s="190">
        <f t="shared" si="251"/>
        <v>600.57</v>
      </c>
      <c r="P2007" s="191">
        <f t="shared" si="252"/>
        <v>0</v>
      </c>
      <c r="Q2007" s="192">
        <f t="shared" si="253"/>
        <v>0</v>
      </c>
      <c r="R2007" s="193"/>
      <c r="S2007" s="194"/>
      <c r="T2007" s="195">
        <f t="shared" si="254"/>
        <v>0</v>
      </c>
      <c r="U2007" s="195">
        <f t="shared" si="255"/>
        <v>0</v>
      </c>
      <c r="V2007" s="195">
        <f t="shared" si="256"/>
        <v>0</v>
      </c>
      <c r="W2007" s="196" t="e">
        <f t="shared" si="257"/>
        <v>#DIV/0!</v>
      </c>
      <c r="X2007" s="197" t="e">
        <f t="shared" si="258"/>
        <v>#DIV/0!</v>
      </c>
    </row>
    <row r="2008" ht="11.4" hidden="1" customHeight="1" spans="1:24">
      <c r="A2008" s="184" t="s">
        <v>3198</v>
      </c>
      <c r="B2008" s="184" t="s">
        <v>130</v>
      </c>
      <c r="C2008" s="184" t="s">
        <v>1782</v>
      </c>
      <c r="D2008" s="185" t="s">
        <v>704</v>
      </c>
      <c r="E2008" s="186" t="s">
        <v>906</v>
      </c>
      <c r="F2008" s="186" t="s">
        <v>907</v>
      </c>
      <c r="G2008" s="186" t="s">
        <v>1102</v>
      </c>
      <c r="H2008" s="186" t="s">
        <v>1783</v>
      </c>
      <c r="I2008" s="187" t="s">
        <v>1799</v>
      </c>
      <c r="J2008" s="187" t="s">
        <v>1800</v>
      </c>
      <c r="K2008" s="188"/>
      <c r="L2008" s="188"/>
      <c r="M2008" s="189" t="s">
        <v>847</v>
      </c>
      <c r="N2008" s="190">
        <v>360.14</v>
      </c>
      <c r="O2008" s="190">
        <f t="shared" si="251"/>
        <v>392.55</v>
      </c>
      <c r="P2008" s="191">
        <f t="shared" si="252"/>
        <v>0</v>
      </c>
      <c r="Q2008" s="192">
        <f t="shared" si="253"/>
        <v>0</v>
      </c>
      <c r="R2008" s="193"/>
      <c r="S2008" s="194"/>
      <c r="T2008" s="195">
        <f t="shared" si="254"/>
        <v>0</v>
      </c>
      <c r="U2008" s="195">
        <f t="shared" si="255"/>
        <v>0</v>
      </c>
      <c r="V2008" s="195">
        <f t="shared" si="256"/>
        <v>0</v>
      </c>
      <c r="W2008" s="196" t="e">
        <f t="shared" si="257"/>
        <v>#DIV/0!</v>
      </c>
      <c r="X2008" s="197" t="e">
        <f t="shared" si="258"/>
        <v>#DIV/0!</v>
      </c>
    </row>
    <row r="2009" ht="11.4" hidden="1" customHeight="1" spans="1:24">
      <c r="A2009" s="184" t="s">
        <v>3198</v>
      </c>
      <c r="B2009" s="184" t="s">
        <v>130</v>
      </c>
      <c r="C2009" s="184" t="s">
        <v>1782</v>
      </c>
      <c r="D2009" s="185" t="s">
        <v>704</v>
      </c>
      <c r="E2009" s="186" t="s">
        <v>906</v>
      </c>
      <c r="F2009" s="186" t="s">
        <v>907</v>
      </c>
      <c r="G2009" s="186" t="s">
        <v>1102</v>
      </c>
      <c r="H2009" s="186" t="s">
        <v>1783</v>
      </c>
      <c r="I2009" s="187" t="s">
        <v>1801</v>
      </c>
      <c r="J2009" s="187" t="s">
        <v>1802</v>
      </c>
      <c r="K2009" s="188"/>
      <c r="L2009" s="188"/>
      <c r="M2009" s="189" t="s">
        <v>847</v>
      </c>
      <c r="N2009" s="190">
        <v>36.37</v>
      </c>
      <c r="O2009" s="190">
        <f t="shared" si="251"/>
        <v>39.64</v>
      </c>
      <c r="P2009" s="191">
        <f t="shared" si="252"/>
        <v>0</v>
      </c>
      <c r="Q2009" s="192">
        <f t="shared" si="253"/>
        <v>0</v>
      </c>
      <c r="R2009" s="193"/>
      <c r="S2009" s="194"/>
      <c r="T2009" s="195">
        <f t="shared" si="254"/>
        <v>0</v>
      </c>
      <c r="U2009" s="195">
        <f t="shared" si="255"/>
        <v>0</v>
      </c>
      <c r="V2009" s="195">
        <f t="shared" si="256"/>
        <v>0</v>
      </c>
      <c r="W2009" s="196" t="e">
        <f t="shared" si="257"/>
        <v>#DIV/0!</v>
      </c>
      <c r="X2009" s="197" t="e">
        <f t="shared" si="258"/>
        <v>#DIV/0!</v>
      </c>
    </row>
    <row r="2010" ht="11.4" hidden="1" customHeight="1" spans="1:24">
      <c r="A2010" s="184" t="s">
        <v>3198</v>
      </c>
      <c r="B2010" s="184" t="s">
        <v>130</v>
      </c>
      <c r="C2010" s="184" t="s">
        <v>1782</v>
      </c>
      <c r="D2010" s="185" t="s">
        <v>704</v>
      </c>
      <c r="E2010" s="186" t="s">
        <v>906</v>
      </c>
      <c r="F2010" s="186" t="s">
        <v>907</v>
      </c>
      <c r="G2010" s="186" t="s">
        <v>1102</v>
      </c>
      <c r="H2010" s="186" t="s">
        <v>1783</v>
      </c>
      <c r="I2010" s="187" t="s">
        <v>1803</v>
      </c>
      <c r="J2010" s="187" t="s">
        <v>1804</v>
      </c>
      <c r="K2010" s="188"/>
      <c r="L2010" s="188"/>
      <c r="M2010" s="189" t="s">
        <v>847</v>
      </c>
      <c r="N2010" s="190">
        <v>106.36</v>
      </c>
      <c r="O2010" s="190">
        <f t="shared" si="251"/>
        <v>115.93</v>
      </c>
      <c r="P2010" s="191">
        <f t="shared" si="252"/>
        <v>0</v>
      </c>
      <c r="Q2010" s="192">
        <f t="shared" si="253"/>
        <v>0</v>
      </c>
      <c r="R2010" s="193"/>
      <c r="S2010" s="194"/>
      <c r="T2010" s="195">
        <f t="shared" si="254"/>
        <v>0</v>
      </c>
      <c r="U2010" s="195">
        <f t="shared" si="255"/>
        <v>0</v>
      </c>
      <c r="V2010" s="195">
        <f t="shared" si="256"/>
        <v>0</v>
      </c>
      <c r="W2010" s="196" t="e">
        <f t="shared" si="257"/>
        <v>#DIV/0!</v>
      </c>
      <c r="X2010" s="197" t="e">
        <f t="shared" si="258"/>
        <v>#DIV/0!</v>
      </c>
    </row>
    <row r="2011" ht="11.4" hidden="1" customHeight="1" spans="1:24">
      <c r="A2011" s="184" t="s">
        <v>3199</v>
      </c>
      <c r="B2011" s="184" t="s">
        <v>127</v>
      </c>
      <c r="C2011" s="184" t="s">
        <v>1101</v>
      </c>
      <c r="D2011" s="185" t="s">
        <v>704</v>
      </c>
      <c r="E2011" s="186" t="s">
        <v>906</v>
      </c>
      <c r="F2011" s="186" t="s">
        <v>907</v>
      </c>
      <c r="G2011" s="186" t="s">
        <v>1102</v>
      </c>
      <c r="H2011" s="186" t="s">
        <v>1806</v>
      </c>
      <c r="I2011" s="187" t="s">
        <v>1807</v>
      </c>
      <c r="J2011" s="187" t="s">
        <v>1808</v>
      </c>
      <c r="K2011" s="188"/>
      <c r="L2011" s="188"/>
      <c r="M2011" s="189" t="s">
        <v>1500</v>
      </c>
      <c r="N2011" s="190">
        <v>2585.55</v>
      </c>
      <c r="O2011" s="190">
        <f t="shared" si="251"/>
        <v>2818.25</v>
      </c>
      <c r="P2011" s="191">
        <f t="shared" si="252"/>
        <v>0</v>
      </c>
      <c r="Q2011" s="192">
        <f t="shared" si="253"/>
        <v>0</v>
      </c>
      <c r="R2011" s="193"/>
      <c r="S2011" s="194"/>
      <c r="T2011" s="195">
        <f t="shared" si="254"/>
        <v>0</v>
      </c>
      <c r="U2011" s="195">
        <f t="shared" si="255"/>
        <v>0</v>
      </c>
      <c r="V2011" s="195">
        <f t="shared" si="256"/>
        <v>0</v>
      </c>
      <c r="W2011" s="196" t="e">
        <f t="shared" si="257"/>
        <v>#DIV/0!</v>
      </c>
      <c r="X2011" s="197" t="e">
        <f t="shared" si="258"/>
        <v>#DIV/0!</v>
      </c>
    </row>
    <row r="2012" ht="11.4" hidden="1" customHeight="1" spans="1:24">
      <c r="A2012" s="184" t="s">
        <v>3199</v>
      </c>
      <c r="B2012" s="184" t="s">
        <v>127</v>
      </c>
      <c r="C2012" s="184" t="s">
        <v>1101</v>
      </c>
      <c r="D2012" s="185" t="s">
        <v>704</v>
      </c>
      <c r="E2012" s="186" t="s">
        <v>906</v>
      </c>
      <c r="F2012" s="186" t="s">
        <v>907</v>
      </c>
      <c r="G2012" s="186" t="s">
        <v>1102</v>
      </c>
      <c r="H2012" s="186" t="s">
        <v>1806</v>
      </c>
      <c r="I2012" s="187" t="s">
        <v>1809</v>
      </c>
      <c r="J2012" s="187" t="s">
        <v>1810</v>
      </c>
      <c r="K2012" s="188"/>
      <c r="L2012" s="188"/>
      <c r="M2012" s="189" t="s">
        <v>1500</v>
      </c>
      <c r="N2012" s="190">
        <v>2585.55</v>
      </c>
      <c r="O2012" s="190">
        <f t="shared" si="251"/>
        <v>2818.25</v>
      </c>
      <c r="P2012" s="191">
        <f t="shared" si="252"/>
        <v>0</v>
      </c>
      <c r="Q2012" s="192">
        <f t="shared" si="253"/>
        <v>0</v>
      </c>
      <c r="R2012" s="193"/>
      <c r="S2012" s="194"/>
      <c r="T2012" s="195">
        <f t="shared" si="254"/>
        <v>0</v>
      </c>
      <c r="U2012" s="195">
        <f t="shared" si="255"/>
        <v>0</v>
      </c>
      <c r="V2012" s="195">
        <f t="shared" si="256"/>
        <v>0</v>
      </c>
      <c r="W2012" s="196" t="e">
        <f t="shared" si="257"/>
        <v>#DIV/0!</v>
      </c>
      <c r="X2012" s="197" t="e">
        <f t="shared" si="258"/>
        <v>#DIV/0!</v>
      </c>
    </row>
    <row r="2013" ht="11.4" hidden="1" customHeight="1" spans="1:24">
      <c r="A2013" s="184" t="s">
        <v>3199</v>
      </c>
      <c r="B2013" s="184" t="s">
        <v>127</v>
      </c>
      <c r="C2013" s="184" t="s">
        <v>1101</v>
      </c>
      <c r="D2013" s="185" t="s">
        <v>704</v>
      </c>
      <c r="E2013" s="186" t="s">
        <v>906</v>
      </c>
      <c r="F2013" s="186" t="s">
        <v>907</v>
      </c>
      <c r="G2013" s="186" t="s">
        <v>1102</v>
      </c>
      <c r="H2013" s="186" t="s">
        <v>1806</v>
      </c>
      <c r="I2013" s="187" t="s">
        <v>1811</v>
      </c>
      <c r="J2013" s="187" t="s">
        <v>1812</v>
      </c>
      <c r="K2013" s="188"/>
      <c r="L2013" s="188"/>
      <c r="M2013" s="189" t="s">
        <v>1500</v>
      </c>
      <c r="N2013" s="190">
        <v>2941.14</v>
      </c>
      <c r="O2013" s="190">
        <f t="shared" si="251"/>
        <v>3205.84</v>
      </c>
      <c r="P2013" s="191">
        <f t="shared" si="252"/>
        <v>0</v>
      </c>
      <c r="Q2013" s="192">
        <f t="shared" si="253"/>
        <v>0</v>
      </c>
      <c r="R2013" s="193"/>
      <c r="S2013" s="194"/>
      <c r="T2013" s="195">
        <f t="shared" si="254"/>
        <v>0</v>
      </c>
      <c r="U2013" s="195">
        <f t="shared" si="255"/>
        <v>0</v>
      </c>
      <c r="V2013" s="195">
        <f t="shared" si="256"/>
        <v>0</v>
      </c>
      <c r="W2013" s="196" t="e">
        <f t="shared" si="257"/>
        <v>#DIV/0!</v>
      </c>
      <c r="X2013" s="197" t="e">
        <f t="shared" si="258"/>
        <v>#DIV/0!</v>
      </c>
    </row>
    <row r="2014" ht="11.4" hidden="1" customHeight="1" spans="1:24">
      <c r="A2014" s="184" t="s">
        <v>3199</v>
      </c>
      <c r="B2014" s="184" t="s">
        <v>127</v>
      </c>
      <c r="C2014" s="184" t="s">
        <v>1101</v>
      </c>
      <c r="D2014" s="185" t="s">
        <v>704</v>
      </c>
      <c r="E2014" s="186" t="s">
        <v>906</v>
      </c>
      <c r="F2014" s="186" t="s">
        <v>907</v>
      </c>
      <c r="G2014" s="186" t="s">
        <v>1102</v>
      </c>
      <c r="H2014" s="186" t="s">
        <v>1806</v>
      </c>
      <c r="I2014" s="187" t="s">
        <v>1813</v>
      </c>
      <c r="J2014" s="187" t="s">
        <v>1814</v>
      </c>
      <c r="K2014" s="188"/>
      <c r="L2014" s="188"/>
      <c r="M2014" s="189" t="s">
        <v>1500</v>
      </c>
      <c r="N2014" s="190">
        <v>1580.15</v>
      </c>
      <c r="O2014" s="190">
        <f t="shared" si="251"/>
        <v>1722.36</v>
      </c>
      <c r="P2014" s="191">
        <f t="shared" si="252"/>
        <v>0</v>
      </c>
      <c r="Q2014" s="192">
        <f t="shared" si="253"/>
        <v>0</v>
      </c>
      <c r="R2014" s="193"/>
      <c r="S2014" s="194"/>
      <c r="T2014" s="195">
        <f t="shared" si="254"/>
        <v>0</v>
      </c>
      <c r="U2014" s="195">
        <f t="shared" si="255"/>
        <v>0</v>
      </c>
      <c r="V2014" s="195">
        <f t="shared" si="256"/>
        <v>0</v>
      </c>
      <c r="W2014" s="196" t="e">
        <f t="shared" si="257"/>
        <v>#DIV/0!</v>
      </c>
      <c r="X2014" s="197" t="e">
        <f t="shared" si="258"/>
        <v>#DIV/0!</v>
      </c>
    </row>
    <row r="2015" ht="11.4" hidden="1" customHeight="1" spans="1:24">
      <c r="A2015" s="184" t="s">
        <v>3199</v>
      </c>
      <c r="B2015" s="184" t="s">
        <v>127</v>
      </c>
      <c r="C2015" s="184" t="s">
        <v>1101</v>
      </c>
      <c r="D2015" s="185" t="s">
        <v>704</v>
      </c>
      <c r="E2015" s="186" t="s">
        <v>906</v>
      </c>
      <c r="F2015" s="186" t="s">
        <v>907</v>
      </c>
      <c r="G2015" s="186" t="s">
        <v>1102</v>
      </c>
      <c r="H2015" s="186" t="s">
        <v>1806</v>
      </c>
      <c r="I2015" s="187" t="s">
        <v>1815</v>
      </c>
      <c r="J2015" s="187" t="s">
        <v>1816</v>
      </c>
      <c r="K2015" s="188"/>
      <c r="L2015" s="188"/>
      <c r="M2015" s="189" t="s">
        <v>1500</v>
      </c>
      <c r="N2015" s="190">
        <v>1238.26</v>
      </c>
      <c r="O2015" s="190">
        <f t="shared" si="251"/>
        <v>1349.7</v>
      </c>
      <c r="P2015" s="191">
        <f t="shared" si="252"/>
        <v>0</v>
      </c>
      <c r="Q2015" s="192">
        <f t="shared" si="253"/>
        <v>0</v>
      </c>
      <c r="R2015" s="193"/>
      <c r="S2015" s="194"/>
      <c r="T2015" s="195">
        <f t="shared" si="254"/>
        <v>0</v>
      </c>
      <c r="U2015" s="195">
        <f t="shared" si="255"/>
        <v>0</v>
      </c>
      <c r="V2015" s="195">
        <f t="shared" si="256"/>
        <v>0</v>
      </c>
      <c r="W2015" s="196" t="e">
        <f t="shared" si="257"/>
        <v>#DIV/0!</v>
      </c>
      <c r="X2015" s="197" t="e">
        <f t="shared" si="258"/>
        <v>#DIV/0!</v>
      </c>
    </row>
    <row r="2016" ht="11.4" hidden="1" customHeight="1" spans="1:24">
      <c r="A2016" s="184" t="s">
        <v>3199</v>
      </c>
      <c r="B2016" s="184" t="s">
        <v>127</v>
      </c>
      <c r="C2016" s="184" t="s">
        <v>1101</v>
      </c>
      <c r="D2016" s="185" t="s">
        <v>704</v>
      </c>
      <c r="E2016" s="186" t="s">
        <v>906</v>
      </c>
      <c r="F2016" s="186" t="s">
        <v>907</v>
      </c>
      <c r="G2016" s="186" t="s">
        <v>1102</v>
      </c>
      <c r="H2016" s="186" t="s">
        <v>1806</v>
      </c>
      <c r="I2016" s="187" t="s">
        <v>1817</v>
      </c>
      <c r="J2016" s="187" t="s">
        <v>1818</v>
      </c>
      <c r="K2016" s="188"/>
      <c r="L2016" s="188"/>
      <c r="M2016" s="189" t="s">
        <v>1500</v>
      </c>
      <c r="N2016" s="190">
        <v>1580.15</v>
      </c>
      <c r="O2016" s="190">
        <f t="shared" si="251"/>
        <v>1722.36</v>
      </c>
      <c r="P2016" s="191">
        <f t="shared" si="252"/>
        <v>0</v>
      </c>
      <c r="Q2016" s="192">
        <f t="shared" si="253"/>
        <v>0</v>
      </c>
      <c r="R2016" s="193"/>
      <c r="S2016" s="194"/>
      <c r="T2016" s="195">
        <f t="shared" si="254"/>
        <v>0</v>
      </c>
      <c r="U2016" s="195">
        <f t="shared" si="255"/>
        <v>0</v>
      </c>
      <c r="V2016" s="195">
        <f t="shared" si="256"/>
        <v>0</v>
      </c>
      <c r="W2016" s="196" t="e">
        <f t="shared" si="257"/>
        <v>#DIV/0!</v>
      </c>
      <c r="X2016" s="197" t="e">
        <f t="shared" si="258"/>
        <v>#DIV/0!</v>
      </c>
    </row>
    <row r="2017" ht="11.4" hidden="1" customHeight="1" spans="1:24">
      <c r="A2017" s="184" t="s">
        <v>3199</v>
      </c>
      <c r="B2017" s="184" t="s">
        <v>127</v>
      </c>
      <c r="C2017" s="184" t="s">
        <v>1101</v>
      </c>
      <c r="D2017" s="185" t="s">
        <v>704</v>
      </c>
      <c r="E2017" s="186" t="s">
        <v>906</v>
      </c>
      <c r="F2017" s="186" t="s">
        <v>907</v>
      </c>
      <c r="G2017" s="186" t="s">
        <v>1102</v>
      </c>
      <c r="H2017" s="186" t="s">
        <v>1806</v>
      </c>
      <c r="I2017" s="187" t="s">
        <v>1819</v>
      </c>
      <c r="J2017" s="187" t="s">
        <v>1820</v>
      </c>
      <c r="K2017" s="188"/>
      <c r="L2017" s="188"/>
      <c r="M2017" s="189" t="s">
        <v>1500</v>
      </c>
      <c r="N2017" s="190">
        <v>1238.26</v>
      </c>
      <c r="O2017" s="190">
        <f t="shared" si="251"/>
        <v>1349.7</v>
      </c>
      <c r="P2017" s="191">
        <f t="shared" si="252"/>
        <v>0</v>
      </c>
      <c r="Q2017" s="192">
        <f t="shared" si="253"/>
        <v>0</v>
      </c>
      <c r="R2017" s="193"/>
      <c r="S2017" s="194"/>
      <c r="T2017" s="195">
        <f t="shared" si="254"/>
        <v>0</v>
      </c>
      <c r="U2017" s="195">
        <f t="shared" si="255"/>
        <v>0</v>
      </c>
      <c r="V2017" s="195">
        <f t="shared" si="256"/>
        <v>0</v>
      </c>
      <c r="W2017" s="196" t="e">
        <f t="shared" si="257"/>
        <v>#DIV/0!</v>
      </c>
      <c r="X2017" s="197" t="e">
        <f t="shared" si="258"/>
        <v>#DIV/0!</v>
      </c>
    </row>
    <row r="2018" ht="11.4" hidden="1" customHeight="1" spans="1:24">
      <c r="A2018" s="184" t="s">
        <v>3199</v>
      </c>
      <c r="B2018" s="184" t="s">
        <v>127</v>
      </c>
      <c r="C2018" s="184" t="s">
        <v>1101</v>
      </c>
      <c r="D2018" s="185" t="s">
        <v>704</v>
      </c>
      <c r="E2018" s="186" t="s">
        <v>906</v>
      </c>
      <c r="F2018" s="186" t="s">
        <v>907</v>
      </c>
      <c r="G2018" s="186" t="s">
        <v>1102</v>
      </c>
      <c r="H2018" s="186" t="s">
        <v>1806</v>
      </c>
      <c r="I2018" s="187" t="s">
        <v>1821</v>
      </c>
      <c r="J2018" s="187" t="s">
        <v>1822</v>
      </c>
      <c r="K2018" s="188"/>
      <c r="L2018" s="188"/>
      <c r="M2018" s="189" t="s">
        <v>1500</v>
      </c>
      <c r="N2018" s="190">
        <v>972.95</v>
      </c>
      <c r="O2018" s="190">
        <f t="shared" si="251"/>
        <v>1060.52</v>
      </c>
      <c r="P2018" s="191">
        <f t="shared" si="252"/>
        <v>0</v>
      </c>
      <c r="Q2018" s="192">
        <f t="shared" si="253"/>
        <v>0</v>
      </c>
      <c r="R2018" s="193"/>
      <c r="S2018" s="194"/>
      <c r="T2018" s="195">
        <f t="shared" si="254"/>
        <v>0</v>
      </c>
      <c r="U2018" s="195">
        <f t="shared" si="255"/>
        <v>0</v>
      </c>
      <c r="V2018" s="195">
        <f t="shared" si="256"/>
        <v>0</v>
      </c>
      <c r="W2018" s="196" t="e">
        <f t="shared" si="257"/>
        <v>#DIV/0!</v>
      </c>
      <c r="X2018" s="197" t="e">
        <f t="shared" si="258"/>
        <v>#DIV/0!</v>
      </c>
    </row>
    <row r="2019" ht="11.4" hidden="1" customHeight="1" spans="1:24">
      <c r="A2019" s="184" t="s">
        <v>3199</v>
      </c>
      <c r="B2019" s="184" t="s">
        <v>127</v>
      </c>
      <c r="C2019" s="184" t="s">
        <v>1101</v>
      </c>
      <c r="D2019" s="185" t="s">
        <v>704</v>
      </c>
      <c r="E2019" s="186" t="s">
        <v>906</v>
      </c>
      <c r="F2019" s="186" t="s">
        <v>907</v>
      </c>
      <c r="G2019" s="186" t="s">
        <v>1102</v>
      </c>
      <c r="H2019" s="186" t="s">
        <v>1806</v>
      </c>
      <c r="I2019" s="187" t="s">
        <v>1823</v>
      </c>
      <c r="J2019" s="187" t="s">
        <v>1824</v>
      </c>
      <c r="K2019" s="188"/>
      <c r="L2019" s="188"/>
      <c r="M2019" s="189" t="s">
        <v>1500</v>
      </c>
      <c r="N2019" s="190">
        <v>1852.95</v>
      </c>
      <c r="O2019" s="190">
        <f t="shared" si="251"/>
        <v>2019.72</v>
      </c>
      <c r="P2019" s="191">
        <f t="shared" si="252"/>
        <v>0</v>
      </c>
      <c r="Q2019" s="192">
        <f t="shared" si="253"/>
        <v>0</v>
      </c>
      <c r="R2019" s="193"/>
      <c r="S2019" s="194"/>
      <c r="T2019" s="195">
        <f t="shared" si="254"/>
        <v>0</v>
      </c>
      <c r="U2019" s="195">
        <f t="shared" si="255"/>
        <v>0</v>
      </c>
      <c r="V2019" s="195">
        <f t="shared" si="256"/>
        <v>0</v>
      </c>
      <c r="W2019" s="196" t="e">
        <f t="shared" si="257"/>
        <v>#DIV/0!</v>
      </c>
      <c r="X2019" s="197" t="e">
        <f t="shared" si="258"/>
        <v>#DIV/0!</v>
      </c>
    </row>
    <row r="2020" ht="11.4" hidden="1" customHeight="1" spans="1:24">
      <c r="A2020" s="184" t="s">
        <v>3199</v>
      </c>
      <c r="B2020" s="184" t="s">
        <v>127</v>
      </c>
      <c r="C2020" s="184" t="s">
        <v>1101</v>
      </c>
      <c r="D2020" s="185" t="s">
        <v>704</v>
      </c>
      <c r="E2020" s="186" t="s">
        <v>906</v>
      </c>
      <c r="F2020" s="186" t="s">
        <v>907</v>
      </c>
      <c r="G2020" s="186" t="s">
        <v>1102</v>
      </c>
      <c r="H2020" s="186" t="s">
        <v>1806</v>
      </c>
      <c r="I2020" s="187" t="s">
        <v>1825</v>
      </c>
      <c r="J2020" s="187" t="s">
        <v>1826</v>
      </c>
      <c r="K2020" s="188"/>
      <c r="L2020" s="188"/>
      <c r="M2020" s="189" t="s">
        <v>989</v>
      </c>
      <c r="N2020" s="190">
        <v>2221.2</v>
      </c>
      <c r="O2020" s="190">
        <f t="shared" si="251"/>
        <v>2421.11</v>
      </c>
      <c r="P2020" s="191">
        <f t="shared" si="252"/>
        <v>0</v>
      </c>
      <c r="Q2020" s="192">
        <f t="shared" si="253"/>
        <v>0</v>
      </c>
      <c r="R2020" s="193"/>
      <c r="S2020" s="194"/>
      <c r="T2020" s="195">
        <f t="shared" si="254"/>
        <v>0</v>
      </c>
      <c r="U2020" s="195">
        <f t="shared" si="255"/>
        <v>0</v>
      </c>
      <c r="V2020" s="195">
        <f t="shared" si="256"/>
        <v>0</v>
      </c>
      <c r="W2020" s="196" t="e">
        <f t="shared" si="257"/>
        <v>#DIV/0!</v>
      </c>
      <c r="X2020" s="197" t="e">
        <f t="shared" si="258"/>
        <v>#DIV/0!</v>
      </c>
    </row>
    <row r="2021" ht="11.4" hidden="1" customHeight="1" spans="1:24">
      <c r="A2021" s="184" t="s">
        <v>3199</v>
      </c>
      <c r="B2021" s="184" t="s">
        <v>127</v>
      </c>
      <c r="C2021" s="184" t="s">
        <v>1101</v>
      </c>
      <c r="D2021" s="185" t="s">
        <v>704</v>
      </c>
      <c r="E2021" s="186" t="s">
        <v>906</v>
      </c>
      <c r="F2021" s="186" t="s">
        <v>907</v>
      </c>
      <c r="G2021" s="186" t="s">
        <v>1102</v>
      </c>
      <c r="H2021" s="186" t="s">
        <v>1806</v>
      </c>
      <c r="I2021" s="187" t="s">
        <v>1827</v>
      </c>
      <c r="J2021" s="187" t="s">
        <v>1828</v>
      </c>
      <c r="K2021" s="188"/>
      <c r="L2021" s="188"/>
      <c r="M2021" s="189" t="s">
        <v>1500</v>
      </c>
      <c r="N2021" s="190">
        <v>1687.95</v>
      </c>
      <c r="O2021" s="190">
        <f t="shared" si="251"/>
        <v>1839.87</v>
      </c>
      <c r="P2021" s="191">
        <f t="shared" si="252"/>
        <v>0</v>
      </c>
      <c r="Q2021" s="192">
        <f t="shared" si="253"/>
        <v>0</v>
      </c>
      <c r="R2021" s="193"/>
      <c r="S2021" s="194"/>
      <c r="T2021" s="195">
        <f t="shared" si="254"/>
        <v>0</v>
      </c>
      <c r="U2021" s="195">
        <f t="shared" si="255"/>
        <v>0</v>
      </c>
      <c r="V2021" s="195">
        <f t="shared" si="256"/>
        <v>0</v>
      </c>
      <c r="W2021" s="196" t="e">
        <f t="shared" si="257"/>
        <v>#DIV/0!</v>
      </c>
      <c r="X2021" s="197" t="e">
        <f t="shared" si="258"/>
        <v>#DIV/0!</v>
      </c>
    </row>
    <row r="2022" ht="11.4" hidden="1" customHeight="1" spans="1:24">
      <c r="A2022" s="184" t="s">
        <v>3199</v>
      </c>
      <c r="B2022" s="184" t="s">
        <v>127</v>
      </c>
      <c r="C2022" s="184" t="s">
        <v>1101</v>
      </c>
      <c r="D2022" s="185" t="s">
        <v>704</v>
      </c>
      <c r="E2022" s="186" t="s">
        <v>906</v>
      </c>
      <c r="F2022" s="186" t="s">
        <v>907</v>
      </c>
      <c r="G2022" s="186" t="s">
        <v>1102</v>
      </c>
      <c r="H2022" s="186" t="s">
        <v>1806</v>
      </c>
      <c r="I2022" s="187" t="s">
        <v>1829</v>
      </c>
      <c r="J2022" s="187" t="s">
        <v>1830</v>
      </c>
      <c r="K2022" s="188"/>
      <c r="L2022" s="188"/>
      <c r="M2022" s="189" t="s">
        <v>847</v>
      </c>
      <c r="N2022" s="190">
        <v>1204.38</v>
      </c>
      <c r="O2022" s="190">
        <f t="shared" si="251"/>
        <v>1312.77</v>
      </c>
      <c r="P2022" s="191">
        <f t="shared" si="252"/>
        <v>0</v>
      </c>
      <c r="Q2022" s="192">
        <f t="shared" si="253"/>
        <v>0</v>
      </c>
      <c r="R2022" s="193"/>
      <c r="S2022" s="194"/>
      <c r="T2022" s="195">
        <f t="shared" si="254"/>
        <v>0</v>
      </c>
      <c r="U2022" s="195">
        <f t="shared" si="255"/>
        <v>0</v>
      </c>
      <c r="V2022" s="195">
        <f t="shared" si="256"/>
        <v>0</v>
      </c>
      <c r="W2022" s="196" t="e">
        <f t="shared" si="257"/>
        <v>#DIV/0!</v>
      </c>
      <c r="X2022" s="197" t="e">
        <f t="shared" si="258"/>
        <v>#DIV/0!</v>
      </c>
    </row>
    <row r="2023" ht="11.4" hidden="1" customHeight="1" spans="1:24">
      <c r="A2023" s="184" t="s">
        <v>3199</v>
      </c>
      <c r="B2023" s="184" t="s">
        <v>127</v>
      </c>
      <c r="C2023" s="184" t="s">
        <v>1101</v>
      </c>
      <c r="D2023" s="185" t="s">
        <v>704</v>
      </c>
      <c r="E2023" s="186" t="s">
        <v>906</v>
      </c>
      <c r="F2023" s="186" t="s">
        <v>907</v>
      </c>
      <c r="G2023" s="186" t="s">
        <v>1102</v>
      </c>
      <c r="H2023" s="186" t="s">
        <v>1806</v>
      </c>
      <c r="I2023" s="187" t="s">
        <v>1831</v>
      </c>
      <c r="J2023" s="187" t="s">
        <v>1832</v>
      </c>
      <c r="K2023" s="188"/>
      <c r="L2023" s="188"/>
      <c r="M2023" s="189" t="s">
        <v>1500</v>
      </c>
      <c r="N2023" s="190">
        <v>2804.45</v>
      </c>
      <c r="O2023" s="190">
        <f t="shared" si="251"/>
        <v>3056.85</v>
      </c>
      <c r="P2023" s="191">
        <f t="shared" si="252"/>
        <v>0</v>
      </c>
      <c r="Q2023" s="192">
        <f t="shared" si="253"/>
        <v>0</v>
      </c>
      <c r="R2023" s="193"/>
      <c r="S2023" s="194"/>
      <c r="T2023" s="195">
        <f t="shared" si="254"/>
        <v>0</v>
      </c>
      <c r="U2023" s="195">
        <f t="shared" si="255"/>
        <v>0</v>
      </c>
      <c r="V2023" s="195">
        <f t="shared" si="256"/>
        <v>0</v>
      </c>
      <c r="W2023" s="196" t="e">
        <f t="shared" si="257"/>
        <v>#DIV/0!</v>
      </c>
      <c r="X2023" s="197" t="e">
        <f t="shared" si="258"/>
        <v>#DIV/0!</v>
      </c>
    </row>
    <row r="2024" ht="11.4" hidden="1" customHeight="1" spans="1:24">
      <c r="A2024" s="184" t="s">
        <v>3199</v>
      </c>
      <c r="B2024" s="184" t="s">
        <v>127</v>
      </c>
      <c r="C2024" s="184" t="s">
        <v>1101</v>
      </c>
      <c r="D2024" s="185" t="s">
        <v>704</v>
      </c>
      <c r="E2024" s="186" t="s">
        <v>906</v>
      </c>
      <c r="F2024" s="186" t="s">
        <v>907</v>
      </c>
      <c r="G2024" s="186" t="s">
        <v>1102</v>
      </c>
      <c r="H2024" s="186" t="s">
        <v>1806</v>
      </c>
      <c r="I2024" s="187" t="s">
        <v>1833</v>
      </c>
      <c r="J2024" s="187" t="s">
        <v>1834</v>
      </c>
      <c r="K2024" s="188"/>
      <c r="L2024" s="188"/>
      <c r="M2024" s="189" t="s">
        <v>1500</v>
      </c>
      <c r="N2024" s="190">
        <v>2496.45</v>
      </c>
      <c r="O2024" s="190">
        <f t="shared" si="251"/>
        <v>2721.13</v>
      </c>
      <c r="P2024" s="191">
        <f t="shared" si="252"/>
        <v>0</v>
      </c>
      <c r="Q2024" s="192">
        <f t="shared" si="253"/>
        <v>0</v>
      </c>
      <c r="R2024" s="193"/>
      <c r="S2024" s="194"/>
      <c r="T2024" s="195">
        <f t="shared" si="254"/>
        <v>0</v>
      </c>
      <c r="U2024" s="195">
        <f t="shared" si="255"/>
        <v>0</v>
      </c>
      <c r="V2024" s="195">
        <f t="shared" si="256"/>
        <v>0</v>
      </c>
      <c r="W2024" s="196" t="e">
        <f t="shared" si="257"/>
        <v>#DIV/0!</v>
      </c>
      <c r="X2024" s="197" t="e">
        <f t="shared" si="258"/>
        <v>#DIV/0!</v>
      </c>
    </row>
    <row r="2025" ht="11.4" hidden="1" customHeight="1" spans="1:24">
      <c r="A2025" s="184" t="s">
        <v>3199</v>
      </c>
      <c r="B2025" s="184" t="s">
        <v>127</v>
      </c>
      <c r="C2025" s="184" t="s">
        <v>1101</v>
      </c>
      <c r="D2025" s="185" t="s">
        <v>704</v>
      </c>
      <c r="E2025" s="186" t="s">
        <v>906</v>
      </c>
      <c r="F2025" s="186" t="s">
        <v>907</v>
      </c>
      <c r="G2025" s="186" t="s">
        <v>1102</v>
      </c>
      <c r="H2025" s="186" t="s">
        <v>1806</v>
      </c>
      <c r="I2025" s="187" t="s">
        <v>1835</v>
      </c>
      <c r="J2025" s="187" t="s">
        <v>1836</v>
      </c>
      <c r="K2025" s="188"/>
      <c r="L2025" s="188"/>
      <c r="M2025" s="189" t="s">
        <v>1837</v>
      </c>
      <c r="N2025" s="190">
        <v>1332.65</v>
      </c>
      <c r="O2025" s="190">
        <f t="shared" si="251"/>
        <v>1452.59</v>
      </c>
      <c r="P2025" s="191">
        <f t="shared" si="252"/>
        <v>0</v>
      </c>
      <c r="Q2025" s="192">
        <f t="shared" si="253"/>
        <v>0</v>
      </c>
      <c r="R2025" s="193"/>
      <c r="S2025" s="194"/>
      <c r="T2025" s="195">
        <f t="shared" si="254"/>
        <v>0</v>
      </c>
      <c r="U2025" s="195">
        <f t="shared" si="255"/>
        <v>0</v>
      </c>
      <c r="V2025" s="195">
        <f t="shared" si="256"/>
        <v>0</v>
      </c>
      <c r="W2025" s="196" t="e">
        <f t="shared" si="257"/>
        <v>#DIV/0!</v>
      </c>
      <c r="X2025" s="197" t="e">
        <f t="shared" si="258"/>
        <v>#DIV/0!</v>
      </c>
    </row>
    <row r="2026" ht="11.4" hidden="1" customHeight="1" spans="1:24">
      <c r="A2026" s="184" t="s">
        <v>3199</v>
      </c>
      <c r="B2026" s="184" t="s">
        <v>127</v>
      </c>
      <c r="C2026" s="184" t="s">
        <v>1101</v>
      </c>
      <c r="D2026" s="185" t="s">
        <v>704</v>
      </c>
      <c r="E2026" s="186" t="s">
        <v>906</v>
      </c>
      <c r="F2026" s="186" t="s">
        <v>907</v>
      </c>
      <c r="G2026" s="186" t="s">
        <v>1102</v>
      </c>
      <c r="H2026" s="186" t="s">
        <v>1806</v>
      </c>
      <c r="I2026" s="187" t="s">
        <v>1838</v>
      </c>
      <c r="J2026" s="187" t="s">
        <v>1839</v>
      </c>
      <c r="K2026" s="188"/>
      <c r="L2026" s="188"/>
      <c r="M2026" s="189" t="s">
        <v>1837</v>
      </c>
      <c r="N2026" s="190">
        <v>689.15</v>
      </c>
      <c r="O2026" s="190">
        <f t="shared" si="251"/>
        <v>751.17</v>
      </c>
      <c r="P2026" s="191">
        <f t="shared" si="252"/>
        <v>0</v>
      </c>
      <c r="Q2026" s="192">
        <f t="shared" si="253"/>
        <v>0</v>
      </c>
      <c r="R2026" s="193"/>
      <c r="S2026" s="194"/>
      <c r="T2026" s="195">
        <f t="shared" si="254"/>
        <v>0</v>
      </c>
      <c r="U2026" s="195">
        <f t="shared" si="255"/>
        <v>0</v>
      </c>
      <c r="V2026" s="195">
        <f t="shared" si="256"/>
        <v>0</v>
      </c>
      <c r="W2026" s="196" t="e">
        <f t="shared" si="257"/>
        <v>#DIV/0!</v>
      </c>
      <c r="X2026" s="197" t="e">
        <f t="shared" si="258"/>
        <v>#DIV/0!</v>
      </c>
    </row>
    <row r="2027" ht="11.4" hidden="1" customHeight="1" spans="1:24">
      <c r="A2027" s="184" t="s">
        <v>3199</v>
      </c>
      <c r="B2027" s="184" t="s">
        <v>127</v>
      </c>
      <c r="C2027" s="184" t="s">
        <v>1101</v>
      </c>
      <c r="D2027" s="185" t="s">
        <v>704</v>
      </c>
      <c r="E2027" s="186" t="s">
        <v>906</v>
      </c>
      <c r="F2027" s="186" t="s">
        <v>907</v>
      </c>
      <c r="G2027" s="186" t="s">
        <v>1102</v>
      </c>
      <c r="H2027" s="186" t="s">
        <v>1806</v>
      </c>
      <c r="I2027" s="187" t="s">
        <v>1840</v>
      </c>
      <c r="J2027" s="187" t="s">
        <v>1841</v>
      </c>
      <c r="K2027" s="188"/>
      <c r="L2027" s="188"/>
      <c r="M2027" s="189" t="s">
        <v>807</v>
      </c>
      <c r="N2027" s="190">
        <v>76.08</v>
      </c>
      <c r="O2027" s="190">
        <f t="shared" si="251"/>
        <v>82.93</v>
      </c>
      <c r="P2027" s="191">
        <f t="shared" si="252"/>
        <v>0</v>
      </c>
      <c r="Q2027" s="192">
        <f t="shared" si="253"/>
        <v>0</v>
      </c>
      <c r="R2027" s="193"/>
      <c r="S2027" s="194"/>
      <c r="T2027" s="195">
        <f t="shared" si="254"/>
        <v>0</v>
      </c>
      <c r="U2027" s="195">
        <f t="shared" si="255"/>
        <v>0</v>
      </c>
      <c r="V2027" s="195">
        <f t="shared" si="256"/>
        <v>0</v>
      </c>
      <c r="W2027" s="196" t="e">
        <f t="shared" si="257"/>
        <v>#DIV/0!</v>
      </c>
      <c r="X2027" s="197" t="e">
        <f t="shared" si="258"/>
        <v>#DIV/0!</v>
      </c>
    </row>
    <row r="2028" ht="11.4" hidden="1" customHeight="1" spans="1:24">
      <c r="A2028" s="184" t="s">
        <v>3199</v>
      </c>
      <c r="B2028" s="184" t="s">
        <v>127</v>
      </c>
      <c r="C2028" s="184" t="s">
        <v>1101</v>
      </c>
      <c r="D2028" s="185" t="s">
        <v>704</v>
      </c>
      <c r="E2028" s="186" t="s">
        <v>906</v>
      </c>
      <c r="F2028" s="186" t="s">
        <v>907</v>
      </c>
      <c r="G2028" s="186" t="s">
        <v>1102</v>
      </c>
      <c r="H2028" s="186" t="s">
        <v>1806</v>
      </c>
      <c r="I2028" s="187" t="s">
        <v>1495</v>
      </c>
      <c r="J2028" s="187" t="s">
        <v>1496</v>
      </c>
      <c r="K2028" s="188"/>
      <c r="L2028" s="188"/>
      <c r="M2028" s="189" t="s">
        <v>807</v>
      </c>
      <c r="N2028" s="190">
        <v>114.14</v>
      </c>
      <c r="O2028" s="190">
        <f t="shared" si="251"/>
        <v>124.41</v>
      </c>
      <c r="P2028" s="191">
        <f t="shared" si="252"/>
        <v>0</v>
      </c>
      <c r="Q2028" s="192">
        <f t="shared" si="253"/>
        <v>0</v>
      </c>
      <c r="R2028" s="193"/>
      <c r="S2028" s="194"/>
      <c r="T2028" s="195">
        <f t="shared" si="254"/>
        <v>0</v>
      </c>
      <c r="U2028" s="195">
        <f t="shared" si="255"/>
        <v>0</v>
      </c>
      <c r="V2028" s="195">
        <f t="shared" si="256"/>
        <v>0</v>
      </c>
      <c r="W2028" s="196" t="e">
        <f t="shared" si="257"/>
        <v>#DIV/0!</v>
      </c>
      <c r="X2028" s="197" t="e">
        <f t="shared" si="258"/>
        <v>#DIV/0!</v>
      </c>
    </row>
    <row r="2029" ht="11.4" hidden="1" customHeight="1" spans="1:24">
      <c r="A2029" s="184" t="s">
        <v>3199</v>
      </c>
      <c r="B2029" s="184" t="s">
        <v>127</v>
      </c>
      <c r="C2029" s="184" t="s">
        <v>1101</v>
      </c>
      <c r="D2029" s="185" t="s">
        <v>704</v>
      </c>
      <c r="E2029" s="186" t="s">
        <v>906</v>
      </c>
      <c r="F2029" s="186" t="s">
        <v>907</v>
      </c>
      <c r="G2029" s="186" t="s">
        <v>1102</v>
      </c>
      <c r="H2029" s="186" t="s">
        <v>1806</v>
      </c>
      <c r="I2029" s="187" t="s">
        <v>1842</v>
      </c>
      <c r="J2029" s="187" t="s">
        <v>1843</v>
      </c>
      <c r="K2029" s="188"/>
      <c r="L2029" s="188"/>
      <c r="M2029" s="189" t="s">
        <v>847</v>
      </c>
      <c r="N2029" s="190">
        <v>46.31</v>
      </c>
      <c r="O2029" s="190">
        <f t="shared" si="251"/>
        <v>50.48</v>
      </c>
      <c r="P2029" s="191">
        <f t="shared" si="252"/>
        <v>0</v>
      </c>
      <c r="Q2029" s="192">
        <f t="shared" si="253"/>
        <v>0</v>
      </c>
      <c r="R2029" s="193"/>
      <c r="S2029" s="194"/>
      <c r="T2029" s="195">
        <f t="shared" si="254"/>
        <v>0</v>
      </c>
      <c r="U2029" s="195">
        <f t="shared" si="255"/>
        <v>0</v>
      </c>
      <c r="V2029" s="195">
        <f t="shared" si="256"/>
        <v>0</v>
      </c>
      <c r="W2029" s="196" t="e">
        <f t="shared" si="257"/>
        <v>#DIV/0!</v>
      </c>
      <c r="X2029" s="197" t="e">
        <f t="shared" si="258"/>
        <v>#DIV/0!</v>
      </c>
    </row>
    <row r="2030" ht="11.4" hidden="1" customHeight="1" spans="1:24">
      <c r="A2030" s="184" t="s">
        <v>3199</v>
      </c>
      <c r="B2030" s="184" t="s">
        <v>127</v>
      </c>
      <c r="C2030" s="184" t="s">
        <v>1101</v>
      </c>
      <c r="D2030" s="185" t="s">
        <v>704</v>
      </c>
      <c r="E2030" s="186" t="s">
        <v>906</v>
      </c>
      <c r="F2030" s="186" t="s">
        <v>907</v>
      </c>
      <c r="G2030" s="186" t="s">
        <v>1102</v>
      </c>
      <c r="H2030" s="186" t="s">
        <v>1806</v>
      </c>
      <c r="I2030" s="187" t="s">
        <v>1844</v>
      </c>
      <c r="J2030" s="187" t="s">
        <v>1845</v>
      </c>
      <c r="K2030" s="188"/>
      <c r="L2030" s="188"/>
      <c r="M2030" s="189" t="s">
        <v>847</v>
      </c>
      <c r="N2030" s="190">
        <v>284.15</v>
      </c>
      <c r="O2030" s="190">
        <f t="shared" si="251"/>
        <v>309.72</v>
      </c>
      <c r="P2030" s="191">
        <f t="shared" si="252"/>
        <v>0</v>
      </c>
      <c r="Q2030" s="192">
        <f t="shared" si="253"/>
        <v>0</v>
      </c>
      <c r="R2030" s="193"/>
      <c r="S2030" s="194"/>
      <c r="T2030" s="195">
        <f t="shared" si="254"/>
        <v>0</v>
      </c>
      <c r="U2030" s="195">
        <f t="shared" si="255"/>
        <v>0</v>
      </c>
      <c r="V2030" s="195">
        <f t="shared" si="256"/>
        <v>0</v>
      </c>
      <c r="W2030" s="196" t="e">
        <f t="shared" si="257"/>
        <v>#DIV/0!</v>
      </c>
      <c r="X2030" s="197" t="e">
        <f t="shared" si="258"/>
        <v>#DIV/0!</v>
      </c>
    </row>
    <row r="2031" ht="11.4" hidden="1" customHeight="1" spans="1:24">
      <c r="A2031" s="184" t="s">
        <v>3199</v>
      </c>
      <c r="B2031" s="184" t="s">
        <v>127</v>
      </c>
      <c r="C2031" s="184" t="s">
        <v>1101</v>
      </c>
      <c r="D2031" s="185" t="s">
        <v>704</v>
      </c>
      <c r="E2031" s="186" t="s">
        <v>906</v>
      </c>
      <c r="F2031" s="186" t="s">
        <v>907</v>
      </c>
      <c r="G2031" s="186" t="s">
        <v>1102</v>
      </c>
      <c r="H2031" s="186" t="s">
        <v>1806</v>
      </c>
      <c r="I2031" s="187" t="s">
        <v>1846</v>
      </c>
      <c r="J2031" s="187" t="s">
        <v>1847</v>
      </c>
      <c r="K2031" s="188"/>
      <c r="L2031" s="188"/>
      <c r="M2031" s="189" t="s">
        <v>847</v>
      </c>
      <c r="N2031" s="190">
        <v>648</v>
      </c>
      <c r="O2031" s="190">
        <f t="shared" si="251"/>
        <v>706.32</v>
      </c>
      <c r="P2031" s="191">
        <f t="shared" si="252"/>
        <v>0</v>
      </c>
      <c r="Q2031" s="192">
        <f t="shared" si="253"/>
        <v>0</v>
      </c>
      <c r="R2031" s="193"/>
      <c r="S2031" s="194"/>
      <c r="T2031" s="195">
        <f t="shared" si="254"/>
        <v>0</v>
      </c>
      <c r="U2031" s="195">
        <f t="shared" si="255"/>
        <v>0</v>
      </c>
      <c r="V2031" s="195">
        <f t="shared" si="256"/>
        <v>0</v>
      </c>
      <c r="W2031" s="196" t="e">
        <f t="shared" si="257"/>
        <v>#DIV/0!</v>
      </c>
      <c r="X2031" s="197" t="e">
        <f t="shared" si="258"/>
        <v>#DIV/0!</v>
      </c>
    </row>
    <row r="2032" ht="11.4" hidden="1" customHeight="1" spans="1:24">
      <c r="A2032" s="184" t="s">
        <v>3199</v>
      </c>
      <c r="B2032" s="184" t="s">
        <v>127</v>
      </c>
      <c r="C2032" s="184" t="s">
        <v>1101</v>
      </c>
      <c r="D2032" s="185" t="s">
        <v>704</v>
      </c>
      <c r="E2032" s="186" t="s">
        <v>906</v>
      </c>
      <c r="F2032" s="186" t="s">
        <v>907</v>
      </c>
      <c r="G2032" s="186" t="s">
        <v>1102</v>
      </c>
      <c r="H2032" s="186" t="s">
        <v>1806</v>
      </c>
      <c r="I2032" s="187" t="s">
        <v>1848</v>
      </c>
      <c r="J2032" s="187" t="s">
        <v>1849</v>
      </c>
      <c r="K2032" s="188"/>
      <c r="L2032" s="188"/>
      <c r="M2032" s="189" t="s">
        <v>807</v>
      </c>
      <c r="N2032" s="190">
        <v>75.27</v>
      </c>
      <c r="O2032" s="190">
        <f t="shared" si="251"/>
        <v>82.04</v>
      </c>
      <c r="P2032" s="191">
        <f t="shared" si="252"/>
        <v>0</v>
      </c>
      <c r="Q2032" s="192">
        <f t="shared" si="253"/>
        <v>0</v>
      </c>
      <c r="R2032" s="193"/>
      <c r="S2032" s="194"/>
      <c r="T2032" s="195">
        <f t="shared" si="254"/>
        <v>0</v>
      </c>
      <c r="U2032" s="195">
        <f t="shared" si="255"/>
        <v>0</v>
      </c>
      <c r="V2032" s="195">
        <f t="shared" si="256"/>
        <v>0</v>
      </c>
      <c r="W2032" s="196" t="e">
        <f t="shared" si="257"/>
        <v>#DIV/0!</v>
      </c>
      <c r="X2032" s="197" t="e">
        <f t="shared" si="258"/>
        <v>#DIV/0!</v>
      </c>
    </row>
    <row r="2033" ht="11.4" hidden="1" customHeight="1" spans="1:24">
      <c r="A2033" s="184" t="s">
        <v>3199</v>
      </c>
      <c r="B2033" s="184" t="s">
        <v>127</v>
      </c>
      <c r="C2033" s="184" t="s">
        <v>1101</v>
      </c>
      <c r="D2033" s="185" t="s">
        <v>704</v>
      </c>
      <c r="E2033" s="186" t="s">
        <v>906</v>
      </c>
      <c r="F2033" s="186" t="s">
        <v>907</v>
      </c>
      <c r="G2033" s="186" t="s">
        <v>1102</v>
      </c>
      <c r="H2033" s="186" t="s">
        <v>1806</v>
      </c>
      <c r="I2033" s="187" t="s">
        <v>1851</v>
      </c>
      <c r="J2033" s="187" t="s">
        <v>1852</v>
      </c>
      <c r="K2033" s="188"/>
      <c r="L2033" s="188"/>
      <c r="M2033" s="189" t="s">
        <v>807</v>
      </c>
      <c r="N2033" s="190">
        <v>845.78</v>
      </c>
      <c r="O2033" s="190">
        <f t="shared" si="251"/>
        <v>921.9</v>
      </c>
      <c r="P2033" s="191">
        <f t="shared" si="252"/>
        <v>0</v>
      </c>
      <c r="Q2033" s="192">
        <f t="shared" si="253"/>
        <v>0</v>
      </c>
      <c r="R2033" s="193"/>
      <c r="S2033" s="194"/>
      <c r="T2033" s="195">
        <f t="shared" si="254"/>
        <v>0</v>
      </c>
      <c r="U2033" s="195">
        <f t="shared" si="255"/>
        <v>0</v>
      </c>
      <c r="V2033" s="195">
        <f t="shared" si="256"/>
        <v>0</v>
      </c>
      <c r="W2033" s="196" t="e">
        <f t="shared" si="257"/>
        <v>#DIV/0!</v>
      </c>
      <c r="X2033" s="197" t="e">
        <f t="shared" si="258"/>
        <v>#DIV/0!</v>
      </c>
    </row>
    <row r="2034" ht="11.4" hidden="1" customHeight="1" spans="1:24">
      <c r="A2034" s="184" t="s">
        <v>3199</v>
      </c>
      <c r="B2034" s="184" t="s">
        <v>127</v>
      </c>
      <c r="C2034" s="184" t="s">
        <v>1101</v>
      </c>
      <c r="D2034" s="185" t="s">
        <v>704</v>
      </c>
      <c r="E2034" s="186" t="s">
        <v>906</v>
      </c>
      <c r="F2034" s="186" t="s">
        <v>907</v>
      </c>
      <c r="G2034" s="186" t="s">
        <v>1102</v>
      </c>
      <c r="H2034" s="186" t="s">
        <v>1806</v>
      </c>
      <c r="I2034" s="187" t="s">
        <v>1854</v>
      </c>
      <c r="J2034" s="187" t="s">
        <v>1855</v>
      </c>
      <c r="K2034" s="188"/>
      <c r="L2034" s="188"/>
      <c r="M2034" s="189" t="s">
        <v>1018</v>
      </c>
      <c r="N2034" s="190">
        <v>658.89</v>
      </c>
      <c r="O2034" s="190">
        <f t="shared" si="251"/>
        <v>718.19</v>
      </c>
      <c r="P2034" s="191">
        <f t="shared" si="252"/>
        <v>0</v>
      </c>
      <c r="Q2034" s="192">
        <f t="shared" si="253"/>
        <v>0</v>
      </c>
      <c r="R2034" s="193"/>
      <c r="S2034" s="194"/>
      <c r="T2034" s="195">
        <f t="shared" si="254"/>
        <v>0</v>
      </c>
      <c r="U2034" s="195">
        <f t="shared" si="255"/>
        <v>0</v>
      </c>
      <c r="V2034" s="195">
        <f t="shared" si="256"/>
        <v>0</v>
      </c>
      <c r="W2034" s="196" t="e">
        <f t="shared" si="257"/>
        <v>#DIV/0!</v>
      </c>
      <c r="X2034" s="197" t="e">
        <f t="shared" si="258"/>
        <v>#DIV/0!</v>
      </c>
    </row>
    <row r="2035" ht="11.4" hidden="1" customHeight="1" spans="1:24">
      <c r="A2035" s="184" t="s">
        <v>3199</v>
      </c>
      <c r="B2035" s="184" t="s">
        <v>127</v>
      </c>
      <c r="C2035" s="184" t="s">
        <v>1101</v>
      </c>
      <c r="D2035" s="185" t="s">
        <v>704</v>
      </c>
      <c r="E2035" s="186" t="s">
        <v>906</v>
      </c>
      <c r="F2035" s="186" t="s">
        <v>907</v>
      </c>
      <c r="G2035" s="186" t="s">
        <v>1102</v>
      </c>
      <c r="H2035" s="186" t="s">
        <v>1806</v>
      </c>
      <c r="I2035" s="187" t="s">
        <v>1856</v>
      </c>
      <c r="J2035" s="187" t="s">
        <v>1857</v>
      </c>
      <c r="K2035" s="188"/>
      <c r="L2035" s="188"/>
      <c r="M2035" s="189" t="s">
        <v>793</v>
      </c>
      <c r="N2035" s="190">
        <v>1160</v>
      </c>
      <c r="O2035" s="190">
        <f t="shared" si="251"/>
        <v>1264.4</v>
      </c>
      <c r="P2035" s="191">
        <f t="shared" si="252"/>
        <v>0</v>
      </c>
      <c r="Q2035" s="192">
        <f t="shared" si="253"/>
        <v>0</v>
      </c>
      <c r="R2035" s="193"/>
      <c r="S2035" s="194"/>
      <c r="T2035" s="195">
        <f t="shared" si="254"/>
        <v>0</v>
      </c>
      <c r="U2035" s="195">
        <f t="shared" si="255"/>
        <v>0</v>
      </c>
      <c r="V2035" s="195">
        <f t="shared" si="256"/>
        <v>0</v>
      </c>
      <c r="W2035" s="196" t="e">
        <f t="shared" si="257"/>
        <v>#DIV/0!</v>
      </c>
      <c r="X2035" s="197" t="e">
        <f t="shared" si="258"/>
        <v>#DIV/0!</v>
      </c>
    </row>
    <row r="2036" ht="11.4" hidden="1" customHeight="1" spans="1:24">
      <c r="A2036" s="184" t="s">
        <v>3199</v>
      </c>
      <c r="B2036" s="184" t="s">
        <v>127</v>
      </c>
      <c r="C2036" s="184" t="s">
        <v>1101</v>
      </c>
      <c r="D2036" s="185" t="s">
        <v>704</v>
      </c>
      <c r="E2036" s="186" t="s">
        <v>906</v>
      </c>
      <c r="F2036" s="186" t="s">
        <v>907</v>
      </c>
      <c r="G2036" s="186" t="s">
        <v>1102</v>
      </c>
      <c r="H2036" s="186" t="s">
        <v>1806</v>
      </c>
      <c r="I2036" s="187" t="s">
        <v>1858</v>
      </c>
      <c r="J2036" s="187" t="s">
        <v>1859</v>
      </c>
      <c r="K2036" s="188"/>
      <c r="L2036" s="188"/>
      <c r="M2036" s="189" t="s">
        <v>847</v>
      </c>
      <c r="N2036" s="190">
        <v>54</v>
      </c>
      <c r="O2036" s="190">
        <f t="shared" si="251"/>
        <v>58.86</v>
      </c>
      <c r="P2036" s="191">
        <f t="shared" si="252"/>
        <v>0</v>
      </c>
      <c r="Q2036" s="192">
        <f t="shared" si="253"/>
        <v>0</v>
      </c>
      <c r="R2036" s="193"/>
      <c r="S2036" s="194"/>
      <c r="T2036" s="195">
        <f t="shared" si="254"/>
        <v>0</v>
      </c>
      <c r="U2036" s="195">
        <f t="shared" si="255"/>
        <v>0</v>
      </c>
      <c r="V2036" s="195">
        <f t="shared" si="256"/>
        <v>0</v>
      </c>
      <c r="W2036" s="196" t="e">
        <f t="shared" si="257"/>
        <v>#DIV/0!</v>
      </c>
      <c r="X2036" s="197" t="e">
        <f t="shared" si="258"/>
        <v>#DIV/0!</v>
      </c>
    </row>
    <row r="2037" ht="11.4" hidden="1" customHeight="1" spans="1:24">
      <c r="A2037" s="184" t="s">
        <v>3199</v>
      </c>
      <c r="B2037" s="184" t="s">
        <v>127</v>
      </c>
      <c r="C2037" s="184" t="s">
        <v>1101</v>
      </c>
      <c r="D2037" s="185" t="s">
        <v>704</v>
      </c>
      <c r="E2037" s="186" t="s">
        <v>906</v>
      </c>
      <c r="F2037" s="186" t="s">
        <v>907</v>
      </c>
      <c r="G2037" s="186" t="s">
        <v>1102</v>
      </c>
      <c r="H2037" s="186" t="s">
        <v>1806</v>
      </c>
      <c r="I2037" s="187" t="s">
        <v>1860</v>
      </c>
      <c r="J2037" s="187" t="s">
        <v>1861</v>
      </c>
      <c r="K2037" s="188"/>
      <c r="L2037" s="188"/>
      <c r="M2037" s="189" t="s">
        <v>847</v>
      </c>
      <c r="N2037" s="190">
        <v>89.42</v>
      </c>
      <c r="O2037" s="190">
        <f t="shared" si="251"/>
        <v>97.47</v>
      </c>
      <c r="P2037" s="191">
        <f t="shared" si="252"/>
        <v>0</v>
      </c>
      <c r="Q2037" s="192">
        <f t="shared" si="253"/>
        <v>0</v>
      </c>
      <c r="R2037" s="193"/>
      <c r="S2037" s="194"/>
      <c r="T2037" s="195">
        <f t="shared" si="254"/>
        <v>0</v>
      </c>
      <c r="U2037" s="195">
        <f t="shared" si="255"/>
        <v>0</v>
      </c>
      <c r="V2037" s="195">
        <f t="shared" si="256"/>
        <v>0</v>
      </c>
      <c r="W2037" s="196" t="e">
        <f t="shared" si="257"/>
        <v>#DIV/0!</v>
      </c>
      <c r="X2037" s="197" t="e">
        <f t="shared" si="258"/>
        <v>#DIV/0!</v>
      </c>
    </row>
    <row r="2038" ht="11.4" hidden="1" customHeight="1" spans="1:24">
      <c r="A2038" s="184" t="s">
        <v>3199</v>
      </c>
      <c r="B2038" s="184" t="s">
        <v>127</v>
      </c>
      <c r="C2038" s="184" t="s">
        <v>1101</v>
      </c>
      <c r="D2038" s="185" t="s">
        <v>704</v>
      </c>
      <c r="E2038" s="186" t="s">
        <v>906</v>
      </c>
      <c r="F2038" s="186" t="s">
        <v>907</v>
      </c>
      <c r="G2038" s="186" t="s">
        <v>1102</v>
      </c>
      <c r="H2038" s="186" t="s">
        <v>1806</v>
      </c>
      <c r="I2038" s="187" t="s">
        <v>1862</v>
      </c>
      <c r="J2038" s="187" t="s">
        <v>1863</v>
      </c>
      <c r="K2038" s="188"/>
      <c r="L2038" s="188"/>
      <c r="M2038" s="189" t="s">
        <v>847</v>
      </c>
      <c r="N2038" s="190">
        <v>85.02</v>
      </c>
      <c r="O2038" s="190">
        <f t="shared" si="251"/>
        <v>92.67</v>
      </c>
      <c r="P2038" s="191">
        <f t="shared" si="252"/>
        <v>0</v>
      </c>
      <c r="Q2038" s="192">
        <f t="shared" si="253"/>
        <v>0</v>
      </c>
      <c r="R2038" s="193"/>
      <c r="S2038" s="194"/>
      <c r="T2038" s="195">
        <f t="shared" si="254"/>
        <v>0</v>
      </c>
      <c r="U2038" s="195">
        <f t="shared" si="255"/>
        <v>0</v>
      </c>
      <c r="V2038" s="195">
        <f t="shared" si="256"/>
        <v>0</v>
      </c>
      <c r="W2038" s="196" t="e">
        <f t="shared" si="257"/>
        <v>#DIV/0!</v>
      </c>
      <c r="X2038" s="197" t="e">
        <f t="shared" si="258"/>
        <v>#DIV/0!</v>
      </c>
    </row>
    <row r="2039" ht="11.4" hidden="1" customHeight="1" spans="1:24">
      <c r="A2039" s="184" t="s">
        <v>3199</v>
      </c>
      <c r="B2039" s="184" t="s">
        <v>127</v>
      </c>
      <c r="C2039" s="184" t="s">
        <v>1101</v>
      </c>
      <c r="D2039" s="185" t="s">
        <v>704</v>
      </c>
      <c r="E2039" s="186" t="s">
        <v>906</v>
      </c>
      <c r="F2039" s="186" t="s">
        <v>907</v>
      </c>
      <c r="G2039" s="186" t="s">
        <v>1102</v>
      </c>
      <c r="H2039" s="186" t="s">
        <v>1806</v>
      </c>
      <c r="I2039" s="187" t="s">
        <v>1864</v>
      </c>
      <c r="J2039" s="187" t="s">
        <v>1865</v>
      </c>
      <c r="K2039" s="188"/>
      <c r="L2039" s="188"/>
      <c r="M2039" s="189" t="s">
        <v>847</v>
      </c>
      <c r="N2039" s="190">
        <v>93.63</v>
      </c>
      <c r="O2039" s="190">
        <f t="shared" si="251"/>
        <v>102.06</v>
      </c>
      <c r="P2039" s="191">
        <f t="shared" si="252"/>
        <v>0</v>
      </c>
      <c r="Q2039" s="192">
        <f t="shared" si="253"/>
        <v>0</v>
      </c>
      <c r="R2039" s="193"/>
      <c r="S2039" s="194"/>
      <c r="T2039" s="195">
        <f t="shared" si="254"/>
        <v>0</v>
      </c>
      <c r="U2039" s="195">
        <f t="shared" si="255"/>
        <v>0</v>
      </c>
      <c r="V2039" s="195">
        <f t="shared" si="256"/>
        <v>0</v>
      </c>
      <c r="W2039" s="196" t="e">
        <f t="shared" si="257"/>
        <v>#DIV/0!</v>
      </c>
      <c r="X2039" s="197" t="e">
        <f t="shared" si="258"/>
        <v>#DIV/0!</v>
      </c>
    </row>
    <row r="2040" ht="11.4" hidden="1" customHeight="1" spans="1:24">
      <c r="A2040" s="184" t="s">
        <v>3199</v>
      </c>
      <c r="B2040" s="184" t="s">
        <v>127</v>
      </c>
      <c r="C2040" s="184" t="s">
        <v>1101</v>
      </c>
      <c r="D2040" s="185" t="s">
        <v>704</v>
      </c>
      <c r="E2040" s="186" t="s">
        <v>906</v>
      </c>
      <c r="F2040" s="186" t="s">
        <v>907</v>
      </c>
      <c r="G2040" s="186" t="s">
        <v>1102</v>
      </c>
      <c r="H2040" s="186" t="s">
        <v>1806</v>
      </c>
      <c r="I2040" s="187" t="s">
        <v>1866</v>
      </c>
      <c r="J2040" s="187" t="s">
        <v>1867</v>
      </c>
      <c r="K2040" s="188"/>
      <c r="L2040" s="188"/>
      <c r="M2040" s="189" t="s">
        <v>1018</v>
      </c>
      <c r="N2040" s="190">
        <v>14.17</v>
      </c>
      <c r="O2040" s="190">
        <f t="shared" si="251"/>
        <v>15.45</v>
      </c>
      <c r="P2040" s="191">
        <f t="shared" si="252"/>
        <v>0</v>
      </c>
      <c r="Q2040" s="192">
        <f t="shared" si="253"/>
        <v>0</v>
      </c>
      <c r="R2040" s="193"/>
      <c r="S2040" s="194"/>
      <c r="T2040" s="195">
        <f t="shared" si="254"/>
        <v>0</v>
      </c>
      <c r="U2040" s="195">
        <f t="shared" si="255"/>
        <v>0</v>
      </c>
      <c r="V2040" s="195">
        <f t="shared" si="256"/>
        <v>0</v>
      </c>
      <c r="W2040" s="196" t="e">
        <f t="shared" si="257"/>
        <v>#DIV/0!</v>
      </c>
      <c r="X2040" s="197" t="e">
        <f t="shared" si="258"/>
        <v>#DIV/0!</v>
      </c>
    </row>
    <row r="2041" ht="11.4" hidden="1" customHeight="1" spans="1:24">
      <c r="A2041" s="184" t="s">
        <v>3199</v>
      </c>
      <c r="B2041" s="184" t="s">
        <v>127</v>
      </c>
      <c r="C2041" s="184" t="s">
        <v>1101</v>
      </c>
      <c r="D2041" s="185" t="s">
        <v>704</v>
      </c>
      <c r="E2041" s="186" t="s">
        <v>906</v>
      </c>
      <c r="F2041" s="186" t="s">
        <v>907</v>
      </c>
      <c r="G2041" s="186" t="s">
        <v>1102</v>
      </c>
      <c r="H2041" s="186" t="s">
        <v>1806</v>
      </c>
      <c r="I2041" s="187" t="s">
        <v>1868</v>
      </c>
      <c r="J2041" s="187" t="s">
        <v>1869</v>
      </c>
      <c r="K2041" s="188"/>
      <c r="L2041" s="188"/>
      <c r="M2041" s="189" t="s">
        <v>989</v>
      </c>
      <c r="N2041" s="190">
        <v>794.43</v>
      </c>
      <c r="O2041" s="190">
        <f t="shared" si="251"/>
        <v>865.93</v>
      </c>
      <c r="P2041" s="191">
        <f t="shared" si="252"/>
        <v>0</v>
      </c>
      <c r="Q2041" s="192">
        <f t="shared" si="253"/>
        <v>0</v>
      </c>
      <c r="R2041" s="193"/>
      <c r="S2041" s="194"/>
      <c r="T2041" s="195">
        <f t="shared" si="254"/>
        <v>0</v>
      </c>
      <c r="U2041" s="195">
        <f t="shared" si="255"/>
        <v>0</v>
      </c>
      <c r="V2041" s="195">
        <f t="shared" si="256"/>
        <v>0</v>
      </c>
      <c r="W2041" s="196" t="e">
        <f t="shared" si="257"/>
        <v>#DIV/0!</v>
      </c>
      <c r="X2041" s="197" t="e">
        <f t="shared" si="258"/>
        <v>#DIV/0!</v>
      </c>
    </row>
    <row r="2042" ht="11.4" hidden="1" customHeight="1" spans="1:24">
      <c r="A2042" s="184" t="s">
        <v>3199</v>
      </c>
      <c r="B2042" s="184" t="s">
        <v>127</v>
      </c>
      <c r="C2042" s="184" t="s">
        <v>1101</v>
      </c>
      <c r="D2042" s="185" t="s">
        <v>704</v>
      </c>
      <c r="E2042" s="186" t="s">
        <v>906</v>
      </c>
      <c r="F2042" s="186" t="s">
        <v>907</v>
      </c>
      <c r="G2042" s="186" t="s">
        <v>1102</v>
      </c>
      <c r="H2042" s="186" t="s">
        <v>1806</v>
      </c>
      <c r="I2042" s="187" t="s">
        <v>1870</v>
      </c>
      <c r="J2042" s="187" t="s">
        <v>1871</v>
      </c>
      <c r="K2042" s="188"/>
      <c r="L2042" s="188"/>
      <c r="M2042" s="189" t="s">
        <v>989</v>
      </c>
      <c r="N2042" s="190">
        <v>1467.85</v>
      </c>
      <c r="O2042" s="190">
        <f t="shared" si="251"/>
        <v>1599.96</v>
      </c>
      <c r="P2042" s="191">
        <f t="shared" si="252"/>
        <v>0</v>
      </c>
      <c r="Q2042" s="192">
        <f t="shared" si="253"/>
        <v>0</v>
      </c>
      <c r="R2042" s="193"/>
      <c r="S2042" s="194"/>
      <c r="T2042" s="195">
        <f t="shared" si="254"/>
        <v>0</v>
      </c>
      <c r="U2042" s="195">
        <f t="shared" si="255"/>
        <v>0</v>
      </c>
      <c r="V2042" s="195">
        <f t="shared" si="256"/>
        <v>0</v>
      </c>
      <c r="W2042" s="196" t="e">
        <f t="shared" si="257"/>
        <v>#DIV/0!</v>
      </c>
      <c r="X2042" s="197" t="e">
        <f t="shared" si="258"/>
        <v>#DIV/0!</v>
      </c>
    </row>
    <row r="2043" ht="11.4" hidden="1" customHeight="1" spans="1:24">
      <c r="A2043" s="184" t="s">
        <v>3199</v>
      </c>
      <c r="B2043" s="184" t="s">
        <v>127</v>
      </c>
      <c r="C2043" s="184" t="s">
        <v>1101</v>
      </c>
      <c r="D2043" s="185" t="s">
        <v>704</v>
      </c>
      <c r="E2043" s="186" t="s">
        <v>906</v>
      </c>
      <c r="F2043" s="186" t="s">
        <v>907</v>
      </c>
      <c r="G2043" s="186" t="s">
        <v>1102</v>
      </c>
      <c r="H2043" s="186" t="s">
        <v>1806</v>
      </c>
      <c r="I2043" s="187" t="s">
        <v>1872</v>
      </c>
      <c r="J2043" s="187" t="s">
        <v>1873</v>
      </c>
      <c r="K2043" s="188"/>
      <c r="L2043" s="188"/>
      <c r="M2043" s="189" t="s">
        <v>793</v>
      </c>
      <c r="N2043" s="190">
        <v>1545.16</v>
      </c>
      <c r="O2043" s="190">
        <f t="shared" si="251"/>
        <v>1684.22</v>
      </c>
      <c r="P2043" s="191">
        <f t="shared" si="252"/>
        <v>0</v>
      </c>
      <c r="Q2043" s="192">
        <f t="shared" si="253"/>
        <v>0</v>
      </c>
      <c r="R2043" s="193"/>
      <c r="S2043" s="194"/>
      <c r="T2043" s="195">
        <f t="shared" si="254"/>
        <v>0</v>
      </c>
      <c r="U2043" s="195">
        <f t="shared" si="255"/>
        <v>0</v>
      </c>
      <c r="V2043" s="195">
        <f t="shared" si="256"/>
        <v>0</v>
      </c>
      <c r="W2043" s="196" t="e">
        <f t="shared" si="257"/>
        <v>#DIV/0!</v>
      </c>
      <c r="X2043" s="197" t="e">
        <f t="shared" si="258"/>
        <v>#DIV/0!</v>
      </c>
    </row>
    <row r="2044" ht="11.4" hidden="1" customHeight="1" spans="1:24">
      <c r="A2044" s="184" t="s">
        <v>3199</v>
      </c>
      <c r="B2044" s="184" t="s">
        <v>109</v>
      </c>
      <c r="C2044" s="184" t="s">
        <v>1101</v>
      </c>
      <c r="D2044" s="185" t="s">
        <v>704</v>
      </c>
      <c r="E2044" s="186" t="s">
        <v>906</v>
      </c>
      <c r="F2044" s="186" t="s">
        <v>907</v>
      </c>
      <c r="G2044" s="186" t="s">
        <v>1102</v>
      </c>
      <c r="H2044" s="186" t="s">
        <v>1806</v>
      </c>
      <c r="I2044" s="187" t="s">
        <v>1874</v>
      </c>
      <c r="J2044" s="187" t="s">
        <v>1875</v>
      </c>
      <c r="K2044" s="188"/>
      <c r="L2044" s="188"/>
      <c r="M2044" s="189" t="s">
        <v>1778</v>
      </c>
      <c r="N2044" s="190">
        <v>899</v>
      </c>
      <c r="O2044" s="190">
        <f t="shared" si="251"/>
        <v>979.91</v>
      </c>
      <c r="P2044" s="191">
        <f t="shared" si="252"/>
        <v>0</v>
      </c>
      <c r="Q2044" s="192">
        <f t="shared" si="253"/>
        <v>0</v>
      </c>
      <c r="R2044" s="193"/>
      <c r="S2044" s="194"/>
      <c r="T2044" s="195">
        <f t="shared" si="254"/>
        <v>0</v>
      </c>
      <c r="U2044" s="195">
        <f t="shared" si="255"/>
        <v>0</v>
      </c>
      <c r="V2044" s="195">
        <f t="shared" si="256"/>
        <v>0</v>
      </c>
      <c r="W2044" s="196" t="e">
        <f t="shared" si="257"/>
        <v>#DIV/0!</v>
      </c>
      <c r="X2044" s="197" t="e">
        <f t="shared" si="258"/>
        <v>#DIV/0!</v>
      </c>
    </row>
    <row r="2045" ht="11.4" hidden="1" customHeight="1" spans="1:24">
      <c r="A2045" s="184" t="s">
        <v>3199</v>
      </c>
      <c r="B2045" s="184" t="s">
        <v>127</v>
      </c>
      <c r="C2045" s="184" t="s">
        <v>1101</v>
      </c>
      <c r="D2045" s="185" t="s">
        <v>704</v>
      </c>
      <c r="E2045" s="186" t="s">
        <v>906</v>
      </c>
      <c r="F2045" s="186" t="s">
        <v>907</v>
      </c>
      <c r="G2045" s="186" t="s">
        <v>1102</v>
      </c>
      <c r="H2045" s="186" t="s">
        <v>1806</v>
      </c>
      <c r="I2045" s="187" t="s">
        <v>1876</v>
      </c>
      <c r="J2045" s="187" t="s">
        <v>1877</v>
      </c>
      <c r="K2045" s="188"/>
      <c r="L2045" s="188"/>
      <c r="M2045" s="189" t="s">
        <v>847</v>
      </c>
      <c r="N2045" s="190">
        <v>45.72</v>
      </c>
      <c r="O2045" s="190">
        <f t="shared" si="251"/>
        <v>49.83</v>
      </c>
      <c r="P2045" s="191">
        <f t="shared" si="252"/>
        <v>0</v>
      </c>
      <c r="Q2045" s="192">
        <f t="shared" si="253"/>
        <v>0</v>
      </c>
      <c r="R2045" s="193"/>
      <c r="S2045" s="194"/>
      <c r="T2045" s="195">
        <f t="shared" si="254"/>
        <v>0</v>
      </c>
      <c r="U2045" s="195">
        <f t="shared" si="255"/>
        <v>0</v>
      </c>
      <c r="V2045" s="195">
        <f t="shared" si="256"/>
        <v>0</v>
      </c>
      <c r="W2045" s="196" t="e">
        <f t="shared" si="257"/>
        <v>#DIV/0!</v>
      </c>
      <c r="X2045" s="197" t="e">
        <f t="shared" si="258"/>
        <v>#DIV/0!</v>
      </c>
    </row>
    <row r="2046" ht="11.4" hidden="1" customHeight="1" spans="1:24">
      <c r="A2046" s="184" t="s">
        <v>3200</v>
      </c>
      <c r="B2046" s="184" t="s">
        <v>139</v>
      </c>
      <c r="C2046" s="184" t="s">
        <v>1880</v>
      </c>
      <c r="D2046" s="185" t="s">
        <v>704</v>
      </c>
      <c r="E2046" s="186" t="s">
        <v>906</v>
      </c>
      <c r="F2046" s="186" t="s">
        <v>907</v>
      </c>
      <c r="G2046" s="186" t="s">
        <v>1881</v>
      </c>
      <c r="H2046" s="186" t="s">
        <v>1882</v>
      </c>
      <c r="I2046" s="187" t="s">
        <v>1883</v>
      </c>
      <c r="J2046" s="187" t="s">
        <v>1884</v>
      </c>
      <c r="K2046" s="188"/>
      <c r="L2046" s="188"/>
      <c r="M2046" s="189" t="s">
        <v>793</v>
      </c>
      <c r="N2046" s="190">
        <v>4237.59</v>
      </c>
      <c r="O2046" s="190">
        <f t="shared" si="251"/>
        <v>4618.97</v>
      </c>
      <c r="P2046" s="191">
        <f t="shared" si="252"/>
        <v>0</v>
      </c>
      <c r="Q2046" s="192">
        <f t="shared" si="253"/>
        <v>0</v>
      </c>
      <c r="R2046" s="193"/>
      <c r="S2046" s="194"/>
      <c r="T2046" s="195">
        <f t="shared" si="254"/>
        <v>0</v>
      </c>
      <c r="U2046" s="195">
        <f t="shared" si="255"/>
        <v>0</v>
      </c>
      <c r="V2046" s="195">
        <f t="shared" si="256"/>
        <v>0</v>
      </c>
      <c r="W2046" s="196" t="e">
        <f t="shared" si="257"/>
        <v>#DIV/0!</v>
      </c>
      <c r="X2046" s="197" t="e">
        <f t="shared" si="258"/>
        <v>#DIV/0!</v>
      </c>
    </row>
    <row r="2047" ht="11.4" hidden="1" customHeight="1" spans="1:24">
      <c r="A2047" s="184" t="s">
        <v>3200</v>
      </c>
      <c r="B2047" s="184" t="s">
        <v>139</v>
      </c>
      <c r="C2047" s="184" t="s">
        <v>1880</v>
      </c>
      <c r="D2047" s="185" t="s">
        <v>704</v>
      </c>
      <c r="E2047" s="186" t="s">
        <v>906</v>
      </c>
      <c r="F2047" s="186" t="s">
        <v>907</v>
      </c>
      <c r="G2047" s="186" t="s">
        <v>1881</v>
      </c>
      <c r="H2047" s="186" t="s">
        <v>1882</v>
      </c>
      <c r="I2047" s="187" t="s">
        <v>1885</v>
      </c>
      <c r="J2047" s="187" t="s">
        <v>1886</v>
      </c>
      <c r="K2047" s="188"/>
      <c r="L2047" s="188"/>
      <c r="M2047" s="189" t="s">
        <v>793</v>
      </c>
      <c r="N2047" s="190">
        <v>1859</v>
      </c>
      <c r="O2047" s="190">
        <f t="shared" si="251"/>
        <v>2026.31</v>
      </c>
      <c r="P2047" s="191">
        <f t="shared" si="252"/>
        <v>0</v>
      </c>
      <c r="Q2047" s="192">
        <f t="shared" si="253"/>
        <v>0</v>
      </c>
      <c r="R2047" s="193"/>
      <c r="S2047" s="194"/>
      <c r="T2047" s="195">
        <f t="shared" si="254"/>
        <v>0</v>
      </c>
      <c r="U2047" s="195">
        <f t="shared" si="255"/>
        <v>0</v>
      </c>
      <c r="V2047" s="195">
        <f t="shared" si="256"/>
        <v>0</v>
      </c>
      <c r="W2047" s="196" t="e">
        <f t="shared" si="257"/>
        <v>#DIV/0!</v>
      </c>
      <c r="X2047" s="197" t="e">
        <f t="shared" si="258"/>
        <v>#DIV/0!</v>
      </c>
    </row>
    <row r="2048" ht="11.4" hidden="1" customHeight="1" spans="1:24">
      <c r="A2048" s="184" t="s">
        <v>3200</v>
      </c>
      <c r="B2048" s="184" t="s">
        <v>139</v>
      </c>
      <c r="C2048" s="184" t="s">
        <v>1880</v>
      </c>
      <c r="D2048" s="185" t="s">
        <v>704</v>
      </c>
      <c r="E2048" s="186" t="s">
        <v>906</v>
      </c>
      <c r="F2048" s="186" t="s">
        <v>907</v>
      </c>
      <c r="G2048" s="186" t="s">
        <v>1881</v>
      </c>
      <c r="H2048" s="186" t="s">
        <v>1882</v>
      </c>
      <c r="I2048" s="187" t="s">
        <v>1887</v>
      </c>
      <c r="J2048" s="187" t="s">
        <v>1888</v>
      </c>
      <c r="K2048" s="188"/>
      <c r="L2048" s="188"/>
      <c r="M2048" s="189" t="s">
        <v>793</v>
      </c>
      <c r="N2048" s="190">
        <v>1850</v>
      </c>
      <c r="O2048" s="190">
        <f t="shared" si="251"/>
        <v>2016.5</v>
      </c>
      <c r="P2048" s="191">
        <f t="shared" si="252"/>
        <v>0</v>
      </c>
      <c r="Q2048" s="192">
        <f t="shared" si="253"/>
        <v>0</v>
      </c>
      <c r="R2048" s="193"/>
      <c r="S2048" s="194"/>
      <c r="T2048" s="195">
        <f t="shared" si="254"/>
        <v>0</v>
      </c>
      <c r="U2048" s="195">
        <f t="shared" si="255"/>
        <v>0</v>
      </c>
      <c r="V2048" s="195">
        <f t="shared" si="256"/>
        <v>0</v>
      </c>
      <c r="W2048" s="196" t="e">
        <f t="shared" si="257"/>
        <v>#DIV/0!</v>
      </c>
      <c r="X2048" s="197" t="e">
        <f t="shared" si="258"/>
        <v>#DIV/0!</v>
      </c>
    </row>
    <row r="2049" ht="11.4" hidden="1" customHeight="1" spans="1:24">
      <c r="A2049" s="184" t="s">
        <v>3200</v>
      </c>
      <c r="B2049" s="184" t="s">
        <v>139</v>
      </c>
      <c r="C2049" s="184" t="s">
        <v>1880</v>
      </c>
      <c r="D2049" s="185" t="s">
        <v>704</v>
      </c>
      <c r="E2049" s="186" t="s">
        <v>906</v>
      </c>
      <c r="F2049" s="186" t="s">
        <v>907</v>
      </c>
      <c r="G2049" s="186" t="s">
        <v>1881</v>
      </c>
      <c r="H2049" s="186" t="s">
        <v>1882</v>
      </c>
      <c r="I2049" s="187" t="s">
        <v>1889</v>
      </c>
      <c r="J2049" s="187" t="s">
        <v>1890</v>
      </c>
      <c r="K2049" s="188"/>
      <c r="L2049" s="188"/>
      <c r="M2049" s="189" t="s">
        <v>793</v>
      </c>
      <c r="N2049" s="190"/>
      <c r="O2049" s="190">
        <f t="shared" si="251"/>
        <v>0</v>
      </c>
      <c r="P2049" s="191">
        <f t="shared" si="252"/>
        <v>0</v>
      </c>
      <c r="Q2049" s="192">
        <f t="shared" si="253"/>
        <v>0</v>
      </c>
      <c r="R2049" s="193"/>
      <c r="S2049" s="194"/>
      <c r="T2049" s="195">
        <f t="shared" si="254"/>
        <v>0</v>
      </c>
      <c r="U2049" s="195">
        <f t="shared" si="255"/>
        <v>0</v>
      </c>
      <c r="V2049" s="195">
        <f t="shared" si="256"/>
        <v>0</v>
      </c>
      <c r="W2049" s="196" t="e">
        <f t="shared" si="257"/>
        <v>#DIV/0!</v>
      </c>
      <c r="X2049" s="197" t="e">
        <f t="shared" si="258"/>
        <v>#DIV/0!</v>
      </c>
    </row>
    <row r="2050" ht="11.4" hidden="1" customHeight="1" spans="1:24">
      <c r="A2050" s="184" t="s">
        <v>3200</v>
      </c>
      <c r="B2050" s="184" t="s">
        <v>139</v>
      </c>
      <c r="C2050" s="184" t="s">
        <v>1880</v>
      </c>
      <c r="D2050" s="185" t="s">
        <v>704</v>
      </c>
      <c r="E2050" s="186" t="s">
        <v>906</v>
      </c>
      <c r="F2050" s="186" t="s">
        <v>907</v>
      </c>
      <c r="G2050" s="186" t="s">
        <v>1881</v>
      </c>
      <c r="H2050" s="186" t="s">
        <v>1891</v>
      </c>
      <c r="I2050" s="187" t="s">
        <v>1892</v>
      </c>
      <c r="J2050" s="187" t="s">
        <v>1893</v>
      </c>
      <c r="K2050" s="188"/>
      <c r="L2050" s="188"/>
      <c r="M2050" s="189" t="s">
        <v>1778</v>
      </c>
      <c r="N2050" s="190">
        <v>486.16</v>
      </c>
      <c r="O2050" s="190">
        <f t="shared" si="251"/>
        <v>529.91</v>
      </c>
      <c r="P2050" s="191">
        <f t="shared" si="252"/>
        <v>0</v>
      </c>
      <c r="Q2050" s="192">
        <f t="shared" si="253"/>
        <v>0</v>
      </c>
      <c r="R2050" s="193"/>
      <c r="S2050" s="194"/>
      <c r="T2050" s="195">
        <f t="shared" si="254"/>
        <v>0</v>
      </c>
      <c r="U2050" s="195">
        <f t="shared" si="255"/>
        <v>0</v>
      </c>
      <c r="V2050" s="195">
        <f t="shared" si="256"/>
        <v>0</v>
      </c>
      <c r="W2050" s="196" t="e">
        <f t="shared" si="257"/>
        <v>#DIV/0!</v>
      </c>
      <c r="X2050" s="197" t="e">
        <f t="shared" si="258"/>
        <v>#DIV/0!</v>
      </c>
    </row>
    <row r="2051" ht="11.4" hidden="1" customHeight="1" spans="1:24">
      <c r="A2051" s="184" t="s">
        <v>3200</v>
      </c>
      <c r="B2051" s="184" t="s">
        <v>139</v>
      </c>
      <c r="C2051" s="184" t="s">
        <v>1880</v>
      </c>
      <c r="D2051" s="185" t="s">
        <v>704</v>
      </c>
      <c r="E2051" s="186" t="s">
        <v>906</v>
      </c>
      <c r="F2051" s="186" t="s">
        <v>907</v>
      </c>
      <c r="G2051" s="186" t="s">
        <v>1881</v>
      </c>
      <c r="H2051" s="186" t="s">
        <v>1891</v>
      </c>
      <c r="I2051" s="187" t="s">
        <v>1895</v>
      </c>
      <c r="J2051" s="187" t="s">
        <v>1896</v>
      </c>
      <c r="K2051" s="188"/>
      <c r="L2051" s="188"/>
      <c r="M2051" s="189" t="s">
        <v>1018</v>
      </c>
      <c r="N2051" s="190">
        <v>105.21</v>
      </c>
      <c r="O2051" s="190">
        <f t="shared" si="251"/>
        <v>114.68</v>
      </c>
      <c r="P2051" s="191">
        <f t="shared" si="252"/>
        <v>0</v>
      </c>
      <c r="Q2051" s="192">
        <f t="shared" si="253"/>
        <v>0</v>
      </c>
      <c r="R2051" s="193"/>
      <c r="S2051" s="194"/>
      <c r="T2051" s="195">
        <f t="shared" si="254"/>
        <v>0</v>
      </c>
      <c r="U2051" s="195">
        <f t="shared" si="255"/>
        <v>0</v>
      </c>
      <c r="V2051" s="195">
        <f t="shared" si="256"/>
        <v>0</v>
      </c>
      <c r="W2051" s="196" t="e">
        <f t="shared" si="257"/>
        <v>#DIV/0!</v>
      </c>
      <c r="X2051" s="197" t="e">
        <f t="shared" si="258"/>
        <v>#DIV/0!</v>
      </c>
    </row>
    <row r="2052" ht="11.4" hidden="1" customHeight="1" spans="1:24">
      <c r="A2052" s="184" t="s">
        <v>3200</v>
      </c>
      <c r="B2052" s="184" t="s">
        <v>139</v>
      </c>
      <c r="C2052" s="184" t="s">
        <v>1880</v>
      </c>
      <c r="D2052" s="185" t="s">
        <v>704</v>
      </c>
      <c r="E2052" s="186" t="s">
        <v>906</v>
      </c>
      <c r="F2052" s="186" t="s">
        <v>907</v>
      </c>
      <c r="G2052" s="186" t="s">
        <v>1881</v>
      </c>
      <c r="H2052" s="186" t="s">
        <v>1891</v>
      </c>
      <c r="I2052" s="187" t="s">
        <v>1897</v>
      </c>
      <c r="J2052" s="187" t="s">
        <v>1898</v>
      </c>
      <c r="K2052" s="188"/>
      <c r="L2052" s="188"/>
      <c r="M2052" s="189" t="s">
        <v>1778</v>
      </c>
      <c r="N2052" s="190">
        <v>511.41</v>
      </c>
      <c r="O2052" s="190">
        <f t="shared" si="251"/>
        <v>557.44</v>
      </c>
      <c r="P2052" s="191">
        <f t="shared" si="252"/>
        <v>0</v>
      </c>
      <c r="Q2052" s="192">
        <f t="shared" si="253"/>
        <v>0</v>
      </c>
      <c r="R2052" s="193"/>
      <c r="S2052" s="194"/>
      <c r="T2052" s="195">
        <f t="shared" si="254"/>
        <v>0</v>
      </c>
      <c r="U2052" s="195">
        <f t="shared" si="255"/>
        <v>0</v>
      </c>
      <c r="V2052" s="195">
        <f t="shared" si="256"/>
        <v>0</v>
      </c>
      <c r="W2052" s="196" t="e">
        <f t="shared" si="257"/>
        <v>#DIV/0!</v>
      </c>
      <c r="X2052" s="197" t="e">
        <f t="shared" si="258"/>
        <v>#DIV/0!</v>
      </c>
    </row>
    <row r="2053" ht="11.4" hidden="1" customHeight="1" spans="1:24">
      <c r="A2053" s="184" t="s">
        <v>3200</v>
      </c>
      <c r="B2053" s="184" t="s">
        <v>139</v>
      </c>
      <c r="C2053" s="184" t="s">
        <v>1880</v>
      </c>
      <c r="D2053" s="185" t="s">
        <v>704</v>
      </c>
      <c r="E2053" s="186" t="s">
        <v>906</v>
      </c>
      <c r="F2053" s="186" t="s">
        <v>907</v>
      </c>
      <c r="G2053" s="186" t="s">
        <v>1881</v>
      </c>
      <c r="H2053" s="186" t="s">
        <v>1891</v>
      </c>
      <c r="I2053" s="187" t="s">
        <v>1899</v>
      </c>
      <c r="J2053" s="187" t="s">
        <v>1900</v>
      </c>
      <c r="K2053" s="188"/>
      <c r="L2053" s="188"/>
      <c r="M2053" s="189" t="s">
        <v>1018</v>
      </c>
      <c r="N2053" s="190">
        <v>105.85</v>
      </c>
      <c r="O2053" s="190">
        <f t="shared" si="251"/>
        <v>115.38</v>
      </c>
      <c r="P2053" s="191">
        <f t="shared" si="252"/>
        <v>0</v>
      </c>
      <c r="Q2053" s="192">
        <f t="shared" si="253"/>
        <v>0</v>
      </c>
      <c r="R2053" s="193"/>
      <c r="S2053" s="194"/>
      <c r="T2053" s="195">
        <f t="shared" si="254"/>
        <v>0</v>
      </c>
      <c r="U2053" s="195">
        <f t="shared" si="255"/>
        <v>0</v>
      </c>
      <c r="V2053" s="195">
        <f t="shared" si="256"/>
        <v>0</v>
      </c>
      <c r="W2053" s="196" t="e">
        <f t="shared" si="257"/>
        <v>#DIV/0!</v>
      </c>
      <c r="X2053" s="197" t="e">
        <f t="shared" si="258"/>
        <v>#DIV/0!</v>
      </c>
    </row>
    <row r="2054" ht="11.4" hidden="1" customHeight="1" spans="1:24">
      <c r="A2054" s="184" t="s">
        <v>3200</v>
      </c>
      <c r="B2054" s="184" t="s">
        <v>139</v>
      </c>
      <c r="C2054" s="184" t="s">
        <v>1880</v>
      </c>
      <c r="D2054" s="185" t="s">
        <v>704</v>
      </c>
      <c r="E2054" s="186" t="s">
        <v>906</v>
      </c>
      <c r="F2054" s="186" t="s">
        <v>907</v>
      </c>
      <c r="G2054" s="186" t="s">
        <v>1881</v>
      </c>
      <c r="H2054" s="186" t="s">
        <v>1891</v>
      </c>
      <c r="I2054" s="187" t="s">
        <v>1901</v>
      </c>
      <c r="J2054" s="187" t="s">
        <v>1902</v>
      </c>
      <c r="K2054" s="188"/>
      <c r="L2054" s="188"/>
      <c r="M2054" s="189" t="s">
        <v>1018</v>
      </c>
      <c r="N2054" s="190">
        <v>82.71</v>
      </c>
      <c r="O2054" s="190">
        <f t="shared" si="251"/>
        <v>90.15</v>
      </c>
      <c r="P2054" s="191">
        <f t="shared" si="252"/>
        <v>0</v>
      </c>
      <c r="Q2054" s="192">
        <f t="shared" si="253"/>
        <v>0</v>
      </c>
      <c r="R2054" s="193"/>
      <c r="S2054" s="194"/>
      <c r="T2054" s="195">
        <f t="shared" si="254"/>
        <v>0</v>
      </c>
      <c r="U2054" s="195">
        <f t="shared" si="255"/>
        <v>0</v>
      </c>
      <c r="V2054" s="195">
        <f t="shared" si="256"/>
        <v>0</v>
      </c>
      <c r="W2054" s="196" t="e">
        <f t="shared" si="257"/>
        <v>#DIV/0!</v>
      </c>
      <c r="X2054" s="197" t="e">
        <f t="shared" si="258"/>
        <v>#DIV/0!</v>
      </c>
    </row>
    <row r="2055" ht="11.4" hidden="1" customHeight="1" spans="1:24">
      <c r="A2055" s="184" t="s">
        <v>3200</v>
      </c>
      <c r="B2055" s="184" t="s">
        <v>139</v>
      </c>
      <c r="C2055" s="184" t="s">
        <v>1880</v>
      </c>
      <c r="D2055" s="185" t="s">
        <v>704</v>
      </c>
      <c r="E2055" s="186" t="s">
        <v>906</v>
      </c>
      <c r="F2055" s="186" t="s">
        <v>907</v>
      </c>
      <c r="G2055" s="186" t="s">
        <v>1881</v>
      </c>
      <c r="H2055" s="186" t="s">
        <v>1891</v>
      </c>
      <c r="I2055" s="187" t="s">
        <v>1904</v>
      </c>
      <c r="J2055" s="187" t="s">
        <v>1905</v>
      </c>
      <c r="K2055" s="188"/>
      <c r="L2055" s="188"/>
      <c r="M2055" s="189" t="s">
        <v>1018</v>
      </c>
      <c r="N2055" s="190">
        <v>536.25</v>
      </c>
      <c r="O2055" s="190">
        <f t="shared" si="251"/>
        <v>584.51</v>
      </c>
      <c r="P2055" s="191">
        <f t="shared" si="252"/>
        <v>0</v>
      </c>
      <c r="Q2055" s="192">
        <f t="shared" si="253"/>
        <v>0</v>
      </c>
      <c r="R2055" s="193"/>
      <c r="S2055" s="194"/>
      <c r="T2055" s="195">
        <f t="shared" si="254"/>
        <v>0</v>
      </c>
      <c r="U2055" s="195">
        <f t="shared" si="255"/>
        <v>0</v>
      </c>
      <c r="V2055" s="195">
        <f t="shared" si="256"/>
        <v>0</v>
      </c>
      <c r="W2055" s="196" t="e">
        <f t="shared" si="257"/>
        <v>#DIV/0!</v>
      </c>
      <c r="X2055" s="197" t="e">
        <f t="shared" si="258"/>
        <v>#DIV/0!</v>
      </c>
    </row>
    <row r="2056" ht="11.4" hidden="1" customHeight="1" spans="1:24">
      <c r="A2056" s="184" t="s">
        <v>3200</v>
      </c>
      <c r="B2056" s="184" t="s">
        <v>139</v>
      </c>
      <c r="C2056" s="184" t="s">
        <v>1880</v>
      </c>
      <c r="D2056" s="185" t="s">
        <v>704</v>
      </c>
      <c r="E2056" s="186" t="s">
        <v>906</v>
      </c>
      <c r="F2056" s="186" t="s">
        <v>907</v>
      </c>
      <c r="G2056" s="186" t="s">
        <v>1881</v>
      </c>
      <c r="H2056" s="186" t="s">
        <v>1891</v>
      </c>
      <c r="I2056" s="187" t="s">
        <v>1906</v>
      </c>
      <c r="J2056" s="187" t="s">
        <v>1907</v>
      </c>
      <c r="K2056" s="188"/>
      <c r="L2056" s="188"/>
      <c r="M2056" s="189" t="s">
        <v>1018</v>
      </c>
      <c r="N2056" s="190">
        <v>453.75</v>
      </c>
      <c r="O2056" s="190">
        <f t="shared" si="251"/>
        <v>494.59</v>
      </c>
      <c r="P2056" s="191">
        <f t="shared" si="252"/>
        <v>0</v>
      </c>
      <c r="Q2056" s="192">
        <f t="shared" si="253"/>
        <v>0</v>
      </c>
      <c r="R2056" s="193"/>
      <c r="S2056" s="194"/>
      <c r="T2056" s="195">
        <f t="shared" si="254"/>
        <v>0</v>
      </c>
      <c r="U2056" s="195">
        <f t="shared" si="255"/>
        <v>0</v>
      </c>
      <c r="V2056" s="195">
        <f t="shared" si="256"/>
        <v>0</v>
      </c>
      <c r="W2056" s="196" t="e">
        <f t="shared" si="257"/>
        <v>#DIV/0!</v>
      </c>
      <c r="X2056" s="197" t="e">
        <f t="shared" si="258"/>
        <v>#DIV/0!</v>
      </c>
    </row>
    <row r="2057" ht="11.4" hidden="1" customHeight="1" spans="1:24">
      <c r="A2057" s="184" t="s">
        <v>3200</v>
      </c>
      <c r="B2057" s="184" t="s">
        <v>139</v>
      </c>
      <c r="C2057" s="184" t="s">
        <v>1880</v>
      </c>
      <c r="D2057" s="185" t="s">
        <v>704</v>
      </c>
      <c r="E2057" s="186" t="s">
        <v>906</v>
      </c>
      <c r="F2057" s="186" t="s">
        <v>907</v>
      </c>
      <c r="G2057" s="186" t="s">
        <v>1881</v>
      </c>
      <c r="H2057" s="186" t="s">
        <v>1891</v>
      </c>
      <c r="I2057" s="187" t="s">
        <v>1908</v>
      </c>
      <c r="J2057" s="187" t="s">
        <v>1909</v>
      </c>
      <c r="K2057" s="188"/>
      <c r="L2057" s="188"/>
      <c r="M2057" s="189" t="s">
        <v>1018</v>
      </c>
      <c r="N2057" s="190">
        <v>1088.45</v>
      </c>
      <c r="O2057" s="190">
        <f t="shared" si="251"/>
        <v>1186.41</v>
      </c>
      <c r="P2057" s="191">
        <f t="shared" si="252"/>
        <v>0</v>
      </c>
      <c r="Q2057" s="192">
        <f t="shared" si="253"/>
        <v>0</v>
      </c>
      <c r="R2057" s="193"/>
      <c r="S2057" s="194"/>
      <c r="T2057" s="195">
        <f t="shared" si="254"/>
        <v>0</v>
      </c>
      <c r="U2057" s="195">
        <f t="shared" si="255"/>
        <v>0</v>
      </c>
      <c r="V2057" s="195">
        <f t="shared" si="256"/>
        <v>0</v>
      </c>
      <c r="W2057" s="196" t="e">
        <f t="shared" si="257"/>
        <v>#DIV/0!</v>
      </c>
      <c r="X2057" s="197" t="e">
        <f t="shared" si="258"/>
        <v>#DIV/0!</v>
      </c>
    </row>
    <row r="2058" ht="11.4" hidden="1" customHeight="1" spans="1:24">
      <c r="A2058" s="184" t="s">
        <v>3200</v>
      </c>
      <c r="B2058" s="184" t="s">
        <v>139</v>
      </c>
      <c r="C2058" s="184" t="s">
        <v>1880</v>
      </c>
      <c r="D2058" s="185" t="s">
        <v>704</v>
      </c>
      <c r="E2058" s="186" t="s">
        <v>906</v>
      </c>
      <c r="F2058" s="186" t="s">
        <v>907</v>
      </c>
      <c r="G2058" s="186" t="s">
        <v>1881</v>
      </c>
      <c r="H2058" s="186" t="s">
        <v>1891</v>
      </c>
      <c r="I2058" s="187" t="s">
        <v>1910</v>
      </c>
      <c r="J2058" s="187" t="s">
        <v>1911</v>
      </c>
      <c r="K2058" s="188"/>
      <c r="L2058" s="188"/>
      <c r="M2058" s="189" t="s">
        <v>1018</v>
      </c>
      <c r="N2058" s="190">
        <v>359.26</v>
      </c>
      <c r="O2058" s="190">
        <f t="shared" si="251"/>
        <v>391.59</v>
      </c>
      <c r="P2058" s="191">
        <f t="shared" si="252"/>
        <v>0</v>
      </c>
      <c r="Q2058" s="192">
        <f t="shared" si="253"/>
        <v>0</v>
      </c>
      <c r="R2058" s="193"/>
      <c r="S2058" s="194"/>
      <c r="T2058" s="195">
        <f t="shared" si="254"/>
        <v>0</v>
      </c>
      <c r="U2058" s="195">
        <f t="shared" si="255"/>
        <v>0</v>
      </c>
      <c r="V2058" s="195">
        <f t="shared" si="256"/>
        <v>0</v>
      </c>
      <c r="W2058" s="196" t="e">
        <f t="shared" si="257"/>
        <v>#DIV/0!</v>
      </c>
      <c r="X2058" s="197" t="e">
        <f t="shared" si="258"/>
        <v>#DIV/0!</v>
      </c>
    </row>
    <row r="2059" ht="11.4" hidden="1" customHeight="1" spans="1:24">
      <c r="A2059" s="184" t="s">
        <v>3200</v>
      </c>
      <c r="B2059" s="184" t="s">
        <v>139</v>
      </c>
      <c r="C2059" s="184" t="s">
        <v>1880</v>
      </c>
      <c r="D2059" s="185" t="s">
        <v>704</v>
      </c>
      <c r="E2059" s="186" t="s">
        <v>906</v>
      </c>
      <c r="F2059" s="186" t="s">
        <v>907</v>
      </c>
      <c r="G2059" s="186" t="s">
        <v>1881</v>
      </c>
      <c r="H2059" s="186" t="s">
        <v>1891</v>
      </c>
      <c r="I2059" s="187" t="s">
        <v>1912</v>
      </c>
      <c r="J2059" s="187" t="s">
        <v>1913</v>
      </c>
      <c r="K2059" s="188"/>
      <c r="L2059" s="188"/>
      <c r="M2059" s="189" t="s">
        <v>1018</v>
      </c>
      <c r="N2059" s="190">
        <v>708.28</v>
      </c>
      <c r="O2059" s="190">
        <f t="shared" si="251"/>
        <v>772.03</v>
      </c>
      <c r="P2059" s="191">
        <f t="shared" si="252"/>
        <v>0</v>
      </c>
      <c r="Q2059" s="192">
        <f t="shared" si="253"/>
        <v>0</v>
      </c>
      <c r="R2059" s="193"/>
      <c r="S2059" s="194"/>
      <c r="T2059" s="195">
        <f t="shared" si="254"/>
        <v>0</v>
      </c>
      <c r="U2059" s="195">
        <f t="shared" si="255"/>
        <v>0</v>
      </c>
      <c r="V2059" s="195">
        <f t="shared" si="256"/>
        <v>0</v>
      </c>
      <c r="W2059" s="196" t="e">
        <f t="shared" si="257"/>
        <v>#DIV/0!</v>
      </c>
      <c r="X2059" s="197" t="e">
        <f t="shared" si="258"/>
        <v>#DIV/0!</v>
      </c>
    </row>
    <row r="2060" ht="11.4" hidden="1" customHeight="1" spans="1:24">
      <c r="A2060" s="184" t="s">
        <v>3200</v>
      </c>
      <c r="B2060" s="184" t="s">
        <v>139</v>
      </c>
      <c r="C2060" s="184" t="s">
        <v>1880</v>
      </c>
      <c r="D2060" s="185" t="s">
        <v>704</v>
      </c>
      <c r="E2060" s="186" t="s">
        <v>906</v>
      </c>
      <c r="F2060" s="186" t="s">
        <v>907</v>
      </c>
      <c r="G2060" s="186" t="s">
        <v>1881</v>
      </c>
      <c r="H2060" s="186" t="s">
        <v>1891</v>
      </c>
      <c r="I2060" s="187" t="s">
        <v>1914</v>
      </c>
      <c r="J2060" s="187" t="s">
        <v>1915</v>
      </c>
      <c r="K2060" s="188"/>
      <c r="L2060" s="188"/>
      <c r="M2060" s="189" t="s">
        <v>1018</v>
      </c>
      <c r="N2060" s="190">
        <v>535.04</v>
      </c>
      <c r="O2060" s="190">
        <f t="shared" si="251"/>
        <v>583.19</v>
      </c>
      <c r="P2060" s="191">
        <f t="shared" si="252"/>
        <v>0</v>
      </c>
      <c r="Q2060" s="192">
        <f t="shared" si="253"/>
        <v>0</v>
      </c>
      <c r="R2060" s="193"/>
      <c r="S2060" s="194"/>
      <c r="T2060" s="195">
        <f t="shared" si="254"/>
        <v>0</v>
      </c>
      <c r="U2060" s="195">
        <f t="shared" si="255"/>
        <v>0</v>
      </c>
      <c r="V2060" s="195">
        <f t="shared" si="256"/>
        <v>0</v>
      </c>
      <c r="W2060" s="196" t="e">
        <f t="shared" si="257"/>
        <v>#DIV/0!</v>
      </c>
      <c r="X2060" s="197" t="e">
        <f t="shared" si="258"/>
        <v>#DIV/0!</v>
      </c>
    </row>
    <row r="2061" ht="11.4" hidden="1" customHeight="1" spans="1:24">
      <c r="A2061" s="184" t="s">
        <v>3200</v>
      </c>
      <c r="B2061" s="184" t="s">
        <v>139</v>
      </c>
      <c r="C2061" s="184" t="s">
        <v>1880</v>
      </c>
      <c r="D2061" s="185" t="s">
        <v>704</v>
      </c>
      <c r="E2061" s="186" t="s">
        <v>906</v>
      </c>
      <c r="F2061" s="186" t="s">
        <v>907</v>
      </c>
      <c r="G2061" s="186" t="s">
        <v>1881</v>
      </c>
      <c r="H2061" s="186" t="s">
        <v>1891</v>
      </c>
      <c r="I2061" s="187" t="s">
        <v>1916</v>
      </c>
      <c r="J2061" s="187" t="s">
        <v>1917</v>
      </c>
      <c r="K2061" s="188"/>
      <c r="L2061" s="188"/>
      <c r="M2061" s="189" t="s">
        <v>1018</v>
      </c>
      <c r="N2061" s="190">
        <v>752.5</v>
      </c>
      <c r="O2061" s="190">
        <f t="shared" ref="O2061:O2124" si="259">ROUND(N2061*(1+$F$10),2)</f>
        <v>820.23</v>
      </c>
      <c r="P2061" s="191">
        <f t="shared" ref="P2061:P2124" si="260">ROUND(K2061*N2061,2)</f>
        <v>0</v>
      </c>
      <c r="Q2061" s="192">
        <f t="shared" si="253"/>
        <v>0</v>
      </c>
      <c r="R2061" s="193"/>
      <c r="S2061" s="194"/>
      <c r="T2061" s="195">
        <f t="shared" si="254"/>
        <v>0</v>
      </c>
      <c r="U2061" s="195">
        <f t="shared" si="255"/>
        <v>0</v>
      </c>
      <c r="V2061" s="195">
        <f t="shared" si="256"/>
        <v>0</v>
      </c>
      <c r="W2061" s="196" t="e">
        <f t="shared" si="257"/>
        <v>#DIV/0!</v>
      </c>
      <c r="X2061" s="197" t="e">
        <f t="shared" si="258"/>
        <v>#DIV/0!</v>
      </c>
    </row>
    <row r="2062" ht="11.4" hidden="1" customHeight="1" spans="1:24">
      <c r="A2062" s="184" t="s">
        <v>3200</v>
      </c>
      <c r="B2062" s="184" t="s">
        <v>139</v>
      </c>
      <c r="C2062" s="184" t="s">
        <v>1880</v>
      </c>
      <c r="D2062" s="185" t="s">
        <v>704</v>
      </c>
      <c r="E2062" s="186" t="s">
        <v>906</v>
      </c>
      <c r="F2062" s="186" t="s">
        <v>907</v>
      </c>
      <c r="G2062" s="186" t="s">
        <v>1881</v>
      </c>
      <c r="H2062" s="186" t="s">
        <v>1891</v>
      </c>
      <c r="I2062" s="187" t="s">
        <v>1918</v>
      </c>
      <c r="J2062" s="187" t="s">
        <v>1919</v>
      </c>
      <c r="K2062" s="188"/>
      <c r="L2062" s="188"/>
      <c r="M2062" s="189" t="s">
        <v>1018</v>
      </c>
      <c r="N2062" s="190">
        <v>2692.88</v>
      </c>
      <c r="O2062" s="190">
        <f t="shared" si="259"/>
        <v>2935.24</v>
      </c>
      <c r="P2062" s="191">
        <f t="shared" si="260"/>
        <v>0</v>
      </c>
      <c r="Q2062" s="192">
        <f t="shared" ref="Q2062:Q2125" si="261">ROUND(L2062*N2062,2)</f>
        <v>0</v>
      </c>
      <c r="R2062" s="193"/>
      <c r="S2062" s="194"/>
      <c r="T2062" s="195">
        <f t="shared" ref="T2062:T2125" si="262">K2062-L2062</f>
        <v>0</v>
      </c>
      <c r="U2062" s="195">
        <f t="shared" ref="U2062:U2125" si="263">P2062-Q2062</f>
        <v>0</v>
      </c>
      <c r="V2062" s="195">
        <f t="shared" ref="V2062:V2125" si="264">ABS(U2062)</f>
        <v>0</v>
      </c>
      <c r="W2062" s="196" t="e">
        <f t="shared" ref="W2062:W2125" si="265">T2062/L2062</f>
        <v>#DIV/0!</v>
      </c>
      <c r="X2062" s="197" t="e">
        <f t="shared" ref="X2062:X2125" si="266">ABS(W2062)</f>
        <v>#DIV/0!</v>
      </c>
    </row>
    <row r="2063" ht="11.4" hidden="1" customHeight="1" spans="1:24">
      <c r="A2063" s="184" t="s">
        <v>3200</v>
      </c>
      <c r="B2063" s="184" t="s">
        <v>139</v>
      </c>
      <c r="C2063" s="184" t="s">
        <v>1880</v>
      </c>
      <c r="D2063" s="185" t="s">
        <v>704</v>
      </c>
      <c r="E2063" s="186" t="s">
        <v>906</v>
      </c>
      <c r="F2063" s="186" t="s">
        <v>907</v>
      </c>
      <c r="G2063" s="186" t="s">
        <v>1881</v>
      </c>
      <c r="H2063" s="186" t="s">
        <v>1891</v>
      </c>
      <c r="I2063" s="187" t="s">
        <v>1920</v>
      </c>
      <c r="J2063" s="187" t="s">
        <v>1921</v>
      </c>
      <c r="K2063" s="188"/>
      <c r="L2063" s="188"/>
      <c r="M2063" s="189" t="s">
        <v>1018</v>
      </c>
      <c r="N2063" s="190">
        <v>1626.1</v>
      </c>
      <c r="O2063" s="190">
        <f t="shared" si="259"/>
        <v>1772.45</v>
      </c>
      <c r="P2063" s="191">
        <f t="shared" si="260"/>
        <v>0</v>
      </c>
      <c r="Q2063" s="192">
        <f t="shared" si="261"/>
        <v>0</v>
      </c>
      <c r="R2063" s="193"/>
      <c r="S2063" s="194"/>
      <c r="T2063" s="195">
        <f t="shared" si="262"/>
        <v>0</v>
      </c>
      <c r="U2063" s="195">
        <f t="shared" si="263"/>
        <v>0</v>
      </c>
      <c r="V2063" s="195">
        <f t="shared" si="264"/>
        <v>0</v>
      </c>
      <c r="W2063" s="196" t="e">
        <f t="shared" si="265"/>
        <v>#DIV/0!</v>
      </c>
      <c r="X2063" s="197" t="e">
        <f t="shared" si="266"/>
        <v>#DIV/0!</v>
      </c>
    </row>
    <row r="2064" ht="11.4" hidden="1" customHeight="1" spans="1:24">
      <c r="A2064" s="184" t="s">
        <v>3200</v>
      </c>
      <c r="B2064" s="184" t="s">
        <v>139</v>
      </c>
      <c r="C2064" s="184" t="s">
        <v>1880</v>
      </c>
      <c r="D2064" s="185" t="s">
        <v>704</v>
      </c>
      <c r="E2064" s="186" t="s">
        <v>906</v>
      </c>
      <c r="F2064" s="186" t="s">
        <v>907</v>
      </c>
      <c r="G2064" s="186" t="s">
        <v>1881</v>
      </c>
      <c r="H2064" s="186" t="s">
        <v>1891</v>
      </c>
      <c r="I2064" s="187" t="s">
        <v>1922</v>
      </c>
      <c r="J2064" s="187" t="s">
        <v>1923</v>
      </c>
      <c r="K2064" s="188"/>
      <c r="L2064" s="188"/>
      <c r="M2064" s="189" t="s">
        <v>1018</v>
      </c>
      <c r="N2064" s="190">
        <v>1626.1</v>
      </c>
      <c r="O2064" s="190">
        <f t="shared" si="259"/>
        <v>1772.45</v>
      </c>
      <c r="P2064" s="191">
        <f t="shared" si="260"/>
        <v>0</v>
      </c>
      <c r="Q2064" s="192">
        <f t="shared" si="261"/>
        <v>0</v>
      </c>
      <c r="R2064" s="193"/>
      <c r="S2064" s="194"/>
      <c r="T2064" s="195">
        <f t="shared" si="262"/>
        <v>0</v>
      </c>
      <c r="U2064" s="195">
        <f t="shared" si="263"/>
        <v>0</v>
      </c>
      <c r="V2064" s="195">
        <f t="shared" si="264"/>
        <v>0</v>
      </c>
      <c r="W2064" s="196" t="e">
        <f t="shared" si="265"/>
        <v>#DIV/0!</v>
      </c>
      <c r="X2064" s="197" t="e">
        <f t="shared" si="266"/>
        <v>#DIV/0!</v>
      </c>
    </row>
    <row r="2065" ht="11.4" hidden="1" customHeight="1" spans="1:24">
      <c r="A2065" s="184" t="s">
        <v>3200</v>
      </c>
      <c r="B2065" s="184" t="s">
        <v>139</v>
      </c>
      <c r="C2065" s="184" t="s">
        <v>1880</v>
      </c>
      <c r="D2065" s="185" t="s">
        <v>704</v>
      </c>
      <c r="E2065" s="186" t="s">
        <v>906</v>
      </c>
      <c r="F2065" s="186" t="s">
        <v>907</v>
      </c>
      <c r="G2065" s="186" t="s">
        <v>1881</v>
      </c>
      <c r="H2065" s="186" t="s">
        <v>1891</v>
      </c>
      <c r="I2065" s="187" t="s">
        <v>1924</v>
      </c>
      <c r="J2065" s="187" t="s">
        <v>1925</v>
      </c>
      <c r="K2065" s="188"/>
      <c r="L2065" s="188"/>
      <c r="M2065" s="189" t="s">
        <v>1018</v>
      </c>
      <c r="N2065" s="190">
        <v>1632.71</v>
      </c>
      <c r="O2065" s="190">
        <f t="shared" si="259"/>
        <v>1779.65</v>
      </c>
      <c r="P2065" s="191">
        <f t="shared" si="260"/>
        <v>0</v>
      </c>
      <c r="Q2065" s="192">
        <f t="shared" si="261"/>
        <v>0</v>
      </c>
      <c r="R2065" s="193"/>
      <c r="S2065" s="194"/>
      <c r="T2065" s="195">
        <f t="shared" si="262"/>
        <v>0</v>
      </c>
      <c r="U2065" s="195">
        <f t="shared" si="263"/>
        <v>0</v>
      </c>
      <c r="V2065" s="195">
        <f t="shared" si="264"/>
        <v>0</v>
      </c>
      <c r="W2065" s="196" t="e">
        <f t="shared" si="265"/>
        <v>#DIV/0!</v>
      </c>
      <c r="X2065" s="197" t="e">
        <f t="shared" si="266"/>
        <v>#DIV/0!</v>
      </c>
    </row>
    <row r="2066" ht="11.4" hidden="1" customHeight="1" spans="1:24">
      <c r="A2066" s="184" t="s">
        <v>3200</v>
      </c>
      <c r="B2066" s="184" t="s">
        <v>139</v>
      </c>
      <c r="C2066" s="184" t="s">
        <v>1880</v>
      </c>
      <c r="D2066" s="185" t="s">
        <v>704</v>
      </c>
      <c r="E2066" s="186" t="s">
        <v>906</v>
      </c>
      <c r="F2066" s="186" t="s">
        <v>907</v>
      </c>
      <c r="G2066" s="186" t="s">
        <v>1881</v>
      </c>
      <c r="H2066" s="186" t="s">
        <v>1891</v>
      </c>
      <c r="I2066" s="187" t="s">
        <v>1926</v>
      </c>
      <c r="J2066" s="187" t="s">
        <v>1927</v>
      </c>
      <c r="K2066" s="188"/>
      <c r="L2066" s="188"/>
      <c r="M2066" s="189" t="s">
        <v>1018</v>
      </c>
      <c r="N2066" s="190">
        <v>2782.08</v>
      </c>
      <c r="O2066" s="190">
        <f t="shared" si="259"/>
        <v>3032.47</v>
      </c>
      <c r="P2066" s="191">
        <f t="shared" si="260"/>
        <v>0</v>
      </c>
      <c r="Q2066" s="192">
        <f t="shared" si="261"/>
        <v>0</v>
      </c>
      <c r="R2066" s="193"/>
      <c r="S2066" s="194"/>
      <c r="T2066" s="195">
        <f t="shared" si="262"/>
        <v>0</v>
      </c>
      <c r="U2066" s="195">
        <f t="shared" si="263"/>
        <v>0</v>
      </c>
      <c r="V2066" s="195">
        <f t="shared" si="264"/>
        <v>0</v>
      </c>
      <c r="W2066" s="196" t="e">
        <f t="shared" si="265"/>
        <v>#DIV/0!</v>
      </c>
      <c r="X2066" s="197" t="e">
        <f t="shared" si="266"/>
        <v>#DIV/0!</v>
      </c>
    </row>
    <row r="2067" ht="11.4" hidden="1" customHeight="1" spans="1:24">
      <c r="A2067" s="184" t="s">
        <v>3200</v>
      </c>
      <c r="B2067" s="184" t="s">
        <v>139</v>
      </c>
      <c r="C2067" s="184" t="s">
        <v>1880</v>
      </c>
      <c r="D2067" s="185" t="s">
        <v>704</v>
      </c>
      <c r="E2067" s="186" t="s">
        <v>906</v>
      </c>
      <c r="F2067" s="186" t="s">
        <v>907</v>
      </c>
      <c r="G2067" s="186" t="s">
        <v>1881</v>
      </c>
      <c r="H2067" s="186" t="s">
        <v>1891</v>
      </c>
      <c r="I2067" s="187" t="s">
        <v>1928</v>
      </c>
      <c r="J2067" s="187" t="s">
        <v>1929</v>
      </c>
      <c r="K2067" s="188"/>
      <c r="L2067" s="188"/>
      <c r="M2067" s="189" t="s">
        <v>807</v>
      </c>
      <c r="N2067" s="190">
        <v>34.6</v>
      </c>
      <c r="O2067" s="190">
        <f t="shared" si="259"/>
        <v>37.71</v>
      </c>
      <c r="P2067" s="191">
        <f t="shared" si="260"/>
        <v>0</v>
      </c>
      <c r="Q2067" s="192">
        <f t="shared" si="261"/>
        <v>0</v>
      </c>
      <c r="R2067" s="193"/>
      <c r="S2067" s="194"/>
      <c r="T2067" s="195">
        <f t="shared" si="262"/>
        <v>0</v>
      </c>
      <c r="U2067" s="195">
        <f t="shared" si="263"/>
        <v>0</v>
      </c>
      <c r="V2067" s="195">
        <f t="shared" si="264"/>
        <v>0</v>
      </c>
      <c r="W2067" s="196" t="e">
        <f t="shared" si="265"/>
        <v>#DIV/0!</v>
      </c>
      <c r="X2067" s="197" t="e">
        <f t="shared" si="266"/>
        <v>#DIV/0!</v>
      </c>
    </row>
    <row r="2068" ht="11.4" hidden="1" customHeight="1" spans="1:24">
      <c r="A2068" s="184" t="s">
        <v>3200</v>
      </c>
      <c r="B2068" s="184" t="s">
        <v>139</v>
      </c>
      <c r="C2068" s="184" t="s">
        <v>1880</v>
      </c>
      <c r="D2068" s="185" t="s">
        <v>704</v>
      </c>
      <c r="E2068" s="186" t="s">
        <v>906</v>
      </c>
      <c r="F2068" s="186" t="s">
        <v>907</v>
      </c>
      <c r="G2068" s="186" t="s">
        <v>1881</v>
      </c>
      <c r="H2068" s="186" t="s">
        <v>1891</v>
      </c>
      <c r="I2068" s="187" t="s">
        <v>1930</v>
      </c>
      <c r="J2068" s="187" t="s">
        <v>1931</v>
      </c>
      <c r="K2068" s="188"/>
      <c r="L2068" s="188"/>
      <c r="M2068" s="189" t="s">
        <v>807</v>
      </c>
      <c r="N2068" s="190">
        <v>34.6</v>
      </c>
      <c r="O2068" s="190">
        <f t="shared" si="259"/>
        <v>37.71</v>
      </c>
      <c r="P2068" s="191">
        <f t="shared" si="260"/>
        <v>0</v>
      </c>
      <c r="Q2068" s="192">
        <f t="shared" si="261"/>
        <v>0</v>
      </c>
      <c r="R2068" s="193"/>
      <c r="S2068" s="194"/>
      <c r="T2068" s="195">
        <f t="shared" si="262"/>
        <v>0</v>
      </c>
      <c r="U2068" s="195">
        <f t="shared" si="263"/>
        <v>0</v>
      </c>
      <c r="V2068" s="195">
        <f t="shared" si="264"/>
        <v>0</v>
      </c>
      <c r="W2068" s="196" t="e">
        <f t="shared" si="265"/>
        <v>#DIV/0!</v>
      </c>
      <c r="X2068" s="197" t="e">
        <f t="shared" si="266"/>
        <v>#DIV/0!</v>
      </c>
    </row>
    <row r="2069" ht="11.4" hidden="1" customHeight="1" spans="1:24">
      <c r="A2069" s="184" t="s">
        <v>3200</v>
      </c>
      <c r="B2069" s="184" t="s">
        <v>139</v>
      </c>
      <c r="C2069" s="184" t="s">
        <v>1880</v>
      </c>
      <c r="D2069" s="185" t="s">
        <v>704</v>
      </c>
      <c r="E2069" s="186" t="s">
        <v>906</v>
      </c>
      <c r="F2069" s="186" t="s">
        <v>907</v>
      </c>
      <c r="G2069" s="186" t="s">
        <v>1881</v>
      </c>
      <c r="H2069" s="186" t="s">
        <v>1891</v>
      </c>
      <c r="I2069" s="187" t="s">
        <v>1933</v>
      </c>
      <c r="J2069" s="187" t="s">
        <v>1934</v>
      </c>
      <c r="K2069" s="188"/>
      <c r="L2069" s="188"/>
      <c r="M2069" s="189" t="s">
        <v>1018</v>
      </c>
      <c r="N2069" s="190">
        <v>711.58</v>
      </c>
      <c r="O2069" s="190">
        <f t="shared" si="259"/>
        <v>775.62</v>
      </c>
      <c r="P2069" s="191">
        <f t="shared" si="260"/>
        <v>0</v>
      </c>
      <c r="Q2069" s="192">
        <f t="shared" si="261"/>
        <v>0</v>
      </c>
      <c r="R2069" s="193"/>
      <c r="S2069" s="194"/>
      <c r="T2069" s="195">
        <f t="shared" si="262"/>
        <v>0</v>
      </c>
      <c r="U2069" s="195">
        <f t="shared" si="263"/>
        <v>0</v>
      </c>
      <c r="V2069" s="195">
        <f t="shared" si="264"/>
        <v>0</v>
      </c>
      <c r="W2069" s="196" t="e">
        <f t="shared" si="265"/>
        <v>#DIV/0!</v>
      </c>
      <c r="X2069" s="197" t="e">
        <f t="shared" si="266"/>
        <v>#DIV/0!</v>
      </c>
    </row>
    <row r="2070" ht="11.4" hidden="1" customHeight="1" spans="1:24">
      <c r="A2070" s="184" t="s">
        <v>3200</v>
      </c>
      <c r="B2070" s="184" t="s">
        <v>139</v>
      </c>
      <c r="C2070" s="184" t="s">
        <v>1880</v>
      </c>
      <c r="D2070" s="185" t="s">
        <v>704</v>
      </c>
      <c r="E2070" s="186" t="s">
        <v>906</v>
      </c>
      <c r="F2070" s="186" t="s">
        <v>907</v>
      </c>
      <c r="G2070" s="186" t="s">
        <v>1881</v>
      </c>
      <c r="H2070" s="186" t="s">
        <v>1891</v>
      </c>
      <c r="I2070" s="187" t="s">
        <v>1935</v>
      </c>
      <c r="J2070" s="187" t="s">
        <v>1936</v>
      </c>
      <c r="K2070" s="188"/>
      <c r="L2070" s="188"/>
      <c r="M2070" s="189" t="s">
        <v>1018</v>
      </c>
      <c r="N2070" s="190">
        <v>560.34</v>
      </c>
      <c r="O2070" s="190">
        <f t="shared" si="259"/>
        <v>610.77</v>
      </c>
      <c r="P2070" s="191">
        <f t="shared" si="260"/>
        <v>0</v>
      </c>
      <c r="Q2070" s="192">
        <f t="shared" si="261"/>
        <v>0</v>
      </c>
      <c r="R2070" s="193"/>
      <c r="S2070" s="194"/>
      <c r="T2070" s="195">
        <f t="shared" si="262"/>
        <v>0</v>
      </c>
      <c r="U2070" s="195">
        <f t="shared" si="263"/>
        <v>0</v>
      </c>
      <c r="V2070" s="195">
        <f t="shared" si="264"/>
        <v>0</v>
      </c>
      <c r="W2070" s="196" t="e">
        <f t="shared" si="265"/>
        <v>#DIV/0!</v>
      </c>
      <c r="X2070" s="197" t="e">
        <f t="shared" si="266"/>
        <v>#DIV/0!</v>
      </c>
    </row>
    <row r="2071" ht="11.4" hidden="1" customHeight="1" spans="1:24">
      <c r="A2071" s="184" t="s">
        <v>3200</v>
      </c>
      <c r="B2071" s="184" t="s">
        <v>139</v>
      </c>
      <c r="C2071" s="184" t="s">
        <v>1880</v>
      </c>
      <c r="D2071" s="185" t="s">
        <v>704</v>
      </c>
      <c r="E2071" s="186" t="s">
        <v>906</v>
      </c>
      <c r="F2071" s="186" t="s">
        <v>907</v>
      </c>
      <c r="G2071" s="186" t="s">
        <v>1881</v>
      </c>
      <c r="H2071" s="186" t="s">
        <v>1891</v>
      </c>
      <c r="I2071" s="187" t="s">
        <v>1937</v>
      </c>
      <c r="J2071" s="187" t="s">
        <v>1938</v>
      </c>
      <c r="K2071" s="188"/>
      <c r="L2071" s="188"/>
      <c r="M2071" s="189" t="s">
        <v>989</v>
      </c>
      <c r="N2071" s="190">
        <v>1550.45</v>
      </c>
      <c r="O2071" s="190">
        <f t="shared" si="259"/>
        <v>1689.99</v>
      </c>
      <c r="P2071" s="191">
        <f t="shared" si="260"/>
        <v>0</v>
      </c>
      <c r="Q2071" s="192">
        <f t="shared" si="261"/>
        <v>0</v>
      </c>
      <c r="R2071" s="193"/>
      <c r="S2071" s="194"/>
      <c r="T2071" s="195">
        <f t="shared" si="262"/>
        <v>0</v>
      </c>
      <c r="U2071" s="195">
        <f t="shared" si="263"/>
        <v>0</v>
      </c>
      <c r="V2071" s="195">
        <f t="shared" si="264"/>
        <v>0</v>
      </c>
      <c r="W2071" s="196" t="e">
        <f t="shared" si="265"/>
        <v>#DIV/0!</v>
      </c>
      <c r="X2071" s="197" t="e">
        <f t="shared" si="266"/>
        <v>#DIV/0!</v>
      </c>
    </row>
    <row r="2072" ht="11.4" hidden="1" customHeight="1" spans="1:24">
      <c r="A2072" s="184" t="s">
        <v>3200</v>
      </c>
      <c r="B2072" s="184" t="s">
        <v>139</v>
      </c>
      <c r="C2072" s="184" t="s">
        <v>1880</v>
      </c>
      <c r="D2072" s="185" t="s">
        <v>704</v>
      </c>
      <c r="E2072" s="186" t="s">
        <v>906</v>
      </c>
      <c r="F2072" s="186" t="s">
        <v>907</v>
      </c>
      <c r="G2072" s="186" t="s">
        <v>1881</v>
      </c>
      <c r="H2072" s="186" t="s">
        <v>1891</v>
      </c>
      <c r="I2072" s="187" t="s">
        <v>1940</v>
      </c>
      <c r="J2072" s="187" t="s">
        <v>1941</v>
      </c>
      <c r="K2072" s="188"/>
      <c r="L2072" s="188"/>
      <c r="M2072" s="189" t="s">
        <v>989</v>
      </c>
      <c r="N2072" s="190">
        <v>1330.45</v>
      </c>
      <c r="O2072" s="190">
        <f t="shared" si="259"/>
        <v>1450.19</v>
      </c>
      <c r="P2072" s="191">
        <f t="shared" si="260"/>
        <v>0</v>
      </c>
      <c r="Q2072" s="192">
        <f t="shared" si="261"/>
        <v>0</v>
      </c>
      <c r="R2072" s="193"/>
      <c r="S2072" s="194"/>
      <c r="T2072" s="195">
        <f t="shared" si="262"/>
        <v>0</v>
      </c>
      <c r="U2072" s="195">
        <f t="shared" si="263"/>
        <v>0</v>
      </c>
      <c r="V2072" s="195">
        <f t="shared" si="264"/>
        <v>0</v>
      </c>
      <c r="W2072" s="196" t="e">
        <f t="shared" si="265"/>
        <v>#DIV/0!</v>
      </c>
      <c r="X2072" s="197" t="e">
        <f t="shared" si="266"/>
        <v>#DIV/0!</v>
      </c>
    </row>
    <row r="2073" ht="11.4" hidden="1" customHeight="1" spans="1:24">
      <c r="A2073" s="184" t="s">
        <v>3200</v>
      </c>
      <c r="B2073" s="184" t="s">
        <v>139</v>
      </c>
      <c r="C2073" s="184" t="s">
        <v>1880</v>
      </c>
      <c r="D2073" s="185" t="s">
        <v>704</v>
      </c>
      <c r="E2073" s="186" t="s">
        <v>906</v>
      </c>
      <c r="F2073" s="186" t="s">
        <v>907</v>
      </c>
      <c r="G2073" s="186" t="s">
        <v>1881</v>
      </c>
      <c r="H2073" s="186" t="s">
        <v>1891</v>
      </c>
      <c r="I2073" s="187" t="s">
        <v>1942</v>
      </c>
      <c r="J2073" s="187" t="s">
        <v>1943</v>
      </c>
      <c r="K2073" s="188"/>
      <c r="L2073" s="188"/>
      <c r="M2073" s="189" t="s">
        <v>1778</v>
      </c>
      <c r="N2073" s="190">
        <v>1736.1</v>
      </c>
      <c r="O2073" s="190">
        <f t="shared" si="259"/>
        <v>1892.35</v>
      </c>
      <c r="P2073" s="191">
        <f t="shared" si="260"/>
        <v>0</v>
      </c>
      <c r="Q2073" s="192">
        <f t="shared" si="261"/>
        <v>0</v>
      </c>
      <c r="R2073" s="193"/>
      <c r="S2073" s="194"/>
      <c r="T2073" s="195">
        <f t="shared" si="262"/>
        <v>0</v>
      </c>
      <c r="U2073" s="195">
        <f t="shared" si="263"/>
        <v>0</v>
      </c>
      <c r="V2073" s="195">
        <f t="shared" si="264"/>
        <v>0</v>
      </c>
      <c r="W2073" s="196" t="e">
        <f t="shared" si="265"/>
        <v>#DIV/0!</v>
      </c>
      <c r="X2073" s="197" t="e">
        <f t="shared" si="266"/>
        <v>#DIV/0!</v>
      </c>
    </row>
    <row r="2074" ht="11.4" hidden="1" customHeight="1" spans="1:24">
      <c r="A2074" s="184" t="s">
        <v>3200</v>
      </c>
      <c r="B2074" s="184" t="s">
        <v>139</v>
      </c>
      <c r="C2074" s="184" t="s">
        <v>1880</v>
      </c>
      <c r="D2074" s="185" t="s">
        <v>704</v>
      </c>
      <c r="E2074" s="186" t="s">
        <v>906</v>
      </c>
      <c r="F2074" s="186" t="s">
        <v>907</v>
      </c>
      <c r="G2074" s="186" t="s">
        <v>1881</v>
      </c>
      <c r="H2074" s="186" t="s">
        <v>1944</v>
      </c>
      <c r="I2074" s="187" t="s">
        <v>1945</v>
      </c>
      <c r="J2074" s="187" t="s">
        <v>1946</v>
      </c>
      <c r="K2074" s="188"/>
      <c r="L2074" s="188"/>
      <c r="M2074" s="189" t="s">
        <v>793</v>
      </c>
      <c r="N2074" s="190">
        <v>836.31</v>
      </c>
      <c r="O2074" s="190">
        <f t="shared" si="259"/>
        <v>911.58</v>
      </c>
      <c r="P2074" s="191">
        <f t="shared" si="260"/>
        <v>0</v>
      </c>
      <c r="Q2074" s="192">
        <f t="shared" si="261"/>
        <v>0</v>
      </c>
      <c r="R2074" s="193"/>
      <c r="S2074" s="194"/>
      <c r="T2074" s="195">
        <f t="shared" si="262"/>
        <v>0</v>
      </c>
      <c r="U2074" s="195">
        <f t="shared" si="263"/>
        <v>0</v>
      </c>
      <c r="V2074" s="195">
        <f t="shared" si="264"/>
        <v>0</v>
      </c>
      <c r="W2074" s="196" t="e">
        <f t="shared" si="265"/>
        <v>#DIV/0!</v>
      </c>
      <c r="X2074" s="197" t="e">
        <f t="shared" si="266"/>
        <v>#DIV/0!</v>
      </c>
    </row>
    <row r="2075" ht="11.4" hidden="1" customHeight="1" spans="1:24">
      <c r="A2075" s="184" t="s">
        <v>3200</v>
      </c>
      <c r="B2075" s="184" t="s">
        <v>139</v>
      </c>
      <c r="C2075" s="184" t="s">
        <v>1880</v>
      </c>
      <c r="D2075" s="185" t="s">
        <v>704</v>
      </c>
      <c r="E2075" s="186" t="s">
        <v>906</v>
      </c>
      <c r="F2075" s="186" t="s">
        <v>907</v>
      </c>
      <c r="G2075" s="186" t="s">
        <v>1881</v>
      </c>
      <c r="H2075" s="186" t="s">
        <v>1944</v>
      </c>
      <c r="I2075" s="187" t="s">
        <v>1948</v>
      </c>
      <c r="J2075" s="187" t="s">
        <v>1949</v>
      </c>
      <c r="K2075" s="188"/>
      <c r="L2075" s="188"/>
      <c r="M2075" s="189" t="s">
        <v>793</v>
      </c>
      <c r="N2075" s="190">
        <v>3391.6</v>
      </c>
      <c r="O2075" s="190">
        <f t="shared" si="259"/>
        <v>3696.84</v>
      </c>
      <c r="P2075" s="191">
        <f t="shared" si="260"/>
        <v>0</v>
      </c>
      <c r="Q2075" s="192">
        <f t="shared" si="261"/>
        <v>0</v>
      </c>
      <c r="R2075" s="193"/>
      <c r="S2075" s="194"/>
      <c r="T2075" s="195">
        <f t="shared" si="262"/>
        <v>0</v>
      </c>
      <c r="U2075" s="195">
        <f t="shared" si="263"/>
        <v>0</v>
      </c>
      <c r="V2075" s="195">
        <f t="shared" si="264"/>
        <v>0</v>
      </c>
      <c r="W2075" s="196" t="e">
        <f t="shared" si="265"/>
        <v>#DIV/0!</v>
      </c>
      <c r="X2075" s="197" t="e">
        <f t="shared" si="266"/>
        <v>#DIV/0!</v>
      </c>
    </row>
    <row r="2076" ht="11.4" hidden="1" customHeight="1" spans="1:24">
      <c r="A2076" s="184" t="s">
        <v>3200</v>
      </c>
      <c r="B2076" s="184" t="s">
        <v>139</v>
      </c>
      <c r="C2076" s="184" t="s">
        <v>1880</v>
      </c>
      <c r="D2076" s="185" t="s">
        <v>704</v>
      </c>
      <c r="E2076" s="186" t="s">
        <v>906</v>
      </c>
      <c r="F2076" s="186" t="s">
        <v>907</v>
      </c>
      <c r="G2076" s="186" t="s">
        <v>1881</v>
      </c>
      <c r="H2076" s="186" t="s">
        <v>1944</v>
      </c>
      <c r="I2076" s="187" t="s">
        <v>1950</v>
      </c>
      <c r="J2076" s="187" t="s">
        <v>1951</v>
      </c>
      <c r="K2076" s="188"/>
      <c r="L2076" s="188"/>
      <c r="M2076" s="189" t="s">
        <v>793</v>
      </c>
      <c r="N2076" s="190">
        <v>2028.7</v>
      </c>
      <c r="O2076" s="190">
        <f t="shared" si="259"/>
        <v>2211.28</v>
      </c>
      <c r="P2076" s="191">
        <f t="shared" si="260"/>
        <v>0</v>
      </c>
      <c r="Q2076" s="192">
        <f t="shared" si="261"/>
        <v>0</v>
      </c>
      <c r="R2076" s="193"/>
      <c r="S2076" s="194"/>
      <c r="T2076" s="195">
        <f t="shared" si="262"/>
        <v>0</v>
      </c>
      <c r="U2076" s="195">
        <f t="shared" si="263"/>
        <v>0</v>
      </c>
      <c r="V2076" s="195">
        <f t="shared" si="264"/>
        <v>0</v>
      </c>
      <c r="W2076" s="196" t="e">
        <f t="shared" si="265"/>
        <v>#DIV/0!</v>
      </c>
      <c r="X2076" s="197" t="e">
        <f t="shared" si="266"/>
        <v>#DIV/0!</v>
      </c>
    </row>
    <row r="2077" ht="11.4" hidden="1" customHeight="1" spans="1:24">
      <c r="A2077" s="184" t="s">
        <v>3200</v>
      </c>
      <c r="B2077" s="184" t="s">
        <v>139</v>
      </c>
      <c r="C2077" s="184" t="s">
        <v>1880</v>
      </c>
      <c r="D2077" s="185" t="s">
        <v>704</v>
      </c>
      <c r="E2077" s="186" t="s">
        <v>906</v>
      </c>
      <c r="F2077" s="186" t="s">
        <v>907</v>
      </c>
      <c r="G2077" s="186" t="s">
        <v>1881</v>
      </c>
      <c r="H2077" s="186" t="s">
        <v>1944</v>
      </c>
      <c r="I2077" s="187" t="s">
        <v>1952</v>
      </c>
      <c r="J2077" s="187" t="s">
        <v>1953</v>
      </c>
      <c r="K2077" s="188"/>
      <c r="L2077" s="188"/>
      <c r="M2077" s="189" t="s">
        <v>793</v>
      </c>
      <c r="N2077" s="190">
        <v>1781.2</v>
      </c>
      <c r="O2077" s="190">
        <f t="shared" si="259"/>
        <v>1941.51</v>
      </c>
      <c r="P2077" s="191">
        <f t="shared" si="260"/>
        <v>0</v>
      </c>
      <c r="Q2077" s="192">
        <f t="shared" si="261"/>
        <v>0</v>
      </c>
      <c r="R2077" s="193"/>
      <c r="S2077" s="194"/>
      <c r="T2077" s="195">
        <f t="shared" si="262"/>
        <v>0</v>
      </c>
      <c r="U2077" s="195">
        <f t="shared" si="263"/>
        <v>0</v>
      </c>
      <c r="V2077" s="195">
        <f t="shared" si="264"/>
        <v>0</v>
      </c>
      <c r="W2077" s="196" t="e">
        <f t="shared" si="265"/>
        <v>#DIV/0!</v>
      </c>
      <c r="X2077" s="197" t="e">
        <f t="shared" si="266"/>
        <v>#DIV/0!</v>
      </c>
    </row>
    <row r="2078" ht="11.4" hidden="1" customHeight="1" spans="1:24">
      <c r="A2078" s="184" t="s">
        <v>3200</v>
      </c>
      <c r="B2078" s="184" t="s">
        <v>139</v>
      </c>
      <c r="C2078" s="184" t="s">
        <v>1880</v>
      </c>
      <c r="D2078" s="185" t="s">
        <v>704</v>
      </c>
      <c r="E2078" s="186" t="s">
        <v>906</v>
      </c>
      <c r="F2078" s="186" t="s">
        <v>907</v>
      </c>
      <c r="G2078" s="186" t="s">
        <v>1881</v>
      </c>
      <c r="H2078" s="186" t="s">
        <v>1944</v>
      </c>
      <c r="I2078" s="187" t="s">
        <v>1955</v>
      </c>
      <c r="J2078" s="187" t="s">
        <v>1956</v>
      </c>
      <c r="K2078" s="188"/>
      <c r="L2078" s="188"/>
      <c r="M2078" s="189" t="s">
        <v>793</v>
      </c>
      <c r="N2078" s="190">
        <v>406.45</v>
      </c>
      <c r="O2078" s="190">
        <f t="shared" si="259"/>
        <v>443.03</v>
      </c>
      <c r="P2078" s="191">
        <f t="shared" si="260"/>
        <v>0</v>
      </c>
      <c r="Q2078" s="192">
        <f t="shared" si="261"/>
        <v>0</v>
      </c>
      <c r="R2078" s="193"/>
      <c r="S2078" s="194"/>
      <c r="T2078" s="195">
        <f t="shared" si="262"/>
        <v>0</v>
      </c>
      <c r="U2078" s="195">
        <f t="shared" si="263"/>
        <v>0</v>
      </c>
      <c r="V2078" s="195">
        <f t="shared" si="264"/>
        <v>0</v>
      </c>
      <c r="W2078" s="196" t="e">
        <f t="shared" si="265"/>
        <v>#DIV/0!</v>
      </c>
      <c r="X2078" s="197" t="e">
        <f t="shared" si="266"/>
        <v>#DIV/0!</v>
      </c>
    </row>
    <row r="2079" ht="11.4" hidden="1" customHeight="1" spans="1:24">
      <c r="A2079" s="184" t="s">
        <v>3200</v>
      </c>
      <c r="B2079" s="184" t="s">
        <v>139</v>
      </c>
      <c r="C2079" s="184" t="s">
        <v>1880</v>
      </c>
      <c r="D2079" s="185" t="s">
        <v>704</v>
      </c>
      <c r="E2079" s="186" t="s">
        <v>906</v>
      </c>
      <c r="F2079" s="186" t="s">
        <v>907</v>
      </c>
      <c r="G2079" s="186" t="s">
        <v>1881</v>
      </c>
      <c r="H2079" s="186" t="s">
        <v>1944</v>
      </c>
      <c r="I2079" s="187" t="s">
        <v>1957</v>
      </c>
      <c r="J2079" s="187" t="s">
        <v>1958</v>
      </c>
      <c r="K2079" s="188"/>
      <c r="L2079" s="188"/>
      <c r="M2079" s="189" t="s">
        <v>793</v>
      </c>
      <c r="N2079" s="190">
        <v>835.76</v>
      </c>
      <c r="O2079" s="190">
        <f t="shared" si="259"/>
        <v>910.98</v>
      </c>
      <c r="P2079" s="191">
        <f t="shared" si="260"/>
        <v>0</v>
      </c>
      <c r="Q2079" s="192">
        <f t="shared" si="261"/>
        <v>0</v>
      </c>
      <c r="R2079" s="193"/>
      <c r="S2079" s="194"/>
      <c r="T2079" s="195">
        <f t="shared" si="262"/>
        <v>0</v>
      </c>
      <c r="U2079" s="195">
        <f t="shared" si="263"/>
        <v>0</v>
      </c>
      <c r="V2079" s="195">
        <f t="shared" si="264"/>
        <v>0</v>
      </c>
      <c r="W2079" s="196" t="e">
        <f t="shared" si="265"/>
        <v>#DIV/0!</v>
      </c>
      <c r="X2079" s="197" t="e">
        <f t="shared" si="266"/>
        <v>#DIV/0!</v>
      </c>
    </row>
    <row r="2080" ht="11.4" hidden="1" customHeight="1" spans="1:24">
      <c r="A2080" s="184" t="s">
        <v>3200</v>
      </c>
      <c r="B2080" s="184" t="s">
        <v>139</v>
      </c>
      <c r="C2080" s="184" t="s">
        <v>1880</v>
      </c>
      <c r="D2080" s="185" t="s">
        <v>704</v>
      </c>
      <c r="E2080" s="186" t="s">
        <v>906</v>
      </c>
      <c r="F2080" s="186" t="s">
        <v>907</v>
      </c>
      <c r="G2080" s="186" t="s">
        <v>1881</v>
      </c>
      <c r="H2080" s="186" t="s">
        <v>1944</v>
      </c>
      <c r="I2080" s="187" t="s">
        <v>1959</v>
      </c>
      <c r="J2080" s="187" t="s">
        <v>1960</v>
      </c>
      <c r="K2080" s="188"/>
      <c r="L2080" s="188"/>
      <c r="M2080" s="189" t="s">
        <v>793</v>
      </c>
      <c r="N2080" s="190">
        <v>846.76</v>
      </c>
      <c r="O2080" s="190">
        <f t="shared" si="259"/>
        <v>922.97</v>
      </c>
      <c r="P2080" s="191">
        <f t="shared" si="260"/>
        <v>0</v>
      </c>
      <c r="Q2080" s="192">
        <f t="shared" si="261"/>
        <v>0</v>
      </c>
      <c r="R2080" s="193"/>
      <c r="S2080" s="194"/>
      <c r="T2080" s="195">
        <f t="shared" si="262"/>
        <v>0</v>
      </c>
      <c r="U2080" s="195">
        <f t="shared" si="263"/>
        <v>0</v>
      </c>
      <c r="V2080" s="195">
        <f t="shared" si="264"/>
        <v>0</v>
      </c>
      <c r="W2080" s="196" t="e">
        <f t="shared" si="265"/>
        <v>#DIV/0!</v>
      </c>
      <c r="X2080" s="197" t="e">
        <f t="shared" si="266"/>
        <v>#DIV/0!</v>
      </c>
    </row>
    <row r="2081" ht="11.4" hidden="1" customHeight="1" spans="1:24">
      <c r="A2081" s="184" t="s">
        <v>3200</v>
      </c>
      <c r="B2081" s="184" t="s">
        <v>139</v>
      </c>
      <c r="C2081" s="184" t="s">
        <v>1880</v>
      </c>
      <c r="D2081" s="185" t="s">
        <v>704</v>
      </c>
      <c r="E2081" s="186" t="s">
        <v>906</v>
      </c>
      <c r="F2081" s="186" t="s">
        <v>907</v>
      </c>
      <c r="G2081" s="186" t="s">
        <v>1881</v>
      </c>
      <c r="H2081" s="186" t="s">
        <v>1944</v>
      </c>
      <c r="I2081" s="187" t="s">
        <v>1961</v>
      </c>
      <c r="J2081" s="187" t="s">
        <v>1962</v>
      </c>
      <c r="K2081" s="188"/>
      <c r="L2081" s="188"/>
      <c r="M2081" s="189" t="s">
        <v>793</v>
      </c>
      <c r="N2081" s="190">
        <v>836.31</v>
      </c>
      <c r="O2081" s="190">
        <f t="shared" si="259"/>
        <v>911.58</v>
      </c>
      <c r="P2081" s="191">
        <f t="shared" si="260"/>
        <v>0</v>
      </c>
      <c r="Q2081" s="192">
        <f t="shared" si="261"/>
        <v>0</v>
      </c>
      <c r="R2081" s="193"/>
      <c r="S2081" s="194"/>
      <c r="T2081" s="195">
        <f t="shared" si="262"/>
        <v>0</v>
      </c>
      <c r="U2081" s="195">
        <f t="shared" si="263"/>
        <v>0</v>
      </c>
      <c r="V2081" s="195">
        <f t="shared" si="264"/>
        <v>0</v>
      </c>
      <c r="W2081" s="196" t="e">
        <f t="shared" si="265"/>
        <v>#DIV/0!</v>
      </c>
      <c r="X2081" s="197" t="e">
        <f t="shared" si="266"/>
        <v>#DIV/0!</v>
      </c>
    </row>
    <row r="2082" ht="11.4" hidden="1" customHeight="1" spans="1:24">
      <c r="A2082" s="184" t="s">
        <v>3200</v>
      </c>
      <c r="B2082" s="184" t="s">
        <v>139</v>
      </c>
      <c r="C2082" s="184" t="s">
        <v>1880</v>
      </c>
      <c r="D2082" s="185" t="s">
        <v>704</v>
      </c>
      <c r="E2082" s="186" t="s">
        <v>906</v>
      </c>
      <c r="F2082" s="186" t="s">
        <v>907</v>
      </c>
      <c r="G2082" s="186" t="s">
        <v>1881</v>
      </c>
      <c r="H2082" s="186" t="s">
        <v>1963</v>
      </c>
      <c r="I2082" s="187" t="s">
        <v>1964</v>
      </c>
      <c r="J2082" s="187" t="s">
        <v>1965</v>
      </c>
      <c r="K2082" s="188"/>
      <c r="L2082" s="188"/>
      <c r="M2082" s="189" t="s">
        <v>1778</v>
      </c>
      <c r="N2082" s="190">
        <v>500.38</v>
      </c>
      <c r="O2082" s="190">
        <f t="shared" si="259"/>
        <v>545.41</v>
      </c>
      <c r="P2082" s="191">
        <f t="shared" si="260"/>
        <v>0</v>
      </c>
      <c r="Q2082" s="192">
        <f t="shared" si="261"/>
        <v>0</v>
      </c>
      <c r="R2082" s="193"/>
      <c r="S2082" s="194"/>
      <c r="T2082" s="195">
        <f t="shared" si="262"/>
        <v>0</v>
      </c>
      <c r="U2082" s="195">
        <f t="shared" si="263"/>
        <v>0</v>
      </c>
      <c r="V2082" s="195">
        <f t="shared" si="264"/>
        <v>0</v>
      </c>
      <c r="W2082" s="196" t="e">
        <f t="shared" si="265"/>
        <v>#DIV/0!</v>
      </c>
      <c r="X2082" s="197" t="e">
        <f t="shared" si="266"/>
        <v>#DIV/0!</v>
      </c>
    </row>
    <row r="2083" ht="11.4" hidden="1" customHeight="1" spans="1:24">
      <c r="A2083" s="184" t="s">
        <v>3200</v>
      </c>
      <c r="B2083" s="184" t="s">
        <v>139</v>
      </c>
      <c r="C2083" s="184" t="s">
        <v>1880</v>
      </c>
      <c r="D2083" s="185" t="s">
        <v>704</v>
      </c>
      <c r="E2083" s="186" t="s">
        <v>906</v>
      </c>
      <c r="F2083" s="186" t="s">
        <v>907</v>
      </c>
      <c r="G2083" s="186" t="s">
        <v>1881</v>
      </c>
      <c r="H2083" s="186" t="s">
        <v>1963</v>
      </c>
      <c r="I2083" s="187" t="s">
        <v>1979</v>
      </c>
      <c r="J2083" s="187" t="s">
        <v>1978</v>
      </c>
      <c r="K2083" s="188"/>
      <c r="L2083" s="188"/>
      <c r="M2083" s="189" t="s">
        <v>1018</v>
      </c>
      <c r="N2083" s="190">
        <v>136.25</v>
      </c>
      <c r="O2083" s="190">
        <f t="shared" si="259"/>
        <v>148.51</v>
      </c>
      <c r="P2083" s="191">
        <f t="shared" si="260"/>
        <v>0</v>
      </c>
      <c r="Q2083" s="192">
        <f t="shared" si="261"/>
        <v>0</v>
      </c>
      <c r="R2083" s="193"/>
      <c r="S2083" s="194"/>
      <c r="T2083" s="195">
        <f t="shared" si="262"/>
        <v>0</v>
      </c>
      <c r="U2083" s="195">
        <f t="shared" si="263"/>
        <v>0</v>
      </c>
      <c r="V2083" s="195">
        <f t="shared" si="264"/>
        <v>0</v>
      </c>
      <c r="W2083" s="196" t="e">
        <f t="shared" si="265"/>
        <v>#DIV/0!</v>
      </c>
      <c r="X2083" s="197" t="e">
        <f t="shared" si="266"/>
        <v>#DIV/0!</v>
      </c>
    </row>
    <row r="2084" ht="11.4" hidden="1" customHeight="1" spans="1:24">
      <c r="A2084" s="184" t="s">
        <v>3200</v>
      </c>
      <c r="B2084" s="184" t="s">
        <v>139</v>
      </c>
      <c r="C2084" s="184" t="s">
        <v>1880</v>
      </c>
      <c r="D2084" s="185" t="s">
        <v>704</v>
      </c>
      <c r="E2084" s="186" t="s">
        <v>906</v>
      </c>
      <c r="F2084" s="186" t="s">
        <v>907</v>
      </c>
      <c r="G2084" s="186" t="s">
        <v>1881</v>
      </c>
      <c r="H2084" s="186" t="s">
        <v>1963</v>
      </c>
      <c r="I2084" s="187" t="s">
        <v>1966</v>
      </c>
      <c r="J2084" s="187" t="s">
        <v>1967</v>
      </c>
      <c r="K2084" s="188"/>
      <c r="L2084" s="188"/>
      <c r="M2084" s="189" t="s">
        <v>1018</v>
      </c>
      <c r="N2084" s="190">
        <v>63.27</v>
      </c>
      <c r="O2084" s="190">
        <f t="shared" si="259"/>
        <v>68.96</v>
      </c>
      <c r="P2084" s="191">
        <f t="shared" si="260"/>
        <v>0</v>
      </c>
      <c r="Q2084" s="192">
        <f t="shared" si="261"/>
        <v>0</v>
      </c>
      <c r="R2084" s="193"/>
      <c r="S2084" s="194"/>
      <c r="T2084" s="195">
        <f t="shared" si="262"/>
        <v>0</v>
      </c>
      <c r="U2084" s="195">
        <f t="shared" si="263"/>
        <v>0</v>
      </c>
      <c r="V2084" s="195">
        <f t="shared" si="264"/>
        <v>0</v>
      </c>
      <c r="W2084" s="196" t="e">
        <f t="shared" si="265"/>
        <v>#DIV/0!</v>
      </c>
      <c r="X2084" s="197" t="e">
        <f t="shared" si="266"/>
        <v>#DIV/0!</v>
      </c>
    </row>
    <row r="2085" ht="11.4" hidden="1" customHeight="1" spans="1:24">
      <c r="A2085" s="184" t="s">
        <v>3200</v>
      </c>
      <c r="B2085" s="184" t="s">
        <v>139</v>
      </c>
      <c r="C2085" s="184" t="s">
        <v>1880</v>
      </c>
      <c r="D2085" s="185" t="s">
        <v>704</v>
      </c>
      <c r="E2085" s="186" t="s">
        <v>906</v>
      </c>
      <c r="F2085" s="186" t="s">
        <v>907</v>
      </c>
      <c r="G2085" s="186" t="s">
        <v>1881</v>
      </c>
      <c r="H2085" s="186" t="s">
        <v>1963</v>
      </c>
      <c r="I2085" s="187" t="s">
        <v>1968</v>
      </c>
      <c r="J2085" s="187" t="s">
        <v>1969</v>
      </c>
      <c r="K2085" s="188"/>
      <c r="L2085" s="188"/>
      <c r="M2085" s="189" t="s">
        <v>807</v>
      </c>
      <c r="N2085" s="190">
        <v>38.86</v>
      </c>
      <c r="O2085" s="190">
        <f t="shared" si="259"/>
        <v>42.36</v>
      </c>
      <c r="P2085" s="191">
        <f t="shared" si="260"/>
        <v>0</v>
      </c>
      <c r="Q2085" s="192">
        <f t="shared" si="261"/>
        <v>0</v>
      </c>
      <c r="R2085" s="193"/>
      <c r="S2085" s="194"/>
      <c r="T2085" s="195">
        <f t="shared" si="262"/>
        <v>0</v>
      </c>
      <c r="U2085" s="195">
        <f t="shared" si="263"/>
        <v>0</v>
      </c>
      <c r="V2085" s="195">
        <f t="shared" si="264"/>
        <v>0</v>
      </c>
      <c r="W2085" s="196" t="e">
        <f t="shared" si="265"/>
        <v>#DIV/0!</v>
      </c>
      <c r="X2085" s="197" t="e">
        <f t="shared" si="266"/>
        <v>#DIV/0!</v>
      </c>
    </row>
    <row r="2086" ht="11.4" hidden="1" customHeight="1" spans="1:24">
      <c r="A2086" s="184" t="s">
        <v>3200</v>
      </c>
      <c r="B2086" s="184" t="s">
        <v>139</v>
      </c>
      <c r="C2086" s="184" t="s">
        <v>1880</v>
      </c>
      <c r="D2086" s="185" t="s">
        <v>704</v>
      </c>
      <c r="E2086" s="186" t="s">
        <v>906</v>
      </c>
      <c r="F2086" s="186" t="s">
        <v>907</v>
      </c>
      <c r="G2086" s="186" t="s">
        <v>1881</v>
      </c>
      <c r="H2086" s="186" t="s">
        <v>1971</v>
      </c>
      <c r="I2086" s="187" t="s">
        <v>1972</v>
      </c>
      <c r="J2086" s="187" t="s">
        <v>1973</v>
      </c>
      <c r="K2086" s="188"/>
      <c r="L2086" s="188"/>
      <c r="M2086" s="189" t="s">
        <v>1778</v>
      </c>
      <c r="N2086" s="190">
        <v>500.38</v>
      </c>
      <c r="O2086" s="190">
        <f t="shared" si="259"/>
        <v>545.41</v>
      </c>
      <c r="P2086" s="191">
        <f t="shared" si="260"/>
        <v>0</v>
      </c>
      <c r="Q2086" s="192">
        <f t="shared" si="261"/>
        <v>0</v>
      </c>
      <c r="R2086" s="193"/>
      <c r="S2086" s="194"/>
      <c r="T2086" s="195">
        <f t="shared" si="262"/>
        <v>0</v>
      </c>
      <c r="U2086" s="195">
        <f t="shared" si="263"/>
        <v>0</v>
      </c>
      <c r="V2086" s="195">
        <f t="shared" si="264"/>
        <v>0</v>
      </c>
      <c r="W2086" s="196" t="e">
        <f t="shared" si="265"/>
        <v>#DIV/0!</v>
      </c>
      <c r="X2086" s="197" t="e">
        <f t="shared" si="266"/>
        <v>#DIV/0!</v>
      </c>
    </row>
    <row r="2087" ht="11.4" hidden="1" customHeight="1" spans="1:24">
      <c r="A2087" s="184" t="s">
        <v>3200</v>
      </c>
      <c r="B2087" s="184" t="s">
        <v>139</v>
      </c>
      <c r="C2087" s="184" t="s">
        <v>1880</v>
      </c>
      <c r="D2087" s="185" t="s">
        <v>704</v>
      </c>
      <c r="E2087" s="186" t="s">
        <v>906</v>
      </c>
      <c r="F2087" s="186" t="s">
        <v>907</v>
      </c>
      <c r="G2087" s="186" t="s">
        <v>1881</v>
      </c>
      <c r="H2087" s="186" t="s">
        <v>1974</v>
      </c>
      <c r="I2087" s="187" t="s">
        <v>1975</v>
      </c>
      <c r="J2087" s="187" t="s">
        <v>1976</v>
      </c>
      <c r="K2087" s="188"/>
      <c r="L2087" s="188"/>
      <c r="M2087" s="189" t="s">
        <v>1018</v>
      </c>
      <c r="N2087" s="190">
        <v>136.25</v>
      </c>
      <c r="O2087" s="190">
        <f t="shared" si="259"/>
        <v>148.51</v>
      </c>
      <c r="P2087" s="191">
        <f t="shared" si="260"/>
        <v>0</v>
      </c>
      <c r="Q2087" s="192">
        <f t="shared" si="261"/>
        <v>0</v>
      </c>
      <c r="R2087" s="193"/>
      <c r="S2087" s="194"/>
      <c r="T2087" s="195">
        <f t="shared" si="262"/>
        <v>0</v>
      </c>
      <c r="U2087" s="195">
        <f t="shared" si="263"/>
        <v>0</v>
      </c>
      <c r="V2087" s="195">
        <f t="shared" si="264"/>
        <v>0</v>
      </c>
      <c r="W2087" s="196" t="e">
        <f t="shared" si="265"/>
        <v>#DIV/0!</v>
      </c>
      <c r="X2087" s="197" t="e">
        <f t="shared" si="266"/>
        <v>#DIV/0!</v>
      </c>
    </row>
    <row r="2088" ht="11.4" hidden="1" customHeight="1" spans="1:24">
      <c r="A2088" s="184" t="s">
        <v>3200</v>
      </c>
      <c r="B2088" s="184" t="s">
        <v>139</v>
      </c>
      <c r="C2088" s="184" t="s">
        <v>1880</v>
      </c>
      <c r="D2088" s="185" t="s">
        <v>704</v>
      </c>
      <c r="E2088" s="186" t="s">
        <v>906</v>
      </c>
      <c r="F2088" s="186" t="s">
        <v>907</v>
      </c>
      <c r="G2088" s="186" t="s">
        <v>1881</v>
      </c>
      <c r="H2088" s="186" t="s">
        <v>1974</v>
      </c>
      <c r="I2088" s="187" t="s">
        <v>1977</v>
      </c>
      <c r="J2088" s="187" t="s">
        <v>1978</v>
      </c>
      <c r="K2088" s="188"/>
      <c r="L2088" s="188"/>
      <c r="M2088" s="189" t="s">
        <v>1018</v>
      </c>
      <c r="N2088" s="190">
        <v>136.25</v>
      </c>
      <c r="O2088" s="190">
        <f t="shared" si="259"/>
        <v>148.51</v>
      </c>
      <c r="P2088" s="191">
        <f t="shared" si="260"/>
        <v>0</v>
      </c>
      <c r="Q2088" s="192">
        <f t="shared" si="261"/>
        <v>0</v>
      </c>
      <c r="R2088" s="193"/>
      <c r="S2088" s="194"/>
      <c r="T2088" s="195">
        <f t="shared" si="262"/>
        <v>0</v>
      </c>
      <c r="U2088" s="195">
        <f t="shared" si="263"/>
        <v>0</v>
      </c>
      <c r="V2088" s="195">
        <f t="shared" si="264"/>
        <v>0</v>
      </c>
      <c r="W2088" s="196" t="e">
        <f t="shared" si="265"/>
        <v>#DIV/0!</v>
      </c>
      <c r="X2088" s="197" t="e">
        <f t="shared" si="266"/>
        <v>#DIV/0!</v>
      </c>
    </row>
    <row r="2089" ht="11.4" hidden="1" customHeight="1" spans="1:24">
      <c r="A2089" s="184" t="s">
        <v>3200</v>
      </c>
      <c r="B2089" s="184" t="s">
        <v>139</v>
      </c>
      <c r="C2089" s="184" t="s">
        <v>1880</v>
      </c>
      <c r="D2089" s="185" t="s">
        <v>704</v>
      </c>
      <c r="E2089" s="186" t="s">
        <v>906</v>
      </c>
      <c r="F2089" s="186" t="s">
        <v>907</v>
      </c>
      <c r="G2089" s="186" t="s">
        <v>1881</v>
      </c>
      <c r="H2089" s="186" t="s">
        <v>1980</v>
      </c>
      <c r="I2089" s="187" t="s">
        <v>1981</v>
      </c>
      <c r="J2089" s="187" t="s">
        <v>1982</v>
      </c>
      <c r="K2089" s="188"/>
      <c r="L2089" s="188"/>
      <c r="M2089" s="189" t="s">
        <v>807</v>
      </c>
      <c r="N2089" s="190">
        <v>69.84</v>
      </c>
      <c r="O2089" s="190">
        <f t="shared" si="259"/>
        <v>76.13</v>
      </c>
      <c r="P2089" s="191">
        <f t="shared" si="260"/>
        <v>0</v>
      </c>
      <c r="Q2089" s="192">
        <f t="shared" si="261"/>
        <v>0</v>
      </c>
      <c r="R2089" s="193"/>
      <c r="S2089" s="194"/>
      <c r="T2089" s="195">
        <f t="shared" si="262"/>
        <v>0</v>
      </c>
      <c r="U2089" s="195">
        <f t="shared" si="263"/>
        <v>0</v>
      </c>
      <c r="V2089" s="195">
        <f t="shared" si="264"/>
        <v>0</v>
      </c>
      <c r="W2089" s="196" t="e">
        <f t="shared" si="265"/>
        <v>#DIV/0!</v>
      </c>
      <c r="X2089" s="197" t="e">
        <f t="shared" si="266"/>
        <v>#DIV/0!</v>
      </c>
    </row>
    <row r="2090" ht="11.4" hidden="1" customHeight="1" spans="1:24">
      <c r="A2090" s="184" t="s">
        <v>3200</v>
      </c>
      <c r="B2090" s="184" t="s">
        <v>139</v>
      </c>
      <c r="C2090" s="184" t="s">
        <v>1880</v>
      </c>
      <c r="D2090" s="185" t="s">
        <v>704</v>
      </c>
      <c r="E2090" s="186" t="s">
        <v>906</v>
      </c>
      <c r="F2090" s="186" t="s">
        <v>907</v>
      </c>
      <c r="G2090" s="186" t="s">
        <v>1881</v>
      </c>
      <c r="H2090" s="186" t="s">
        <v>1980</v>
      </c>
      <c r="I2090" s="187" t="s">
        <v>1984</v>
      </c>
      <c r="J2090" s="187" t="s">
        <v>3201</v>
      </c>
      <c r="K2090" s="188"/>
      <c r="L2090" s="188"/>
      <c r="M2090" s="189" t="s">
        <v>807</v>
      </c>
      <c r="N2090" s="190">
        <v>62.59</v>
      </c>
      <c r="O2090" s="190">
        <f t="shared" si="259"/>
        <v>68.22</v>
      </c>
      <c r="P2090" s="191">
        <f t="shared" si="260"/>
        <v>0</v>
      </c>
      <c r="Q2090" s="192">
        <f t="shared" si="261"/>
        <v>0</v>
      </c>
      <c r="R2090" s="193"/>
      <c r="S2090" s="194"/>
      <c r="T2090" s="195">
        <f t="shared" si="262"/>
        <v>0</v>
      </c>
      <c r="U2090" s="195">
        <f t="shared" si="263"/>
        <v>0</v>
      </c>
      <c r="V2090" s="195">
        <f t="shared" si="264"/>
        <v>0</v>
      </c>
      <c r="W2090" s="196" t="e">
        <f t="shared" si="265"/>
        <v>#DIV/0!</v>
      </c>
      <c r="X2090" s="197" t="e">
        <f t="shared" si="266"/>
        <v>#DIV/0!</v>
      </c>
    </row>
    <row r="2091" ht="11.4" hidden="1" customHeight="1" spans="1:24">
      <c r="A2091" s="184" t="s">
        <v>3200</v>
      </c>
      <c r="B2091" s="184" t="s">
        <v>139</v>
      </c>
      <c r="C2091" s="184" t="s">
        <v>1880</v>
      </c>
      <c r="D2091" s="185" t="s">
        <v>704</v>
      </c>
      <c r="E2091" s="186" t="s">
        <v>906</v>
      </c>
      <c r="F2091" s="186" t="s">
        <v>907</v>
      </c>
      <c r="G2091" s="186" t="s">
        <v>1881</v>
      </c>
      <c r="H2091" s="186" t="s">
        <v>1980</v>
      </c>
      <c r="I2091" s="187" t="s">
        <v>1987</v>
      </c>
      <c r="J2091" s="187" t="s">
        <v>3202</v>
      </c>
      <c r="K2091" s="188"/>
      <c r="L2091" s="188"/>
      <c r="M2091" s="189" t="s">
        <v>807</v>
      </c>
      <c r="N2091" s="190">
        <v>52.61</v>
      </c>
      <c r="O2091" s="190">
        <f t="shared" si="259"/>
        <v>57.34</v>
      </c>
      <c r="P2091" s="191">
        <f t="shared" si="260"/>
        <v>0</v>
      </c>
      <c r="Q2091" s="192">
        <f t="shared" si="261"/>
        <v>0</v>
      </c>
      <c r="R2091" s="193"/>
      <c r="S2091" s="194"/>
      <c r="T2091" s="195">
        <f t="shared" si="262"/>
        <v>0</v>
      </c>
      <c r="U2091" s="195">
        <f t="shared" si="263"/>
        <v>0</v>
      </c>
      <c r="V2091" s="195">
        <f t="shared" si="264"/>
        <v>0</v>
      </c>
      <c r="W2091" s="196" t="e">
        <f t="shared" si="265"/>
        <v>#DIV/0!</v>
      </c>
      <c r="X2091" s="197" t="e">
        <f t="shared" si="266"/>
        <v>#DIV/0!</v>
      </c>
    </row>
    <row r="2092" ht="11.4" hidden="1" customHeight="1" spans="1:24">
      <c r="A2092" s="184" t="s">
        <v>3200</v>
      </c>
      <c r="B2092" s="184" t="s">
        <v>139</v>
      </c>
      <c r="C2092" s="184" t="s">
        <v>1880</v>
      </c>
      <c r="D2092" s="185" t="s">
        <v>704</v>
      </c>
      <c r="E2092" s="186" t="s">
        <v>906</v>
      </c>
      <c r="F2092" s="186" t="s">
        <v>907</v>
      </c>
      <c r="G2092" s="186" t="s">
        <v>1881</v>
      </c>
      <c r="H2092" s="186" t="s">
        <v>1980</v>
      </c>
      <c r="I2092" s="187" t="s">
        <v>1989</v>
      </c>
      <c r="J2092" s="187" t="s">
        <v>1990</v>
      </c>
      <c r="K2092" s="188"/>
      <c r="L2092" s="188"/>
      <c r="M2092" s="189" t="s">
        <v>807</v>
      </c>
      <c r="N2092" s="190">
        <v>33.42</v>
      </c>
      <c r="O2092" s="190">
        <f t="shared" si="259"/>
        <v>36.43</v>
      </c>
      <c r="P2092" s="191">
        <f t="shared" si="260"/>
        <v>0</v>
      </c>
      <c r="Q2092" s="192">
        <f t="shared" si="261"/>
        <v>0</v>
      </c>
      <c r="R2092" s="193"/>
      <c r="S2092" s="194"/>
      <c r="T2092" s="195">
        <f t="shared" si="262"/>
        <v>0</v>
      </c>
      <c r="U2092" s="195">
        <f t="shared" si="263"/>
        <v>0</v>
      </c>
      <c r="V2092" s="195">
        <f t="shared" si="264"/>
        <v>0</v>
      </c>
      <c r="W2092" s="196" t="e">
        <f t="shared" si="265"/>
        <v>#DIV/0!</v>
      </c>
      <c r="X2092" s="197" t="e">
        <f t="shared" si="266"/>
        <v>#DIV/0!</v>
      </c>
    </row>
    <row r="2093" ht="11.4" hidden="1" customHeight="1" spans="1:24">
      <c r="A2093" s="184" t="s">
        <v>3200</v>
      </c>
      <c r="B2093" s="184" t="s">
        <v>139</v>
      </c>
      <c r="C2093" s="184" t="s">
        <v>1880</v>
      </c>
      <c r="D2093" s="185" t="s">
        <v>704</v>
      </c>
      <c r="E2093" s="186" t="s">
        <v>906</v>
      </c>
      <c r="F2093" s="186" t="s">
        <v>907</v>
      </c>
      <c r="G2093" s="186" t="s">
        <v>1881</v>
      </c>
      <c r="H2093" s="186" t="s">
        <v>1980</v>
      </c>
      <c r="I2093" s="187" t="s">
        <v>1991</v>
      </c>
      <c r="J2093" s="187" t="s">
        <v>1992</v>
      </c>
      <c r="K2093" s="188"/>
      <c r="L2093" s="188"/>
      <c r="M2093" s="189" t="s">
        <v>807</v>
      </c>
      <c r="N2093" s="190">
        <v>54.17</v>
      </c>
      <c r="O2093" s="190">
        <f t="shared" si="259"/>
        <v>59.05</v>
      </c>
      <c r="P2093" s="191">
        <f t="shared" si="260"/>
        <v>0</v>
      </c>
      <c r="Q2093" s="192">
        <f t="shared" si="261"/>
        <v>0</v>
      </c>
      <c r="R2093" s="193"/>
      <c r="S2093" s="194"/>
      <c r="T2093" s="195">
        <f t="shared" si="262"/>
        <v>0</v>
      </c>
      <c r="U2093" s="195">
        <f t="shared" si="263"/>
        <v>0</v>
      </c>
      <c r="V2093" s="195">
        <f t="shared" si="264"/>
        <v>0</v>
      </c>
      <c r="W2093" s="196" t="e">
        <f t="shared" si="265"/>
        <v>#DIV/0!</v>
      </c>
      <c r="X2093" s="197" t="e">
        <f t="shared" si="266"/>
        <v>#DIV/0!</v>
      </c>
    </row>
    <row r="2094" ht="11.4" hidden="1" customHeight="1" spans="1:24">
      <c r="A2094" s="184" t="s">
        <v>3200</v>
      </c>
      <c r="B2094" s="184" t="s">
        <v>139</v>
      </c>
      <c r="C2094" s="184" t="s">
        <v>1880</v>
      </c>
      <c r="D2094" s="185" t="s">
        <v>704</v>
      </c>
      <c r="E2094" s="186" t="s">
        <v>906</v>
      </c>
      <c r="F2094" s="186" t="s">
        <v>907</v>
      </c>
      <c r="G2094" s="186" t="s">
        <v>1881</v>
      </c>
      <c r="H2094" s="186" t="s">
        <v>1980</v>
      </c>
      <c r="I2094" s="187" t="s">
        <v>1993</v>
      </c>
      <c r="J2094" s="187" t="s">
        <v>3203</v>
      </c>
      <c r="K2094" s="188"/>
      <c r="L2094" s="188"/>
      <c r="M2094" s="189" t="s">
        <v>807</v>
      </c>
      <c r="N2094" s="190">
        <v>50.32</v>
      </c>
      <c r="O2094" s="190">
        <f t="shared" si="259"/>
        <v>54.85</v>
      </c>
      <c r="P2094" s="191">
        <f t="shared" si="260"/>
        <v>0</v>
      </c>
      <c r="Q2094" s="192">
        <f t="shared" si="261"/>
        <v>0</v>
      </c>
      <c r="R2094" s="193"/>
      <c r="S2094" s="194"/>
      <c r="T2094" s="195">
        <f t="shared" si="262"/>
        <v>0</v>
      </c>
      <c r="U2094" s="195">
        <f t="shared" si="263"/>
        <v>0</v>
      </c>
      <c r="V2094" s="195">
        <f t="shared" si="264"/>
        <v>0</v>
      </c>
      <c r="W2094" s="196" t="e">
        <f t="shared" si="265"/>
        <v>#DIV/0!</v>
      </c>
      <c r="X2094" s="197" t="e">
        <f t="shared" si="266"/>
        <v>#DIV/0!</v>
      </c>
    </row>
    <row r="2095" ht="11.4" hidden="1" customHeight="1" spans="1:24">
      <c r="A2095" s="184" t="s">
        <v>3200</v>
      </c>
      <c r="B2095" s="184" t="s">
        <v>139</v>
      </c>
      <c r="C2095" s="184" t="s">
        <v>1880</v>
      </c>
      <c r="D2095" s="185" t="s">
        <v>704</v>
      </c>
      <c r="E2095" s="186" t="s">
        <v>906</v>
      </c>
      <c r="F2095" s="186" t="s">
        <v>907</v>
      </c>
      <c r="G2095" s="186" t="s">
        <v>1881</v>
      </c>
      <c r="H2095" s="186" t="s">
        <v>1980</v>
      </c>
      <c r="I2095" s="187" t="s">
        <v>1995</v>
      </c>
      <c r="J2095" s="187" t="s">
        <v>3085</v>
      </c>
      <c r="K2095" s="188"/>
      <c r="L2095" s="188"/>
      <c r="M2095" s="189" t="s">
        <v>807</v>
      </c>
      <c r="N2095" s="190">
        <v>32.72</v>
      </c>
      <c r="O2095" s="190">
        <f t="shared" si="259"/>
        <v>35.66</v>
      </c>
      <c r="P2095" s="191">
        <f t="shared" si="260"/>
        <v>0</v>
      </c>
      <c r="Q2095" s="192">
        <f t="shared" si="261"/>
        <v>0</v>
      </c>
      <c r="R2095" s="193"/>
      <c r="S2095" s="194"/>
      <c r="T2095" s="195">
        <f t="shared" si="262"/>
        <v>0</v>
      </c>
      <c r="U2095" s="195">
        <f t="shared" si="263"/>
        <v>0</v>
      </c>
      <c r="V2095" s="195">
        <f t="shared" si="264"/>
        <v>0</v>
      </c>
      <c r="W2095" s="196" t="e">
        <f t="shared" si="265"/>
        <v>#DIV/0!</v>
      </c>
      <c r="X2095" s="197" t="e">
        <f t="shared" si="266"/>
        <v>#DIV/0!</v>
      </c>
    </row>
    <row r="2096" ht="11.4" hidden="1" customHeight="1" spans="1:24">
      <c r="A2096" s="184" t="s">
        <v>3200</v>
      </c>
      <c r="B2096" s="184" t="s">
        <v>139</v>
      </c>
      <c r="C2096" s="184" t="s">
        <v>1880</v>
      </c>
      <c r="D2096" s="185" t="s">
        <v>704</v>
      </c>
      <c r="E2096" s="186" t="s">
        <v>906</v>
      </c>
      <c r="F2096" s="186" t="s">
        <v>907</v>
      </c>
      <c r="G2096" s="186" t="s">
        <v>1881</v>
      </c>
      <c r="H2096" s="186" t="s">
        <v>1980</v>
      </c>
      <c r="I2096" s="187" t="s">
        <v>1997</v>
      </c>
      <c r="J2096" s="187" t="s">
        <v>1998</v>
      </c>
      <c r="K2096" s="188"/>
      <c r="L2096" s="188"/>
      <c r="M2096" s="189" t="s">
        <v>807</v>
      </c>
      <c r="N2096" s="190">
        <v>58.29</v>
      </c>
      <c r="O2096" s="190">
        <f t="shared" si="259"/>
        <v>63.54</v>
      </c>
      <c r="P2096" s="191">
        <f t="shared" si="260"/>
        <v>0</v>
      </c>
      <c r="Q2096" s="192">
        <f t="shared" si="261"/>
        <v>0</v>
      </c>
      <c r="R2096" s="193"/>
      <c r="S2096" s="194"/>
      <c r="T2096" s="195">
        <f t="shared" si="262"/>
        <v>0</v>
      </c>
      <c r="U2096" s="195">
        <f t="shared" si="263"/>
        <v>0</v>
      </c>
      <c r="V2096" s="195">
        <f t="shared" si="264"/>
        <v>0</v>
      </c>
      <c r="W2096" s="196" t="e">
        <f t="shared" si="265"/>
        <v>#DIV/0!</v>
      </c>
      <c r="X2096" s="197" t="e">
        <f t="shared" si="266"/>
        <v>#DIV/0!</v>
      </c>
    </row>
    <row r="2097" ht="11.4" hidden="1" customHeight="1" spans="1:24">
      <c r="A2097" s="184" t="s">
        <v>3200</v>
      </c>
      <c r="B2097" s="184" t="s">
        <v>139</v>
      </c>
      <c r="C2097" s="184" t="s">
        <v>1880</v>
      </c>
      <c r="D2097" s="185" t="s">
        <v>704</v>
      </c>
      <c r="E2097" s="186" t="s">
        <v>906</v>
      </c>
      <c r="F2097" s="186" t="s">
        <v>907</v>
      </c>
      <c r="G2097" s="186" t="s">
        <v>1881</v>
      </c>
      <c r="H2097" s="186" t="s">
        <v>1980</v>
      </c>
      <c r="I2097" s="187" t="s">
        <v>1999</v>
      </c>
      <c r="J2097" s="187" t="s">
        <v>3204</v>
      </c>
      <c r="K2097" s="188"/>
      <c r="L2097" s="188"/>
      <c r="M2097" s="189" t="s">
        <v>807</v>
      </c>
      <c r="N2097" s="190">
        <v>45.54</v>
      </c>
      <c r="O2097" s="190">
        <f t="shared" si="259"/>
        <v>49.64</v>
      </c>
      <c r="P2097" s="191">
        <f t="shared" si="260"/>
        <v>0</v>
      </c>
      <c r="Q2097" s="192">
        <f t="shared" si="261"/>
        <v>0</v>
      </c>
      <c r="R2097" s="193"/>
      <c r="S2097" s="194"/>
      <c r="T2097" s="195">
        <f t="shared" si="262"/>
        <v>0</v>
      </c>
      <c r="U2097" s="195">
        <f t="shared" si="263"/>
        <v>0</v>
      </c>
      <c r="V2097" s="195">
        <f t="shared" si="264"/>
        <v>0</v>
      </c>
      <c r="W2097" s="196" t="e">
        <f t="shared" si="265"/>
        <v>#DIV/0!</v>
      </c>
      <c r="X2097" s="197" t="e">
        <f t="shared" si="266"/>
        <v>#DIV/0!</v>
      </c>
    </row>
    <row r="2098" ht="11.4" hidden="1" customHeight="1" spans="1:24">
      <c r="A2098" s="184" t="s">
        <v>3200</v>
      </c>
      <c r="B2098" s="184" t="s">
        <v>139</v>
      </c>
      <c r="C2098" s="184" t="s">
        <v>1880</v>
      </c>
      <c r="D2098" s="185" t="s">
        <v>704</v>
      </c>
      <c r="E2098" s="186" t="s">
        <v>906</v>
      </c>
      <c r="F2098" s="186" t="s">
        <v>907</v>
      </c>
      <c r="G2098" s="186" t="s">
        <v>1881</v>
      </c>
      <c r="H2098" s="186" t="s">
        <v>1980</v>
      </c>
      <c r="I2098" s="187" t="s">
        <v>2001</v>
      </c>
      <c r="J2098" s="187" t="s">
        <v>3205</v>
      </c>
      <c r="K2098" s="188"/>
      <c r="L2098" s="188"/>
      <c r="M2098" s="189" t="s">
        <v>807</v>
      </c>
      <c r="N2098" s="190">
        <v>40.18</v>
      </c>
      <c r="O2098" s="190">
        <f t="shared" si="259"/>
        <v>43.8</v>
      </c>
      <c r="P2098" s="191">
        <f t="shared" si="260"/>
        <v>0</v>
      </c>
      <c r="Q2098" s="192">
        <f t="shared" si="261"/>
        <v>0</v>
      </c>
      <c r="R2098" s="193"/>
      <c r="S2098" s="194"/>
      <c r="T2098" s="195">
        <f t="shared" si="262"/>
        <v>0</v>
      </c>
      <c r="U2098" s="195">
        <f t="shared" si="263"/>
        <v>0</v>
      </c>
      <c r="V2098" s="195">
        <f t="shared" si="264"/>
        <v>0</v>
      </c>
      <c r="W2098" s="196" t="e">
        <f t="shared" si="265"/>
        <v>#DIV/0!</v>
      </c>
      <c r="X2098" s="197" t="e">
        <f t="shared" si="266"/>
        <v>#DIV/0!</v>
      </c>
    </row>
    <row r="2099" ht="11.4" hidden="1" customHeight="1" spans="1:24">
      <c r="A2099" s="184" t="s">
        <v>3200</v>
      </c>
      <c r="B2099" s="184" t="s">
        <v>139</v>
      </c>
      <c r="C2099" s="184" t="s">
        <v>1880</v>
      </c>
      <c r="D2099" s="185" t="s">
        <v>704</v>
      </c>
      <c r="E2099" s="186" t="s">
        <v>906</v>
      </c>
      <c r="F2099" s="186" t="s">
        <v>907</v>
      </c>
      <c r="G2099" s="186" t="s">
        <v>1881</v>
      </c>
      <c r="H2099" s="186" t="s">
        <v>1980</v>
      </c>
      <c r="I2099" s="187" t="s">
        <v>2003</v>
      </c>
      <c r="J2099" s="187" t="s">
        <v>3086</v>
      </c>
      <c r="K2099" s="188"/>
      <c r="L2099" s="188"/>
      <c r="M2099" s="189" t="s">
        <v>807</v>
      </c>
      <c r="N2099" s="190">
        <v>28.14</v>
      </c>
      <c r="O2099" s="190">
        <f t="shared" si="259"/>
        <v>30.67</v>
      </c>
      <c r="P2099" s="191">
        <f t="shared" si="260"/>
        <v>0</v>
      </c>
      <c r="Q2099" s="192">
        <f t="shared" si="261"/>
        <v>0</v>
      </c>
      <c r="R2099" s="193"/>
      <c r="S2099" s="194"/>
      <c r="T2099" s="195">
        <f t="shared" si="262"/>
        <v>0</v>
      </c>
      <c r="U2099" s="195">
        <f t="shared" si="263"/>
        <v>0</v>
      </c>
      <c r="V2099" s="195">
        <f t="shared" si="264"/>
        <v>0</v>
      </c>
      <c r="W2099" s="196" t="e">
        <f t="shared" si="265"/>
        <v>#DIV/0!</v>
      </c>
      <c r="X2099" s="197" t="e">
        <f t="shared" si="266"/>
        <v>#DIV/0!</v>
      </c>
    </row>
    <row r="2100" ht="11.4" hidden="1" customHeight="1" spans="1:24">
      <c r="A2100" s="184" t="s">
        <v>3200</v>
      </c>
      <c r="B2100" s="184" t="s">
        <v>139</v>
      </c>
      <c r="C2100" s="184" t="s">
        <v>1880</v>
      </c>
      <c r="D2100" s="185" t="s">
        <v>704</v>
      </c>
      <c r="E2100" s="186" t="s">
        <v>906</v>
      </c>
      <c r="F2100" s="186" t="s">
        <v>907</v>
      </c>
      <c r="G2100" s="186" t="s">
        <v>1881</v>
      </c>
      <c r="H2100" s="186" t="s">
        <v>1980</v>
      </c>
      <c r="I2100" s="187" t="s">
        <v>2005</v>
      </c>
      <c r="J2100" s="187" t="s">
        <v>3087</v>
      </c>
      <c r="K2100" s="188"/>
      <c r="L2100" s="188"/>
      <c r="M2100" s="189" t="s">
        <v>807</v>
      </c>
      <c r="N2100" s="190">
        <v>28.15</v>
      </c>
      <c r="O2100" s="190">
        <f t="shared" si="259"/>
        <v>30.68</v>
      </c>
      <c r="P2100" s="191">
        <f t="shared" si="260"/>
        <v>0</v>
      </c>
      <c r="Q2100" s="192">
        <f t="shared" si="261"/>
        <v>0</v>
      </c>
      <c r="R2100" s="193"/>
      <c r="S2100" s="194"/>
      <c r="T2100" s="195">
        <f t="shared" si="262"/>
        <v>0</v>
      </c>
      <c r="U2100" s="195">
        <f t="shared" si="263"/>
        <v>0</v>
      </c>
      <c r="V2100" s="195">
        <f t="shared" si="264"/>
        <v>0</v>
      </c>
      <c r="W2100" s="196" t="e">
        <f t="shared" si="265"/>
        <v>#DIV/0!</v>
      </c>
      <c r="X2100" s="197" t="e">
        <f t="shared" si="266"/>
        <v>#DIV/0!</v>
      </c>
    </row>
    <row r="2101" ht="11.4" hidden="1" customHeight="1" spans="1:24">
      <c r="A2101" s="184" t="s">
        <v>3200</v>
      </c>
      <c r="B2101" s="184" t="s">
        <v>139</v>
      </c>
      <c r="C2101" s="184" t="s">
        <v>1880</v>
      </c>
      <c r="D2101" s="185" t="s">
        <v>704</v>
      </c>
      <c r="E2101" s="186" t="s">
        <v>906</v>
      </c>
      <c r="F2101" s="186" t="s">
        <v>907</v>
      </c>
      <c r="G2101" s="186" t="s">
        <v>1881</v>
      </c>
      <c r="H2101" s="186" t="s">
        <v>1980</v>
      </c>
      <c r="I2101" s="187" t="s">
        <v>2007</v>
      </c>
      <c r="J2101" s="187" t="s">
        <v>2008</v>
      </c>
      <c r="K2101" s="188"/>
      <c r="L2101" s="188"/>
      <c r="M2101" s="189" t="s">
        <v>1018</v>
      </c>
      <c r="N2101" s="190">
        <v>1059.51</v>
      </c>
      <c r="O2101" s="190">
        <f t="shared" si="259"/>
        <v>1154.87</v>
      </c>
      <c r="P2101" s="191">
        <f t="shared" si="260"/>
        <v>0</v>
      </c>
      <c r="Q2101" s="192">
        <f t="shared" si="261"/>
        <v>0</v>
      </c>
      <c r="R2101" s="193"/>
      <c r="S2101" s="194"/>
      <c r="T2101" s="195">
        <f t="shared" si="262"/>
        <v>0</v>
      </c>
      <c r="U2101" s="195">
        <f t="shared" si="263"/>
        <v>0</v>
      </c>
      <c r="V2101" s="195">
        <f t="shared" si="264"/>
        <v>0</v>
      </c>
      <c r="W2101" s="196" t="e">
        <f t="shared" si="265"/>
        <v>#DIV/0!</v>
      </c>
      <c r="X2101" s="197" t="e">
        <f t="shared" si="266"/>
        <v>#DIV/0!</v>
      </c>
    </row>
    <row r="2102" ht="11.4" hidden="1" customHeight="1" spans="1:24">
      <c r="A2102" s="184" t="s">
        <v>3200</v>
      </c>
      <c r="B2102" s="184" t="s">
        <v>139</v>
      </c>
      <c r="C2102" s="184" t="s">
        <v>1880</v>
      </c>
      <c r="D2102" s="185" t="s">
        <v>704</v>
      </c>
      <c r="E2102" s="186" t="s">
        <v>906</v>
      </c>
      <c r="F2102" s="186" t="s">
        <v>907</v>
      </c>
      <c r="G2102" s="186" t="s">
        <v>1881</v>
      </c>
      <c r="H2102" s="186" t="s">
        <v>1980</v>
      </c>
      <c r="I2102" s="187" t="s">
        <v>2009</v>
      </c>
      <c r="J2102" s="187" t="s">
        <v>2010</v>
      </c>
      <c r="K2102" s="188"/>
      <c r="L2102" s="188"/>
      <c r="M2102" s="189" t="s">
        <v>1018</v>
      </c>
      <c r="N2102" s="190">
        <v>829.5</v>
      </c>
      <c r="O2102" s="190">
        <f t="shared" si="259"/>
        <v>904.16</v>
      </c>
      <c r="P2102" s="191">
        <f t="shared" si="260"/>
        <v>0</v>
      </c>
      <c r="Q2102" s="192">
        <f t="shared" si="261"/>
        <v>0</v>
      </c>
      <c r="R2102" s="193"/>
      <c r="S2102" s="194"/>
      <c r="T2102" s="195">
        <f t="shared" si="262"/>
        <v>0</v>
      </c>
      <c r="U2102" s="195">
        <f t="shared" si="263"/>
        <v>0</v>
      </c>
      <c r="V2102" s="195">
        <f t="shared" si="264"/>
        <v>0</v>
      </c>
      <c r="W2102" s="196" t="e">
        <f t="shared" si="265"/>
        <v>#DIV/0!</v>
      </c>
      <c r="X2102" s="197" t="e">
        <f t="shared" si="266"/>
        <v>#DIV/0!</v>
      </c>
    </row>
    <row r="2103" ht="11.4" hidden="1" customHeight="1" spans="1:24">
      <c r="A2103" s="184" t="s">
        <v>3200</v>
      </c>
      <c r="B2103" s="184" t="s">
        <v>139</v>
      </c>
      <c r="C2103" s="184" t="s">
        <v>1880</v>
      </c>
      <c r="D2103" s="185" t="s">
        <v>704</v>
      </c>
      <c r="E2103" s="186" t="s">
        <v>906</v>
      </c>
      <c r="F2103" s="186" t="s">
        <v>907</v>
      </c>
      <c r="G2103" s="186" t="s">
        <v>1881</v>
      </c>
      <c r="H2103" s="186" t="s">
        <v>1980</v>
      </c>
      <c r="I2103" s="187" t="s">
        <v>2011</v>
      </c>
      <c r="J2103" s="187" t="s">
        <v>2012</v>
      </c>
      <c r="K2103" s="188"/>
      <c r="L2103" s="188"/>
      <c r="M2103" s="189" t="s">
        <v>1018</v>
      </c>
      <c r="N2103" s="190">
        <v>698.6</v>
      </c>
      <c r="O2103" s="190">
        <f t="shared" si="259"/>
        <v>761.47</v>
      </c>
      <c r="P2103" s="191">
        <f t="shared" si="260"/>
        <v>0</v>
      </c>
      <c r="Q2103" s="192">
        <f t="shared" si="261"/>
        <v>0</v>
      </c>
      <c r="R2103" s="193"/>
      <c r="S2103" s="194"/>
      <c r="T2103" s="195">
        <f t="shared" si="262"/>
        <v>0</v>
      </c>
      <c r="U2103" s="195">
        <f t="shared" si="263"/>
        <v>0</v>
      </c>
      <c r="V2103" s="195">
        <f t="shared" si="264"/>
        <v>0</v>
      </c>
      <c r="W2103" s="196" t="e">
        <f t="shared" si="265"/>
        <v>#DIV/0!</v>
      </c>
      <c r="X2103" s="197" t="e">
        <f t="shared" si="266"/>
        <v>#DIV/0!</v>
      </c>
    </row>
    <row r="2104" ht="11.4" hidden="1" customHeight="1" spans="1:24">
      <c r="A2104" s="184" t="s">
        <v>3200</v>
      </c>
      <c r="B2104" s="184" t="s">
        <v>139</v>
      </c>
      <c r="C2104" s="184" t="s">
        <v>1880</v>
      </c>
      <c r="D2104" s="185" t="s">
        <v>704</v>
      </c>
      <c r="E2104" s="186" t="s">
        <v>906</v>
      </c>
      <c r="F2104" s="186" t="s">
        <v>907</v>
      </c>
      <c r="G2104" s="186" t="s">
        <v>1881</v>
      </c>
      <c r="H2104" s="186" t="s">
        <v>1980</v>
      </c>
      <c r="I2104" s="187" t="s">
        <v>2013</v>
      </c>
      <c r="J2104" s="187" t="s">
        <v>2014</v>
      </c>
      <c r="K2104" s="188"/>
      <c r="L2104" s="188"/>
      <c r="M2104" s="189" t="s">
        <v>1018</v>
      </c>
      <c r="N2104" s="190">
        <v>996.7</v>
      </c>
      <c r="O2104" s="190">
        <f t="shared" si="259"/>
        <v>1086.4</v>
      </c>
      <c r="P2104" s="191">
        <f t="shared" si="260"/>
        <v>0</v>
      </c>
      <c r="Q2104" s="192">
        <f t="shared" si="261"/>
        <v>0</v>
      </c>
      <c r="R2104" s="193"/>
      <c r="S2104" s="194"/>
      <c r="T2104" s="195">
        <f t="shared" si="262"/>
        <v>0</v>
      </c>
      <c r="U2104" s="195">
        <f t="shared" si="263"/>
        <v>0</v>
      </c>
      <c r="V2104" s="195">
        <f t="shared" si="264"/>
        <v>0</v>
      </c>
      <c r="W2104" s="196" t="e">
        <f t="shared" si="265"/>
        <v>#DIV/0!</v>
      </c>
      <c r="X2104" s="197" t="e">
        <f t="shared" si="266"/>
        <v>#DIV/0!</v>
      </c>
    </row>
    <row r="2105" ht="11.4" hidden="1" customHeight="1" spans="1:24">
      <c r="A2105" s="184" t="s">
        <v>3200</v>
      </c>
      <c r="B2105" s="184" t="s">
        <v>139</v>
      </c>
      <c r="C2105" s="184" t="s">
        <v>1880</v>
      </c>
      <c r="D2105" s="185" t="s">
        <v>704</v>
      </c>
      <c r="E2105" s="186" t="s">
        <v>906</v>
      </c>
      <c r="F2105" s="186" t="s">
        <v>907</v>
      </c>
      <c r="G2105" s="186" t="s">
        <v>1881</v>
      </c>
      <c r="H2105" s="186" t="s">
        <v>1980</v>
      </c>
      <c r="I2105" s="187" t="s">
        <v>2015</v>
      </c>
      <c r="J2105" s="187" t="s">
        <v>2016</v>
      </c>
      <c r="K2105" s="188"/>
      <c r="L2105" s="188"/>
      <c r="M2105" s="189" t="s">
        <v>1018</v>
      </c>
      <c r="N2105" s="190">
        <v>563.75</v>
      </c>
      <c r="O2105" s="190">
        <f t="shared" si="259"/>
        <v>614.49</v>
      </c>
      <c r="P2105" s="191">
        <f t="shared" si="260"/>
        <v>0</v>
      </c>
      <c r="Q2105" s="192">
        <f t="shared" si="261"/>
        <v>0</v>
      </c>
      <c r="R2105" s="193"/>
      <c r="S2105" s="194"/>
      <c r="T2105" s="195">
        <f t="shared" si="262"/>
        <v>0</v>
      </c>
      <c r="U2105" s="195">
        <f t="shared" si="263"/>
        <v>0</v>
      </c>
      <c r="V2105" s="195">
        <f t="shared" si="264"/>
        <v>0</v>
      </c>
      <c r="W2105" s="196" t="e">
        <f t="shared" si="265"/>
        <v>#DIV/0!</v>
      </c>
      <c r="X2105" s="197" t="e">
        <f t="shared" si="266"/>
        <v>#DIV/0!</v>
      </c>
    </row>
    <row r="2106" ht="11.4" hidden="1" customHeight="1" spans="1:24">
      <c r="A2106" s="184" t="s">
        <v>3200</v>
      </c>
      <c r="B2106" s="184" t="s">
        <v>139</v>
      </c>
      <c r="C2106" s="184" t="s">
        <v>1880</v>
      </c>
      <c r="D2106" s="185" t="s">
        <v>704</v>
      </c>
      <c r="E2106" s="186" t="s">
        <v>906</v>
      </c>
      <c r="F2106" s="186" t="s">
        <v>907</v>
      </c>
      <c r="G2106" s="186" t="s">
        <v>1881</v>
      </c>
      <c r="H2106" s="186" t="s">
        <v>1980</v>
      </c>
      <c r="I2106" s="187" t="s">
        <v>2018</v>
      </c>
      <c r="J2106" s="187" t="s">
        <v>2019</v>
      </c>
      <c r="K2106" s="188"/>
      <c r="L2106" s="188"/>
      <c r="M2106" s="189" t="s">
        <v>1018</v>
      </c>
      <c r="N2106" s="190">
        <v>551.65</v>
      </c>
      <c r="O2106" s="190">
        <f t="shared" si="259"/>
        <v>601.3</v>
      </c>
      <c r="P2106" s="191">
        <f t="shared" si="260"/>
        <v>0</v>
      </c>
      <c r="Q2106" s="192">
        <f t="shared" si="261"/>
        <v>0</v>
      </c>
      <c r="R2106" s="193"/>
      <c r="S2106" s="194"/>
      <c r="T2106" s="195">
        <f t="shared" si="262"/>
        <v>0</v>
      </c>
      <c r="U2106" s="195">
        <f t="shared" si="263"/>
        <v>0</v>
      </c>
      <c r="V2106" s="195">
        <f t="shared" si="264"/>
        <v>0</v>
      </c>
      <c r="W2106" s="196" t="e">
        <f t="shared" si="265"/>
        <v>#DIV/0!</v>
      </c>
      <c r="X2106" s="197" t="e">
        <f t="shared" si="266"/>
        <v>#DIV/0!</v>
      </c>
    </row>
    <row r="2107" ht="11.4" hidden="1" customHeight="1" spans="1:24">
      <c r="A2107" s="184" t="s">
        <v>3200</v>
      </c>
      <c r="B2107" s="184" t="s">
        <v>139</v>
      </c>
      <c r="C2107" s="184" t="s">
        <v>1880</v>
      </c>
      <c r="D2107" s="185" t="s">
        <v>704</v>
      </c>
      <c r="E2107" s="186" t="s">
        <v>906</v>
      </c>
      <c r="F2107" s="186" t="s">
        <v>907</v>
      </c>
      <c r="G2107" s="186" t="s">
        <v>1881</v>
      </c>
      <c r="H2107" s="186" t="s">
        <v>1980</v>
      </c>
      <c r="I2107" s="187" t="s">
        <v>2020</v>
      </c>
      <c r="J2107" s="187" t="s">
        <v>2021</v>
      </c>
      <c r="K2107" s="188"/>
      <c r="L2107" s="188"/>
      <c r="M2107" s="189" t="s">
        <v>1018</v>
      </c>
      <c r="N2107" s="190">
        <v>252.22</v>
      </c>
      <c r="O2107" s="190">
        <f t="shared" si="259"/>
        <v>274.92</v>
      </c>
      <c r="P2107" s="191">
        <f t="shared" si="260"/>
        <v>0</v>
      </c>
      <c r="Q2107" s="192">
        <f t="shared" si="261"/>
        <v>0</v>
      </c>
      <c r="R2107" s="193"/>
      <c r="S2107" s="194"/>
      <c r="T2107" s="195">
        <f t="shared" si="262"/>
        <v>0</v>
      </c>
      <c r="U2107" s="195">
        <f t="shared" si="263"/>
        <v>0</v>
      </c>
      <c r="V2107" s="195">
        <f t="shared" si="264"/>
        <v>0</v>
      </c>
      <c r="W2107" s="196" t="e">
        <f t="shared" si="265"/>
        <v>#DIV/0!</v>
      </c>
      <c r="X2107" s="197" t="e">
        <f t="shared" si="266"/>
        <v>#DIV/0!</v>
      </c>
    </row>
    <row r="2108" ht="11.4" hidden="1" customHeight="1" spans="1:24">
      <c r="A2108" s="184" t="s">
        <v>3200</v>
      </c>
      <c r="B2108" s="184" t="s">
        <v>139</v>
      </c>
      <c r="C2108" s="184" t="s">
        <v>1880</v>
      </c>
      <c r="D2108" s="185" t="s">
        <v>704</v>
      </c>
      <c r="E2108" s="186" t="s">
        <v>906</v>
      </c>
      <c r="F2108" s="186" t="s">
        <v>907</v>
      </c>
      <c r="G2108" s="186" t="s">
        <v>1881</v>
      </c>
      <c r="H2108" s="186" t="s">
        <v>1980</v>
      </c>
      <c r="I2108" s="187" t="s">
        <v>2022</v>
      </c>
      <c r="J2108" s="187" t="s">
        <v>2023</v>
      </c>
      <c r="K2108" s="188"/>
      <c r="L2108" s="188"/>
      <c r="M2108" s="189" t="s">
        <v>807</v>
      </c>
      <c r="N2108" s="190">
        <v>51.8</v>
      </c>
      <c r="O2108" s="190">
        <f t="shared" si="259"/>
        <v>56.46</v>
      </c>
      <c r="P2108" s="191">
        <f t="shared" si="260"/>
        <v>0</v>
      </c>
      <c r="Q2108" s="192">
        <f t="shared" si="261"/>
        <v>0</v>
      </c>
      <c r="R2108" s="193"/>
      <c r="S2108" s="194"/>
      <c r="T2108" s="195">
        <f t="shared" si="262"/>
        <v>0</v>
      </c>
      <c r="U2108" s="195">
        <f t="shared" si="263"/>
        <v>0</v>
      </c>
      <c r="V2108" s="195">
        <f t="shared" si="264"/>
        <v>0</v>
      </c>
      <c r="W2108" s="196" t="e">
        <f t="shared" si="265"/>
        <v>#DIV/0!</v>
      </c>
      <c r="X2108" s="197" t="e">
        <f t="shared" si="266"/>
        <v>#DIV/0!</v>
      </c>
    </row>
    <row r="2109" ht="11.4" hidden="1" customHeight="1" spans="1:24">
      <c r="A2109" s="184" t="s">
        <v>3200</v>
      </c>
      <c r="B2109" s="184" t="s">
        <v>139</v>
      </c>
      <c r="C2109" s="184" t="s">
        <v>1880</v>
      </c>
      <c r="D2109" s="185" t="s">
        <v>704</v>
      </c>
      <c r="E2109" s="186" t="s">
        <v>906</v>
      </c>
      <c r="F2109" s="186" t="s">
        <v>907</v>
      </c>
      <c r="G2109" s="186" t="s">
        <v>1881</v>
      </c>
      <c r="H2109" s="186" t="s">
        <v>1980</v>
      </c>
      <c r="I2109" s="187" t="s">
        <v>2024</v>
      </c>
      <c r="J2109" s="187" t="s">
        <v>2025</v>
      </c>
      <c r="K2109" s="188"/>
      <c r="L2109" s="188"/>
      <c r="M2109" s="189" t="s">
        <v>807</v>
      </c>
      <c r="N2109" s="190">
        <v>73.06</v>
      </c>
      <c r="O2109" s="190">
        <f t="shared" si="259"/>
        <v>79.64</v>
      </c>
      <c r="P2109" s="191">
        <f t="shared" si="260"/>
        <v>0</v>
      </c>
      <c r="Q2109" s="192">
        <f t="shared" si="261"/>
        <v>0</v>
      </c>
      <c r="R2109" s="193"/>
      <c r="S2109" s="194"/>
      <c r="T2109" s="195">
        <f t="shared" si="262"/>
        <v>0</v>
      </c>
      <c r="U2109" s="195">
        <f t="shared" si="263"/>
        <v>0</v>
      </c>
      <c r="V2109" s="195">
        <f t="shared" si="264"/>
        <v>0</v>
      </c>
      <c r="W2109" s="196" t="e">
        <f t="shared" si="265"/>
        <v>#DIV/0!</v>
      </c>
      <c r="X2109" s="197" t="e">
        <f t="shared" si="266"/>
        <v>#DIV/0!</v>
      </c>
    </row>
    <row r="2110" ht="11.4" hidden="1" customHeight="1" spans="1:24">
      <c r="A2110" s="184" t="s">
        <v>3200</v>
      </c>
      <c r="B2110" s="184" t="s">
        <v>139</v>
      </c>
      <c r="C2110" s="184" t="s">
        <v>1880</v>
      </c>
      <c r="D2110" s="185" t="s">
        <v>704</v>
      </c>
      <c r="E2110" s="186" t="s">
        <v>906</v>
      </c>
      <c r="F2110" s="186" t="s">
        <v>907</v>
      </c>
      <c r="G2110" s="186" t="s">
        <v>1881</v>
      </c>
      <c r="H2110" s="186" t="s">
        <v>1980</v>
      </c>
      <c r="I2110" s="187" t="s">
        <v>2026</v>
      </c>
      <c r="J2110" s="187" t="s">
        <v>2027</v>
      </c>
      <c r="K2110" s="188"/>
      <c r="L2110" s="188"/>
      <c r="M2110" s="189" t="s">
        <v>807</v>
      </c>
      <c r="N2110" s="190">
        <v>55.68</v>
      </c>
      <c r="O2110" s="190">
        <f t="shared" si="259"/>
        <v>60.69</v>
      </c>
      <c r="P2110" s="191">
        <f t="shared" si="260"/>
        <v>0</v>
      </c>
      <c r="Q2110" s="192">
        <f t="shared" si="261"/>
        <v>0</v>
      </c>
      <c r="R2110" s="193"/>
      <c r="S2110" s="194"/>
      <c r="T2110" s="195">
        <f t="shared" si="262"/>
        <v>0</v>
      </c>
      <c r="U2110" s="195">
        <f t="shared" si="263"/>
        <v>0</v>
      </c>
      <c r="V2110" s="195">
        <f t="shared" si="264"/>
        <v>0</v>
      </c>
      <c r="W2110" s="196" t="e">
        <f t="shared" si="265"/>
        <v>#DIV/0!</v>
      </c>
      <c r="X2110" s="197" t="e">
        <f t="shared" si="266"/>
        <v>#DIV/0!</v>
      </c>
    </row>
    <row r="2111" ht="11.4" hidden="1" customHeight="1" spans="1:24">
      <c r="A2111" s="184" t="s">
        <v>3200</v>
      </c>
      <c r="B2111" s="184" t="s">
        <v>139</v>
      </c>
      <c r="C2111" s="184" t="s">
        <v>1880</v>
      </c>
      <c r="D2111" s="185" t="s">
        <v>704</v>
      </c>
      <c r="E2111" s="186" t="s">
        <v>906</v>
      </c>
      <c r="F2111" s="186" t="s">
        <v>907</v>
      </c>
      <c r="G2111" s="186" t="s">
        <v>1881</v>
      </c>
      <c r="H2111" s="186" t="s">
        <v>1980</v>
      </c>
      <c r="I2111" s="187" t="s">
        <v>2028</v>
      </c>
      <c r="J2111" s="187" t="s">
        <v>2029</v>
      </c>
      <c r="K2111" s="188"/>
      <c r="L2111" s="188"/>
      <c r="M2111" s="189" t="s">
        <v>807</v>
      </c>
      <c r="N2111" s="190">
        <v>37.65</v>
      </c>
      <c r="O2111" s="190">
        <f t="shared" si="259"/>
        <v>41.04</v>
      </c>
      <c r="P2111" s="191">
        <f t="shared" si="260"/>
        <v>0</v>
      </c>
      <c r="Q2111" s="192">
        <f t="shared" si="261"/>
        <v>0</v>
      </c>
      <c r="R2111" s="193"/>
      <c r="S2111" s="194"/>
      <c r="T2111" s="195">
        <f t="shared" si="262"/>
        <v>0</v>
      </c>
      <c r="U2111" s="195">
        <f t="shared" si="263"/>
        <v>0</v>
      </c>
      <c r="V2111" s="195">
        <f t="shared" si="264"/>
        <v>0</v>
      </c>
      <c r="W2111" s="196" t="e">
        <f t="shared" si="265"/>
        <v>#DIV/0!</v>
      </c>
      <c r="X2111" s="197" t="e">
        <f t="shared" si="266"/>
        <v>#DIV/0!</v>
      </c>
    </row>
    <row r="2112" ht="11.4" hidden="1" customHeight="1" spans="1:24">
      <c r="A2112" s="184" t="s">
        <v>3200</v>
      </c>
      <c r="B2112" s="184" t="s">
        <v>139</v>
      </c>
      <c r="C2112" s="184" t="s">
        <v>1880</v>
      </c>
      <c r="D2112" s="185" t="s">
        <v>704</v>
      </c>
      <c r="E2112" s="186" t="s">
        <v>906</v>
      </c>
      <c r="F2112" s="186" t="s">
        <v>907</v>
      </c>
      <c r="G2112" s="186" t="s">
        <v>1881</v>
      </c>
      <c r="H2112" s="186" t="s">
        <v>1980</v>
      </c>
      <c r="I2112" s="187" t="s">
        <v>2030</v>
      </c>
      <c r="J2112" s="187" t="s">
        <v>2031</v>
      </c>
      <c r="K2112" s="188"/>
      <c r="L2112" s="188"/>
      <c r="M2112" s="189" t="s">
        <v>989</v>
      </c>
      <c r="N2112" s="190">
        <v>842.05</v>
      </c>
      <c r="O2112" s="190">
        <f t="shared" si="259"/>
        <v>917.83</v>
      </c>
      <c r="P2112" s="191">
        <f t="shared" si="260"/>
        <v>0</v>
      </c>
      <c r="Q2112" s="192">
        <f t="shared" si="261"/>
        <v>0</v>
      </c>
      <c r="R2112" s="193"/>
      <c r="S2112" s="194"/>
      <c r="T2112" s="195">
        <f t="shared" si="262"/>
        <v>0</v>
      </c>
      <c r="U2112" s="195">
        <f t="shared" si="263"/>
        <v>0</v>
      </c>
      <c r="V2112" s="195">
        <f t="shared" si="264"/>
        <v>0</v>
      </c>
      <c r="W2112" s="196" t="e">
        <f t="shared" si="265"/>
        <v>#DIV/0!</v>
      </c>
      <c r="X2112" s="197" t="e">
        <f t="shared" si="266"/>
        <v>#DIV/0!</v>
      </c>
    </row>
    <row r="2113" ht="11.4" hidden="1" customHeight="1" spans="1:24">
      <c r="A2113" s="184" t="s">
        <v>3200</v>
      </c>
      <c r="B2113" s="184" t="s">
        <v>139</v>
      </c>
      <c r="C2113" s="184" t="s">
        <v>1880</v>
      </c>
      <c r="D2113" s="185" t="s">
        <v>704</v>
      </c>
      <c r="E2113" s="186" t="s">
        <v>906</v>
      </c>
      <c r="F2113" s="186" t="s">
        <v>907</v>
      </c>
      <c r="G2113" s="186" t="s">
        <v>1881</v>
      </c>
      <c r="H2113" s="186" t="s">
        <v>2032</v>
      </c>
      <c r="I2113" s="187" t="s">
        <v>2033</v>
      </c>
      <c r="J2113" s="187" t="s">
        <v>2034</v>
      </c>
      <c r="K2113" s="188"/>
      <c r="L2113" s="188"/>
      <c r="M2113" s="189" t="s">
        <v>1018</v>
      </c>
      <c r="N2113" s="190">
        <v>505.45</v>
      </c>
      <c r="O2113" s="190">
        <f t="shared" si="259"/>
        <v>550.94</v>
      </c>
      <c r="P2113" s="191">
        <f t="shared" si="260"/>
        <v>0</v>
      </c>
      <c r="Q2113" s="192">
        <f t="shared" si="261"/>
        <v>0</v>
      </c>
      <c r="R2113" s="193"/>
      <c r="S2113" s="194"/>
      <c r="T2113" s="195">
        <f t="shared" si="262"/>
        <v>0</v>
      </c>
      <c r="U2113" s="195">
        <f t="shared" si="263"/>
        <v>0</v>
      </c>
      <c r="V2113" s="195">
        <f t="shared" si="264"/>
        <v>0</v>
      </c>
      <c r="W2113" s="196" t="e">
        <f t="shared" si="265"/>
        <v>#DIV/0!</v>
      </c>
      <c r="X2113" s="197" t="e">
        <f t="shared" si="266"/>
        <v>#DIV/0!</v>
      </c>
    </row>
    <row r="2114" ht="11.4" hidden="1" customHeight="1" spans="1:24">
      <c r="A2114" s="184" t="s">
        <v>3200</v>
      </c>
      <c r="B2114" s="184" t="s">
        <v>139</v>
      </c>
      <c r="C2114" s="184" t="s">
        <v>1880</v>
      </c>
      <c r="D2114" s="185" t="s">
        <v>704</v>
      </c>
      <c r="E2114" s="186" t="s">
        <v>906</v>
      </c>
      <c r="F2114" s="186" t="s">
        <v>907</v>
      </c>
      <c r="G2114" s="186" t="s">
        <v>1881</v>
      </c>
      <c r="H2114" s="186" t="s">
        <v>2032</v>
      </c>
      <c r="I2114" s="187" t="s">
        <v>2036</v>
      </c>
      <c r="J2114" s="187" t="s">
        <v>2037</v>
      </c>
      <c r="K2114" s="188"/>
      <c r="L2114" s="188"/>
      <c r="M2114" s="189" t="s">
        <v>807</v>
      </c>
      <c r="N2114" s="190">
        <v>34.75</v>
      </c>
      <c r="O2114" s="190">
        <f t="shared" si="259"/>
        <v>37.88</v>
      </c>
      <c r="P2114" s="191">
        <f t="shared" si="260"/>
        <v>0</v>
      </c>
      <c r="Q2114" s="192">
        <f t="shared" si="261"/>
        <v>0</v>
      </c>
      <c r="R2114" s="193"/>
      <c r="S2114" s="194"/>
      <c r="T2114" s="195">
        <f t="shared" si="262"/>
        <v>0</v>
      </c>
      <c r="U2114" s="195">
        <f t="shared" si="263"/>
        <v>0</v>
      </c>
      <c r="V2114" s="195">
        <f t="shared" si="264"/>
        <v>0</v>
      </c>
      <c r="W2114" s="196" t="e">
        <f t="shared" si="265"/>
        <v>#DIV/0!</v>
      </c>
      <c r="X2114" s="197" t="e">
        <f t="shared" si="266"/>
        <v>#DIV/0!</v>
      </c>
    </row>
    <row r="2115" ht="11.4" hidden="1" customHeight="1" spans="1:24">
      <c r="A2115" s="184" t="s">
        <v>3200</v>
      </c>
      <c r="B2115" s="184" t="s">
        <v>139</v>
      </c>
      <c r="C2115" s="184" t="s">
        <v>1880</v>
      </c>
      <c r="D2115" s="185" t="s">
        <v>704</v>
      </c>
      <c r="E2115" s="186" t="s">
        <v>906</v>
      </c>
      <c r="F2115" s="186" t="s">
        <v>907</v>
      </c>
      <c r="G2115" s="186" t="s">
        <v>1881</v>
      </c>
      <c r="H2115" s="186" t="s">
        <v>2032</v>
      </c>
      <c r="I2115" s="187" t="s">
        <v>2038</v>
      </c>
      <c r="J2115" s="187" t="s">
        <v>2039</v>
      </c>
      <c r="K2115" s="188"/>
      <c r="L2115" s="188"/>
      <c r="M2115" s="189" t="s">
        <v>807</v>
      </c>
      <c r="N2115" s="190">
        <v>34.75</v>
      </c>
      <c r="O2115" s="190">
        <f t="shared" si="259"/>
        <v>37.88</v>
      </c>
      <c r="P2115" s="191">
        <f t="shared" si="260"/>
        <v>0</v>
      </c>
      <c r="Q2115" s="192">
        <f t="shared" si="261"/>
        <v>0</v>
      </c>
      <c r="R2115" s="193"/>
      <c r="S2115" s="194"/>
      <c r="T2115" s="195">
        <f t="shared" si="262"/>
        <v>0</v>
      </c>
      <c r="U2115" s="195">
        <f t="shared" si="263"/>
        <v>0</v>
      </c>
      <c r="V2115" s="195">
        <f t="shared" si="264"/>
        <v>0</v>
      </c>
      <c r="W2115" s="196" t="e">
        <f t="shared" si="265"/>
        <v>#DIV/0!</v>
      </c>
      <c r="X2115" s="197" t="e">
        <f t="shared" si="266"/>
        <v>#DIV/0!</v>
      </c>
    </row>
    <row r="2116" ht="11.4" hidden="1" customHeight="1" spans="1:24">
      <c r="A2116" s="184" t="s">
        <v>3200</v>
      </c>
      <c r="B2116" s="184" t="s">
        <v>139</v>
      </c>
      <c r="C2116" s="184" t="s">
        <v>1880</v>
      </c>
      <c r="D2116" s="185" t="s">
        <v>704</v>
      </c>
      <c r="E2116" s="186" t="s">
        <v>906</v>
      </c>
      <c r="F2116" s="186" t="s">
        <v>907</v>
      </c>
      <c r="G2116" s="186" t="s">
        <v>1881</v>
      </c>
      <c r="H2116" s="186" t="s">
        <v>2032</v>
      </c>
      <c r="I2116" s="187" t="s">
        <v>2040</v>
      </c>
      <c r="J2116" s="187" t="s">
        <v>2041</v>
      </c>
      <c r="K2116" s="188"/>
      <c r="L2116" s="188"/>
      <c r="M2116" s="189" t="s">
        <v>989</v>
      </c>
      <c r="N2116" s="190">
        <v>762.65</v>
      </c>
      <c r="O2116" s="190">
        <f t="shared" si="259"/>
        <v>831.29</v>
      </c>
      <c r="P2116" s="191">
        <f t="shared" si="260"/>
        <v>0</v>
      </c>
      <c r="Q2116" s="192">
        <f t="shared" si="261"/>
        <v>0</v>
      </c>
      <c r="R2116" s="193"/>
      <c r="S2116" s="194"/>
      <c r="T2116" s="195">
        <f t="shared" si="262"/>
        <v>0</v>
      </c>
      <c r="U2116" s="195">
        <f t="shared" si="263"/>
        <v>0</v>
      </c>
      <c r="V2116" s="195">
        <f t="shared" si="264"/>
        <v>0</v>
      </c>
      <c r="W2116" s="196" t="e">
        <f t="shared" si="265"/>
        <v>#DIV/0!</v>
      </c>
      <c r="X2116" s="197" t="e">
        <f t="shared" si="266"/>
        <v>#DIV/0!</v>
      </c>
    </row>
    <row r="2117" ht="11.4" hidden="1" customHeight="1" spans="1:24">
      <c r="A2117" s="184" t="s">
        <v>3200</v>
      </c>
      <c r="B2117" s="184" t="s">
        <v>139</v>
      </c>
      <c r="C2117" s="184" t="s">
        <v>1880</v>
      </c>
      <c r="D2117" s="185" t="s">
        <v>704</v>
      </c>
      <c r="E2117" s="186" t="s">
        <v>906</v>
      </c>
      <c r="F2117" s="186" t="s">
        <v>907</v>
      </c>
      <c r="G2117" s="186" t="s">
        <v>1881</v>
      </c>
      <c r="H2117" s="186" t="s">
        <v>2032</v>
      </c>
      <c r="I2117" s="187" t="s">
        <v>2042</v>
      </c>
      <c r="J2117" s="187" t="s">
        <v>2043</v>
      </c>
      <c r="K2117" s="188"/>
      <c r="L2117" s="188"/>
      <c r="M2117" s="189" t="s">
        <v>1018</v>
      </c>
      <c r="N2117" s="190">
        <v>374.11</v>
      </c>
      <c r="O2117" s="190">
        <f t="shared" si="259"/>
        <v>407.78</v>
      </c>
      <c r="P2117" s="191">
        <f t="shared" si="260"/>
        <v>0</v>
      </c>
      <c r="Q2117" s="192">
        <f t="shared" si="261"/>
        <v>0</v>
      </c>
      <c r="R2117" s="193"/>
      <c r="S2117" s="194"/>
      <c r="T2117" s="195">
        <f t="shared" si="262"/>
        <v>0</v>
      </c>
      <c r="U2117" s="195">
        <f t="shared" si="263"/>
        <v>0</v>
      </c>
      <c r="V2117" s="195">
        <f t="shared" si="264"/>
        <v>0</v>
      </c>
      <c r="W2117" s="196" t="e">
        <f t="shared" si="265"/>
        <v>#DIV/0!</v>
      </c>
      <c r="X2117" s="197" t="e">
        <f t="shared" si="266"/>
        <v>#DIV/0!</v>
      </c>
    </row>
    <row r="2118" ht="11.4" hidden="1" customHeight="1" spans="1:24">
      <c r="A2118" s="184" t="s">
        <v>3200</v>
      </c>
      <c r="B2118" s="184" t="s">
        <v>139</v>
      </c>
      <c r="C2118" s="184" t="s">
        <v>1880</v>
      </c>
      <c r="D2118" s="185" t="s">
        <v>704</v>
      </c>
      <c r="E2118" s="186" t="s">
        <v>906</v>
      </c>
      <c r="F2118" s="186" t="s">
        <v>907</v>
      </c>
      <c r="G2118" s="186" t="s">
        <v>1881</v>
      </c>
      <c r="H2118" s="186" t="s">
        <v>2032</v>
      </c>
      <c r="I2118" s="187" t="s">
        <v>2044</v>
      </c>
      <c r="J2118" s="187" t="s">
        <v>2045</v>
      </c>
      <c r="K2118" s="188"/>
      <c r="L2118" s="188"/>
      <c r="M2118" s="189" t="s">
        <v>807</v>
      </c>
      <c r="N2118" s="190">
        <v>37.94</v>
      </c>
      <c r="O2118" s="190">
        <f t="shared" si="259"/>
        <v>41.35</v>
      </c>
      <c r="P2118" s="191">
        <f t="shared" si="260"/>
        <v>0</v>
      </c>
      <c r="Q2118" s="192">
        <f t="shared" si="261"/>
        <v>0</v>
      </c>
      <c r="R2118" s="193"/>
      <c r="S2118" s="194"/>
      <c r="T2118" s="195">
        <f t="shared" si="262"/>
        <v>0</v>
      </c>
      <c r="U2118" s="195">
        <f t="shared" si="263"/>
        <v>0</v>
      </c>
      <c r="V2118" s="195">
        <f t="shared" si="264"/>
        <v>0</v>
      </c>
      <c r="W2118" s="196" t="e">
        <f t="shared" si="265"/>
        <v>#DIV/0!</v>
      </c>
      <c r="X2118" s="197" t="e">
        <f t="shared" si="266"/>
        <v>#DIV/0!</v>
      </c>
    </row>
    <row r="2119" ht="11.4" hidden="1" customHeight="1" spans="1:24">
      <c r="A2119" s="184" t="s">
        <v>3200</v>
      </c>
      <c r="B2119" s="184" t="s">
        <v>139</v>
      </c>
      <c r="C2119" s="184" t="s">
        <v>1880</v>
      </c>
      <c r="D2119" s="185" t="s">
        <v>704</v>
      </c>
      <c r="E2119" s="186" t="s">
        <v>906</v>
      </c>
      <c r="F2119" s="186" t="s">
        <v>907</v>
      </c>
      <c r="G2119" s="186" t="s">
        <v>1881</v>
      </c>
      <c r="H2119" s="186" t="s">
        <v>2046</v>
      </c>
      <c r="I2119" s="187" t="s">
        <v>2047</v>
      </c>
      <c r="J2119" s="187" t="s">
        <v>2048</v>
      </c>
      <c r="K2119" s="188"/>
      <c r="L2119" s="188"/>
      <c r="M2119" s="189" t="s">
        <v>1018</v>
      </c>
      <c r="N2119" s="190">
        <v>563.75</v>
      </c>
      <c r="O2119" s="190">
        <f t="shared" si="259"/>
        <v>614.49</v>
      </c>
      <c r="P2119" s="191">
        <f t="shared" si="260"/>
        <v>0</v>
      </c>
      <c r="Q2119" s="192">
        <f t="shared" si="261"/>
        <v>0</v>
      </c>
      <c r="R2119" s="193"/>
      <c r="S2119" s="194"/>
      <c r="T2119" s="195">
        <f t="shared" si="262"/>
        <v>0</v>
      </c>
      <c r="U2119" s="195">
        <f t="shared" si="263"/>
        <v>0</v>
      </c>
      <c r="V2119" s="195">
        <f t="shared" si="264"/>
        <v>0</v>
      </c>
      <c r="W2119" s="196" t="e">
        <f t="shared" si="265"/>
        <v>#DIV/0!</v>
      </c>
      <c r="X2119" s="197" t="e">
        <f t="shared" si="266"/>
        <v>#DIV/0!</v>
      </c>
    </row>
    <row r="2120" ht="11.4" hidden="1" customHeight="1" spans="1:24">
      <c r="A2120" s="184" t="s">
        <v>3200</v>
      </c>
      <c r="B2120" s="184" t="s">
        <v>139</v>
      </c>
      <c r="C2120" s="184" t="s">
        <v>1880</v>
      </c>
      <c r="D2120" s="185" t="s">
        <v>704</v>
      </c>
      <c r="E2120" s="186" t="s">
        <v>906</v>
      </c>
      <c r="F2120" s="186" t="s">
        <v>907</v>
      </c>
      <c r="G2120" s="186" t="s">
        <v>1881</v>
      </c>
      <c r="H2120" s="186" t="s">
        <v>2046</v>
      </c>
      <c r="I2120" s="187" t="s">
        <v>2049</v>
      </c>
      <c r="J2120" s="187" t="s">
        <v>2050</v>
      </c>
      <c r="K2120" s="188"/>
      <c r="L2120" s="188"/>
      <c r="M2120" s="189" t="s">
        <v>1018</v>
      </c>
      <c r="N2120" s="190">
        <v>468.33</v>
      </c>
      <c r="O2120" s="190">
        <f t="shared" si="259"/>
        <v>510.48</v>
      </c>
      <c r="P2120" s="191">
        <f t="shared" si="260"/>
        <v>0</v>
      </c>
      <c r="Q2120" s="192">
        <f t="shared" si="261"/>
        <v>0</v>
      </c>
      <c r="R2120" s="193"/>
      <c r="S2120" s="194"/>
      <c r="T2120" s="195">
        <f t="shared" si="262"/>
        <v>0</v>
      </c>
      <c r="U2120" s="195">
        <f t="shared" si="263"/>
        <v>0</v>
      </c>
      <c r="V2120" s="195">
        <f t="shared" si="264"/>
        <v>0</v>
      </c>
      <c r="W2120" s="196" t="e">
        <f t="shared" si="265"/>
        <v>#DIV/0!</v>
      </c>
      <c r="X2120" s="197" t="e">
        <f t="shared" si="266"/>
        <v>#DIV/0!</v>
      </c>
    </row>
    <row r="2121" ht="11.4" hidden="1" customHeight="1" spans="1:24">
      <c r="A2121" s="184" t="s">
        <v>3200</v>
      </c>
      <c r="B2121" s="184" t="s">
        <v>139</v>
      </c>
      <c r="C2121" s="184" t="s">
        <v>1880</v>
      </c>
      <c r="D2121" s="185" t="s">
        <v>704</v>
      </c>
      <c r="E2121" s="186" t="s">
        <v>906</v>
      </c>
      <c r="F2121" s="186" t="s">
        <v>907</v>
      </c>
      <c r="G2121" s="186" t="s">
        <v>1881</v>
      </c>
      <c r="H2121" s="186" t="s">
        <v>2046</v>
      </c>
      <c r="I2121" s="187" t="s">
        <v>2051</v>
      </c>
      <c r="J2121" s="187" t="s">
        <v>2052</v>
      </c>
      <c r="K2121" s="188"/>
      <c r="L2121" s="188"/>
      <c r="M2121" s="189" t="s">
        <v>1778</v>
      </c>
      <c r="N2121" s="190">
        <v>748</v>
      </c>
      <c r="O2121" s="190">
        <f t="shared" si="259"/>
        <v>815.32</v>
      </c>
      <c r="P2121" s="191">
        <f t="shared" si="260"/>
        <v>0</v>
      </c>
      <c r="Q2121" s="192">
        <f t="shared" si="261"/>
        <v>0</v>
      </c>
      <c r="R2121" s="193"/>
      <c r="S2121" s="194"/>
      <c r="T2121" s="195">
        <f t="shared" si="262"/>
        <v>0</v>
      </c>
      <c r="U2121" s="195">
        <f t="shared" si="263"/>
        <v>0</v>
      </c>
      <c r="V2121" s="195">
        <f t="shared" si="264"/>
        <v>0</v>
      </c>
      <c r="W2121" s="196" t="e">
        <f t="shared" si="265"/>
        <v>#DIV/0!</v>
      </c>
      <c r="X2121" s="197" t="e">
        <f t="shared" si="266"/>
        <v>#DIV/0!</v>
      </c>
    </row>
    <row r="2122" ht="11.4" hidden="1" customHeight="1" spans="1:24">
      <c r="A2122" s="184" t="s">
        <v>3200</v>
      </c>
      <c r="B2122" s="184" t="s">
        <v>139</v>
      </c>
      <c r="C2122" s="184" t="s">
        <v>1880</v>
      </c>
      <c r="D2122" s="185" t="s">
        <v>704</v>
      </c>
      <c r="E2122" s="186" t="s">
        <v>906</v>
      </c>
      <c r="F2122" s="186" t="s">
        <v>907</v>
      </c>
      <c r="G2122" s="186" t="s">
        <v>1881</v>
      </c>
      <c r="H2122" s="186" t="s">
        <v>2046</v>
      </c>
      <c r="I2122" s="187" t="s">
        <v>2053</v>
      </c>
      <c r="J2122" s="187" t="s">
        <v>2054</v>
      </c>
      <c r="K2122" s="188"/>
      <c r="L2122" s="188"/>
      <c r="M2122" s="189" t="s">
        <v>793</v>
      </c>
      <c r="N2122" s="190">
        <v>1950</v>
      </c>
      <c r="O2122" s="190">
        <f t="shared" si="259"/>
        <v>2125.5</v>
      </c>
      <c r="P2122" s="191">
        <f t="shared" si="260"/>
        <v>0</v>
      </c>
      <c r="Q2122" s="192">
        <f t="shared" si="261"/>
        <v>0</v>
      </c>
      <c r="R2122" s="193"/>
      <c r="S2122" s="194"/>
      <c r="T2122" s="195">
        <f t="shared" si="262"/>
        <v>0</v>
      </c>
      <c r="U2122" s="195">
        <f t="shared" si="263"/>
        <v>0</v>
      </c>
      <c r="V2122" s="195">
        <f t="shared" si="264"/>
        <v>0</v>
      </c>
      <c r="W2122" s="196" t="e">
        <f t="shared" si="265"/>
        <v>#DIV/0!</v>
      </c>
      <c r="X2122" s="197" t="e">
        <f t="shared" si="266"/>
        <v>#DIV/0!</v>
      </c>
    </row>
    <row r="2123" ht="11.4" hidden="1" customHeight="1" spans="1:24">
      <c r="A2123" s="184" t="s">
        <v>3200</v>
      </c>
      <c r="B2123" s="184" t="s">
        <v>139</v>
      </c>
      <c r="C2123" s="184" t="s">
        <v>1880</v>
      </c>
      <c r="D2123" s="185" t="s">
        <v>704</v>
      </c>
      <c r="E2123" s="186" t="s">
        <v>906</v>
      </c>
      <c r="F2123" s="186" t="s">
        <v>907</v>
      </c>
      <c r="G2123" s="186" t="s">
        <v>1881</v>
      </c>
      <c r="H2123" s="186" t="s">
        <v>2046</v>
      </c>
      <c r="I2123" s="187" t="s">
        <v>2055</v>
      </c>
      <c r="J2123" s="187" t="s">
        <v>2056</v>
      </c>
      <c r="K2123" s="188"/>
      <c r="L2123" s="188"/>
      <c r="M2123" s="189" t="s">
        <v>989</v>
      </c>
      <c r="N2123" s="190">
        <v>3005.9</v>
      </c>
      <c r="O2123" s="190">
        <f t="shared" si="259"/>
        <v>3276.43</v>
      </c>
      <c r="P2123" s="191">
        <f t="shared" si="260"/>
        <v>0</v>
      </c>
      <c r="Q2123" s="192">
        <f t="shared" si="261"/>
        <v>0</v>
      </c>
      <c r="R2123" s="193"/>
      <c r="S2123" s="194"/>
      <c r="T2123" s="195">
        <f t="shared" si="262"/>
        <v>0</v>
      </c>
      <c r="U2123" s="195">
        <f t="shared" si="263"/>
        <v>0</v>
      </c>
      <c r="V2123" s="195">
        <f t="shared" si="264"/>
        <v>0</v>
      </c>
      <c r="W2123" s="196" t="e">
        <f t="shared" si="265"/>
        <v>#DIV/0!</v>
      </c>
      <c r="X2123" s="197" t="e">
        <f t="shared" si="266"/>
        <v>#DIV/0!</v>
      </c>
    </row>
    <row r="2124" ht="11.4" hidden="1" customHeight="1" spans="1:24">
      <c r="A2124" s="184" t="s">
        <v>3200</v>
      </c>
      <c r="B2124" s="184" t="s">
        <v>139</v>
      </c>
      <c r="C2124" s="184" t="s">
        <v>1880</v>
      </c>
      <c r="D2124" s="185" t="s">
        <v>704</v>
      </c>
      <c r="E2124" s="186" t="s">
        <v>906</v>
      </c>
      <c r="F2124" s="186" t="s">
        <v>907</v>
      </c>
      <c r="G2124" s="186" t="s">
        <v>1881</v>
      </c>
      <c r="H2124" s="186" t="s">
        <v>2046</v>
      </c>
      <c r="I2124" s="187" t="s">
        <v>2057</v>
      </c>
      <c r="J2124" s="187" t="s">
        <v>2058</v>
      </c>
      <c r="K2124" s="188"/>
      <c r="L2124" s="188"/>
      <c r="M2124" s="189" t="s">
        <v>989</v>
      </c>
      <c r="N2124" s="190">
        <v>4713.1</v>
      </c>
      <c r="O2124" s="190">
        <f t="shared" si="259"/>
        <v>5137.28</v>
      </c>
      <c r="P2124" s="191">
        <f t="shared" si="260"/>
        <v>0</v>
      </c>
      <c r="Q2124" s="192">
        <f t="shared" si="261"/>
        <v>0</v>
      </c>
      <c r="R2124" s="193"/>
      <c r="S2124" s="194"/>
      <c r="T2124" s="195">
        <f t="shared" si="262"/>
        <v>0</v>
      </c>
      <c r="U2124" s="195">
        <f t="shared" si="263"/>
        <v>0</v>
      </c>
      <c r="V2124" s="195">
        <f t="shared" si="264"/>
        <v>0</v>
      </c>
      <c r="W2124" s="196" t="e">
        <f t="shared" si="265"/>
        <v>#DIV/0!</v>
      </c>
      <c r="X2124" s="197" t="e">
        <f t="shared" si="266"/>
        <v>#DIV/0!</v>
      </c>
    </row>
    <row r="2125" ht="11.4" hidden="1" customHeight="1" spans="1:24">
      <c r="A2125" s="184" t="s">
        <v>3200</v>
      </c>
      <c r="B2125" s="184" t="s">
        <v>139</v>
      </c>
      <c r="C2125" s="184" t="s">
        <v>1880</v>
      </c>
      <c r="D2125" s="185" t="s">
        <v>704</v>
      </c>
      <c r="E2125" s="186" t="s">
        <v>906</v>
      </c>
      <c r="F2125" s="186" t="s">
        <v>907</v>
      </c>
      <c r="G2125" s="186" t="s">
        <v>1881</v>
      </c>
      <c r="H2125" s="186" t="s">
        <v>2059</v>
      </c>
      <c r="I2125" s="187" t="s">
        <v>2060</v>
      </c>
      <c r="J2125" s="187" t="s">
        <v>2061</v>
      </c>
      <c r="K2125" s="188"/>
      <c r="L2125" s="188"/>
      <c r="M2125" s="189" t="s">
        <v>1018</v>
      </c>
      <c r="N2125" s="190">
        <v>269.86</v>
      </c>
      <c r="O2125" s="190">
        <f t="shared" ref="O2125:O2188" si="267">ROUND(N2125*(1+$F$10),2)</f>
        <v>294.15</v>
      </c>
      <c r="P2125" s="191">
        <f t="shared" ref="P2125:P2188" si="268">ROUND(K2125*N2125,2)</f>
        <v>0</v>
      </c>
      <c r="Q2125" s="192">
        <f t="shared" si="261"/>
        <v>0</v>
      </c>
      <c r="R2125" s="193"/>
      <c r="S2125" s="194"/>
      <c r="T2125" s="195">
        <f t="shared" si="262"/>
        <v>0</v>
      </c>
      <c r="U2125" s="195">
        <f t="shared" si="263"/>
        <v>0</v>
      </c>
      <c r="V2125" s="195">
        <f t="shared" si="264"/>
        <v>0</v>
      </c>
      <c r="W2125" s="196" t="e">
        <f t="shared" si="265"/>
        <v>#DIV/0!</v>
      </c>
      <c r="X2125" s="197" t="e">
        <f t="shared" si="266"/>
        <v>#DIV/0!</v>
      </c>
    </row>
    <row r="2126" ht="11.4" hidden="1" customHeight="1" spans="1:24">
      <c r="A2126" s="184" t="s">
        <v>3200</v>
      </c>
      <c r="B2126" s="184" t="s">
        <v>139</v>
      </c>
      <c r="C2126" s="184" t="s">
        <v>1880</v>
      </c>
      <c r="D2126" s="185" t="s">
        <v>704</v>
      </c>
      <c r="E2126" s="186" t="s">
        <v>906</v>
      </c>
      <c r="F2126" s="186" t="s">
        <v>907</v>
      </c>
      <c r="G2126" s="186" t="s">
        <v>1881</v>
      </c>
      <c r="H2126" s="186" t="s">
        <v>2059</v>
      </c>
      <c r="I2126" s="187" t="s">
        <v>2062</v>
      </c>
      <c r="J2126" s="187" t="s">
        <v>2063</v>
      </c>
      <c r="K2126" s="188"/>
      <c r="L2126" s="188"/>
      <c r="M2126" s="189" t="s">
        <v>1018</v>
      </c>
      <c r="N2126" s="190">
        <v>236.86</v>
      </c>
      <c r="O2126" s="190">
        <f t="shared" si="267"/>
        <v>258.18</v>
      </c>
      <c r="P2126" s="191">
        <f t="shared" si="268"/>
        <v>0</v>
      </c>
      <c r="Q2126" s="192">
        <f t="shared" ref="Q2126:Q2189" si="269">ROUND(L2126*N2126,2)</f>
        <v>0</v>
      </c>
      <c r="R2126" s="193"/>
      <c r="S2126" s="194"/>
      <c r="T2126" s="195">
        <f t="shared" ref="T2126:T2189" si="270">K2126-L2126</f>
        <v>0</v>
      </c>
      <c r="U2126" s="195">
        <f t="shared" ref="U2126:U2189" si="271">P2126-Q2126</f>
        <v>0</v>
      </c>
      <c r="V2126" s="195">
        <f t="shared" ref="V2126:V2189" si="272">ABS(U2126)</f>
        <v>0</v>
      </c>
      <c r="W2126" s="196" t="e">
        <f t="shared" ref="W2126:W2189" si="273">T2126/L2126</f>
        <v>#DIV/0!</v>
      </c>
      <c r="X2126" s="197" t="e">
        <f t="shared" ref="X2126:X2189" si="274">ABS(W2126)</f>
        <v>#DIV/0!</v>
      </c>
    </row>
    <row r="2127" ht="11.4" hidden="1" customHeight="1" spans="1:24">
      <c r="A2127" s="184" t="s">
        <v>3200</v>
      </c>
      <c r="B2127" s="184" t="s">
        <v>139</v>
      </c>
      <c r="C2127" s="184" t="s">
        <v>1880</v>
      </c>
      <c r="D2127" s="185" t="s">
        <v>704</v>
      </c>
      <c r="E2127" s="186" t="s">
        <v>906</v>
      </c>
      <c r="F2127" s="186" t="s">
        <v>907</v>
      </c>
      <c r="G2127" s="186" t="s">
        <v>1881</v>
      </c>
      <c r="H2127" s="186" t="s">
        <v>2059</v>
      </c>
      <c r="I2127" s="187" t="s">
        <v>2064</v>
      </c>
      <c r="J2127" s="187" t="s">
        <v>2065</v>
      </c>
      <c r="K2127" s="188"/>
      <c r="L2127" s="188"/>
      <c r="M2127" s="189" t="s">
        <v>1018</v>
      </c>
      <c r="N2127" s="190">
        <v>256.66</v>
      </c>
      <c r="O2127" s="190">
        <f t="shared" si="267"/>
        <v>279.76</v>
      </c>
      <c r="P2127" s="191">
        <f t="shared" si="268"/>
        <v>0</v>
      </c>
      <c r="Q2127" s="192">
        <f t="shared" si="269"/>
        <v>0</v>
      </c>
      <c r="R2127" s="193"/>
      <c r="S2127" s="194"/>
      <c r="T2127" s="195">
        <f t="shared" si="270"/>
        <v>0</v>
      </c>
      <c r="U2127" s="195">
        <f t="shared" si="271"/>
        <v>0</v>
      </c>
      <c r="V2127" s="195">
        <f t="shared" si="272"/>
        <v>0</v>
      </c>
      <c r="W2127" s="196" t="e">
        <f t="shared" si="273"/>
        <v>#DIV/0!</v>
      </c>
      <c r="X2127" s="197" t="e">
        <f t="shared" si="274"/>
        <v>#DIV/0!</v>
      </c>
    </row>
    <row r="2128" ht="11.4" hidden="1" customHeight="1" spans="1:24">
      <c r="A2128" s="184" t="s">
        <v>3200</v>
      </c>
      <c r="B2128" s="184" t="s">
        <v>139</v>
      </c>
      <c r="C2128" s="184" t="s">
        <v>1880</v>
      </c>
      <c r="D2128" s="185" t="s">
        <v>704</v>
      </c>
      <c r="E2128" s="186" t="s">
        <v>906</v>
      </c>
      <c r="F2128" s="186" t="s">
        <v>907</v>
      </c>
      <c r="G2128" s="186" t="s">
        <v>1881</v>
      </c>
      <c r="H2128" s="186" t="s">
        <v>2066</v>
      </c>
      <c r="I2128" s="187" t="s">
        <v>2067</v>
      </c>
      <c r="J2128" s="187" t="s">
        <v>2068</v>
      </c>
      <c r="K2128" s="188"/>
      <c r="L2128" s="188"/>
      <c r="M2128" s="189" t="s">
        <v>807</v>
      </c>
      <c r="N2128" s="190">
        <v>16.99</v>
      </c>
      <c r="O2128" s="190">
        <f t="shared" si="267"/>
        <v>18.52</v>
      </c>
      <c r="P2128" s="191">
        <f t="shared" si="268"/>
        <v>0</v>
      </c>
      <c r="Q2128" s="192">
        <f t="shared" si="269"/>
        <v>0</v>
      </c>
      <c r="R2128" s="193"/>
      <c r="S2128" s="194"/>
      <c r="T2128" s="195">
        <f t="shared" si="270"/>
        <v>0</v>
      </c>
      <c r="U2128" s="195">
        <f t="shared" si="271"/>
        <v>0</v>
      </c>
      <c r="V2128" s="195">
        <f t="shared" si="272"/>
        <v>0</v>
      </c>
      <c r="W2128" s="196" t="e">
        <f t="shared" si="273"/>
        <v>#DIV/0!</v>
      </c>
      <c r="X2128" s="197" t="e">
        <f t="shared" si="274"/>
        <v>#DIV/0!</v>
      </c>
    </row>
    <row r="2129" ht="11.4" hidden="1" customHeight="1" spans="1:24">
      <c r="A2129" s="184" t="s">
        <v>3200</v>
      </c>
      <c r="B2129" s="184" t="s">
        <v>139</v>
      </c>
      <c r="C2129" s="184" t="s">
        <v>1880</v>
      </c>
      <c r="D2129" s="185" t="s">
        <v>704</v>
      </c>
      <c r="E2129" s="186" t="s">
        <v>906</v>
      </c>
      <c r="F2129" s="186" t="s">
        <v>907</v>
      </c>
      <c r="G2129" s="186" t="s">
        <v>1881</v>
      </c>
      <c r="H2129" s="186" t="s">
        <v>2046</v>
      </c>
      <c r="I2129" s="187" t="s">
        <v>2069</v>
      </c>
      <c r="J2129" s="187" t="s">
        <v>2070</v>
      </c>
      <c r="K2129" s="188"/>
      <c r="L2129" s="188"/>
      <c r="M2129" s="189" t="s">
        <v>807</v>
      </c>
      <c r="N2129" s="190">
        <v>12.5</v>
      </c>
      <c r="O2129" s="190">
        <f t="shared" si="267"/>
        <v>13.63</v>
      </c>
      <c r="P2129" s="191">
        <f t="shared" si="268"/>
        <v>0</v>
      </c>
      <c r="Q2129" s="192">
        <f t="shared" si="269"/>
        <v>0</v>
      </c>
      <c r="R2129" s="193"/>
      <c r="S2129" s="194"/>
      <c r="T2129" s="195">
        <f t="shared" si="270"/>
        <v>0</v>
      </c>
      <c r="U2129" s="195">
        <f t="shared" si="271"/>
        <v>0</v>
      </c>
      <c r="V2129" s="195">
        <f t="shared" si="272"/>
        <v>0</v>
      </c>
      <c r="W2129" s="196" t="e">
        <f t="shared" si="273"/>
        <v>#DIV/0!</v>
      </c>
      <c r="X2129" s="197" t="e">
        <f t="shared" si="274"/>
        <v>#DIV/0!</v>
      </c>
    </row>
    <row r="2130" ht="11.4" hidden="1" customHeight="1" spans="1:24">
      <c r="A2130" s="184" t="s">
        <v>3200</v>
      </c>
      <c r="B2130" s="184" t="s">
        <v>139</v>
      </c>
      <c r="C2130" s="184" t="s">
        <v>1880</v>
      </c>
      <c r="D2130" s="185" t="s">
        <v>704</v>
      </c>
      <c r="E2130" s="186" t="s">
        <v>906</v>
      </c>
      <c r="F2130" s="186" t="s">
        <v>907</v>
      </c>
      <c r="G2130" s="186" t="s">
        <v>1881</v>
      </c>
      <c r="H2130" s="186" t="s">
        <v>2046</v>
      </c>
      <c r="I2130" s="187" t="s">
        <v>2071</v>
      </c>
      <c r="J2130" s="187" t="s">
        <v>2072</v>
      </c>
      <c r="K2130" s="188"/>
      <c r="L2130" s="188"/>
      <c r="M2130" s="189" t="s">
        <v>807</v>
      </c>
      <c r="N2130" s="190">
        <v>12</v>
      </c>
      <c r="O2130" s="190">
        <f t="shared" si="267"/>
        <v>13.08</v>
      </c>
      <c r="P2130" s="191">
        <f t="shared" si="268"/>
        <v>0</v>
      </c>
      <c r="Q2130" s="192">
        <f t="shared" si="269"/>
        <v>0</v>
      </c>
      <c r="R2130" s="193"/>
      <c r="S2130" s="194"/>
      <c r="T2130" s="195">
        <f t="shared" si="270"/>
        <v>0</v>
      </c>
      <c r="U2130" s="195">
        <f t="shared" si="271"/>
        <v>0</v>
      </c>
      <c r="V2130" s="195">
        <f t="shared" si="272"/>
        <v>0</v>
      </c>
      <c r="W2130" s="196" t="e">
        <f t="shared" si="273"/>
        <v>#DIV/0!</v>
      </c>
      <c r="X2130" s="197" t="e">
        <f t="shared" si="274"/>
        <v>#DIV/0!</v>
      </c>
    </row>
    <row r="2131" ht="11.4" hidden="1" customHeight="1" spans="1:24">
      <c r="A2131" s="184" t="s">
        <v>3206</v>
      </c>
      <c r="B2131" s="184" t="s">
        <v>145</v>
      </c>
      <c r="C2131" s="184" t="s">
        <v>2074</v>
      </c>
      <c r="D2131" s="185" t="s">
        <v>704</v>
      </c>
      <c r="E2131" s="186" t="s">
        <v>906</v>
      </c>
      <c r="F2131" s="186" t="s">
        <v>907</v>
      </c>
      <c r="G2131" s="186" t="s">
        <v>2075</v>
      </c>
      <c r="H2131" s="186" t="s">
        <v>2076</v>
      </c>
      <c r="I2131" s="187" t="s">
        <v>2077</v>
      </c>
      <c r="J2131" s="187" t="s">
        <v>2078</v>
      </c>
      <c r="K2131" s="188"/>
      <c r="L2131" s="188"/>
      <c r="M2131" s="189" t="s">
        <v>1018</v>
      </c>
      <c r="N2131" s="190">
        <v>27.3</v>
      </c>
      <c r="O2131" s="190">
        <f t="shared" si="267"/>
        <v>29.76</v>
      </c>
      <c r="P2131" s="191">
        <f t="shared" si="268"/>
        <v>0</v>
      </c>
      <c r="Q2131" s="192">
        <f t="shared" si="269"/>
        <v>0</v>
      </c>
      <c r="R2131" s="193"/>
      <c r="S2131" s="194"/>
      <c r="T2131" s="195">
        <f t="shared" si="270"/>
        <v>0</v>
      </c>
      <c r="U2131" s="195">
        <f t="shared" si="271"/>
        <v>0</v>
      </c>
      <c r="V2131" s="195">
        <f t="shared" si="272"/>
        <v>0</v>
      </c>
      <c r="W2131" s="196" t="e">
        <f t="shared" si="273"/>
        <v>#DIV/0!</v>
      </c>
      <c r="X2131" s="197" t="e">
        <f t="shared" si="274"/>
        <v>#DIV/0!</v>
      </c>
    </row>
    <row r="2132" ht="11.4" hidden="1" customHeight="1" spans="1:24">
      <c r="A2132" s="184" t="s">
        <v>3206</v>
      </c>
      <c r="B2132" s="184" t="s">
        <v>145</v>
      </c>
      <c r="C2132" s="184" t="s">
        <v>2074</v>
      </c>
      <c r="D2132" s="185" t="s">
        <v>704</v>
      </c>
      <c r="E2132" s="186" t="s">
        <v>906</v>
      </c>
      <c r="F2132" s="186" t="s">
        <v>907</v>
      </c>
      <c r="G2132" s="186" t="s">
        <v>2075</v>
      </c>
      <c r="H2132" s="186" t="s">
        <v>2076</v>
      </c>
      <c r="I2132" s="187" t="s">
        <v>2079</v>
      </c>
      <c r="J2132" s="187" t="s">
        <v>2080</v>
      </c>
      <c r="K2132" s="188"/>
      <c r="L2132" s="188"/>
      <c r="M2132" s="189" t="s">
        <v>1018</v>
      </c>
      <c r="N2132" s="190">
        <v>63</v>
      </c>
      <c r="O2132" s="190">
        <f t="shared" si="267"/>
        <v>68.67</v>
      </c>
      <c r="P2132" s="191">
        <f t="shared" si="268"/>
        <v>0</v>
      </c>
      <c r="Q2132" s="192">
        <f t="shared" si="269"/>
        <v>0</v>
      </c>
      <c r="R2132" s="193"/>
      <c r="S2132" s="194"/>
      <c r="T2132" s="195">
        <f t="shared" si="270"/>
        <v>0</v>
      </c>
      <c r="U2132" s="195">
        <f t="shared" si="271"/>
        <v>0</v>
      </c>
      <c r="V2132" s="195">
        <f t="shared" si="272"/>
        <v>0</v>
      </c>
      <c r="W2132" s="196" t="e">
        <f t="shared" si="273"/>
        <v>#DIV/0!</v>
      </c>
      <c r="X2132" s="197" t="e">
        <f t="shared" si="274"/>
        <v>#DIV/0!</v>
      </c>
    </row>
    <row r="2133" ht="11.4" hidden="1" customHeight="1" spans="1:24">
      <c r="A2133" s="184" t="s">
        <v>3206</v>
      </c>
      <c r="B2133" s="184" t="s">
        <v>145</v>
      </c>
      <c r="C2133" s="184" t="s">
        <v>2074</v>
      </c>
      <c r="D2133" s="185" t="s">
        <v>704</v>
      </c>
      <c r="E2133" s="186" t="s">
        <v>906</v>
      </c>
      <c r="F2133" s="186" t="s">
        <v>907</v>
      </c>
      <c r="G2133" s="186" t="s">
        <v>2075</v>
      </c>
      <c r="H2133" s="186" t="s">
        <v>2076</v>
      </c>
      <c r="I2133" s="187" t="s">
        <v>2081</v>
      </c>
      <c r="J2133" s="187" t="s">
        <v>2082</v>
      </c>
      <c r="K2133" s="188"/>
      <c r="L2133" s="188"/>
      <c r="M2133" s="189" t="s">
        <v>1018</v>
      </c>
      <c r="N2133" s="190">
        <v>36.75</v>
      </c>
      <c r="O2133" s="190">
        <f t="shared" si="267"/>
        <v>40.06</v>
      </c>
      <c r="P2133" s="191">
        <f t="shared" si="268"/>
        <v>0</v>
      </c>
      <c r="Q2133" s="192">
        <f t="shared" si="269"/>
        <v>0</v>
      </c>
      <c r="R2133" s="193"/>
      <c r="S2133" s="194"/>
      <c r="T2133" s="195">
        <f t="shared" si="270"/>
        <v>0</v>
      </c>
      <c r="U2133" s="195">
        <f t="shared" si="271"/>
        <v>0</v>
      </c>
      <c r="V2133" s="195">
        <f t="shared" si="272"/>
        <v>0</v>
      </c>
      <c r="W2133" s="196" t="e">
        <f t="shared" si="273"/>
        <v>#DIV/0!</v>
      </c>
      <c r="X2133" s="197" t="e">
        <f t="shared" si="274"/>
        <v>#DIV/0!</v>
      </c>
    </row>
    <row r="2134" ht="11.4" hidden="1" customHeight="1" spans="1:24">
      <c r="A2134" s="184" t="s">
        <v>3206</v>
      </c>
      <c r="B2134" s="184" t="s">
        <v>145</v>
      </c>
      <c r="C2134" s="184" t="s">
        <v>2074</v>
      </c>
      <c r="D2134" s="185" t="s">
        <v>704</v>
      </c>
      <c r="E2134" s="186" t="s">
        <v>906</v>
      </c>
      <c r="F2134" s="186" t="s">
        <v>907</v>
      </c>
      <c r="G2134" s="186" t="s">
        <v>2075</v>
      </c>
      <c r="H2134" s="186" t="s">
        <v>2076</v>
      </c>
      <c r="I2134" s="187" t="s">
        <v>2083</v>
      </c>
      <c r="J2134" s="187" t="s">
        <v>2084</v>
      </c>
      <c r="K2134" s="188"/>
      <c r="L2134" s="188"/>
      <c r="M2134" s="189" t="s">
        <v>1018</v>
      </c>
      <c r="N2134" s="190">
        <v>42</v>
      </c>
      <c r="O2134" s="190">
        <f t="shared" si="267"/>
        <v>45.78</v>
      </c>
      <c r="P2134" s="191">
        <f t="shared" si="268"/>
        <v>0</v>
      </c>
      <c r="Q2134" s="192">
        <f t="shared" si="269"/>
        <v>0</v>
      </c>
      <c r="R2134" s="193"/>
      <c r="S2134" s="194"/>
      <c r="T2134" s="195">
        <f t="shared" si="270"/>
        <v>0</v>
      </c>
      <c r="U2134" s="195">
        <f t="shared" si="271"/>
        <v>0</v>
      </c>
      <c r="V2134" s="195">
        <f t="shared" si="272"/>
        <v>0</v>
      </c>
      <c r="W2134" s="196" t="e">
        <f t="shared" si="273"/>
        <v>#DIV/0!</v>
      </c>
      <c r="X2134" s="197" t="e">
        <f t="shared" si="274"/>
        <v>#DIV/0!</v>
      </c>
    </row>
    <row r="2135" ht="11.4" hidden="1" customHeight="1" spans="1:24">
      <c r="A2135" s="184" t="s">
        <v>3206</v>
      </c>
      <c r="B2135" s="184" t="s">
        <v>145</v>
      </c>
      <c r="C2135" s="184" t="s">
        <v>2074</v>
      </c>
      <c r="D2135" s="185" t="s">
        <v>704</v>
      </c>
      <c r="E2135" s="186" t="s">
        <v>906</v>
      </c>
      <c r="F2135" s="186" t="s">
        <v>907</v>
      </c>
      <c r="G2135" s="186" t="s">
        <v>2075</v>
      </c>
      <c r="H2135" s="186" t="s">
        <v>2076</v>
      </c>
      <c r="I2135" s="187" t="s">
        <v>2085</v>
      </c>
      <c r="J2135" s="187" t="s">
        <v>2086</v>
      </c>
      <c r="K2135" s="188"/>
      <c r="L2135" s="188"/>
      <c r="M2135" s="189" t="s">
        <v>1018</v>
      </c>
      <c r="N2135" s="190">
        <v>40.95</v>
      </c>
      <c r="O2135" s="190">
        <f t="shared" si="267"/>
        <v>44.64</v>
      </c>
      <c r="P2135" s="191">
        <f t="shared" si="268"/>
        <v>0</v>
      </c>
      <c r="Q2135" s="192">
        <f t="shared" si="269"/>
        <v>0</v>
      </c>
      <c r="R2135" s="193"/>
      <c r="S2135" s="194"/>
      <c r="T2135" s="195">
        <f t="shared" si="270"/>
        <v>0</v>
      </c>
      <c r="U2135" s="195">
        <f t="shared" si="271"/>
        <v>0</v>
      </c>
      <c r="V2135" s="195">
        <f t="shared" si="272"/>
        <v>0</v>
      </c>
      <c r="W2135" s="196" t="e">
        <f t="shared" si="273"/>
        <v>#DIV/0!</v>
      </c>
      <c r="X2135" s="197" t="e">
        <f t="shared" si="274"/>
        <v>#DIV/0!</v>
      </c>
    </row>
    <row r="2136" ht="11.4" hidden="1" customHeight="1" spans="1:24">
      <c r="A2136" s="184" t="s">
        <v>3206</v>
      </c>
      <c r="B2136" s="184" t="s">
        <v>145</v>
      </c>
      <c r="C2136" s="184" t="s">
        <v>2074</v>
      </c>
      <c r="D2136" s="185" t="s">
        <v>704</v>
      </c>
      <c r="E2136" s="186" t="s">
        <v>906</v>
      </c>
      <c r="F2136" s="186" t="s">
        <v>907</v>
      </c>
      <c r="G2136" s="186" t="s">
        <v>2075</v>
      </c>
      <c r="H2136" s="186" t="s">
        <v>2076</v>
      </c>
      <c r="I2136" s="187" t="s">
        <v>2087</v>
      </c>
      <c r="J2136" s="187" t="s">
        <v>2088</v>
      </c>
      <c r="K2136" s="188"/>
      <c r="L2136" s="188"/>
      <c r="M2136" s="189" t="s">
        <v>1018</v>
      </c>
      <c r="N2136" s="190">
        <v>94.5</v>
      </c>
      <c r="O2136" s="190">
        <f t="shared" si="267"/>
        <v>103.01</v>
      </c>
      <c r="P2136" s="191">
        <f t="shared" si="268"/>
        <v>0</v>
      </c>
      <c r="Q2136" s="192">
        <f t="shared" si="269"/>
        <v>0</v>
      </c>
      <c r="R2136" s="193"/>
      <c r="S2136" s="194"/>
      <c r="T2136" s="195">
        <f t="shared" si="270"/>
        <v>0</v>
      </c>
      <c r="U2136" s="195">
        <f t="shared" si="271"/>
        <v>0</v>
      </c>
      <c r="V2136" s="195">
        <f t="shared" si="272"/>
        <v>0</v>
      </c>
      <c r="W2136" s="196" t="e">
        <f t="shared" si="273"/>
        <v>#DIV/0!</v>
      </c>
      <c r="X2136" s="197" t="e">
        <f t="shared" si="274"/>
        <v>#DIV/0!</v>
      </c>
    </row>
    <row r="2137" ht="11.4" hidden="1" customHeight="1" spans="1:24">
      <c r="A2137" s="184" t="s">
        <v>3206</v>
      </c>
      <c r="B2137" s="184" t="s">
        <v>145</v>
      </c>
      <c r="C2137" s="184" t="s">
        <v>2074</v>
      </c>
      <c r="D2137" s="185" t="s">
        <v>704</v>
      </c>
      <c r="E2137" s="186" t="s">
        <v>906</v>
      </c>
      <c r="F2137" s="186" t="s">
        <v>907</v>
      </c>
      <c r="G2137" s="186" t="s">
        <v>2075</v>
      </c>
      <c r="H2137" s="186" t="s">
        <v>2076</v>
      </c>
      <c r="I2137" s="187" t="s">
        <v>2089</v>
      </c>
      <c r="J2137" s="187" t="s">
        <v>2090</v>
      </c>
      <c r="K2137" s="188"/>
      <c r="L2137" s="188"/>
      <c r="M2137" s="189" t="s">
        <v>1018</v>
      </c>
      <c r="N2137" s="190">
        <v>131.25</v>
      </c>
      <c r="O2137" s="190">
        <f t="shared" si="267"/>
        <v>143.06</v>
      </c>
      <c r="P2137" s="191">
        <f t="shared" si="268"/>
        <v>0</v>
      </c>
      <c r="Q2137" s="192">
        <f t="shared" si="269"/>
        <v>0</v>
      </c>
      <c r="R2137" s="193"/>
      <c r="S2137" s="194"/>
      <c r="T2137" s="195">
        <f t="shared" si="270"/>
        <v>0</v>
      </c>
      <c r="U2137" s="195">
        <f t="shared" si="271"/>
        <v>0</v>
      </c>
      <c r="V2137" s="195">
        <f t="shared" si="272"/>
        <v>0</v>
      </c>
      <c r="W2137" s="196" t="e">
        <f t="shared" si="273"/>
        <v>#DIV/0!</v>
      </c>
      <c r="X2137" s="197" t="e">
        <f t="shared" si="274"/>
        <v>#DIV/0!</v>
      </c>
    </row>
    <row r="2138" ht="11.4" hidden="1" customHeight="1" spans="1:24">
      <c r="A2138" s="184" t="s">
        <v>3206</v>
      </c>
      <c r="B2138" s="184" t="s">
        <v>145</v>
      </c>
      <c r="C2138" s="184" t="s">
        <v>2074</v>
      </c>
      <c r="D2138" s="185" t="s">
        <v>704</v>
      </c>
      <c r="E2138" s="186" t="s">
        <v>906</v>
      </c>
      <c r="F2138" s="186" t="s">
        <v>907</v>
      </c>
      <c r="G2138" s="186" t="s">
        <v>2075</v>
      </c>
      <c r="H2138" s="186" t="s">
        <v>2076</v>
      </c>
      <c r="I2138" s="187" t="s">
        <v>2091</v>
      </c>
      <c r="J2138" s="187" t="s">
        <v>2092</v>
      </c>
      <c r="K2138" s="188"/>
      <c r="L2138" s="188"/>
      <c r="M2138" s="189" t="s">
        <v>1018</v>
      </c>
      <c r="N2138" s="190">
        <v>222.6</v>
      </c>
      <c r="O2138" s="190">
        <f t="shared" si="267"/>
        <v>242.63</v>
      </c>
      <c r="P2138" s="191">
        <f t="shared" si="268"/>
        <v>0</v>
      </c>
      <c r="Q2138" s="192">
        <f t="shared" si="269"/>
        <v>0</v>
      </c>
      <c r="R2138" s="193"/>
      <c r="S2138" s="194"/>
      <c r="T2138" s="195">
        <f t="shared" si="270"/>
        <v>0</v>
      </c>
      <c r="U2138" s="195">
        <f t="shared" si="271"/>
        <v>0</v>
      </c>
      <c r="V2138" s="195">
        <f t="shared" si="272"/>
        <v>0</v>
      </c>
      <c r="W2138" s="196" t="e">
        <f t="shared" si="273"/>
        <v>#DIV/0!</v>
      </c>
      <c r="X2138" s="197" t="e">
        <f t="shared" si="274"/>
        <v>#DIV/0!</v>
      </c>
    </row>
    <row r="2139" ht="11.4" hidden="1" customHeight="1" spans="1:24">
      <c r="A2139" s="184" t="s">
        <v>3206</v>
      </c>
      <c r="B2139" s="184" t="s">
        <v>145</v>
      </c>
      <c r="C2139" s="184" t="s">
        <v>2074</v>
      </c>
      <c r="D2139" s="185" t="s">
        <v>704</v>
      </c>
      <c r="E2139" s="186" t="s">
        <v>906</v>
      </c>
      <c r="F2139" s="186" t="s">
        <v>907</v>
      </c>
      <c r="G2139" s="186" t="s">
        <v>2075</v>
      </c>
      <c r="H2139" s="186" t="s">
        <v>2076</v>
      </c>
      <c r="I2139" s="187" t="s">
        <v>2093</v>
      </c>
      <c r="J2139" s="187" t="s">
        <v>2094</v>
      </c>
      <c r="K2139" s="188"/>
      <c r="L2139" s="188"/>
      <c r="M2139" s="189" t="s">
        <v>1018</v>
      </c>
      <c r="N2139" s="190">
        <v>176.4</v>
      </c>
      <c r="O2139" s="190">
        <f t="shared" si="267"/>
        <v>192.28</v>
      </c>
      <c r="P2139" s="191">
        <f t="shared" si="268"/>
        <v>0</v>
      </c>
      <c r="Q2139" s="192">
        <f t="shared" si="269"/>
        <v>0</v>
      </c>
      <c r="R2139" s="193"/>
      <c r="S2139" s="194"/>
      <c r="T2139" s="195">
        <f t="shared" si="270"/>
        <v>0</v>
      </c>
      <c r="U2139" s="195">
        <f t="shared" si="271"/>
        <v>0</v>
      </c>
      <c r="V2139" s="195">
        <f t="shared" si="272"/>
        <v>0</v>
      </c>
      <c r="W2139" s="196" t="e">
        <f t="shared" si="273"/>
        <v>#DIV/0!</v>
      </c>
      <c r="X2139" s="197" t="e">
        <f t="shared" si="274"/>
        <v>#DIV/0!</v>
      </c>
    </row>
    <row r="2140" ht="11.4" hidden="1" customHeight="1" spans="1:24">
      <c r="A2140" s="184" t="s">
        <v>3206</v>
      </c>
      <c r="B2140" s="184" t="s">
        <v>145</v>
      </c>
      <c r="C2140" s="184" t="s">
        <v>2074</v>
      </c>
      <c r="D2140" s="185" t="s">
        <v>704</v>
      </c>
      <c r="E2140" s="186" t="s">
        <v>906</v>
      </c>
      <c r="F2140" s="186" t="s">
        <v>907</v>
      </c>
      <c r="G2140" s="186" t="s">
        <v>2075</v>
      </c>
      <c r="H2140" s="186" t="s">
        <v>2076</v>
      </c>
      <c r="I2140" s="187" t="s">
        <v>2095</v>
      </c>
      <c r="J2140" s="187" t="s">
        <v>2096</v>
      </c>
      <c r="K2140" s="188"/>
      <c r="L2140" s="188"/>
      <c r="M2140" s="189" t="s">
        <v>1018</v>
      </c>
      <c r="N2140" s="190">
        <v>134.4</v>
      </c>
      <c r="O2140" s="190">
        <f t="shared" si="267"/>
        <v>146.5</v>
      </c>
      <c r="P2140" s="191">
        <f t="shared" si="268"/>
        <v>0</v>
      </c>
      <c r="Q2140" s="192">
        <f t="shared" si="269"/>
        <v>0</v>
      </c>
      <c r="R2140" s="193"/>
      <c r="S2140" s="194"/>
      <c r="T2140" s="195">
        <f t="shared" si="270"/>
        <v>0</v>
      </c>
      <c r="U2140" s="195">
        <f t="shared" si="271"/>
        <v>0</v>
      </c>
      <c r="V2140" s="195">
        <f t="shared" si="272"/>
        <v>0</v>
      </c>
      <c r="W2140" s="196" t="e">
        <f t="shared" si="273"/>
        <v>#DIV/0!</v>
      </c>
      <c r="X2140" s="197" t="e">
        <f t="shared" si="274"/>
        <v>#DIV/0!</v>
      </c>
    </row>
    <row r="2141" ht="11.4" hidden="1" customHeight="1" spans="1:24">
      <c r="A2141" s="184" t="s">
        <v>3206</v>
      </c>
      <c r="B2141" s="184" t="s">
        <v>145</v>
      </c>
      <c r="C2141" s="184" t="s">
        <v>2074</v>
      </c>
      <c r="D2141" s="185" t="s">
        <v>704</v>
      </c>
      <c r="E2141" s="186" t="s">
        <v>906</v>
      </c>
      <c r="F2141" s="186" t="s">
        <v>907</v>
      </c>
      <c r="G2141" s="186" t="s">
        <v>2075</v>
      </c>
      <c r="H2141" s="186" t="s">
        <v>2076</v>
      </c>
      <c r="I2141" s="187" t="s">
        <v>2097</v>
      </c>
      <c r="J2141" s="187" t="s">
        <v>2098</v>
      </c>
      <c r="K2141" s="188"/>
      <c r="L2141" s="188"/>
      <c r="M2141" s="189" t="s">
        <v>1018</v>
      </c>
      <c r="N2141" s="190">
        <v>152.56</v>
      </c>
      <c r="O2141" s="190">
        <f t="shared" si="267"/>
        <v>166.29</v>
      </c>
      <c r="P2141" s="191">
        <f t="shared" si="268"/>
        <v>0</v>
      </c>
      <c r="Q2141" s="192">
        <f t="shared" si="269"/>
        <v>0</v>
      </c>
      <c r="R2141" s="193"/>
      <c r="S2141" s="194"/>
      <c r="T2141" s="195">
        <f t="shared" si="270"/>
        <v>0</v>
      </c>
      <c r="U2141" s="195">
        <f t="shared" si="271"/>
        <v>0</v>
      </c>
      <c r="V2141" s="195">
        <f t="shared" si="272"/>
        <v>0</v>
      </c>
      <c r="W2141" s="196" t="e">
        <f t="shared" si="273"/>
        <v>#DIV/0!</v>
      </c>
      <c r="X2141" s="197" t="e">
        <f t="shared" si="274"/>
        <v>#DIV/0!</v>
      </c>
    </row>
    <row r="2142" ht="11.4" hidden="1" customHeight="1" spans="1:24">
      <c r="A2142" s="184" t="s">
        <v>3206</v>
      </c>
      <c r="B2142" s="184" t="s">
        <v>145</v>
      </c>
      <c r="C2142" s="184" t="s">
        <v>2074</v>
      </c>
      <c r="D2142" s="185" t="s">
        <v>704</v>
      </c>
      <c r="E2142" s="186" t="s">
        <v>906</v>
      </c>
      <c r="F2142" s="186" t="s">
        <v>907</v>
      </c>
      <c r="G2142" s="186" t="s">
        <v>2075</v>
      </c>
      <c r="H2142" s="186" t="s">
        <v>2076</v>
      </c>
      <c r="I2142" s="187" t="s">
        <v>2099</v>
      </c>
      <c r="J2142" s="187" t="s">
        <v>2100</v>
      </c>
      <c r="K2142" s="188"/>
      <c r="L2142" s="188"/>
      <c r="M2142" s="189" t="s">
        <v>1018</v>
      </c>
      <c r="N2142" s="190">
        <v>222.6</v>
      </c>
      <c r="O2142" s="190">
        <f t="shared" si="267"/>
        <v>242.63</v>
      </c>
      <c r="P2142" s="191">
        <f t="shared" si="268"/>
        <v>0</v>
      </c>
      <c r="Q2142" s="192">
        <f t="shared" si="269"/>
        <v>0</v>
      </c>
      <c r="R2142" s="193"/>
      <c r="S2142" s="194"/>
      <c r="T2142" s="195">
        <f t="shared" si="270"/>
        <v>0</v>
      </c>
      <c r="U2142" s="195">
        <f t="shared" si="271"/>
        <v>0</v>
      </c>
      <c r="V2142" s="195">
        <f t="shared" si="272"/>
        <v>0</v>
      </c>
      <c r="W2142" s="196" t="e">
        <f t="shared" si="273"/>
        <v>#DIV/0!</v>
      </c>
      <c r="X2142" s="197" t="e">
        <f t="shared" si="274"/>
        <v>#DIV/0!</v>
      </c>
    </row>
    <row r="2143" ht="11.4" hidden="1" customHeight="1" spans="1:24">
      <c r="A2143" s="184" t="s">
        <v>3206</v>
      </c>
      <c r="B2143" s="184" t="s">
        <v>145</v>
      </c>
      <c r="C2143" s="184" t="s">
        <v>2074</v>
      </c>
      <c r="D2143" s="185" t="s">
        <v>704</v>
      </c>
      <c r="E2143" s="186" t="s">
        <v>906</v>
      </c>
      <c r="F2143" s="186" t="s">
        <v>907</v>
      </c>
      <c r="G2143" s="186" t="s">
        <v>2075</v>
      </c>
      <c r="H2143" s="186" t="s">
        <v>2076</v>
      </c>
      <c r="I2143" s="187" t="s">
        <v>2101</v>
      </c>
      <c r="J2143" s="187" t="s">
        <v>2102</v>
      </c>
      <c r="K2143" s="188"/>
      <c r="L2143" s="188"/>
      <c r="M2143" s="189" t="s">
        <v>1018</v>
      </c>
      <c r="N2143" s="190">
        <v>86.1</v>
      </c>
      <c r="O2143" s="190">
        <f t="shared" si="267"/>
        <v>93.85</v>
      </c>
      <c r="P2143" s="191">
        <f t="shared" si="268"/>
        <v>0</v>
      </c>
      <c r="Q2143" s="192">
        <f t="shared" si="269"/>
        <v>0</v>
      </c>
      <c r="R2143" s="193"/>
      <c r="S2143" s="194"/>
      <c r="T2143" s="195">
        <f t="shared" si="270"/>
        <v>0</v>
      </c>
      <c r="U2143" s="195">
        <f t="shared" si="271"/>
        <v>0</v>
      </c>
      <c r="V2143" s="195">
        <f t="shared" si="272"/>
        <v>0</v>
      </c>
      <c r="W2143" s="196" t="e">
        <f t="shared" si="273"/>
        <v>#DIV/0!</v>
      </c>
      <c r="X2143" s="197" t="e">
        <f t="shared" si="274"/>
        <v>#DIV/0!</v>
      </c>
    </row>
    <row r="2144" ht="11.4" hidden="1" customHeight="1" spans="1:24">
      <c r="A2144" s="184" t="s">
        <v>3206</v>
      </c>
      <c r="B2144" s="184" t="s">
        <v>145</v>
      </c>
      <c r="C2144" s="184" t="s">
        <v>2074</v>
      </c>
      <c r="D2144" s="185" t="s">
        <v>704</v>
      </c>
      <c r="E2144" s="186" t="s">
        <v>906</v>
      </c>
      <c r="F2144" s="186" t="s">
        <v>907</v>
      </c>
      <c r="G2144" s="186" t="s">
        <v>2075</v>
      </c>
      <c r="H2144" s="186" t="s">
        <v>2076</v>
      </c>
      <c r="I2144" s="187" t="s">
        <v>2103</v>
      </c>
      <c r="J2144" s="187" t="s">
        <v>2104</v>
      </c>
      <c r="K2144" s="188"/>
      <c r="L2144" s="188"/>
      <c r="M2144" s="189" t="s">
        <v>1018</v>
      </c>
      <c r="N2144" s="190">
        <v>261.15</v>
      </c>
      <c r="O2144" s="190">
        <f t="shared" si="267"/>
        <v>284.65</v>
      </c>
      <c r="P2144" s="191">
        <f t="shared" si="268"/>
        <v>0</v>
      </c>
      <c r="Q2144" s="192">
        <f t="shared" si="269"/>
        <v>0</v>
      </c>
      <c r="R2144" s="193"/>
      <c r="S2144" s="194"/>
      <c r="T2144" s="195">
        <f t="shared" si="270"/>
        <v>0</v>
      </c>
      <c r="U2144" s="195">
        <f t="shared" si="271"/>
        <v>0</v>
      </c>
      <c r="V2144" s="195">
        <f t="shared" si="272"/>
        <v>0</v>
      </c>
      <c r="W2144" s="196" t="e">
        <f t="shared" si="273"/>
        <v>#DIV/0!</v>
      </c>
      <c r="X2144" s="197" t="e">
        <f t="shared" si="274"/>
        <v>#DIV/0!</v>
      </c>
    </row>
    <row r="2145" ht="11.4" hidden="1" customHeight="1" spans="1:24">
      <c r="A2145" s="184" t="s">
        <v>3206</v>
      </c>
      <c r="B2145" s="184" t="s">
        <v>145</v>
      </c>
      <c r="C2145" s="184" t="s">
        <v>2074</v>
      </c>
      <c r="D2145" s="185" t="s">
        <v>704</v>
      </c>
      <c r="E2145" s="186" t="s">
        <v>906</v>
      </c>
      <c r="F2145" s="186" t="s">
        <v>907</v>
      </c>
      <c r="G2145" s="186" t="s">
        <v>2075</v>
      </c>
      <c r="H2145" s="186" t="s">
        <v>2076</v>
      </c>
      <c r="I2145" s="187" t="s">
        <v>2105</v>
      </c>
      <c r="J2145" s="187" t="s">
        <v>2106</v>
      </c>
      <c r="K2145" s="188"/>
      <c r="L2145" s="188"/>
      <c r="M2145" s="189" t="s">
        <v>1018</v>
      </c>
      <c r="N2145" s="190">
        <v>420</v>
      </c>
      <c r="O2145" s="190">
        <f t="shared" si="267"/>
        <v>457.8</v>
      </c>
      <c r="P2145" s="191">
        <f t="shared" si="268"/>
        <v>0</v>
      </c>
      <c r="Q2145" s="192">
        <f t="shared" si="269"/>
        <v>0</v>
      </c>
      <c r="R2145" s="193"/>
      <c r="S2145" s="194"/>
      <c r="T2145" s="195">
        <f t="shared" si="270"/>
        <v>0</v>
      </c>
      <c r="U2145" s="195">
        <f t="shared" si="271"/>
        <v>0</v>
      </c>
      <c r="V2145" s="195">
        <f t="shared" si="272"/>
        <v>0</v>
      </c>
      <c r="W2145" s="196" t="e">
        <f t="shared" si="273"/>
        <v>#DIV/0!</v>
      </c>
      <c r="X2145" s="197" t="e">
        <f t="shared" si="274"/>
        <v>#DIV/0!</v>
      </c>
    </row>
    <row r="2146" ht="11.4" hidden="1" customHeight="1" spans="1:24">
      <c r="A2146" s="184" t="s">
        <v>3206</v>
      </c>
      <c r="B2146" s="184" t="s">
        <v>145</v>
      </c>
      <c r="C2146" s="184" t="s">
        <v>2074</v>
      </c>
      <c r="D2146" s="185" t="s">
        <v>704</v>
      </c>
      <c r="E2146" s="186" t="s">
        <v>906</v>
      </c>
      <c r="F2146" s="186" t="s">
        <v>907</v>
      </c>
      <c r="G2146" s="186" t="s">
        <v>2075</v>
      </c>
      <c r="H2146" s="186" t="s">
        <v>2076</v>
      </c>
      <c r="I2146" s="187" t="s">
        <v>2107</v>
      </c>
      <c r="J2146" s="187" t="s">
        <v>2108</v>
      </c>
      <c r="K2146" s="188"/>
      <c r="L2146" s="188"/>
      <c r="M2146" s="189" t="s">
        <v>1018</v>
      </c>
      <c r="N2146" s="190">
        <v>222.6</v>
      </c>
      <c r="O2146" s="190">
        <f t="shared" si="267"/>
        <v>242.63</v>
      </c>
      <c r="P2146" s="191">
        <f t="shared" si="268"/>
        <v>0</v>
      </c>
      <c r="Q2146" s="192">
        <f t="shared" si="269"/>
        <v>0</v>
      </c>
      <c r="R2146" s="193"/>
      <c r="S2146" s="194"/>
      <c r="T2146" s="195">
        <f t="shared" si="270"/>
        <v>0</v>
      </c>
      <c r="U2146" s="195">
        <f t="shared" si="271"/>
        <v>0</v>
      </c>
      <c r="V2146" s="195">
        <f t="shared" si="272"/>
        <v>0</v>
      </c>
      <c r="W2146" s="196" t="e">
        <f t="shared" si="273"/>
        <v>#DIV/0!</v>
      </c>
      <c r="X2146" s="197" t="e">
        <f t="shared" si="274"/>
        <v>#DIV/0!</v>
      </c>
    </row>
    <row r="2147" ht="11.4" hidden="1" customHeight="1" spans="1:24">
      <c r="A2147" s="184" t="s">
        <v>3206</v>
      </c>
      <c r="B2147" s="184" t="s">
        <v>145</v>
      </c>
      <c r="C2147" s="184" t="s">
        <v>2074</v>
      </c>
      <c r="D2147" s="185" t="s">
        <v>704</v>
      </c>
      <c r="E2147" s="186" t="s">
        <v>906</v>
      </c>
      <c r="F2147" s="186" t="s">
        <v>907</v>
      </c>
      <c r="G2147" s="186" t="s">
        <v>2075</v>
      </c>
      <c r="H2147" s="186" t="s">
        <v>2076</v>
      </c>
      <c r="I2147" s="187" t="s">
        <v>2109</v>
      </c>
      <c r="J2147" s="187" t="s">
        <v>2110</v>
      </c>
      <c r="K2147" s="188"/>
      <c r="L2147" s="188"/>
      <c r="M2147" s="189" t="s">
        <v>1018</v>
      </c>
      <c r="N2147" s="190">
        <v>173.25</v>
      </c>
      <c r="O2147" s="190">
        <f t="shared" si="267"/>
        <v>188.84</v>
      </c>
      <c r="P2147" s="191">
        <f t="shared" si="268"/>
        <v>0</v>
      </c>
      <c r="Q2147" s="192">
        <f t="shared" si="269"/>
        <v>0</v>
      </c>
      <c r="R2147" s="193"/>
      <c r="S2147" s="194"/>
      <c r="T2147" s="195">
        <f t="shared" si="270"/>
        <v>0</v>
      </c>
      <c r="U2147" s="195">
        <f t="shared" si="271"/>
        <v>0</v>
      </c>
      <c r="V2147" s="195">
        <f t="shared" si="272"/>
        <v>0</v>
      </c>
      <c r="W2147" s="196" t="e">
        <f t="shared" si="273"/>
        <v>#DIV/0!</v>
      </c>
      <c r="X2147" s="197" t="e">
        <f t="shared" si="274"/>
        <v>#DIV/0!</v>
      </c>
    </row>
    <row r="2148" ht="11.4" hidden="1" customHeight="1" spans="1:24">
      <c r="A2148" s="184" t="s">
        <v>3206</v>
      </c>
      <c r="B2148" s="184" t="s">
        <v>145</v>
      </c>
      <c r="C2148" s="184" t="s">
        <v>2074</v>
      </c>
      <c r="D2148" s="185" t="s">
        <v>704</v>
      </c>
      <c r="E2148" s="186" t="s">
        <v>906</v>
      </c>
      <c r="F2148" s="186" t="s">
        <v>907</v>
      </c>
      <c r="G2148" s="186" t="s">
        <v>2075</v>
      </c>
      <c r="H2148" s="186" t="s">
        <v>2076</v>
      </c>
      <c r="I2148" s="187" t="s">
        <v>2111</v>
      </c>
      <c r="J2148" s="187" t="s">
        <v>2112</v>
      </c>
      <c r="K2148" s="188"/>
      <c r="L2148" s="188"/>
      <c r="M2148" s="189" t="s">
        <v>1018</v>
      </c>
      <c r="N2148" s="190">
        <v>134.4</v>
      </c>
      <c r="O2148" s="190">
        <f t="shared" si="267"/>
        <v>146.5</v>
      </c>
      <c r="P2148" s="191">
        <f t="shared" si="268"/>
        <v>0</v>
      </c>
      <c r="Q2148" s="192">
        <f t="shared" si="269"/>
        <v>0</v>
      </c>
      <c r="R2148" s="193"/>
      <c r="S2148" s="194"/>
      <c r="T2148" s="195">
        <f t="shared" si="270"/>
        <v>0</v>
      </c>
      <c r="U2148" s="195">
        <f t="shared" si="271"/>
        <v>0</v>
      </c>
      <c r="V2148" s="195">
        <f t="shared" si="272"/>
        <v>0</v>
      </c>
      <c r="W2148" s="196" t="e">
        <f t="shared" si="273"/>
        <v>#DIV/0!</v>
      </c>
      <c r="X2148" s="197" t="e">
        <f t="shared" si="274"/>
        <v>#DIV/0!</v>
      </c>
    </row>
    <row r="2149" ht="11.4" hidden="1" customHeight="1" spans="1:24">
      <c r="A2149" s="184" t="s">
        <v>3206</v>
      </c>
      <c r="B2149" s="184" t="s">
        <v>145</v>
      </c>
      <c r="C2149" s="184" t="s">
        <v>2074</v>
      </c>
      <c r="D2149" s="185" t="s">
        <v>704</v>
      </c>
      <c r="E2149" s="186" t="s">
        <v>906</v>
      </c>
      <c r="F2149" s="186" t="s">
        <v>907</v>
      </c>
      <c r="G2149" s="186" t="s">
        <v>2075</v>
      </c>
      <c r="H2149" s="186" t="s">
        <v>2076</v>
      </c>
      <c r="I2149" s="187" t="s">
        <v>2113</v>
      </c>
      <c r="J2149" s="187" t="s">
        <v>2114</v>
      </c>
      <c r="K2149" s="188"/>
      <c r="L2149" s="188"/>
      <c r="M2149" s="189" t="s">
        <v>1018</v>
      </c>
      <c r="N2149" s="190">
        <v>498.75</v>
      </c>
      <c r="O2149" s="190">
        <f t="shared" si="267"/>
        <v>543.64</v>
      </c>
      <c r="P2149" s="191">
        <f t="shared" si="268"/>
        <v>0</v>
      </c>
      <c r="Q2149" s="192">
        <f t="shared" si="269"/>
        <v>0</v>
      </c>
      <c r="R2149" s="193"/>
      <c r="S2149" s="194"/>
      <c r="T2149" s="195">
        <f t="shared" si="270"/>
        <v>0</v>
      </c>
      <c r="U2149" s="195">
        <f t="shared" si="271"/>
        <v>0</v>
      </c>
      <c r="V2149" s="195">
        <f t="shared" si="272"/>
        <v>0</v>
      </c>
      <c r="W2149" s="196" t="e">
        <f t="shared" si="273"/>
        <v>#DIV/0!</v>
      </c>
      <c r="X2149" s="197" t="e">
        <f t="shared" si="274"/>
        <v>#DIV/0!</v>
      </c>
    </row>
    <row r="2150" ht="11.4" hidden="1" customHeight="1" spans="1:24">
      <c r="A2150" s="184" t="s">
        <v>3206</v>
      </c>
      <c r="B2150" s="184" t="s">
        <v>145</v>
      </c>
      <c r="C2150" s="184" t="s">
        <v>2074</v>
      </c>
      <c r="D2150" s="185" t="s">
        <v>704</v>
      </c>
      <c r="E2150" s="186" t="s">
        <v>906</v>
      </c>
      <c r="F2150" s="186" t="s">
        <v>907</v>
      </c>
      <c r="G2150" s="186" t="s">
        <v>2075</v>
      </c>
      <c r="H2150" s="186" t="s">
        <v>2076</v>
      </c>
      <c r="I2150" s="187" t="s">
        <v>2115</v>
      </c>
      <c r="J2150" s="187" t="s">
        <v>2116</v>
      </c>
      <c r="K2150" s="188"/>
      <c r="L2150" s="188"/>
      <c r="M2150" s="189" t="s">
        <v>1018</v>
      </c>
      <c r="N2150" s="190">
        <v>346.5</v>
      </c>
      <c r="O2150" s="190">
        <f t="shared" si="267"/>
        <v>377.69</v>
      </c>
      <c r="P2150" s="191">
        <f t="shared" si="268"/>
        <v>0</v>
      </c>
      <c r="Q2150" s="192">
        <f t="shared" si="269"/>
        <v>0</v>
      </c>
      <c r="R2150" s="193"/>
      <c r="S2150" s="194"/>
      <c r="T2150" s="195">
        <f t="shared" si="270"/>
        <v>0</v>
      </c>
      <c r="U2150" s="195">
        <f t="shared" si="271"/>
        <v>0</v>
      </c>
      <c r="V2150" s="195">
        <f t="shared" si="272"/>
        <v>0</v>
      </c>
      <c r="W2150" s="196" t="e">
        <f t="shared" si="273"/>
        <v>#DIV/0!</v>
      </c>
      <c r="X2150" s="197" t="e">
        <f t="shared" si="274"/>
        <v>#DIV/0!</v>
      </c>
    </row>
    <row r="2151" ht="11.4" hidden="1" customHeight="1" spans="1:24">
      <c r="A2151" s="184" t="s">
        <v>3206</v>
      </c>
      <c r="B2151" s="184" t="s">
        <v>145</v>
      </c>
      <c r="C2151" s="184" t="s">
        <v>2074</v>
      </c>
      <c r="D2151" s="185" t="s">
        <v>704</v>
      </c>
      <c r="E2151" s="186" t="s">
        <v>906</v>
      </c>
      <c r="F2151" s="186" t="s">
        <v>907</v>
      </c>
      <c r="G2151" s="186" t="s">
        <v>2075</v>
      </c>
      <c r="H2151" s="186" t="s">
        <v>2076</v>
      </c>
      <c r="I2151" s="187" t="s">
        <v>2117</v>
      </c>
      <c r="J2151" s="187" t="s">
        <v>2118</v>
      </c>
      <c r="K2151" s="188"/>
      <c r="L2151" s="188"/>
      <c r="M2151" s="189" t="s">
        <v>807</v>
      </c>
      <c r="N2151" s="190">
        <v>42</v>
      </c>
      <c r="O2151" s="190">
        <f t="shared" si="267"/>
        <v>45.78</v>
      </c>
      <c r="P2151" s="191">
        <f t="shared" si="268"/>
        <v>0</v>
      </c>
      <c r="Q2151" s="192">
        <f t="shared" si="269"/>
        <v>0</v>
      </c>
      <c r="R2151" s="193"/>
      <c r="S2151" s="194"/>
      <c r="T2151" s="195">
        <f t="shared" si="270"/>
        <v>0</v>
      </c>
      <c r="U2151" s="195">
        <f t="shared" si="271"/>
        <v>0</v>
      </c>
      <c r="V2151" s="195">
        <f t="shared" si="272"/>
        <v>0</v>
      </c>
      <c r="W2151" s="196" t="e">
        <f t="shared" si="273"/>
        <v>#DIV/0!</v>
      </c>
      <c r="X2151" s="197" t="e">
        <f t="shared" si="274"/>
        <v>#DIV/0!</v>
      </c>
    </row>
    <row r="2152" ht="11.4" hidden="1" customHeight="1" spans="1:24">
      <c r="A2152" s="184" t="s">
        <v>3206</v>
      </c>
      <c r="B2152" s="184" t="s">
        <v>145</v>
      </c>
      <c r="C2152" s="184" t="s">
        <v>2074</v>
      </c>
      <c r="D2152" s="185" t="s">
        <v>704</v>
      </c>
      <c r="E2152" s="186" t="s">
        <v>906</v>
      </c>
      <c r="F2152" s="186" t="s">
        <v>907</v>
      </c>
      <c r="G2152" s="186" t="s">
        <v>2075</v>
      </c>
      <c r="H2152" s="186" t="s">
        <v>2076</v>
      </c>
      <c r="I2152" s="187" t="s">
        <v>2119</v>
      </c>
      <c r="J2152" s="187" t="s">
        <v>2120</v>
      </c>
      <c r="K2152" s="188"/>
      <c r="L2152" s="188"/>
      <c r="M2152" s="189" t="s">
        <v>1018</v>
      </c>
      <c r="N2152" s="190">
        <v>75.6</v>
      </c>
      <c r="O2152" s="190">
        <f t="shared" si="267"/>
        <v>82.4</v>
      </c>
      <c r="P2152" s="191">
        <f t="shared" si="268"/>
        <v>0</v>
      </c>
      <c r="Q2152" s="192">
        <f t="shared" si="269"/>
        <v>0</v>
      </c>
      <c r="R2152" s="193"/>
      <c r="S2152" s="194"/>
      <c r="T2152" s="195">
        <f t="shared" si="270"/>
        <v>0</v>
      </c>
      <c r="U2152" s="195">
        <f t="shared" si="271"/>
        <v>0</v>
      </c>
      <c r="V2152" s="195">
        <f t="shared" si="272"/>
        <v>0</v>
      </c>
      <c r="W2152" s="196" t="e">
        <f t="shared" si="273"/>
        <v>#DIV/0!</v>
      </c>
      <c r="X2152" s="197" t="e">
        <f t="shared" si="274"/>
        <v>#DIV/0!</v>
      </c>
    </row>
    <row r="2153" ht="11.4" hidden="1" customHeight="1" spans="1:24">
      <c r="A2153" s="184" t="s">
        <v>3206</v>
      </c>
      <c r="B2153" s="184" t="s">
        <v>145</v>
      </c>
      <c r="C2153" s="184" t="s">
        <v>2074</v>
      </c>
      <c r="D2153" s="185" t="s">
        <v>704</v>
      </c>
      <c r="E2153" s="186" t="s">
        <v>906</v>
      </c>
      <c r="F2153" s="186" t="s">
        <v>907</v>
      </c>
      <c r="G2153" s="186" t="s">
        <v>2075</v>
      </c>
      <c r="H2153" s="186" t="s">
        <v>2076</v>
      </c>
      <c r="I2153" s="187" t="s">
        <v>2121</v>
      </c>
      <c r="J2153" s="187" t="s">
        <v>2122</v>
      </c>
      <c r="K2153" s="188"/>
      <c r="L2153" s="188"/>
      <c r="M2153" s="189" t="s">
        <v>1018</v>
      </c>
      <c r="N2153" s="190">
        <v>38.85</v>
      </c>
      <c r="O2153" s="190">
        <f t="shared" si="267"/>
        <v>42.35</v>
      </c>
      <c r="P2153" s="191">
        <f t="shared" si="268"/>
        <v>0</v>
      </c>
      <c r="Q2153" s="192">
        <f t="shared" si="269"/>
        <v>0</v>
      </c>
      <c r="R2153" s="193"/>
      <c r="S2153" s="194"/>
      <c r="T2153" s="195">
        <f t="shared" si="270"/>
        <v>0</v>
      </c>
      <c r="U2153" s="195">
        <f t="shared" si="271"/>
        <v>0</v>
      </c>
      <c r="V2153" s="195">
        <f t="shared" si="272"/>
        <v>0</v>
      </c>
      <c r="W2153" s="196" t="e">
        <f t="shared" si="273"/>
        <v>#DIV/0!</v>
      </c>
      <c r="X2153" s="197" t="e">
        <f t="shared" si="274"/>
        <v>#DIV/0!</v>
      </c>
    </row>
    <row r="2154" ht="11.4" hidden="1" customHeight="1" spans="1:24">
      <c r="A2154" s="184" t="s">
        <v>3206</v>
      </c>
      <c r="B2154" s="184" t="s">
        <v>145</v>
      </c>
      <c r="C2154" s="184" t="s">
        <v>2074</v>
      </c>
      <c r="D2154" s="185" t="s">
        <v>704</v>
      </c>
      <c r="E2154" s="186" t="s">
        <v>906</v>
      </c>
      <c r="F2154" s="186" t="s">
        <v>907</v>
      </c>
      <c r="G2154" s="186" t="s">
        <v>2075</v>
      </c>
      <c r="H2154" s="186" t="s">
        <v>2076</v>
      </c>
      <c r="I2154" s="187" t="s">
        <v>2123</v>
      </c>
      <c r="J2154" s="187" t="s">
        <v>2124</v>
      </c>
      <c r="K2154" s="188"/>
      <c r="L2154" s="188"/>
      <c r="M2154" s="189" t="s">
        <v>1018</v>
      </c>
      <c r="N2154" s="190">
        <v>8.4</v>
      </c>
      <c r="O2154" s="190">
        <f t="shared" si="267"/>
        <v>9.16</v>
      </c>
      <c r="P2154" s="191">
        <f t="shared" si="268"/>
        <v>0</v>
      </c>
      <c r="Q2154" s="192">
        <f t="shared" si="269"/>
        <v>0</v>
      </c>
      <c r="R2154" s="193"/>
      <c r="S2154" s="194"/>
      <c r="T2154" s="195">
        <f t="shared" si="270"/>
        <v>0</v>
      </c>
      <c r="U2154" s="195">
        <f t="shared" si="271"/>
        <v>0</v>
      </c>
      <c r="V2154" s="195">
        <f t="shared" si="272"/>
        <v>0</v>
      </c>
      <c r="W2154" s="196" t="e">
        <f t="shared" si="273"/>
        <v>#DIV/0!</v>
      </c>
      <c r="X2154" s="197" t="e">
        <f t="shared" si="274"/>
        <v>#DIV/0!</v>
      </c>
    </row>
    <row r="2155" ht="11.4" hidden="1" customHeight="1" spans="1:24">
      <c r="A2155" s="184" t="s">
        <v>3206</v>
      </c>
      <c r="B2155" s="184" t="s">
        <v>145</v>
      </c>
      <c r="C2155" s="184" t="s">
        <v>2074</v>
      </c>
      <c r="D2155" s="185" t="s">
        <v>704</v>
      </c>
      <c r="E2155" s="186" t="s">
        <v>906</v>
      </c>
      <c r="F2155" s="186" t="s">
        <v>907</v>
      </c>
      <c r="G2155" s="186" t="s">
        <v>2075</v>
      </c>
      <c r="H2155" s="186" t="s">
        <v>2076</v>
      </c>
      <c r="I2155" s="187" t="s">
        <v>2125</v>
      </c>
      <c r="J2155" s="187" t="s">
        <v>2126</v>
      </c>
      <c r="K2155" s="188"/>
      <c r="L2155" s="188"/>
      <c r="M2155" s="189" t="s">
        <v>1018</v>
      </c>
      <c r="N2155" s="190">
        <v>119.7</v>
      </c>
      <c r="O2155" s="190">
        <f t="shared" si="267"/>
        <v>130.47</v>
      </c>
      <c r="P2155" s="191">
        <f t="shared" si="268"/>
        <v>0</v>
      </c>
      <c r="Q2155" s="192">
        <f t="shared" si="269"/>
        <v>0</v>
      </c>
      <c r="R2155" s="193"/>
      <c r="S2155" s="194"/>
      <c r="T2155" s="195">
        <f t="shared" si="270"/>
        <v>0</v>
      </c>
      <c r="U2155" s="195">
        <f t="shared" si="271"/>
        <v>0</v>
      </c>
      <c r="V2155" s="195">
        <f t="shared" si="272"/>
        <v>0</v>
      </c>
      <c r="W2155" s="196" t="e">
        <f t="shared" si="273"/>
        <v>#DIV/0!</v>
      </c>
      <c r="X2155" s="197" t="e">
        <f t="shared" si="274"/>
        <v>#DIV/0!</v>
      </c>
    </row>
    <row r="2156" ht="11.4" hidden="1" customHeight="1" spans="1:24">
      <c r="A2156" s="184" t="s">
        <v>3206</v>
      </c>
      <c r="B2156" s="184" t="s">
        <v>145</v>
      </c>
      <c r="C2156" s="184" t="s">
        <v>2074</v>
      </c>
      <c r="D2156" s="185" t="s">
        <v>704</v>
      </c>
      <c r="E2156" s="186" t="s">
        <v>906</v>
      </c>
      <c r="F2156" s="186" t="s">
        <v>907</v>
      </c>
      <c r="G2156" s="186" t="s">
        <v>2075</v>
      </c>
      <c r="H2156" s="186" t="s">
        <v>2076</v>
      </c>
      <c r="I2156" s="187" t="s">
        <v>2127</v>
      </c>
      <c r="J2156" s="187" t="s">
        <v>2128</v>
      </c>
      <c r="K2156" s="188"/>
      <c r="L2156" s="188"/>
      <c r="M2156" s="189" t="s">
        <v>1018</v>
      </c>
      <c r="N2156" s="190">
        <v>28.35</v>
      </c>
      <c r="O2156" s="190">
        <f t="shared" si="267"/>
        <v>30.9</v>
      </c>
      <c r="P2156" s="191">
        <f t="shared" si="268"/>
        <v>0</v>
      </c>
      <c r="Q2156" s="192">
        <f t="shared" si="269"/>
        <v>0</v>
      </c>
      <c r="R2156" s="193"/>
      <c r="S2156" s="194"/>
      <c r="T2156" s="195">
        <f t="shared" si="270"/>
        <v>0</v>
      </c>
      <c r="U2156" s="195">
        <f t="shared" si="271"/>
        <v>0</v>
      </c>
      <c r="V2156" s="195">
        <f t="shared" si="272"/>
        <v>0</v>
      </c>
      <c r="W2156" s="196" t="e">
        <f t="shared" si="273"/>
        <v>#DIV/0!</v>
      </c>
      <c r="X2156" s="197" t="e">
        <f t="shared" si="274"/>
        <v>#DIV/0!</v>
      </c>
    </row>
    <row r="2157" ht="11.4" hidden="1" customHeight="1" spans="1:24">
      <c r="A2157" s="184" t="s">
        <v>3206</v>
      </c>
      <c r="B2157" s="184" t="s">
        <v>145</v>
      </c>
      <c r="C2157" s="184" t="s">
        <v>2074</v>
      </c>
      <c r="D2157" s="185" t="s">
        <v>704</v>
      </c>
      <c r="E2157" s="186" t="s">
        <v>906</v>
      </c>
      <c r="F2157" s="186" t="s">
        <v>907</v>
      </c>
      <c r="G2157" s="186" t="s">
        <v>2075</v>
      </c>
      <c r="H2157" s="186" t="s">
        <v>2076</v>
      </c>
      <c r="I2157" s="187" t="s">
        <v>2129</v>
      </c>
      <c r="J2157" s="187" t="s">
        <v>2130</v>
      </c>
      <c r="K2157" s="188"/>
      <c r="L2157" s="188"/>
      <c r="M2157" s="189" t="s">
        <v>1018</v>
      </c>
      <c r="N2157" s="190">
        <v>102.9</v>
      </c>
      <c r="O2157" s="190">
        <f t="shared" si="267"/>
        <v>112.16</v>
      </c>
      <c r="P2157" s="191">
        <f t="shared" si="268"/>
        <v>0</v>
      </c>
      <c r="Q2157" s="192">
        <f t="shared" si="269"/>
        <v>0</v>
      </c>
      <c r="R2157" s="193"/>
      <c r="S2157" s="194"/>
      <c r="T2157" s="195">
        <f t="shared" si="270"/>
        <v>0</v>
      </c>
      <c r="U2157" s="195">
        <f t="shared" si="271"/>
        <v>0</v>
      </c>
      <c r="V2157" s="195">
        <f t="shared" si="272"/>
        <v>0</v>
      </c>
      <c r="W2157" s="196" t="e">
        <f t="shared" si="273"/>
        <v>#DIV/0!</v>
      </c>
      <c r="X2157" s="197" t="e">
        <f t="shared" si="274"/>
        <v>#DIV/0!</v>
      </c>
    </row>
    <row r="2158" ht="11.4" hidden="1" customHeight="1" spans="1:24">
      <c r="A2158" s="184" t="s">
        <v>3206</v>
      </c>
      <c r="B2158" s="184" t="s">
        <v>145</v>
      </c>
      <c r="C2158" s="184" t="s">
        <v>2074</v>
      </c>
      <c r="D2158" s="185" t="s">
        <v>704</v>
      </c>
      <c r="E2158" s="186" t="s">
        <v>906</v>
      </c>
      <c r="F2158" s="186" t="s">
        <v>907</v>
      </c>
      <c r="G2158" s="186" t="s">
        <v>2075</v>
      </c>
      <c r="H2158" s="186" t="s">
        <v>2076</v>
      </c>
      <c r="I2158" s="187" t="s">
        <v>2131</v>
      </c>
      <c r="J2158" s="187" t="s">
        <v>2132</v>
      </c>
      <c r="K2158" s="188"/>
      <c r="L2158" s="188"/>
      <c r="M2158" s="189" t="s">
        <v>1018</v>
      </c>
      <c r="N2158" s="190">
        <v>176.4</v>
      </c>
      <c r="O2158" s="190">
        <f t="shared" si="267"/>
        <v>192.28</v>
      </c>
      <c r="P2158" s="191">
        <f t="shared" si="268"/>
        <v>0</v>
      </c>
      <c r="Q2158" s="192">
        <f t="shared" si="269"/>
        <v>0</v>
      </c>
      <c r="R2158" s="193"/>
      <c r="S2158" s="194"/>
      <c r="T2158" s="195">
        <f t="shared" si="270"/>
        <v>0</v>
      </c>
      <c r="U2158" s="195">
        <f t="shared" si="271"/>
        <v>0</v>
      </c>
      <c r="V2158" s="195">
        <f t="shared" si="272"/>
        <v>0</v>
      </c>
      <c r="W2158" s="196" t="e">
        <f t="shared" si="273"/>
        <v>#DIV/0!</v>
      </c>
      <c r="X2158" s="197" t="e">
        <f t="shared" si="274"/>
        <v>#DIV/0!</v>
      </c>
    </row>
    <row r="2159" ht="11.4" hidden="1" customHeight="1" spans="1:24">
      <c r="A2159" s="184" t="s">
        <v>3206</v>
      </c>
      <c r="B2159" s="184" t="s">
        <v>145</v>
      </c>
      <c r="C2159" s="184" t="s">
        <v>2074</v>
      </c>
      <c r="D2159" s="185" t="s">
        <v>704</v>
      </c>
      <c r="E2159" s="186" t="s">
        <v>906</v>
      </c>
      <c r="F2159" s="186" t="s">
        <v>907</v>
      </c>
      <c r="G2159" s="186" t="s">
        <v>2075</v>
      </c>
      <c r="H2159" s="186" t="s">
        <v>2076</v>
      </c>
      <c r="I2159" s="187" t="s">
        <v>2133</v>
      </c>
      <c r="J2159" s="187" t="s">
        <v>2134</v>
      </c>
      <c r="K2159" s="188"/>
      <c r="L2159" s="188"/>
      <c r="M2159" s="189" t="s">
        <v>1018</v>
      </c>
      <c r="N2159" s="190">
        <v>176.4</v>
      </c>
      <c r="O2159" s="190">
        <f t="shared" si="267"/>
        <v>192.28</v>
      </c>
      <c r="P2159" s="191">
        <f t="shared" si="268"/>
        <v>0</v>
      </c>
      <c r="Q2159" s="192">
        <f t="shared" si="269"/>
        <v>0</v>
      </c>
      <c r="R2159" s="193"/>
      <c r="S2159" s="194"/>
      <c r="T2159" s="195">
        <f t="shared" si="270"/>
        <v>0</v>
      </c>
      <c r="U2159" s="195">
        <f t="shared" si="271"/>
        <v>0</v>
      </c>
      <c r="V2159" s="195">
        <f t="shared" si="272"/>
        <v>0</v>
      </c>
      <c r="W2159" s="196" t="e">
        <f t="shared" si="273"/>
        <v>#DIV/0!</v>
      </c>
      <c r="X2159" s="197" t="e">
        <f t="shared" si="274"/>
        <v>#DIV/0!</v>
      </c>
    </row>
    <row r="2160" ht="11.4" hidden="1" customHeight="1" spans="1:24">
      <c r="A2160" s="184" t="s">
        <v>3206</v>
      </c>
      <c r="B2160" s="184" t="s">
        <v>145</v>
      </c>
      <c r="C2160" s="184" t="s">
        <v>2074</v>
      </c>
      <c r="D2160" s="185" t="s">
        <v>704</v>
      </c>
      <c r="E2160" s="186" t="s">
        <v>906</v>
      </c>
      <c r="F2160" s="186" t="s">
        <v>907</v>
      </c>
      <c r="G2160" s="186" t="s">
        <v>2075</v>
      </c>
      <c r="H2160" s="186" t="s">
        <v>2076</v>
      </c>
      <c r="I2160" s="187" t="s">
        <v>2135</v>
      </c>
      <c r="J2160" s="187" t="s">
        <v>2136</v>
      </c>
      <c r="K2160" s="188"/>
      <c r="L2160" s="188"/>
      <c r="M2160" s="189" t="s">
        <v>1018</v>
      </c>
      <c r="N2160" s="190">
        <v>97.65</v>
      </c>
      <c r="O2160" s="190">
        <f t="shared" si="267"/>
        <v>106.44</v>
      </c>
      <c r="P2160" s="191">
        <f t="shared" si="268"/>
        <v>0</v>
      </c>
      <c r="Q2160" s="192">
        <f t="shared" si="269"/>
        <v>0</v>
      </c>
      <c r="R2160" s="193"/>
      <c r="S2160" s="194"/>
      <c r="T2160" s="195">
        <f t="shared" si="270"/>
        <v>0</v>
      </c>
      <c r="U2160" s="195">
        <f t="shared" si="271"/>
        <v>0</v>
      </c>
      <c r="V2160" s="195">
        <f t="shared" si="272"/>
        <v>0</v>
      </c>
      <c r="W2160" s="196" t="e">
        <f t="shared" si="273"/>
        <v>#DIV/0!</v>
      </c>
      <c r="X2160" s="197" t="e">
        <f t="shared" si="274"/>
        <v>#DIV/0!</v>
      </c>
    </row>
    <row r="2161" ht="11.4" hidden="1" customHeight="1" spans="1:24">
      <c r="A2161" s="184" t="s">
        <v>3206</v>
      </c>
      <c r="B2161" s="184" t="s">
        <v>145</v>
      </c>
      <c r="C2161" s="184" t="s">
        <v>2074</v>
      </c>
      <c r="D2161" s="185" t="s">
        <v>704</v>
      </c>
      <c r="E2161" s="186" t="s">
        <v>906</v>
      </c>
      <c r="F2161" s="186" t="s">
        <v>907</v>
      </c>
      <c r="G2161" s="186" t="s">
        <v>2075</v>
      </c>
      <c r="H2161" s="186" t="s">
        <v>2076</v>
      </c>
      <c r="I2161" s="187" t="s">
        <v>2137</v>
      </c>
      <c r="J2161" s="187" t="s">
        <v>2138</v>
      </c>
      <c r="K2161" s="188"/>
      <c r="L2161" s="188"/>
      <c r="M2161" s="189" t="s">
        <v>807</v>
      </c>
      <c r="N2161" s="190">
        <v>46.2</v>
      </c>
      <c r="O2161" s="190">
        <f t="shared" si="267"/>
        <v>50.36</v>
      </c>
      <c r="P2161" s="191">
        <f t="shared" si="268"/>
        <v>0</v>
      </c>
      <c r="Q2161" s="192">
        <f t="shared" si="269"/>
        <v>0</v>
      </c>
      <c r="R2161" s="193"/>
      <c r="S2161" s="194"/>
      <c r="T2161" s="195">
        <f t="shared" si="270"/>
        <v>0</v>
      </c>
      <c r="U2161" s="195">
        <f t="shared" si="271"/>
        <v>0</v>
      </c>
      <c r="V2161" s="195">
        <f t="shared" si="272"/>
        <v>0</v>
      </c>
      <c r="W2161" s="196" t="e">
        <f t="shared" si="273"/>
        <v>#DIV/0!</v>
      </c>
      <c r="X2161" s="197" t="e">
        <f t="shared" si="274"/>
        <v>#DIV/0!</v>
      </c>
    </row>
    <row r="2162" ht="11.4" hidden="1" customHeight="1" spans="1:24">
      <c r="A2162" s="184" t="s">
        <v>3206</v>
      </c>
      <c r="B2162" s="184" t="s">
        <v>145</v>
      </c>
      <c r="C2162" s="184" t="s">
        <v>2074</v>
      </c>
      <c r="D2162" s="185" t="s">
        <v>704</v>
      </c>
      <c r="E2162" s="186" t="s">
        <v>906</v>
      </c>
      <c r="F2162" s="186" t="s">
        <v>907</v>
      </c>
      <c r="G2162" s="186" t="s">
        <v>2139</v>
      </c>
      <c r="H2162" s="186" t="s">
        <v>2076</v>
      </c>
      <c r="I2162" s="187" t="s">
        <v>2140</v>
      </c>
      <c r="J2162" s="187" t="s">
        <v>2141</v>
      </c>
      <c r="K2162" s="188"/>
      <c r="L2162" s="188"/>
      <c r="M2162" s="189" t="s">
        <v>1018</v>
      </c>
      <c r="N2162" s="190">
        <v>36.75</v>
      </c>
      <c r="O2162" s="190">
        <f t="shared" si="267"/>
        <v>40.06</v>
      </c>
      <c r="P2162" s="191">
        <f t="shared" si="268"/>
        <v>0</v>
      </c>
      <c r="Q2162" s="192">
        <f t="shared" si="269"/>
        <v>0</v>
      </c>
      <c r="R2162" s="193"/>
      <c r="S2162" s="194"/>
      <c r="T2162" s="195">
        <f t="shared" si="270"/>
        <v>0</v>
      </c>
      <c r="U2162" s="195">
        <f t="shared" si="271"/>
        <v>0</v>
      </c>
      <c r="V2162" s="195">
        <f t="shared" si="272"/>
        <v>0</v>
      </c>
      <c r="W2162" s="196" t="e">
        <f t="shared" si="273"/>
        <v>#DIV/0!</v>
      </c>
      <c r="X2162" s="197" t="e">
        <f t="shared" si="274"/>
        <v>#DIV/0!</v>
      </c>
    </row>
    <row r="2163" ht="11.4" hidden="1" customHeight="1" spans="1:24">
      <c r="A2163" s="184" t="s">
        <v>3206</v>
      </c>
      <c r="B2163" s="184" t="s">
        <v>145</v>
      </c>
      <c r="C2163" s="184" t="s">
        <v>2074</v>
      </c>
      <c r="D2163" s="185" t="s">
        <v>704</v>
      </c>
      <c r="E2163" s="186" t="s">
        <v>906</v>
      </c>
      <c r="F2163" s="186" t="s">
        <v>907</v>
      </c>
      <c r="G2163" s="186" t="s">
        <v>2075</v>
      </c>
      <c r="H2163" s="186" t="s">
        <v>2076</v>
      </c>
      <c r="I2163" s="187" t="s">
        <v>2142</v>
      </c>
      <c r="J2163" s="187" t="s">
        <v>2143</v>
      </c>
      <c r="K2163" s="188"/>
      <c r="L2163" s="188"/>
      <c r="M2163" s="189" t="s">
        <v>1018</v>
      </c>
      <c r="N2163" s="190">
        <v>92.4</v>
      </c>
      <c r="O2163" s="190">
        <f t="shared" si="267"/>
        <v>100.72</v>
      </c>
      <c r="P2163" s="191">
        <f t="shared" si="268"/>
        <v>0</v>
      </c>
      <c r="Q2163" s="192">
        <f t="shared" si="269"/>
        <v>0</v>
      </c>
      <c r="R2163" s="193"/>
      <c r="S2163" s="194"/>
      <c r="T2163" s="195">
        <f t="shared" si="270"/>
        <v>0</v>
      </c>
      <c r="U2163" s="195">
        <f t="shared" si="271"/>
        <v>0</v>
      </c>
      <c r="V2163" s="195">
        <f t="shared" si="272"/>
        <v>0</v>
      </c>
      <c r="W2163" s="196" t="e">
        <f t="shared" si="273"/>
        <v>#DIV/0!</v>
      </c>
      <c r="X2163" s="197" t="e">
        <f t="shared" si="274"/>
        <v>#DIV/0!</v>
      </c>
    </row>
    <row r="2164" ht="11.4" hidden="1" customHeight="1" spans="1:24">
      <c r="A2164" s="184" t="s">
        <v>3206</v>
      </c>
      <c r="B2164" s="184" t="s">
        <v>145</v>
      </c>
      <c r="C2164" s="184" t="s">
        <v>2074</v>
      </c>
      <c r="D2164" s="185" t="s">
        <v>704</v>
      </c>
      <c r="E2164" s="186" t="s">
        <v>906</v>
      </c>
      <c r="F2164" s="186" t="s">
        <v>907</v>
      </c>
      <c r="G2164" s="186" t="s">
        <v>2075</v>
      </c>
      <c r="H2164" s="186" t="s">
        <v>2076</v>
      </c>
      <c r="I2164" s="187" t="s">
        <v>2144</v>
      </c>
      <c r="J2164" s="187" t="s">
        <v>2145</v>
      </c>
      <c r="K2164" s="188"/>
      <c r="L2164" s="188"/>
      <c r="M2164" s="189" t="s">
        <v>1018</v>
      </c>
      <c r="N2164" s="190">
        <v>111.3</v>
      </c>
      <c r="O2164" s="190">
        <f t="shared" si="267"/>
        <v>121.32</v>
      </c>
      <c r="P2164" s="191">
        <f t="shared" si="268"/>
        <v>0</v>
      </c>
      <c r="Q2164" s="192">
        <f t="shared" si="269"/>
        <v>0</v>
      </c>
      <c r="R2164" s="193"/>
      <c r="S2164" s="194"/>
      <c r="T2164" s="195">
        <f t="shared" si="270"/>
        <v>0</v>
      </c>
      <c r="U2164" s="195">
        <f t="shared" si="271"/>
        <v>0</v>
      </c>
      <c r="V2164" s="195">
        <f t="shared" si="272"/>
        <v>0</v>
      </c>
      <c r="W2164" s="196" t="e">
        <f t="shared" si="273"/>
        <v>#DIV/0!</v>
      </c>
      <c r="X2164" s="197" t="e">
        <f t="shared" si="274"/>
        <v>#DIV/0!</v>
      </c>
    </row>
    <row r="2165" ht="11.4" hidden="1" customHeight="1" spans="1:24">
      <c r="A2165" s="184" t="s">
        <v>3206</v>
      </c>
      <c r="B2165" s="184" t="s">
        <v>145</v>
      </c>
      <c r="C2165" s="184" t="s">
        <v>2074</v>
      </c>
      <c r="D2165" s="185" t="s">
        <v>704</v>
      </c>
      <c r="E2165" s="186" t="s">
        <v>906</v>
      </c>
      <c r="F2165" s="186" t="s">
        <v>907</v>
      </c>
      <c r="G2165" s="186" t="s">
        <v>2075</v>
      </c>
      <c r="H2165" s="186" t="s">
        <v>2076</v>
      </c>
      <c r="I2165" s="187" t="s">
        <v>2146</v>
      </c>
      <c r="J2165" s="187" t="s">
        <v>2147</v>
      </c>
      <c r="K2165" s="188"/>
      <c r="L2165" s="188"/>
      <c r="M2165" s="189" t="s">
        <v>1018</v>
      </c>
      <c r="N2165" s="190">
        <v>181.65</v>
      </c>
      <c r="O2165" s="190">
        <f t="shared" si="267"/>
        <v>198</v>
      </c>
      <c r="P2165" s="191">
        <f t="shared" si="268"/>
        <v>0</v>
      </c>
      <c r="Q2165" s="192">
        <f t="shared" si="269"/>
        <v>0</v>
      </c>
      <c r="R2165" s="193"/>
      <c r="S2165" s="194"/>
      <c r="T2165" s="195">
        <f t="shared" si="270"/>
        <v>0</v>
      </c>
      <c r="U2165" s="195">
        <f t="shared" si="271"/>
        <v>0</v>
      </c>
      <c r="V2165" s="195">
        <f t="shared" si="272"/>
        <v>0</v>
      </c>
      <c r="W2165" s="196" t="e">
        <f t="shared" si="273"/>
        <v>#DIV/0!</v>
      </c>
      <c r="X2165" s="197" t="e">
        <f t="shared" si="274"/>
        <v>#DIV/0!</v>
      </c>
    </row>
    <row r="2166" ht="11.4" hidden="1" customHeight="1" spans="1:24">
      <c r="A2166" s="184" t="s">
        <v>3206</v>
      </c>
      <c r="B2166" s="184" t="s">
        <v>145</v>
      </c>
      <c r="C2166" s="184" t="s">
        <v>2074</v>
      </c>
      <c r="D2166" s="185" t="s">
        <v>704</v>
      </c>
      <c r="E2166" s="186" t="s">
        <v>906</v>
      </c>
      <c r="F2166" s="186" t="s">
        <v>907</v>
      </c>
      <c r="G2166" s="186" t="s">
        <v>2075</v>
      </c>
      <c r="H2166" s="186" t="s">
        <v>2076</v>
      </c>
      <c r="I2166" s="187" t="s">
        <v>2148</v>
      </c>
      <c r="J2166" s="187" t="s">
        <v>2149</v>
      </c>
      <c r="K2166" s="188"/>
      <c r="L2166" s="188"/>
      <c r="M2166" s="189" t="s">
        <v>1018</v>
      </c>
      <c r="N2166" s="190">
        <v>198.45</v>
      </c>
      <c r="O2166" s="190">
        <f t="shared" si="267"/>
        <v>216.31</v>
      </c>
      <c r="P2166" s="191">
        <f t="shared" si="268"/>
        <v>0</v>
      </c>
      <c r="Q2166" s="192">
        <f t="shared" si="269"/>
        <v>0</v>
      </c>
      <c r="R2166" s="193"/>
      <c r="S2166" s="194"/>
      <c r="T2166" s="195">
        <f t="shared" si="270"/>
        <v>0</v>
      </c>
      <c r="U2166" s="195">
        <f t="shared" si="271"/>
        <v>0</v>
      </c>
      <c r="V2166" s="195">
        <f t="shared" si="272"/>
        <v>0</v>
      </c>
      <c r="W2166" s="196" t="e">
        <f t="shared" si="273"/>
        <v>#DIV/0!</v>
      </c>
      <c r="X2166" s="197" t="e">
        <f t="shared" si="274"/>
        <v>#DIV/0!</v>
      </c>
    </row>
    <row r="2167" ht="11.4" hidden="1" customHeight="1" spans="1:24">
      <c r="A2167" s="184" t="s">
        <v>3206</v>
      </c>
      <c r="B2167" s="184" t="s">
        <v>145</v>
      </c>
      <c r="C2167" s="184" t="s">
        <v>2074</v>
      </c>
      <c r="D2167" s="185" t="s">
        <v>704</v>
      </c>
      <c r="E2167" s="186" t="s">
        <v>906</v>
      </c>
      <c r="F2167" s="186" t="s">
        <v>907</v>
      </c>
      <c r="G2167" s="186" t="s">
        <v>2075</v>
      </c>
      <c r="H2167" s="186" t="s">
        <v>2076</v>
      </c>
      <c r="I2167" s="187" t="s">
        <v>2150</v>
      </c>
      <c r="J2167" s="187" t="s">
        <v>2151</v>
      </c>
      <c r="K2167" s="188"/>
      <c r="L2167" s="188"/>
      <c r="M2167" s="189" t="s">
        <v>1018</v>
      </c>
      <c r="N2167" s="190">
        <v>113.4</v>
      </c>
      <c r="O2167" s="190">
        <f t="shared" si="267"/>
        <v>123.61</v>
      </c>
      <c r="P2167" s="191">
        <f t="shared" si="268"/>
        <v>0</v>
      </c>
      <c r="Q2167" s="192">
        <f t="shared" si="269"/>
        <v>0</v>
      </c>
      <c r="R2167" s="193"/>
      <c r="S2167" s="194"/>
      <c r="T2167" s="195">
        <f t="shared" si="270"/>
        <v>0</v>
      </c>
      <c r="U2167" s="195">
        <f t="shared" si="271"/>
        <v>0</v>
      </c>
      <c r="V2167" s="195">
        <f t="shared" si="272"/>
        <v>0</v>
      </c>
      <c r="W2167" s="196" t="e">
        <f t="shared" si="273"/>
        <v>#DIV/0!</v>
      </c>
      <c r="X2167" s="197" t="e">
        <f t="shared" si="274"/>
        <v>#DIV/0!</v>
      </c>
    </row>
    <row r="2168" ht="11.4" hidden="1" customHeight="1" spans="1:24">
      <c r="A2168" s="184" t="s">
        <v>3206</v>
      </c>
      <c r="B2168" s="184" t="s">
        <v>145</v>
      </c>
      <c r="C2168" s="184" t="s">
        <v>2074</v>
      </c>
      <c r="D2168" s="185" t="s">
        <v>704</v>
      </c>
      <c r="E2168" s="186" t="s">
        <v>906</v>
      </c>
      <c r="F2168" s="186" t="s">
        <v>907</v>
      </c>
      <c r="G2168" s="186" t="s">
        <v>2075</v>
      </c>
      <c r="H2168" s="186" t="s">
        <v>2076</v>
      </c>
      <c r="I2168" s="187" t="s">
        <v>2152</v>
      </c>
      <c r="J2168" s="187" t="s">
        <v>2153</v>
      </c>
      <c r="K2168" s="188"/>
      <c r="L2168" s="188"/>
      <c r="M2168" s="189" t="s">
        <v>1018</v>
      </c>
      <c r="N2168" s="190">
        <v>152.56</v>
      </c>
      <c r="O2168" s="190">
        <f t="shared" si="267"/>
        <v>166.29</v>
      </c>
      <c r="P2168" s="191">
        <f t="shared" si="268"/>
        <v>0</v>
      </c>
      <c r="Q2168" s="192">
        <f t="shared" si="269"/>
        <v>0</v>
      </c>
      <c r="R2168" s="193"/>
      <c r="S2168" s="194"/>
      <c r="T2168" s="195">
        <f t="shared" si="270"/>
        <v>0</v>
      </c>
      <c r="U2168" s="195">
        <f t="shared" si="271"/>
        <v>0</v>
      </c>
      <c r="V2168" s="195">
        <f t="shared" si="272"/>
        <v>0</v>
      </c>
      <c r="W2168" s="196" t="e">
        <f t="shared" si="273"/>
        <v>#DIV/0!</v>
      </c>
      <c r="X2168" s="197" t="e">
        <f t="shared" si="274"/>
        <v>#DIV/0!</v>
      </c>
    </row>
    <row r="2169" ht="11.4" hidden="1" customHeight="1" spans="1:24">
      <c r="A2169" s="184" t="s">
        <v>3206</v>
      </c>
      <c r="B2169" s="184" t="s">
        <v>145</v>
      </c>
      <c r="C2169" s="184" t="s">
        <v>2074</v>
      </c>
      <c r="D2169" s="185" t="s">
        <v>704</v>
      </c>
      <c r="E2169" s="186" t="s">
        <v>906</v>
      </c>
      <c r="F2169" s="186" t="s">
        <v>907</v>
      </c>
      <c r="G2169" s="186" t="s">
        <v>2075</v>
      </c>
      <c r="H2169" s="186" t="s">
        <v>2076</v>
      </c>
      <c r="I2169" s="187" t="s">
        <v>2154</v>
      </c>
      <c r="J2169" s="187" t="s">
        <v>2155</v>
      </c>
      <c r="K2169" s="188"/>
      <c r="L2169" s="188"/>
      <c r="M2169" s="189" t="s">
        <v>1018</v>
      </c>
      <c r="N2169" s="190">
        <v>184.8</v>
      </c>
      <c r="O2169" s="190">
        <f t="shared" si="267"/>
        <v>201.43</v>
      </c>
      <c r="P2169" s="191">
        <f t="shared" si="268"/>
        <v>0</v>
      </c>
      <c r="Q2169" s="192">
        <f t="shared" si="269"/>
        <v>0</v>
      </c>
      <c r="R2169" s="193"/>
      <c r="S2169" s="194"/>
      <c r="T2169" s="195">
        <f t="shared" si="270"/>
        <v>0</v>
      </c>
      <c r="U2169" s="195">
        <f t="shared" si="271"/>
        <v>0</v>
      </c>
      <c r="V2169" s="195">
        <f t="shared" si="272"/>
        <v>0</v>
      </c>
      <c r="W2169" s="196" t="e">
        <f t="shared" si="273"/>
        <v>#DIV/0!</v>
      </c>
      <c r="X2169" s="197" t="e">
        <f t="shared" si="274"/>
        <v>#DIV/0!</v>
      </c>
    </row>
    <row r="2170" ht="11.4" hidden="1" customHeight="1" spans="1:24">
      <c r="A2170" s="184" t="s">
        <v>3206</v>
      </c>
      <c r="B2170" s="184" t="s">
        <v>145</v>
      </c>
      <c r="C2170" s="184" t="s">
        <v>2074</v>
      </c>
      <c r="D2170" s="185" t="s">
        <v>704</v>
      </c>
      <c r="E2170" s="186" t="s">
        <v>906</v>
      </c>
      <c r="F2170" s="186" t="s">
        <v>907</v>
      </c>
      <c r="G2170" s="186" t="s">
        <v>2075</v>
      </c>
      <c r="H2170" s="186" t="s">
        <v>2076</v>
      </c>
      <c r="I2170" s="187" t="s">
        <v>2156</v>
      </c>
      <c r="J2170" s="187" t="s">
        <v>2157</v>
      </c>
      <c r="K2170" s="188"/>
      <c r="L2170" s="188"/>
      <c r="M2170" s="189" t="s">
        <v>1018</v>
      </c>
      <c r="N2170" s="190">
        <v>89.25</v>
      </c>
      <c r="O2170" s="190">
        <f t="shared" si="267"/>
        <v>97.28</v>
      </c>
      <c r="P2170" s="191">
        <f t="shared" si="268"/>
        <v>0</v>
      </c>
      <c r="Q2170" s="192">
        <f t="shared" si="269"/>
        <v>0</v>
      </c>
      <c r="R2170" s="193"/>
      <c r="S2170" s="194"/>
      <c r="T2170" s="195">
        <f t="shared" si="270"/>
        <v>0</v>
      </c>
      <c r="U2170" s="195">
        <f t="shared" si="271"/>
        <v>0</v>
      </c>
      <c r="V2170" s="195">
        <f t="shared" si="272"/>
        <v>0</v>
      </c>
      <c r="W2170" s="196" t="e">
        <f t="shared" si="273"/>
        <v>#DIV/0!</v>
      </c>
      <c r="X2170" s="197" t="e">
        <f t="shared" si="274"/>
        <v>#DIV/0!</v>
      </c>
    </row>
    <row r="2171" ht="11.4" hidden="1" customHeight="1" spans="1:24">
      <c r="A2171" s="184" t="s">
        <v>3206</v>
      </c>
      <c r="B2171" s="184" t="s">
        <v>145</v>
      </c>
      <c r="C2171" s="184" t="s">
        <v>2074</v>
      </c>
      <c r="D2171" s="185" t="s">
        <v>704</v>
      </c>
      <c r="E2171" s="186" t="s">
        <v>906</v>
      </c>
      <c r="F2171" s="186" t="s">
        <v>907</v>
      </c>
      <c r="G2171" s="186" t="s">
        <v>2075</v>
      </c>
      <c r="H2171" s="186" t="s">
        <v>2076</v>
      </c>
      <c r="I2171" s="187" t="s">
        <v>2158</v>
      </c>
      <c r="J2171" s="187" t="s">
        <v>2159</v>
      </c>
      <c r="K2171" s="188"/>
      <c r="L2171" s="188"/>
      <c r="M2171" s="189" t="s">
        <v>1018</v>
      </c>
      <c r="N2171" s="190">
        <v>159.74</v>
      </c>
      <c r="O2171" s="190">
        <f t="shared" si="267"/>
        <v>174.12</v>
      </c>
      <c r="P2171" s="191">
        <f t="shared" si="268"/>
        <v>0</v>
      </c>
      <c r="Q2171" s="192">
        <f t="shared" si="269"/>
        <v>0</v>
      </c>
      <c r="R2171" s="193"/>
      <c r="S2171" s="194"/>
      <c r="T2171" s="195">
        <f t="shared" si="270"/>
        <v>0</v>
      </c>
      <c r="U2171" s="195">
        <f t="shared" si="271"/>
        <v>0</v>
      </c>
      <c r="V2171" s="195">
        <f t="shared" si="272"/>
        <v>0</v>
      </c>
      <c r="W2171" s="196" t="e">
        <f t="shared" si="273"/>
        <v>#DIV/0!</v>
      </c>
      <c r="X2171" s="197" t="e">
        <f t="shared" si="274"/>
        <v>#DIV/0!</v>
      </c>
    </row>
    <row r="2172" ht="11.4" hidden="1" customHeight="1" spans="1:24">
      <c r="A2172" s="184" t="s">
        <v>3206</v>
      </c>
      <c r="B2172" s="184" t="s">
        <v>145</v>
      </c>
      <c r="C2172" s="184" t="s">
        <v>2074</v>
      </c>
      <c r="D2172" s="185" t="s">
        <v>704</v>
      </c>
      <c r="E2172" s="186" t="s">
        <v>906</v>
      </c>
      <c r="F2172" s="186" t="s">
        <v>907</v>
      </c>
      <c r="G2172" s="186" t="s">
        <v>2075</v>
      </c>
      <c r="H2172" s="186" t="s">
        <v>2076</v>
      </c>
      <c r="I2172" s="187" t="s">
        <v>2160</v>
      </c>
      <c r="J2172" s="187" t="s">
        <v>2161</v>
      </c>
      <c r="K2172" s="188"/>
      <c r="L2172" s="188"/>
      <c r="M2172" s="189" t="s">
        <v>1018</v>
      </c>
      <c r="N2172" s="190">
        <v>346.5</v>
      </c>
      <c r="O2172" s="190">
        <f t="shared" si="267"/>
        <v>377.69</v>
      </c>
      <c r="P2172" s="191">
        <f t="shared" si="268"/>
        <v>0</v>
      </c>
      <c r="Q2172" s="192">
        <f t="shared" si="269"/>
        <v>0</v>
      </c>
      <c r="R2172" s="193"/>
      <c r="S2172" s="194"/>
      <c r="T2172" s="195">
        <f t="shared" si="270"/>
        <v>0</v>
      </c>
      <c r="U2172" s="195">
        <f t="shared" si="271"/>
        <v>0</v>
      </c>
      <c r="V2172" s="195">
        <f t="shared" si="272"/>
        <v>0</v>
      </c>
      <c r="W2172" s="196" t="e">
        <f t="shared" si="273"/>
        <v>#DIV/0!</v>
      </c>
      <c r="X2172" s="197" t="e">
        <f t="shared" si="274"/>
        <v>#DIV/0!</v>
      </c>
    </row>
    <row r="2173" ht="11.4" hidden="1" customHeight="1" spans="1:24">
      <c r="A2173" s="184" t="s">
        <v>3206</v>
      </c>
      <c r="B2173" s="184" t="s">
        <v>145</v>
      </c>
      <c r="C2173" s="184" t="s">
        <v>2074</v>
      </c>
      <c r="D2173" s="185" t="s">
        <v>704</v>
      </c>
      <c r="E2173" s="186" t="s">
        <v>906</v>
      </c>
      <c r="F2173" s="186" t="s">
        <v>907</v>
      </c>
      <c r="G2173" s="186" t="s">
        <v>2075</v>
      </c>
      <c r="H2173" s="186" t="s">
        <v>2076</v>
      </c>
      <c r="I2173" s="187" t="s">
        <v>2162</v>
      </c>
      <c r="J2173" s="187" t="s">
        <v>2163</v>
      </c>
      <c r="K2173" s="188"/>
      <c r="L2173" s="188"/>
      <c r="M2173" s="189" t="s">
        <v>1018</v>
      </c>
      <c r="N2173" s="190">
        <v>181.65</v>
      </c>
      <c r="O2173" s="190">
        <f t="shared" si="267"/>
        <v>198</v>
      </c>
      <c r="P2173" s="191">
        <f t="shared" si="268"/>
        <v>0</v>
      </c>
      <c r="Q2173" s="192">
        <f t="shared" si="269"/>
        <v>0</v>
      </c>
      <c r="R2173" s="193"/>
      <c r="S2173" s="194"/>
      <c r="T2173" s="195">
        <f t="shared" si="270"/>
        <v>0</v>
      </c>
      <c r="U2173" s="195">
        <f t="shared" si="271"/>
        <v>0</v>
      </c>
      <c r="V2173" s="195">
        <f t="shared" si="272"/>
        <v>0</v>
      </c>
      <c r="W2173" s="196" t="e">
        <f t="shared" si="273"/>
        <v>#DIV/0!</v>
      </c>
      <c r="X2173" s="197" t="e">
        <f t="shared" si="274"/>
        <v>#DIV/0!</v>
      </c>
    </row>
    <row r="2174" ht="11.4" hidden="1" customHeight="1" spans="1:24">
      <c r="A2174" s="184" t="s">
        <v>3206</v>
      </c>
      <c r="B2174" s="184" t="s">
        <v>145</v>
      </c>
      <c r="C2174" s="184" t="s">
        <v>2074</v>
      </c>
      <c r="D2174" s="185" t="s">
        <v>704</v>
      </c>
      <c r="E2174" s="186" t="s">
        <v>906</v>
      </c>
      <c r="F2174" s="186" t="s">
        <v>907</v>
      </c>
      <c r="G2174" s="186" t="s">
        <v>2075</v>
      </c>
      <c r="H2174" s="186" t="s">
        <v>2076</v>
      </c>
      <c r="I2174" s="187" t="s">
        <v>2164</v>
      </c>
      <c r="J2174" s="187" t="s">
        <v>2165</v>
      </c>
      <c r="K2174" s="188"/>
      <c r="L2174" s="188"/>
      <c r="M2174" s="189" t="s">
        <v>1018</v>
      </c>
      <c r="N2174" s="190">
        <v>149.1</v>
      </c>
      <c r="O2174" s="190">
        <f t="shared" si="267"/>
        <v>162.52</v>
      </c>
      <c r="P2174" s="191">
        <f t="shared" si="268"/>
        <v>0</v>
      </c>
      <c r="Q2174" s="192">
        <f t="shared" si="269"/>
        <v>0</v>
      </c>
      <c r="R2174" s="193"/>
      <c r="S2174" s="194"/>
      <c r="T2174" s="195">
        <f t="shared" si="270"/>
        <v>0</v>
      </c>
      <c r="U2174" s="195">
        <f t="shared" si="271"/>
        <v>0</v>
      </c>
      <c r="V2174" s="195">
        <f t="shared" si="272"/>
        <v>0</v>
      </c>
      <c r="W2174" s="196" t="e">
        <f t="shared" si="273"/>
        <v>#DIV/0!</v>
      </c>
      <c r="X2174" s="197" t="e">
        <f t="shared" si="274"/>
        <v>#DIV/0!</v>
      </c>
    </row>
    <row r="2175" ht="11.4" hidden="1" customHeight="1" spans="1:24">
      <c r="A2175" s="184" t="s">
        <v>3206</v>
      </c>
      <c r="B2175" s="184" t="s">
        <v>145</v>
      </c>
      <c r="C2175" s="184" t="s">
        <v>2074</v>
      </c>
      <c r="D2175" s="185" t="s">
        <v>704</v>
      </c>
      <c r="E2175" s="186" t="s">
        <v>906</v>
      </c>
      <c r="F2175" s="186" t="s">
        <v>907</v>
      </c>
      <c r="G2175" s="186" t="s">
        <v>2075</v>
      </c>
      <c r="H2175" s="186" t="s">
        <v>2076</v>
      </c>
      <c r="I2175" s="187" t="s">
        <v>2166</v>
      </c>
      <c r="J2175" s="187" t="s">
        <v>2167</v>
      </c>
      <c r="K2175" s="188"/>
      <c r="L2175" s="188"/>
      <c r="M2175" s="189" t="s">
        <v>1018</v>
      </c>
      <c r="N2175" s="190">
        <v>113.4</v>
      </c>
      <c r="O2175" s="190">
        <f t="shared" si="267"/>
        <v>123.61</v>
      </c>
      <c r="P2175" s="191">
        <f t="shared" si="268"/>
        <v>0</v>
      </c>
      <c r="Q2175" s="192">
        <f t="shared" si="269"/>
        <v>0</v>
      </c>
      <c r="R2175" s="193"/>
      <c r="S2175" s="194"/>
      <c r="T2175" s="195">
        <f t="shared" si="270"/>
        <v>0</v>
      </c>
      <c r="U2175" s="195">
        <f t="shared" si="271"/>
        <v>0</v>
      </c>
      <c r="V2175" s="195">
        <f t="shared" si="272"/>
        <v>0</v>
      </c>
      <c r="W2175" s="196" t="e">
        <f t="shared" si="273"/>
        <v>#DIV/0!</v>
      </c>
      <c r="X2175" s="197" t="e">
        <f t="shared" si="274"/>
        <v>#DIV/0!</v>
      </c>
    </row>
    <row r="2176" ht="11.4" hidden="1" customHeight="1" spans="1:24">
      <c r="A2176" s="184" t="s">
        <v>3206</v>
      </c>
      <c r="B2176" s="184" t="s">
        <v>145</v>
      </c>
      <c r="C2176" s="184" t="s">
        <v>2074</v>
      </c>
      <c r="D2176" s="185" t="s">
        <v>704</v>
      </c>
      <c r="E2176" s="186" t="s">
        <v>906</v>
      </c>
      <c r="F2176" s="186" t="s">
        <v>907</v>
      </c>
      <c r="G2176" s="186" t="s">
        <v>2075</v>
      </c>
      <c r="H2176" s="186" t="s">
        <v>2076</v>
      </c>
      <c r="I2176" s="187" t="s">
        <v>2168</v>
      </c>
      <c r="J2176" s="187" t="s">
        <v>2169</v>
      </c>
      <c r="K2176" s="188"/>
      <c r="L2176" s="188"/>
      <c r="M2176" s="189" t="s">
        <v>1018</v>
      </c>
      <c r="N2176" s="190">
        <v>483</v>
      </c>
      <c r="O2176" s="190">
        <f t="shared" si="267"/>
        <v>526.47</v>
      </c>
      <c r="P2176" s="191">
        <f t="shared" si="268"/>
        <v>0</v>
      </c>
      <c r="Q2176" s="192">
        <f t="shared" si="269"/>
        <v>0</v>
      </c>
      <c r="R2176" s="193"/>
      <c r="S2176" s="194"/>
      <c r="T2176" s="195">
        <f t="shared" si="270"/>
        <v>0</v>
      </c>
      <c r="U2176" s="195">
        <f t="shared" si="271"/>
        <v>0</v>
      </c>
      <c r="V2176" s="195">
        <f t="shared" si="272"/>
        <v>0</v>
      </c>
      <c r="W2176" s="196" t="e">
        <f t="shared" si="273"/>
        <v>#DIV/0!</v>
      </c>
      <c r="X2176" s="197" t="e">
        <f t="shared" si="274"/>
        <v>#DIV/0!</v>
      </c>
    </row>
    <row r="2177" ht="11.4" hidden="1" customHeight="1" spans="1:24">
      <c r="A2177" s="184" t="s">
        <v>3206</v>
      </c>
      <c r="B2177" s="184" t="s">
        <v>145</v>
      </c>
      <c r="C2177" s="184" t="s">
        <v>2074</v>
      </c>
      <c r="D2177" s="185" t="s">
        <v>704</v>
      </c>
      <c r="E2177" s="186" t="s">
        <v>906</v>
      </c>
      <c r="F2177" s="186" t="s">
        <v>907</v>
      </c>
      <c r="G2177" s="186" t="s">
        <v>2075</v>
      </c>
      <c r="H2177" s="186" t="s">
        <v>2076</v>
      </c>
      <c r="I2177" s="187" t="s">
        <v>2170</v>
      </c>
      <c r="J2177" s="187" t="s">
        <v>2171</v>
      </c>
      <c r="K2177" s="188"/>
      <c r="L2177" s="188"/>
      <c r="M2177" s="189" t="s">
        <v>1018</v>
      </c>
      <c r="N2177" s="190">
        <v>367.5</v>
      </c>
      <c r="O2177" s="190">
        <f t="shared" si="267"/>
        <v>400.58</v>
      </c>
      <c r="P2177" s="191">
        <f t="shared" si="268"/>
        <v>0</v>
      </c>
      <c r="Q2177" s="192">
        <f t="shared" si="269"/>
        <v>0</v>
      </c>
      <c r="R2177" s="193"/>
      <c r="S2177" s="194"/>
      <c r="T2177" s="195">
        <f t="shared" si="270"/>
        <v>0</v>
      </c>
      <c r="U2177" s="195">
        <f t="shared" si="271"/>
        <v>0</v>
      </c>
      <c r="V2177" s="195">
        <f t="shared" si="272"/>
        <v>0</v>
      </c>
      <c r="W2177" s="196" t="e">
        <f t="shared" si="273"/>
        <v>#DIV/0!</v>
      </c>
      <c r="X2177" s="197" t="e">
        <f t="shared" si="274"/>
        <v>#DIV/0!</v>
      </c>
    </row>
    <row r="2178" ht="11.4" hidden="1" customHeight="1" spans="1:24">
      <c r="A2178" s="184" t="s">
        <v>3206</v>
      </c>
      <c r="B2178" s="184" t="s">
        <v>145</v>
      </c>
      <c r="C2178" s="184" t="s">
        <v>2074</v>
      </c>
      <c r="D2178" s="185" t="s">
        <v>704</v>
      </c>
      <c r="E2178" s="186" t="s">
        <v>906</v>
      </c>
      <c r="F2178" s="186" t="s">
        <v>907</v>
      </c>
      <c r="G2178" s="186" t="s">
        <v>2075</v>
      </c>
      <c r="H2178" s="186" t="s">
        <v>2076</v>
      </c>
      <c r="I2178" s="187" t="s">
        <v>2172</v>
      </c>
      <c r="J2178" s="187" t="s">
        <v>2173</v>
      </c>
      <c r="K2178" s="188"/>
      <c r="L2178" s="188"/>
      <c r="M2178" s="189" t="s">
        <v>807</v>
      </c>
      <c r="N2178" s="190">
        <v>52.5</v>
      </c>
      <c r="O2178" s="190">
        <f t="shared" si="267"/>
        <v>57.23</v>
      </c>
      <c r="P2178" s="191">
        <f t="shared" si="268"/>
        <v>0</v>
      </c>
      <c r="Q2178" s="192">
        <f t="shared" si="269"/>
        <v>0</v>
      </c>
      <c r="R2178" s="193"/>
      <c r="S2178" s="194"/>
      <c r="T2178" s="195">
        <f t="shared" si="270"/>
        <v>0</v>
      </c>
      <c r="U2178" s="195">
        <f t="shared" si="271"/>
        <v>0</v>
      </c>
      <c r="V2178" s="195">
        <f t="shared" si="272"/>
        <v>0</v>
      </c>
      <c r="W2178" s="196" t="e">
        <f t="shared" si="273"/>
        <v>#DIV/0!</v>
      </c>
      <c r="X2178" s="197" t="e">
        <f t="shared" si="274"/>
        <v>#DIV/0!</v>
      </c>
    </row>
    <row r="2179" ht="11.4" hidden="1" customHeight="1" spans="1:24">
      <c r="A2179" s="184" t="s">
        <v>3206</v>
      </c>
      <c r="B2179" s="184" t="s">
        <v>145</v>
      </c>
      <c r="C2179" s="184" t="s">
        <v>2074</v>
      </c>
      <c r="D2179" s="185" t="s">
        <v>704</v>
      </c>
      <c r="E2179" s="186" t="s">
        <v>906</v>
      </c>
      <c r="F2179" s="186" t="s">
        <v>907</v>
      </c>
      <c r="G2179" s="186" t="s">
        <v>2075</v>
      </c>
      <c r="H2179" s="186" t="s">
        <v>2076</v>
      </c>
      <c r="I2179" s="187" t="s">
        <v>2174</v>
      </c>
      <c r="J2179" s="187" t="s">
        <v>2175</v>
      </c>
      <c r="K2179" s="188"/>
      <c r="L2179" s="188"/>
      <c r="M2179" s="189" t="s">
        <v>1018</v>
      </c>
      <c r="N2179" s="190">
        <v>116.55</v>
      </c>
      <c r="O2179" s="190">
        <f t="shared" si="267"/>
        <v>127.04</v>
      </c>
      <c r="P2179" s="191">
        <f t="shared" si="268"/>
        <v>0</v>
      </c>
      <c r="Q2179" s="192">
        <f t="shared" si="269"/>
        <v>0</v>
      </c>
      <c r="R2179" s="193"/>
      <c r="S2179" s="194"/>
      <c r="T2179" s="195">
        <f t="shared" si="270"/>
        <v>0</v>
      </c>
      <c r="U2179" s="195">
        <f t="shared" si="271"/>
        <v>0</v>
      </c>
      <c r="V2179" s="195">
        <f t="shared" si="272"/>
        <v>0</v>
      </c>
      <c r="W2179" s="196" t="e">
        <f t="shared" si="273"/>
        <v>#DIV/0!</v>
      </c>
      <c r="X2179" s="197" t="e">
        <f t="shared" si="274"/>
        <v>#DIV/0!</v>
      </c>
    </row>
    <row r="2180" ht="11.4" hidden="1" customHeight="1" spans="1:24">
      <c r="A2180" s="184" t="s">
        <v>3206</v>
      </c>
      <c r="B2180" s="184" t="s">
        <v>145</v>
      </c>
      <c r="C2180" s="184" t="s">
        <v>2074</v>
      </c>
      <c r="D2180" s="185" t="s">
        <v>704</v>
      </c>
      <c r="E2180" s="186" t="s">
        <v>906</v>
      </c>
      <c r="F2180" s="186" t="s">
        <v>907</v>
      </c>
      <c r="G2180" s="186" t="s">
        <v>2075</v>
      </c>
      <c r="H2180" s="186" t="s">
        <v>2076</v>
      </c>
      <c r="I2180" s="187" t="s">
        <v>2176</v>
      </c>
      <c r="J2180" s="187" t="s">
        <v>2177</v>
      </c>
      <c r="K2180" s="188"/>
      <c r="L2180" s="188"/>
      <c r="M2180" s="189" t="s">
        <v>1018</v>
      </c>
      <c r="N2180" s="190">
        <v>69.3</v>
      </c>
      <c r="O2180" s="190">
        <f t="shared" si="267"/>
        <v>75.54</v>
      </c>
      <c r="P2180" s="191">
        <f t="shared" si="268"/>
        <v>0</v>
      </c>
      <c r="Q2180" s="192">
        <f t="shared" si="269"/>
        <v>0</v>
      </c>
      <c r="R2180" s="193"/>
      <c r="S2180" s="194"/>
      <c r="T2180" s="195">
        <f t="shared" si="270"/>
        <v>0</v>
      </c>
      <c r="U2180" s="195">
        <f t="shared" si="271"/>
        <v>0</v>
      </c>
      <c r="V2180" s="195">
        <f t="shared" si="272"/>
        <v>0</v>
      </c>
      <c r="W2180" s="196" t="e">
        <f t="shared" si="273"/>
        <v>#DIV/0!</v>
      </c>
      <c r="X2180" s="197" t="e">
        <f t="shared" si="274"/>
        <v>#DIV/0!</v>
      </c>
    </row>
    <row r="2181" ht="11.4" hidden="1" customHeight="1" spans="1:24">
      <c r="A2181" s="184" t="s">
        <v>3206</v>
      </c>
      <c r="B2181" s="184" t="s">
        <v>145</v>
      </c>
      <c r="C2181" s="184" t="s">
        <v>2074</v>
      </c>
      <c r="D2181" s="185" t="s">
        <v>704</v>
      </c>
      <c r="E2181" s="186" t="s">
        <v>906</v>
      </c>
      <c r="F2181" s="186" t="s">
        <v>907</v>
      </c>
      <c r="G2181" s="186" t="s">
        <v>2075</v>
      </c>
      <c r="H2181" s="186" t="s">
        <v>2076</v>
      </c>
      <c r="I2181" s="187" t="s">
        <v>2178</v>
      </c>
      <c r="J2181" s="187" t="s">
        <v>2179</v>
      </c>
      <c r="K2181" s="188"/>
      <c r="L2181" s="188"/>
      <c r="M2181" s="189" t="s">
        <v>1018</v>
      </c>
      <c r="N2181" s="190">
        <v>34.65</v>
      </c>
      <c r="O2181" s="190">
        <f t="shared" si="267"/>
        <v>37.77</v>
      </c>
      <c r="P2181" s="191">
        <f t="shared" si="268"/>
        <v>0</v>
      </c>
      <c r="Q2181" s="192">
        <f t="shared" si="269"/>
        <v>0</v>
      </c>
      <c r="R2181" s="193"/>
      <c r="S2181" s="194"/>
      <c r="T2181" s="195">
        <f t="shared" si="270"/>
        <v>0</v>
      </c>
      <c r="U2181" s="195">
        <f t="shared" si="271"/>
        <v>0</v>
      </c>
      <c r="V2181" s="195">
        <f t="shared" si="272"/>
        <v>0</v>
      </c>
      <c r="W2181" s="196" t="e">
        <f t="shared" si="273"/>
        <v>#DIV/0!</v>
      </c>
      <c r="X2181" s="197" t="e">
        <f t="shared" si="274"/>
        <v>#DIV/0!</v>
      </c>
    </row>
    <row r="2182" ht="11.4" hidden="1" customHeight="1" spans="1:24">
      <c r="A2182" s="184" t="s">
        <v>3206</v>
      </c>
      <c r="B2182" s="184" t="s">
        <v>145</v>
      </c>
      <c r="C2182" s="184" t="s">
        <v>2074</v>
      </c>
      <c r="D2182" s="185" t="s">
        <v>704</v>
      </c>
      <c r="E2182" s="186" t="s">
        <v>906</v>
      </c>
      <c r="F2182" s="186" t="s">
        <v>907</v>
      </c>
      <c r="G2182" s="186" t="s">
        <v>2075</v>
      </c>
      <c r="H2182" s="186" t="s">
        <v>2076</v>
      </c>
      <c r="I2182" s="187" t="s">
        <v>2180</v>
      </c>
      <c r="J2182" s="187" t="s">
        <v>2181</v>
      </c>
      <c r="K2182" s="188"/>
      <c r="L2182" s="188"/>
      <c r="M2182" s="189" t="s">
        <v>1018</v>
      </c>
      <c r="N2182" s="190">
        <v>10.5</v>
      </c>
      <c r="O2182" s="190">
        <f t="shared" si="267"/>
        <v>11.45</v>
      </c>
      <c r="P2182" s="191">
        <f t="shared" si="268"/>
        <v>0</v>
      </c>
      <c r="Q2182" s="192">
        <f t="shared" si="269"/>
        <v>0</v>
      </c>
      <c r="R2182" s="193"/>
      <c r="S2182" s="194"/>
      <c r="T2182" s="195">
        <f t="shared" si="270"/>
        <v>0</v>
      </c>
      <c r="U2182" s="195">
        <f t="shared" si="271"/>
        <v>0</v>
      </c>
      <c r="V2182" s="195">
        <f t="shared" si="272"/>
        <v>0</v>
      </c>
      <c r="W2182" s="196" t="e">
        <f t="shared" si="273"/>
        <v>#DIV/0!</v>
      </c>
      <c r="X2182" s="197" t="e">
        <f t="shared" si="274"/>
        <v>#DIV/0!</v>
      </c>
    </row>
    <row r="2183" ht="11.4" hidden="1" customHeight="1" spans="1:24">
      <c r="A2183" s="184" t="s">
        <v>3206</v>
      </c>
      <c r="B2183" s="184" t="s">
        <v>145</v>
      </c>
      <c r="C2183" s="184" t="s">
        <v>2074</v>
      </c>
      <c r="D2183" s="185" t="s">
        <v>704</v>
      </c>
      <c r="E2183" s="186" t="s">
        <v>906</v>
      </c>
      <c r="F2183" s="186" t="s">
        <v>907</v>
      </c>
      <c r="G2183" s="186" t="s">
        <v>2075</v>
      </c>
      <c r="H2183" s="186" t="s">
        <v>2076</v>
      </c>
      <c r="I2183" s="187" t="s">
        <v>2182</v>
      </c>
      <c r="J2183" s="187" t="s">
        <v>2183</v>
      </c>
      <c r="K2183" s="188"/>
      <c r="L2183" s="188"/>
      <c r="M2183" s="189" t="s">
        <v>1018</v>
      </c>
      <c r="N2183" s="190">
        <v>54.6</v>
      </c>
      <c r="O2183" s="190">
        <f t="shared" si="267"/>
        <v>59.51</v>
      </c>
      <c r="P2183" s="191">
        <f t="shared" si="268"/>
        <v>0</v>
      </c>
      <c r="Q2183" s="192">
        <f t="shared" si="269"/>
        <v>0</v>
      </c>
      <c r="R2183" s="193"/>
      <c r="S2183" s="194"/>
      <c r="T2183" s="195">
        <f t="shared" si="270"/>
        <v>0</v>
      </c>
      <c r="U2183" s="195">
        <f t="shared" si="271"/>
        <v>0</v>
      </c>
      <c r="V2183" s="195">
        <f t="shared" si="272"/>
        <v>0</v>
      </c>
      <c r="W2183" s="196" t="e">
        <f t="shared" si="273"/>
        <v>#DIV/0!</v>
      </c>
      <c r="X2183" s="197" t="e">
        <f t="shared" si="274"/>
        <v>#DIV/0!</v>
      </c>
    </row>
    <row r="2184" ht="11.4" hidden="1" customHeight="1" spans="1:24">
      <c r="A2184" s="184" t="s">
        <v>3206</v>
      </c>
      <c r="B2184" s="184" t="s">
        <v>145</v>
      </c>
      <c r="C2184" s="184" t="s">
        <v>2074</v>
      </c>
      <c r="D2184" s="185" t="s">
        <v>704</v>
      </c>
      <c r="E2184" s="186" t="s">
        <v>906</v>
      </c>
      <c r="F2184" s="186" t="s">
        <v>907</v>
      </c>
      <c r="G2184" s="186" t="s">
        <v>2075</v>
      </c>
      <c r="H2184" s="186" t="s">
        <v>2076</v>
      </c>
      <c r="I2184" s="187" t="s">
        <v>2184</v>
      </c>
      <c r="J2184" s="187" t="s">
        <v>2185</v>
      </c>
      <c r="K2184" s="188"/>
      <c r="L2184" s="188"/>
      <c r="M2184" s="189" t="s">
        <v>1018</v>
      </c>
      <c r="N2184" s="190">
        <v>105</v>
      </c>
      <c r="O2184" s="190">
        <f t="shared" si="267"/>
        <v>114.45</v>
      </c>
      <c r="P2184" s="191">
        <f t="shared" si="268"/>
        <v>0</v>
      </c>
      <c r="Q2184" s="192">
        <f t="shared" si="269"/>
        <v>0</v>
      </c>
      <c r="R2184" s="193"/>
      <c r="S2184" s="194"/>
      <c r="T2184" s="195">
        <f t="shared" si="270"/>
        <v>0</v>
      </c>
      <c r="U2184" s="195">
        <f t="shared" si="271"/>
        <v>0</v>
      </c>
      <c r="V2184" s="195">
        <f t="shared" si="272"/>
        <v>0</v>
      </c>
      <c r="W2184" s="196" t="e">
        <f t="shared" si="273"/>
        <v>#DIV/0!</v>
      </c>
      <c r="X2184" s="197" t="e">
        <f t="shared" si="274"/>
        <v>#DIV/0!</v>
      </c>
    </row>
    <row r="2185" ht="11.4" hidden="1" customHeight="1" spans="1:24">
      <c r="A2185" s="184" t="s">
        <v>3206</v>
      </c>
      <c r="B2185" s="184" t="s">
        <v>145</v>
      </c>
      <c r="C2185" s="184" t="s">
        <v>2074</v>
      </c>
      <c r="D2185" s="185" t="s">
        <v>704</v>
      </c>
      <c r="E2185" s="186" t="s">
        <v>906</v>
      </c>
      <c r="F2185" s="186" t="s">
        <v>907</v>
      </c>
      <c r="G2185" s="186" t="s">
        <v>2075</v>
      </c>
      <c r="H2185" s="186" t="s">
        <v>2076</v>
      </c>
      <c r="I2185" s="187" t="s">
        <v>2186</v>
      </c>
      <c r="J2185" s="187" t="s">
        <v>2187</v>
      </c>
      <c r="K2185" s="188"/>
      <c r="L2185" s="188"/>
      <c r="M2185" s="189" t="s">
        <v>1018</v>
      </c>
      <c r="N2185" s="190">
        <v>141.75</v>
      </c>
      <c r="O2185" s="190">
        <f t="shared" si="267"/>
        <v>154.51</v>
      </c>
      <c r="P2185" s="191">
        <f t="shared" si="268"/>
        <v>0</v>
      </c>
      <c r="Q2185" s="192">
        <f t="shared" si="269"/>
        <v>0</v>
      </c>
      <c r="R2185" s="193"/>
      <c r="S2185" s="194"/>
      <c r="T2185" s="195">
        <f t="shared" si="270"/>
        <v>0</v>
      </c>
      <c r="U2185" s="195">
        <f t="shared" si="271"/>
        <v>0</v>
      </c>
      <c r="V2185" s="195">
        <f t="shared" si="272"/>
        <v>0</v>
      </c>
      <c r="W2185" s="196" t="e">
        <f t="shared" si="273"/>
        <v>#DIV/0!</v>
      </c>
      <c r="X2185" s="197" t="e">
        <f t="shared" si="274"/>
        <v>#DIV/0!</v>
      </c>
    </row>
    <row r="2186" ht="11.4" hidden="1" customHeight="1" spans="1:24">
      <c r="A2186" s="184" t="s">
        <v>3206</v>
      </c>
      <c r="B2186" s="184" t="s">
        <v>145</v>
      </c>
      <c r="C2186" s="184" t="s">
        <v>2074</v>
      </c>
      <c r="D2186" s="185" t="s">
        <v>704</v>
      </c>
      <c r="E2186" s="186" t="s">
        <v>906</v>
      </c>
      <c r="F2186" s="186" t="s">
        <v>907</v>
      </c>
      <c r="G2186" s="186" t="s">
        <v>2075</v>
      </c>
      <c r="H2186" s="186" t="s">
        <v>2076</v>
      </c>
      <c r="I2186" s="187" t="s">
        <v>2188</v>
      </c>
      <c r="J2186" s="187" t="s">
        <v>2189</v>
      </c>
      <c r="K2186" s="188"/>
      <c r="L2186" s="188"/>
      <c r="M2186" s="189" t="s">
        <v>1018</v>
      </c>
      <c r="N2186" s="190">
        <v>141.75</v>
      </c>
      <c r="O2186" s="190">
        <f t="shared" si="267"/>
        <v>154.51</v>
      </c>
      <c r="P2186" s="191">
        <f t="shared" si="268"/>
        <v>0</v>
      </c>
      <c r="Q2186" s="192">
        <f t="shared" si="269"/>
        <v>0</v>
      </c>
      <c r="R2186" s="193"/>
      <c r="S2186" s="194"/>
      <c r="T2186" s="195">
        <f t="shared" si="270"/>
        <v>0</v>
      </c>
      <c r="U2186" s="195">
        <f t="shared" si="271"/>
        <v>0</v>
      </c>
      <c r="V2186" s="195">
        <f t="shared" si="272"/>
        <v>0</v>
      </c>
      <c r="W2186" s="196" t="e">
        <f t="shared" si="273"/>
        <v>#DIV/0!</v>
      </c>
      <c r="X2186" s="197" t="e">
        <f t="shared" si="274"/>
        <v>#DIV/0!</v>
      </c>
    </row>
    <row r="2187" ht="11.4" hidden="1" customHeight="1" spans="1:24">
      <c r="A2187" s="184" t="s">
        <v>3206</v>
      </c>
      <c r="B2187" s="184" t="s">
        <v>145</v>
      </c>
      <c r="C2187" s="184" t="s">
        <v>2074</v>
      </c>
      <c r="D2187" s="185" t="s">
        <v>704</v>
      </c>
      <c r="E2187" s="186" t="s">
        <v>906</v>
      </c>
      <c r="F2187" s="186" t="s">
        <v>907</v>
      </c>
      <c r="G2187" s="186" t="s">
        <v>2075</v>
      </c>
      <c r="H2187" s="186" t="s">
        <v>2076</v>
      </c>
      <c r="I2187" s="187" t="s">
        <v>2190</v>
      </c>
      <c r="J2187" s="187" t="s">
        <v>2191</v>
      </c>
      <c r="K2187" s="188"/>
      <c r="L2187" s="188"/>
      <c r="M2187" s="189" t="s">
        <v>1018</v>
      </c>
      <c r="N2187" s="190">
        <v>97.65</v>
      </c>
      <c r="O2187" s="190">
        <f t="shared" si="267"/>
        <v>106.44</v>
      </c>
      <c r="P2187" s="191">
        <f t="shared" si="268"/>
        <v>0</v>
      </c>
      <c r="Q2187" s="192">
        <f t="shared" si="269"/>
        <v>0</v>
      </c>
      <c r="R2187" s="193"/>
      <c r="S2187" s="194"/>
      <c r="T2187" s="195">
        <f t="shared" si="270"/>
        <v>0</v>
      </c>
      <c r="U2187" s="195">
        <f t="shared" si="271"/>
        <v>0</v>
      </c>
      <c r="V2187" s="195">
        <f t="shared" si="272"/>
        <v>0</v>
      </c>
      <c r="W2187" s="196" t="e">
        <f t="shared" si="273"/>
        <v>#DIV/0!</v>
      </c>
      <c r="X2187" s="197" t="e">
        <f t="shared" si="274"/>
        <v>#DIV/0!</v>
      </c>
    </row>
    <row r="2188" ht="11.4" hidden="1" customHeight="1" spans="1:24">
      <c r="A2188" s="184" t="s">
        <v>3206</v>
      </c>
      <c r="B2188" s="184" t="s">
        <v>145</v>
      </c>
      <c r="C2188" s="184" t="s">
        <v>2074</v>
      </c>
      <c r="D2188" s="185" t="s">
        <v>704</v>
      </c>
      <c r="E2188" s="186" t="s">
        <v>906</v>
      </c>
      <c r="F2188" s="186" t="s">
        <v>907</v>
      </c>
      <c r="G2188" s="186" t="s">
        <v>2075</v>
      </c>
      <c r="H2188" s="186" t="s">
        <v>2076</v>
      </c>
      <c r="I2188" s="187" t="s">
        <v>2192</v>
      </c>
      <c r="J2188" s="187" t="s">
        <v>2193</v>
      </c>
      <c r="K2188" s="188"/>
      <c r="L2188" s="188"/>
      <c r="M2188" s="189" t="s">
        <v>807</v>
      </c>
      <c r="N2188" s="190">
        <v>59.85</v>
      </c>
      <c r="O2188" s="190">
        <f t="shared" si="267"/>
        <v>65.24</v>
      </c>
      <c r="P2188" s="191">
        <f t="shared" si="268"/>
        <v>0</v>
      </c>
      <c r="Q2188" s="192">
        <f t="shared" si="269"/>
        <v>0</v>
      </c>
      <c r="R2188" s="193"/>
      <c r="S2188" s="194"/>
      <c r="T2188" s="195">
        <f t="shared" si="270"/>
        <v>0</v>
      </c>
      <c r="U2188" s="195">
        <f t="shared" si="271"/>
        <v>0</v>
      </c>
      <c r="V2188" s="195">
        <f t="shared" si="272"/>
        <v>0</v>
      </c>
      <c r="W2188" s="196" t="e">
        <f t="shared" si="273"/>
        <v>#DIV/0!</v>
      </c>
      <c r="X2188" s="197" t="e">
        <f t="shared" si="274"/>
        <v>#DIV/0!</v>
      </c>
    </row>
    <row r="2189" ht="11.4" hidden="1" customHeight="1" spans="1:24">
      <c r="A2189" s="184" t="s">
        <v>3206</v>
      </c>
      <c r="B2189" s="184" t="s">
        <v>145</v>
      </c>
      <c r="C2189" s="184" t="s">
        <v>2074</v>
      </c>
      <c r="D2189" s="185" t="s">
        <v>704</v>
      </c>
      <c r="E2189" s="186" t="s">
        <v>906</v>
      </c>
      <c r="F2189" s="186" t="s">
        <v>907</v>
      </c>
      <c r="G2189" s="186" t="s">
        <v>2139</v>
      </c>
      <c r="H2189" s="186" t="s">
        <v>2076</v>
      </c>
      <c r="I2189" s="187" t="s">
        <v>2194</v>
      </c>
      <c r="J2189" s="187" t="s">
        <v>2195</v>
      </c>
      <c r="K2189" s="188"/>
      <c r="L2189" s="188"/>
      <c r="M2189" s="189" t="s">
        <v>1018</v>
      </c>
      <c r="N2189" s="190">
        <v>52.5</v>
      </c>
      <c r="O2189" s="190">
        <f t="shared" ref="O2189:O2252" si="275">ROUND(N2189*(1+$F$10),2)</f>
        <v>57.23</v>
      </c>
      <c r="P2189" s="191">
        <f t="shared" ref="P2189:P2252" si="276">ROUND(K2189*N2189,2)</f>
        <v>0</v>
      </c>
      <c r="Q2189" s="192">
        <f t="shared" si="269"/>
        <v>0</v>
      </c>
      <c r="R2189" s="193"/>
      <c r="S2189" s="194"/>
      <c r="T2189" s="195">
        <f t="shared" si="270"/>
        <v>0</v>
      </c>
      <c r="U2189" s="195">
        <f t="shared" si="271"/>
        <v>0</v>
      </c>
      <c r="V2189" s="195">
        <f t="shared" si="272"/>
        <v>0</v>
      </c>
      <c r="W2189" s="196" t="e">
        <f t="shared" si="273"/>
        <v>#DIV/0!</v>
      </c>
      <c r="X2189" s="197" t="e">
        <f t="shared" si="274"/>
        <v>#DIV/0!</v>
      </c>
    </row>
    <row r="2190" ht="11.4" hidden="1" customHeight="1" spans="1:24">
      <c r="A2190" s="184" t="s">
        <v>3206</v>
      </c>
      <c r="B2190" s="184" t="s">
        <v>145</v>
      </c>
      <c r="C2190" s="184" t="s">
        <v>2074</v>
      </c>
      <c r="D2190" s="185" t="s">
        <v>704</v>
      </c>
      <c r="E2190" s="186" t="s">
        <v>906</v>
      </c>
      <c r="F2190" s="186" t="s">
        <v>907</v>
      </c>
      <c r="G2190" s="186" t="s">
        <v>2075</v>
      </c>
      <c r="H2190" s="186" t="s">
        <v>2076</v>
      </c>
      <c r="I2190" s="187" t="s">
        <v>2196</v>
      </c>
      <c r="J2190" s="187" t="s">
        <v>2197</v>
      </c>
      <c r="K2190" s="188"/>
      <c r="L2190" s="188"/>
      <c r="M2190" s="189" t="s">
        <v>1018</v>
      </c>
      <c r="N2190" s="190">
        <v>68.25</v>
      </c>
      <c r="O2190" s="190">
        <f t="shared" si="275"/>
        <v>74.39</v>
      </c>
      <c r="P2190" s="191">
        <f t="shared" si="276"/>
        <v>0</v>
      </c>
      <c r="Q2190" s="192">
        <f t="shared" ref="Q2190:Q2253" si="277">ROUND(L2190*N2190,2)</f>
        <v>0</v>
      </c>
      <c r="R2190" s="193"/>
      <c r="S2190" s="194"/>
      <c r="T2190" s="195">
        <f t="shared" ref="T2190:T2253" si="278">K2190-L2190</f>
        <v>0</v>
      </c>
      <c r="U2190" s="195">
        <f t="shared" ref="U2190:U2253" si="279">P2190-Q2190</f>
        <v>0</v>
      </c>
      <c r="V2190" s="195">
        <f t="shared" ref="V2190:V2253" si="280">ABS(U2190)</f>
        <v>0</v>
      </c>
      <c r="W2190" s="196" t="e">
        <f t="shared" ref="W2190:W2253" si="281">T2190/L2190</f>
        <v>#DIV/0!</v>
      </c>
      <c r="X2190" s="197" t="e">
        <f t="shared" ref="X2190:X2253" si="282">ABS(W2190)</f>
        <v>#DIV/0!</v>
      </c>
    </row>
    <row r="2191" ht="11.4" hidden="1" customHeight="1" spans="1:24">
      <c r="A2191" s="184" t="s">
        <v>3206</v>
      </c>
      <c r="B2191" s="184" t="s">
        <v>145</v>
      </c>
      <c r="C2191" s="184" t="s">
        <v>2074</v>
      </c>
      <c r="D2191" s="185" t="s">
        <v>704</v>
      </c>
      <c r="E2191" s="186" t="s">
        <v>906</v>
      </c>
      <c r="F2191" s="186" t="s">
        <v>907</v>
      </c>
      <c r="G2191" s="186" t="s">
        <v>2075</v>
      </c>
      <c r="H2191" s="186" t="s">
        <v>2076</v>
      </c>
      <c r="I2191" s="187" t="s">
        <v>2198</v>
      </c>
      <c r="J2191" s="187" t="s">
        <v>2199</v>
      </c>
      <c r="K2191" s="188"/>
      <c r="L2191" s="188"/>
      <c r="M2191" s="189" t="s">
        <v>1018</v>
      </c>
      <c r="N2191" s="190">
        <v>110.25</v>
      </c>
      <c r="O2191" s="190">
        <f t="shared" si="275"/>
        <v>120.17</v>
      </c>
      <c r="P2191" s="191">
        <f t="shared" si="276"/>
        <v>0</v>
      </c>
      <c r="Q2191" s="192">
        <f t="shared" si="277"/>
        <v>0</v>
      </c>
      <c r="R2191" s="193"/>
      <c r="S2191" s="194"/>
      <c r="T2191" s="195">
        <f t="shared" si="278"/>
        <v>0</v>
      </c>
      <c r="U2191" s="195">
        <f t="shared" si="279"/>
        <v>0</v>
      </c>
      <c r="V2191" s="195">
        <f t="shared" si="280"/>
        <v>0</v>
      </c>
      <c r="W2191" s="196" t="e">
        <f t="shared" si="281"/>
        <v>#DIV/0!</v>
      </c>
      <c r="X2191" s="197" t="e">
        <f t="shared" si="282"/>
        <v>#DIV/0!</v>
      </c>
    </row>
    <row r="2192" ht="11.4" hidden="1" customHeight="1" spans="1:24">
      <c r="A2192" s="184" t="s">
        <v>3206</v>
      </c>
      <c r="B2192" s="184" t="s">
        <v>145</v>
      </c>
      <c r="C2192" s="184" t="s">
        <v>2074</v>
      </c>
      <c r="D2192" s="185" t="s">
        <v>704</v>
      </c>
      <c r="E2192" s="186" t="s">
        <v>906</v>
      </c>
      <c r="F2192" s="186" t="s">
        <v>907</v>
      </c>
      <c r="G2192" s="186" t="s">
        <v>2075</v>
      </c>
      <c r="H2192" s="186" t="s">
        <v>2076</v>
      </c>
      <c r="I2192" s="187" t="s">
        <v>2200</v>
      </c>
      <c r="J2192" s="187" t="s">
        <v>2201</v>
      </c>
      <c r="K2192" s="188"/>
      <c r="L2192" s="188"/>
      <c r="M2192" s="189" t="s">
        <v>1018</v>
      </c>
      <c r="N2192" s="190">
        <v>178.5</v>
      </c>
      <c r="O2192" s="190">
        <f t="shared" si="275"/>
        <v>194.57</v>
      </c>
      <c r="P2192" s="191">
        <f t="shared" si="276"/>
        <v>0</v>
      </c>
      <c r="Q2192" s="192">
        <f t="shared" si="277"/>
        <v>0</v>
      </c>
      <c r="R2192" s="193"/>
      <c r="S2192" s="194"/>
      <c r="T2192" s="195">
        <f t="shared" si="278"/>
        <v>0</v>
      </c>
      <c r="U2192" s="195">
        <f t="shared" si="279"/>
        <v>0</v>
      </c>
      <c r="V2192" s="195">
        <f t="shared" si="280"/>
        <v>0</v>
      </c>
      <c r="W2192" s="196" t="e">
        <f t="shared" si="281"/>
        <v>#DIV/0!</v>
      </c>
      <c r="X2192" s="197" t="e">
        <f t="shared" si="282"/>
        <v>#DIV/0!</v>
      </c>
    </row>
    <row r="2193" ht="11.4" hidden="1" customHeight="1" spans="1:24">
      <c r="A2193" s="184" t="s">
        <v>3206</v>
      </c>
      <c r="B2193" s="184" t="s">
        <v>145</v>
      </c>
      <c r="C2193" s="184" t="s">
        <v>2074</v>
      </c>
      <c r="D2193" s="185" t="s">
        <v>704</v>
      </c>
      <c r="E2193" s="186" t="s">
        <v>906</v>
      </c>
      <c r="F2193" s="186" t="s">
        <v>907</v>
      </c>
      <c r="G2193" s="186" t="s">
        <v>2075</v>
      </c>
      <c r="H2193" s="186" t="s">
        <v>2076</v>
      </c>
      <c r="I2193" s="187" t="s">
        <v>2202</v>
      </c>
      <c r="J2193" s="187" t="s">
        <v>2203</v>
      </c>
      <c r="K2193" s="188"/>
      <c r="L2193" s="188"/>
      <c r="M2193" s="189" t="s">
        <v>1018</v>
      </c>
      <c r="N2193" s="190">
        <v>147</v>
      </c>
      <c r="O2193" s="190">
        <f t="shared" si="275"/>
        <v>160.23</v>
      </c>
      <c r="P2193" s="191">
        <f t="shared" si="276"/>
        <v>0</v>
      </c>
      <c r="Q2193" s="192">
        <f t="shared" si="277"/>
        <v>0</v>
      </c>
      <c r="R2193" s="193"/>
      <c r="S2193" s="194"/>
      <c r="T2193" s="195">
        <f t="shared" si="278"/>
        <v>0</v>
      </c>
      <c r="U2193" s="195">
        <f t="shared" si="279"/>
        <v>0</v>
      </c>
      <c r="V2193" s="195">
        <f t="shared" si="280"/>
        <v>0</v>
      </c>
      <c r="W2193" s="196" t="e">
        <f t="shared" si="281"/>
        <v>#DIV/0!</v>
      </c>
      <c r="X2193" s="197" t="e">
        <f t="shared" si="282"/>
        <v>#DIV/0!</v>
      </c>
    </row>
    <row r="2194" ht="11.4" hidden="1" customHeight="1" spans="1:24">
      <c r="A2194" s="184" t="s">
        <v>3206</v>
      </c>
      <c r="B2194" s="184" t="s">
        <v>145</v>
      </c>
      <c r="C2194" s="184" t="s">
        <v>2074</v>
      </c>
      <c r="D2194" s="185" t="s">
        <v>704</v>
      </c>
      <c r="E2194" s="186" t="s">
        <v>906</v>
      </c>
      <c r="F2194" s="186" t="s">
        <v>907</v>
      </c>
      <c r="G2194" s="186" t="s">
        <v>2075</v>
      </c>
      <c r="H2194" s="186" t="s">
        <v>2076</v>
      </c>
      <c r="I2194" s="187" t="s">
        <v>2204</v>
      </c>
      <c r="J2194" s="187" t="s">
        <v>2205</v>
      </c>
      <c r="K2194" s="188"/>
      <c r="L2194" s="188"/>
      <c r="M2194" s="189" t="s">
        <v>1018</v>
      </c>
      <c r="N2194" s="190">
        <v>105</v>
      </c>
      <c r="O2194" s="190">
        <f t="shared" si="275"/>
        <v>114.45</v>
      </c>
      <c r="P2194" s="191">
        <f t="shared" si="276"/>
        <v>0</v>
      </c>
      <c r="Q2194" s="192">
        <f t="shared" si="277"/>
        <v>0</v>
      </c>
      <c r="R2194" s="193"/>
      <c r="S2194" s="194"/>
      <c r="T2194" s="195">
        <f t="shared" si="278"/>
        <v>0</v>
      </c>
      <c r="U2194" s="195">
        <f t="shared" si="279"/>
        <v>0</v>
      </c>
      <c r="V2194" s="195">
        <f t="shared" si="280"/>
        <v>0</v>
      </c>
      <c r="W2194" s="196" t="e">
        <f t="shared" si="281"/>
        <v>#DIV/0!</v>
      </c>
      <c r="X2194" s="197" t="e">
        <f t="shared" si="282"/>
        <v>#DIV/0!</v>
      </c>
    </row>
    <row r="2195" ht="11.4" hidden="1" customHeight="1" spans="1:24">
      <c r="A2195" s="184" t="s">
        <v>3206</v>
      </c>
      <c r="B2195" s="184" t="s">
        <v>145</v>
      </c>
      <c r="C2195" s="184" t="s">
        <v>2074</v>
      </c>
      <c r="D2195" s="185" t="s">
        <v>704</v>
      </c>
      <c r="E2195" s="186" t="s">
        <v>906</v>
      </c>
      <c r="F2195" s="186" t="s">
        <v>907</v>
      </c>
      <c r="G2195" s="186" t="s">
        <v>2075</v>
      </c>
      <c r="H2195" s="186" t="s">
        <v>2076</v>
      </c>
      <c r="I2195" s="187" t="s">
        <v>2206</v>
      </c>
      <c r="J2195" s="187" t="s">
        <v>2207</v>
      </c>
      <c r="K2195" s="188"/>
      <c r="L2195" s="188"/>
      <c r="M2195" s="189" t="s">
        <v>1018</v>
      </c>
      <c r="N2195" s="190">
        <v>126</v>
      </c>
      <c r="O2195" s="190">
        <f t="shared" si="275"/>
        <v>137.34</v>
      </c>
      <c r="P2195" s="191">
        <f t="shared" si="276"/>
        <v>0</v>
      </c>
      <c r="Q2195" s="192">
        <f t="shared" si="277"/>
        <v>0</v>
      </c>
      <c r="R2195" s="193"/>
      <c r="S2195" s="194"/>
      <c r="T2195" s="195">
        <f t="shared" si="278"/>
        <v>0</v>
      </c>
      <c r="U2195" s="195">
        <f t="shared" si="279"/>
        <v>0</v>
      </c>
      <c r="V2195" s="195">
        <f t="shared" si="280"/>
        <v>0</v>
      </c>
      <c r="W2195" s="196" t="e">
        <f t="shared" si="281"/>
        <v>#DIV/0!</v>
      </c>
      <c r="X2195" s="197" t="e">
        <f t="shared" si="282"/>
        <v>#DIV/0!</v>
      </c>
    </row>
    <row r="2196" ht="11.4" hidden="1" customHeight="1" spans="1:24">
      <c r="A2196" s="184" t="s">
        <v>3206</v>
      </c>
      <c r="B2196" s="184" t="s">
        <v>145</v>
      </c>
      <c r="C2196" s="184" t="s">
        <v>2074</v>
      </c>
      <c r="D2196" s="185" t="s">
        <v>704</v>
      </c>
      <c r="E2196" s="186" t="s">
        <v>906</v>
      </c>
      <c r="F2196" s="186" t="s">
        <v>907</v>
      </c>
      <c r="G2196" s="186" t="s">
        <v>2075</v>
      </c>
      <c r="H2196" s="186" t="s">
        <v>2076</v>
      </c>
      <c r="I2196" s="187" t="s">
        <v>2208</v>
      </c>
      <c r="J2196" s="187" t="s">
        <v>2209</v>
      </c>
      <c r="K2196" s="188"/>
      <c r="L2196" s="188"/>
      <c r="M2196" s="189" t="s">
        <v>1018</v>
      </c>
      <c r="N2196" s="190">
        <v>204.75</v>
      </c>
      <c r="O2196" s="190">
        <f t="shared" si="275"/>
        <v>223.18</v>
      </c>
      <c r="P2196" s="191">
        <f t="shared" si="276"/>
        <v>0</v>
      </c>
      <c r="Q2196" s="192">
        <f t="shared" si="277"/>
        <v>0</v>
      </c>
      <c r="R2196" s="193"/>
      <c r="S2196" s="194"/>
      <c r="T2196" s="195">
        <f t="shared" si="278"/>
        <v>0</v>
      </c>
      <c r="U2196" s="195">
        <f t="shared" si="279"/>
        <v>0</v>
      </c>
      <c r="V2196" s="195">
        <f t="shared" si="280"/>
        <v>0</v>
      </c>
      <c r="W2196" s="196" t="e">
        <f t="shared" si="281"/>
        <v>#DIV/0!</v>
      </c>
      <c r="X2196" s="197" t="e">
        <f t="shared" si="282"/>
        <v>#DIV/0!</v>
      </c>
    </row>
    <row r="2197" ht="11.4" hidden="1" customHeight="1" spans="1:24">
      <c r="A2197" s="184" t="s">
        <v>3206</v>
      </c>
      <c r="B2197" s="184" t="s">
        <v>145</v>
      </c>
      <c r="C2197" s="184" t="s">
        <v>2074</v>
      </c>
      <c r="D2197" s="185" t="s">
        <v>704</v>
      </c>
      <c r="E2197" s="186" t="s">
        <v>906</v>
      </c>
      <c r="F2197" s="186" t="s">
        <v>907</v>
      </c>
      <c r="G2197" s="186" t="s">
        <v>2075</v>
      </c>
      <c r="H2197" s="186" t="s">
        <v>2076</v>
      </c>
      <c r="I2197" s="187" t="s">
        <v>2210</v>
      </c>
      <c r="J2197" s="187" t="s">
        <v>2211</v>
      </c>
      <c r="K2197" s="188"/>
      <c r="L2197" s="188"/>
      <c r="M2197" s="189" t="s">
        <v>1018</v>
      </c>
      <c r="N2197" s="190">
        <v>420</v>
      </c>
      <c r="O2197" s="190">
        <f t="shared" si="275"/>
        <v>457.8</v>
      </c>
      <c r="P2197" s="191">
        <f t="shared" si="276"/>
        <v>0</v>
      </c>
      <c r="Q2197" s="192">
        <f t="shared" si="277"/>
        <v>0</v>
      </c>
      <c r="R2197" s="193"/>
      <c r="S2197" s="194"/>
      <c r="T2197" s="195">
        <f t="shared" si="278"/>
        <v>0</v>
      </c>
      <c r="U2197" s="195">
        <f t="shared" si="279"/>
        <v>0</v>
      </c>
      <c r="V2197" s="195">
        <f t="shared" si="280"/>
        <v>0</v>
      </c>
      <c r="W2197" s="196" t="e">
        <f t="shared" si="281"/>
        <v>#DIV/0!</v>
      </c>
      <c r="X2197" s="197" t="e">
        <f t="shared" si="282"/>
        <v>#DIV/0!</v>
      </c>
    </row>
    <row r="2198" ht="11.4" hidden="1" customHeight="1" spans="1:24">
      <c r="A2198" s="184" t="s">
        <v>3206</v>
      </c>
      <c r="B2198" s="184" t="s">
        <v>145</v>
      </c>
      <c r="C2198" s="184" t="s">
        <v>2074</v>
      </c>
      <c r="D2198" s="185" t="s">
        <v>704</v>
      </c>
      <c r="E2198" s="186" t="s">
        <v>906</v>
      </c>
      <c r="F2198" s="186" t="s">
        <v>907</v>
      </c>
      <c r="G2198" s="186" t="s">
        <v>2075</v>
      </c>
      <c r="H2198" s="186" t="s">
        <v>2076</v>
      </c>
      <c r="I2198" s="187" t="s">
        <v>2212</v>
      </c>
      <c r="J2198" s="187" t="s">
        <v>2213</v>
      </c>
      <c r="K2198" s="188"/>
      <c r="L2198" s="188"/>
      <c r="M2198" s="189" t="s">
        <v>1018</v>
      </c>
      <c r="N2198" s="190">
        <v>178.5</v>
      </c>
      <c r="O2198" s="190">
        <f t="shared" si="275"/>
        <v>194.57</v>
      </c>
      <c r="P2198" s="191">
        <f t="shared" si="276"/>
        <v>0</v>
      </c>
      <c r="Q2198" s="192">
        <f t="shared" si="277"/>
        <v>0</v>
      </c>
      <c r="R2198" s="193"/>
      <c r="S2198" s="194"/>
      <c r="T2198" s="195">
        <f t="shared" si="278"/>
        <v>0</v>
      </c>
      <c r="U2198" s="195">
        <f t="shared" si="279"/>
        <v>0</v>
      </c>
      <c r="V2198" s="195">
        <f t="shared" si="280"/>
        <v>0</v>
      </c>
      <c r="W2198" s="196" t="e">
        <f t="shared" si="281"/>
        <v>#DIV/0!</v>
      </c>
      <c r="X2198" s="197" t="e">
        <f t="shared" si="282"/>
        <v>#DIV/0!</v>
      </c>
    </row>
    <row r="2199" ht="11.4" hidden="1" customHeight="1" spans="1:24">
      <c r="A2199" s="184" t="s">
        <v>3206</v>
      </c>
      <c r="B2199" s="184" t="s">
        <v>145</v>
      </c>
      <c r="C2199" s="184" t="s">
        <v>2074</v>
      </c>
      <c r="D2199" s="185" t="s">
        <v>704</v>
      </c>
      <c r="E2199" s="186" t="s">
        <v>906</v>
      </c>
      <c r="F2199" s="186" t="s">
        <v>907</v>
      </c>
      <c r="G2199" s="186" t="s">
        <v>2075</v>
      </c>
      <c r="H2199" s="186" t="s">
        <v>2076</v>
      </c>
      <c r="I2199" s="187" t="s">
        <v>2214</v>
      </c>
      <c r="J2199" s="187" t="s">
        <v>2215</v>
      </c>
      <c r="K2199" s="188"/>
      <c r="L2199" s="188"/>
      <c r="M2199" s="189" t="s">
        <v>1018</v>
      </c>
      <c r="N2199" s="190">
        <v>126</v>
      </c>
      <c r="O2199" s="190">
        <f t="shared" si="275"/>
        <v>137.34</v>
      </c>
      <c r="P2199" s="191">
        <f t="shared" si="276"/>
        <v>0</v>
      </c>
      <c r="Q2199" s="192">
        <f t="shared" si="277"/>
        <v>0</v>
      </c>
      <c r="R2199" s="193"/>
      <c r="S2199" s="194"/>
      <c r="T2199" s="195">
        <f t="shared" si="278"/>
        <v>0</v>
      </c>
      <c r="U2199" s="195">
        <f t="shared" si="279"/>
        <v>0</v>
      </c>
      <c r="V2199" s="195">
        <f t="shared" si="280"/>
        <v>0</v>
      </c>
      <c r="W2199" s="196" t="e">
        <f t="shared" si="281"/>
        <v>#DIV/0!</v>
      </c>
      <c r="X2199" s="197" t="e">
        <f t="shared" si="282"/>
        <v>#DIV/0!</v>
      </c>
    </row>
    <row r="2200" ht="11.4" hidden="1" customHeight="1" spans="1:24">
      <c r="A2200" s="184" t="s">
        <v>3206</v>
      </c>
      <c r="B2200" s="184" t="s">
        <v>145</v>
      </c>
      <c r="C2200" s="184" t="s">
        <v>2074</v>
      </c>
      <c r="D2200" s="185" t="s">
        <v>704</v>
      </c>
      <c r="E2200" s="186" t="s">
        <v>906</v>
      </c>
      <c r="F2200" s="186" t="s">
        <v>907</v>
      </c>
      <c r="G2200" s="186" t="s">
        <v>2075</v>
      </c>
      <c r="H2200" s="186" t="s">
        <v>2076</v>
      </c>
      <c r="I2200" s="187" t="s">
        <v>2216</v>
      </c>
      <c r="J2200" s="187" t="s">
        <v>2217</v>
      </c>
      <c r="K2200" s="188"/>
      <c r="L2200" s="188"/>
      <c r="M2200" s="189" t="s">
        <v>1018</v>
      </c>
      <c r="N2200" s="190">
        <v>105</v>
      </c>
      <c r="O2200" s="190">
        <f t="shared" si="275"/>
        <v>114.45</v>
      </c>
      <c r="P2200" s="191">
        <f t="shared" si="276"/>
        <v>0</v>
      </c>
      <c r="Q2200" s="192">
        <f t="shared" si="277"/>
        <v>0</v>
      </c>
      <c r="R2200" s="193"/>
      <c r="S2200" s="194"/>
      <c r="T2200" s="195">
        <f t="shared" si="278"/>
        <v>0</v>
      </c>
      <c r="U2200" s="195">
        <f t="shared" si="279"/>
        <v>0</v>
      </c>
      <c r="V2200" s="195">
        <f t="shared" si="280"/>
        <v>0</v>
      </c>
      <c r="W2200" s="196" t="e">
        <f t="shared" si="281"/>
        <v>#DIV/0!</v>
      </c>
      <c r="X2200" s="197" t="e">
        <f t="shared" si="282"/>
        <v>#DIV/0!</v>
      </c>
    </row>
    <row r="2201" ht="11.4" hidden="1" customHeight="1" spans="1:24">
      <c r="A2201" s="184" t="s">
        <v>3206</v>
      </c>
      <c r="B2201" s="184" t="s">
        <v>145</v>
      </c>
      <c r="C2201" s="184" t="s">
        <v>2074</v>
      </c>
      <c r="D2201" s="185" t="s">
        <v>704</v>
      </c>
      <c r="E2201" s="186" t="s">
        <v>906</v>
      </c>
      <c r="F2201" s="186" t="s">
        <v>907</v>
      </c>
      <c r="G2201" s="186" t="s">
        <v>2075</v>
      </c>
      <c r="H2201" s="186" t="s">
        <v>2076</v>
      </c>
      <c r="I2201" s="187" t="s">
        <v>2218</v>
      </c>
      <c r="J2201" s="187" t="s">
        <v>2219</v>
      </c>
      <c r="K2201" s="188"/>
      <c r="L2201" s="188"/>
      <c r="M2201" s="189" t="s">
        <v>1018</v>
      </c>
      <c r="N2201" s="190">
        <v>661.5</v>
      </c>
      <c r="O2201" s="190">
        <f t="shared" si="275"/>
        <v>721.04</v>
      </c>
      <c r="P2201" s="191">
        <f t="shared" si="276"/>
        <v>0</v>
      </c>
      <c r="Q2201" s="192">
        <f t="shared" si="277"/>
        <v>0</v>
      </c>
      <c r="R2201" s="193"/>
      <c r="S2201" s="194"/>
      <c r="T2201" s="195">
        <f t="shared" si="278"/>
        <v>0</v>
      </c>
      <c r="U2201" s="195">
        <f t="shared" si="279"/>
        <v>0</v>
      </c>
      <c r="V2201" s="195">
        <f t="shared" si="280"/>
        <v>0</v>
      </c>
      <c r="W2201" s="196" t="e">
        <f t="shared" si="281"/>
        <v>#DIV/0!</v>
      </c>
      <c r="X2201" s="197" t="e">
        <f t="shared" si="282"/>
        <v>#DIV/0!</v>
      </c>
    </row>
    <row r="2202" ht="11.4" hidden="1" customHeight="1" spans="1:24">
      <c r="A2202" s="184" t="s">
        <v>3206</v>
      </c>
      <c r="B2202" s="184" t="s">
        <v>145</v>
      </c>
      <c r="C2202" s="184" t="s">
        <v>2074</v>
      </c>
      <c r="D2202" s="185" t="s">
        <v>704</v>
      </c>
      <c r="E2202" s="186" t="s">
        <v>906</v>
      </c>
      <c r="F2202" s="186" t="s">
        <v>907</v>
      </c>
      <c r="G2202" s="186" t="s">
        <v>2075</v>
      </c>
      <c r="H2202" s="186" t="s">
        <v>2076</v>
      </c>
      <c r="I2202" s="187" t="s">
        <v>2220</v>
      </c>
      <c r="J2202" s="187" t="s">
        <v>2221</v>
      </c>
      <c r="K2202" s="188"/>
      <c r="L2202" s="188"/>
      <c r="M2202" s="189" t="s">
        <v>1018</v>
      </c>
      <c r="N2202" s="190">
        <v>488.25</v>
      </c>
      <c r="O2202" s="190">
        <f t="shared" si="275"/>
        <v>532.19</v>
      </c>
      <c r="P2202" s="191">
        <f t="shared" si="276"/>
        <v>0</v>
      </c>
      <c r="Q2202" s="192">
        <f t="shared" si="277"/>
        <v>0</v>
      </c>
      <c r="R2202" s="193"/>
      <c r="S2202" s="194"/>
      <c r="T2202" s="195">
        <f t="shared" si="278"/>
        <v>0</v>
      </c>
      <c r="U2202" s="195">
        <f t="shared" si="279"/>
        <v>0</v>
      </c>
      <c r="V2202" s="195">
        <f t="shared" si="280"/>
        <v>0</v>
      </c>
      <c r="W2202" s="196" t="e">
        <f t="shared" si="281"/>
        <v>#DIV/0!</v>
      </c>
      <c r="X2202" s="197" t="e">
        <f t="shared" si="282"/>
        <v>#DIV/0!</v>
      </c>
    </row>
    <row r="2203" ht="11.4" hidden="1" customHeight="1" spans="1:24">
      <c r="A2203" s="184" t="s">
        <v>3206</v>
      </c>
      <c r="B2203" s="184" t="s">
        <v>145</v>
      </c>
      <c r="C2203" s="184" t="s">
        <v>2074</v>
      </c>
      <c r="D2203" s="185" t="s">
        <v>704</v>
      </c>
      <c r="E2203" s="186" t="s">
        <v>906</v>
      </c>
      <c r="F2203" s="186" t="s">
        <v>907</v>
      </c>
      <c r="G2203" s="186" t="s">
        <v>2075</v>
      </c>
      <c r="H2203" s="186" t="s">
        <v>2076</v>
      </c>
      <c r="I2203" s="187" t="s">
        <v>2222</v>
      </c>
      <c r="J2203" s="187" t="s">
        <v>2223</v>
      </c>
      <c r="K2203" s="188"/>
      <c r="L2203" s="188"/>
      <c r="M2203" s="189" t="s">
        <v>807</v>
      </c>
      <c r="N2203" s="190">
        <v>36.75</v>
      </c>
      <c r="O2203" s="190">
        <f t="shared" si="275"/>
        <v>40.06</v>
      </c>
      <c r="P2203" s="191">
        <f t="shared" si="276"/>
        <v>0</v>
      </c>
      <c r="Q2203" s="192">
        <f t="shared" si="277"/>
        <v>0</v>
      </c>
      <c r="R2203" s="193"/>
      <c r="S2203" s="194"/>
      <c r="T2203" s="195">
        <f t="shared" si="278"/>
        <v>0</v>
      </c>
      <c r="U2203" s="195">
        <f t="shared" si="279"/>
        <v>0</v>
      </c>
      <c r="V2203" s="195">
        <f t="shared" si="280"/>
        <v>0</v>
      </c>
      <c r="W2203" s="196" t="e">
        <f t="shared" si="281"/>
        <v>#DIV/0!</v>
      </c>
      <c r="X2203" s="197" t="e">
        <f t="shared" si="282"/>
        <v>#DIV/0!</v>
      </c>
    </row>
    <row r="2204" ht="11.4" hidden="1" customHeight="1" spans="1:24">
      <c r="A2204" s="184" t="s">
        <v>3206</v>
      </c>
      <c r="B2204" s="184" t="s">
        <v>145</v>
      </c>
      <c r="C2204" s="184" t="s">
        <v>2074</v>
      </c>
      <c r="D2204" s="185" t="s">
        <v>704</v>
      </c>
      <c r="E2204" s="186" t="s">
        <v>906</v>
      </c>
      <c r="F2204" s="186" t="s">
        <v>907</v>
      </c>
      <c r="G2204" s="186" t="s">
        <v>2075</v>
      </c>
      <c r="H2204" s="186" t="s">
        <v>2076</v>
      </c>
      <c r="I2204" s="187" t="s">
        <v>2224</v>
      </c>
      <c r="J2204" s="187" t="s">
        <v>2225</v>
      </c>
      <c r="K2204" s="188"/>
      <c r="L2204" s="188"/>
      <c r="M2204" s="189" t="s">
        <v>1018</v>
      </c>
      <c r="N2204" s="190">
        <v>105</v>
      </c>
      <c r="O2204" s="190">
        <f t="shared" si="275"/>
        <v>114.45</v>
      </c>
      <c r="P2204" s="191">
        <f t="shared" si="276"/>
        <v>0</v>
      </c>
      <c r="Q2204" s="192">
        <f t="shared" si="277"/>
        <v>0</v>
      </c>
      <c r="R2204" s="193"/>
      <c r="S2204" s="194"/>
      <c r="T2204" s="195">
        <f t="shared" si="278"/>
        <v>0</v>
      </c>
      <c r="U2204" s="195">
        <f t="shared" si="279"/>
        <v>0</v>
      </c>
      <c r="V2204" s="195">
        <f t="shared" si="280"/>
        <v>0</v>
      </c>
      <c r="W2204" s="196" t="e">
        <f t="shared" si="281"/>
        <v>#DIV/0!</v>
      </c>
      <c r="X2204" s="197" t="e">
        <f t="shared" si="282"/>
        <v>#DIV/0!</v>
      </c>
    </row>
    <row r="2205" ht="11.4" hidden="1" customHeight="1" spans="1:24">
      <c r="A2205" s="184" t="s">
        <v>3206</v>
      </c>
      <c r="B2205" s="184" t="s">
        <v>145</v>
      </c>
      <c r="C2205" s="184" t="s">
        <v>2074</v>
      </c>
      <c r="D2205" s="185" t="s">
        <v>704</v>
      </c>
      <c r="E2205" s="186" t="s">
        <v>906</v>
      </c>
      <c r="F2205" s="186" t="s">
        <v>907</v>
      </c>
      <c r="G2205" s="186" t="s">
        <v>2075</v>
      </c>
      <c r="H2205" s="186" t="s">
        <v>2076</v>
      </c>
      <c r="I2205" s="187" t="s">
        <v>2226</v>
      </c>
      <c r="J2205" s="187" t="s">
        <v>2227</v>
      </c>
      <c r="K2205" s="188"/>
      <c r="L2205" s="188"/>
      <c r="M2205" s="189" t="s">
        <v>1018</v>
      </c>
      <c r="N2205" s="190">
        <v>77.7</v>
      </c>
      <c r="O2205" s="190">
        <f t="shared" si="275"/>
        <v>84.69</v>
      </c>
      <c r="P2205" s="191">
        <f t="shared" si="276"/>
        <v>0</v>
      </c>
      <c r="Q2205" s="192">
        <f t="shared" si="277"/>
        <v>0</v>
      </c>
      <c r="R2205" s="193"/>
      <c r="S2205" s="194"/>
      <c r="T2205" s="195">
        <f t="shared" si="278"/>
        <v>0</v>
      </c>
      <c r="U2205" s="195">
        <f t="shared" si="279"/>
        <v>0</v>
      </c>
      <c r="V2205" s="195">
        <f t="shared" si="280"/>
        <v>0</v>
      </c>
      <c r="W2205" s="196" t="e">
        <f t="shared" si="281"/>
        <v>#DIV/0!</v>
      </c>
      <c r="X2205" s="197" t="e">
        <f t="shared" si="282"/>
        <v>#DIV/0!</v>
      </c>
    </row>
    <row r="2206" ht="11.4" hidden="1" customHeight="1" spans="1:24">
      <c r="A2206" s="184" t="s">
        <v>3206</v>
      </c>
      <c r="B2206" s="184" t="s">
        <v>145</v>
      </c>
      <c r="C2206" s="184" t="s">
        <v>2074</v>
      </c>
      <c r="D2206" s="185" t="s">
        <v>704</v>
      </c>
      <c r="E2206" s="186" t="s">
        <v>906</v>
      </c>
      <c r="F2206" s="186" t="s">
        <v>907</v>
      </c>
      <c r="G2206" s="186" t="s">
        <v>2075</v>
      </c>
      <c r="H2206" s="186" t="s">
        <v>2076</v>
      </c>
      <c r="I2206" s="187" t="s">
        <v>2228</v>
      </c>
      <c r="J2206" s="187" t="s">
        <v>2229</v>
      </c>
      <c r="K2206" s="188"/>
      <c r="L2206" s="188"/>
      <c r="M2206" s="189" t="s">
        <v>1018</v>
      </c>
      <c r="N2206" s="190">
        <v>38.85</v>
      </c>
      <c r="O2206" s="190">
        <f t="shared" si="275"/>
        <v>42.35</v>
      </c>
      <c r="P2206" s="191">
        <f t="shared" si="276"/>
        <v>0</v>
      </c>
      <c r="Q2206" s="192">
        <f t="shared" si="277"/>
        <v>0</v>
      </c>
      <c r="R2206" s="193"/>
      <c r="S2206" s="194"/>
      <c r="T2206" s="195">
        <f t="shared" si="278"/>
        <v>0</v>
      </c>
      <c r="U2206" s="195">
        <f t="shared" si="279"/>
        <v>0</v>
      </c>
      <c r="V2206" s="195">
        <f t="shared" si="280"/>
        <v>0</v>
      </c>
      <c r="W2206" s="196" t="e">
        <f t="shared" si="281"/>
        <v>#DIV/0!</v>
      </c>
      <c r="X2206" s="197" t="e">
        <f t="shared" si="282"/>
        <v>#DIV/0!</v>
      </c>
    </row>
    <row r="2207" ht="11.4" hidden="1" customHeight="1" spans="1:24">
      <c r="A2207" s="184" t="s">
        <v>3206</v>
      </c>
      <c r="B2207" s="184" t="s">
        <v>145</v>
      </c>
      <c r="C2207" s="184" t="s">
        <v>2074</v>
      </c>
      <c r="D2207" s="185" t="s">
        <v>704</v>
      </c>
      <c r="E2207" s="186" t="s">
        <v>906</v>
      </c>
      <c r="F2207" s="186" t="s">
        <v>907</v>
      </c>
      <c r="G2207" s="186" t="s">
        <v>2075</v>
      </c>
      <c r="H2207" s="186" t="s">
        <v>2076</v>
      </c>
      <c r="I2207" s="187" t="s">
        <v>2230</v>
      </c>
      <c r="J2207" s="187" t="s">
        <v>2231</v>
      </c>
      <c r="K2207" s="188"/>
      <c r="L2207" s="188"/>
      <c r="M2207" s="189" t="s">
        <v>1018</v>
      </c>
      <c r="N2207" s="190">
        <v>8.4</v>
      </c>
      <c r="O2207" s="190">
        <f t="shared" si="275"/>
        <v>9.16</v>
      </c>
      <c r="P2207" s="191">
        <f t="shared" si="276"/>
        <v>0</v>
      </c>
      <c r="Q2207" s="192">
        <f t="shared" si="277"/>
        <v>0</v>
      </c>
      <c r="R2207" s="193"/>
      <c r="S2207" s="194"/>
      <c r="T2207" s="195">
        <f t="shared" si="278"/>
        <v>0</v>
      </c>
      <c r="U2207" s="195">
        <f t="shared" si="279"/>
        <v>0</v>
      </c>
      <c r="V2207" s="195">
        <f t="shared" si="280"/>
        <v>0</v>
      </c>
      <c r="W2207" s="196" t="e">
        <f t="shared" si="281"/>
        <v>#DIV/0!</v>
      </c>
      <c r="X2207" s="197" t="e">
        <f t="shared" si="282"/>
        <v>#DIV/0!</v>
      </c>
    </row>
    <row r="2208" ht="11.4" hidden="1" customHeight="1" spans="1:24">
      <c r="A2208" s="184" t="s">
        <v>3206</v>
      </c>
      <c r="B2208" s="184" t="s">
        <v>145</v>
      </c>
      <c r="C2208" s="184" t="s">
        <v>2074</v>
      </c>
      <c r="D2208" s="185" t="s">
        <v>704</v>
      </c>
      <c r="E2208" s="186" t="s">
        <v>906</v>
      </c>
      <c r="F2208" s="186" t="s">
        <v>907</v>
      </c>
      <c r="G2208" s="186" t="s">
        <v>2075</v>
      </c>
      <c r="H2208" s="186" t="s">
        <v>2076</v>
      </c>
      <c r="I2208" s="187" t="s">
        <v>2232</v>
      </c>
      <c r="J2208" s="187" t="s">
        <v>2233</v>
      </c>
      <c r="K2208" s="188"/>
      <c r="L2208" s="188"/>
      <c r="M2208" s="189" t="s">
        <v>1018</v>
      </c>
      <c r="N2208" s="190">
        <v>57.75</v>
      </c>
      <c r="O2208" s="190">
        <f t="shared" si="275"/>
        <v>62.95</v>
      </c>
      <c r="P2208" s="191">
        <f t="shared" si="276"/>
        <v>0</v>
      </c>
      <c r="Q2208" s="192">
        <f t="shared" si="277"/>
        <v>0</v>
      </c>
      <c r="R2208" s="193"/>
      <c r="S2208" s="194"/>
      <c r="T2208" s="195">
        <f t="shared" si="278"/>
        <v>0</v>
      </c>
      <c r="U2208" s="195">
        <f t="shared" si="279"/>
        <v>0</v>
      </c>
      <c r="V2208" s="195">
        <f t="shared" si="280"/>
        <v>0</v>
      </c>
      <c r="W2208" s="196" t="e">
        <f t="shared" si="281"/>
        <v>#DIV/0!</v>
      </c>
      <c r="X2208" s="197" t="e">
        <f t="shared" si="282"/>
        <v>#DIV/0!</v>
      </c>
    </row>
    <row r="2209" ht="11.4" hidden="1" customHeight="1" spans="1:24">
      <c r="A2209" s="184" t="s">
        <v>3206</v>
      </c>
      <c r="B2209" s="184" t="s">
        <v>145</v>
      </c>
      <c r="C2209" s="184" t="s">
        <v>2074</v>
      </c>
      <c r="D2209" s="185" t="s">
        <v>704</v>
      </c>
      <c r="E2209" s="186" t="s">
        <v>906</v>
      </c>
      <c r="F2209" s="186" t="s">
        <v>907</v>
      </c>
      <c r="G2209" s="186" t="s">
        <v>2075</v>
      </c>
      <c r="H2209" s="186" t="s">
        <v>2076</v>
      </c>
      <c r="I2209" s="187" t="s">
        <v>2234</v>
      </c>
      <c r="J2209" s="187" t="s">
        <v>2235</v>
      </c>
      <c r="K2209" s="188"/>
      <c r="L2209" s="188"/>
      <c r="M2209" s="189" t="s">
        <v>1018</v>
      </c>
      <c r="N2209" s="190">
        <v>131.25</v>
      </c>
      <c r="O2209" s="190">
        <f t="shared" si="275"/>
        <v>143.06</v>
      </c>
      <c r="P2209" s="191">
        <f t="shared" si="276"/>
        <v>0</v>
      </c>
      <c r="Q2209" s="192">
        <f t="shared" si="277"/>
        <v>0</v>
      </c>
      <c r="R2209" s="193"/>
      <c r="S2209" s="194"/>
      <c r="T2209" s="195">
        <f t="shared" si="278"/>
        <v>0</v>
      </c>
      <c r="U2209" s="195">
        <f t="shared" si="279"/>
        <v>0</v>
      </c>
      <c r="V2209" s="195">
        <f t="shared" si="280"/>
        <v>0</v>
      </c>
      <c r="W2209" s="196" t="e">
        <f t="shared" si="281"/>
        <v>#DIV/0!</v>
      </c>
      <c r="X2209" s="197" t="e">
        <f t="shared" si="282"/>
        <v>#DIV/0!</v>
      </c>
    </row>
    <row r="2210" ht="11.4" hidden="1" customHeight="1" spans="1:24">
      <c r="A2210" s="184" t="s">
        <v>3206</v>
      </c>
      <c r="B2210" s="184" t="s">
        <v>145</v>
      </c>
      <c r="C2210" s="184" t="s">
        <v>2074</v>
      </c>
      <c r="D2210" s="185" t="s">
        <v>704</v>
      </c>
      <c r="E2210" s="186" t="s">
        <v>906</v>
      </c>
      <c r="F2210" s="186" t="s">
        <v>907</v>
      </c>
      <c r="G2210" s="186" t="s">
        <v>2075</v>
      </c>
      <c r="H2210" s="186" t="s">
        <v>2076</v>
      </c>
      <c r="I2210" s="187" t="s">
        <v>2236</v>
      </c>
      <c r="J2210" s="187" t="s">
        <v>2237</v>
      </c>
      <c r="K2210" s="188"/>
      <c r="L2210" s="188"/>
      <c r="M2210" s="189" t="s">
        <v>1018</v>
      </c>
      <c r="N2210" s="190">
        <v>120.75</v>
      </c>
      <c r="O2210" s="190">
        <f t="shared" si="275"/>
        <v>131.62</v>
      </c>
      <c r="P2210" s="191">
        <f t="shared" si="276"/>
        <v>0</v>
      </c>
      <c r="Q2210" s="192">
        <f t="shared" si="277"/>
        <v>0</v>
      </c>
      <c r="R2210" s="193"/>
      <c r="S2210" s="194"/>
      <c r="T2210" s="195">
        <f t="shared" si="278"/>
        <v>0</v>
      </c>
      <c r="U2210" s="195">
        <f t="shared" si="279"/>
        <v>0</v>
      </c>
      <c r="V2210" s="195">
        <f t="shared" si="280"/>
        <v>0</v>
      </c>
      <c r="W2210" s="196" t="e">
        <f t="shared" si="281"/>
        <v>#DIV/0!</v>
      </c>
      <c r="X2210" s="197" t="e">
        <f t="shared" si="282"/>
        <v>#DIV/0!</v>
      </c>
    </row>
    <row r="2211" ht="11.4" hidden="1" customHeight="1" spans="1:24">
      <c r="A2211" s="184" t="s">
        <v>3206</v>
      </c>
      <c r="B2211" s="184" t="s">
        <v>145</v>
      </c>
      <c r="C2211" s="184" t="s">
        <v>2074</v>
      </c>
      <c r="D2211" s="185" t="s">
        <v>704</v>
      </c>
      <c r="E2211" s="186" t="s">
        <v>906</v>
      </c>
      <c r="F2211" s="186" t="s">
        <v>907</v>
      </c>
      <c r="G2211" s="186" t="s">
        <v>2075</v>
      </c>
      <c r="H2211" s="186" t="s">
        <v>2076</v>
      </c>
      <c r="I2211" s="187" t="s">
        <v>2238</v>
      </c>
      <c r="J2211" s="187" t="s">
        <v>2239</v>
      </c>
      <c r="K2211" s="188"/>
      <c r="L2211" s="188"/>
      <c r="M2211" s="189" t="s">
        <v>1018</v>
      </c>
      <c r="N2211" s="190">
        <v>120.75</v>
      </c>
      <c r="O2211" s="190">
        <f t="shared" si="275"/>
        <v>131.62</v>
      </c>
      <c r="P2211" s="191">
        <f t="shared" si="276"/>
        <v>0</v>
      </c>
      <c r="Q2211" s="192">
        <f t="shared" si="277"/>
        <v>0</v>
      </c>
      <c r="R2211" s="193"/>
      <c r="S2211" s="194"/>
      <c r="T2211" s="195">
        <f t="shared" si="278"/>
        <v>0</v>
      </c>
      <c r="U2211" s="195">
        <f t="shared" si="279"/>
        <v>0</v>
      </c>
      <c r="V2211" s="195">
        <f t="shared" si="280"/>
        <v>0</v>
      </c>
      <c r="W2211" s="196" t="e">
        <f t="shared" si="281"/>
        <v>#DIV/0!</v>
      </c>
      <c r="X2211" s="197" t="e">
        <f t="shared" si="282"/>
        <v>#DIV/0!</v>
      </c>
    </row>
    <row r="2212" ht="11.4" hidden="1" customHeight="1" spans="1:24">
      <c r="A2212" s="184" t="s">
        <v>3206</v>
      </c>
      <c r="B2212" s="184" t="s">
        <v>145</v>
      </c>
      <c r="C2212" s="184" t="s">
        <v>2074</v>
      </c>
      <c r="D2212" s="185" t="s">
        <v>704</v>
      </c>
      <c r="E2212" s="186" t="s">
        <v>906</v>
      </c>
      <c r="F2212" s="186" t="s">
        <v>907</v>
      </c>
      <c r="G2212" s="186" t="s">
        <v>2075</v>
      </c>
      <c r="H2212" s="186" t="s">
        <v>2076</v>
      </c>
      <c r="I2212" s="187" t="s">
        <v>2240</v>
      </c>
      <c r="J2212" s="187" t="s">
        <v>2241</v>
      </c>
      <c r="K2212" s="188"/>
      <c r="L2212" s="188"/>
      <c r="M2212" s="189" t="s">
        <v>1018</v>
      </c>
      <c r="N2212" s="190">
        <v>131.25</v>
      </c>
      <c r="O2212" s="190">
        <f t="shared" si="275"/>
        <v>143.06</v>
      </c>
      <c r="P2212" s="191">
        <f t="shared" si="276"/>
        <v>0</v>
      </c>
      <c r="Q2212" s="192">
        <f t="shared" si="277"/>
        <v>0</v>
      </c>
      <c r="R2212" s="193"/>
      <c r="S2212" s="194"/>
      <c r="T2212" s="195">
        <f t="shared" si="278"/>
        <v>0</v>
      </c>
      <c r="U2212" s="195">
        <f t="shared" si="279"/>
        <v>0</v>
      </c>
      <c r="V2212" s="195">
        <f t="shared" si="280"/>
        <v>0</v>
      </c>
      <c r="W2212" s="196" t="e">
        <f t="shared" si="281"/>
        <v>#DIV/0!</v>
      </c>
      <c r="X2212" s="197" t="e">
        <f t="shared" si="282"/>
        <v>#DIV/0!</v>
      </c>
    </row>
    <row r="2213" ht="11.4" hidden="1" customHeight="1" spans="1:24">
      <c r="A2213" s="184" t="s">
        <v>3206</v>
      </c>
      <c r="B2213" s="184" t="s">
        <v>145</v>
      </c>
      <c r="C2213" s="184" t="s">
        <v>2074</v>
      </c>
      <c r="D2213" s="185" t="s">
        <v>704</v>
      </c>
      <c r="E2213" s="186" t="s">
        <v>906</v>
      </c>
      <c r="F2213" s="186" t="s">
        <v>907</v>
      </c>
      <c r="G2213" s="186" t="s">
        <v>2075</v>
      </c>
      <c r="H2213" s="186" t="s">
        <v>2076</v>
      </c>
      <c r="I2213" s="187" t="s">
        <v>2242</v>
      </c>
      <c r="J2213" s="187" t="s">
        <v>2243</v>
      </c>
      <c r="K2213" s="188"/>
      <c r="L2213" s="188"/>
      <c r="M2213" s="189" t="s">
        <v>807</v>
      </c>
      <c r="N2213" s="190">
        <v>42</v>
      </c>
      <c r="O2213" s="190">
        <f t="shared" si="275"/>
        <v>45.78</v>
      </c>
      <c r="P2213" s="191">
        <f t="shared" si="276"/>
        <v>0</v>
      </c>
      <c r="Q2213" s="192">
        <f t="shared" si="277"/>
        <v>0</v>
      </c>
      <c r="R2213" s="193"/>
      <c r="S2213" s="194"/>
      <c r="T2213" s="195">
        <f t="shared" si="278"/>
        <v>0</v>
      </c>
      <c r="U2213" s="195">
        <f t="shared" si="279"/>
        <v>0</v>
      </c>
      <c r="V2213" s="195">
        <f t="shared" si="280"/>
        <v>0</v>
      </c>
      <c r="W2213" s="196" t="e">
        <f t="shared" si="281"/>
        <v>#DIV/0!</v>
      </c>
      <c r="X2213" s="197" t="e">
        <f t="shared" si="282"/>
        <v>#DIV/0!</v>
      </c>
    </row>
    <row r="2214" ht="11.4" hidden="1" customHeight="1" spans="1:24">
      <c r="A2214" s="184" t="s">
        <v>3207</v>
      </c>
      <c r="B2214" s="184" t="s">
        <v>147</v>
      </c>
      <c r="C2214" s="184" t="s">
        <v>2074</v>
      </c>
      <c r="D2214" s="185" t="s">
        <v>704</v>
      </c>
      <c r="E2214" s="186" t="s">
        <v>906</v>
      </c>
      <c r="F2214" s="186" t="s">
        <v>907</v>
      </c>
      <c r="G2214" s="186" t="s">
        <v>2075</v>
      </c>
      <c r="H2214" s="186" t="s">
        <v>2245</v>
      </c>
      <c r="I2214" s="187" t="s">
        <v>2087</v>
      </c>
      <c r="J2214" s="187" t="s">
        <v>2088</v>
      </c>
      <c r="K2214" s="188"/>
      <c r="L2214" s="188"/>
      <c r="M2214" s="189" t="s">
        <v>1018</v>
      </c>
      <c r="N2214" s="190">
        <v>94.5</v>
      </c>
      <c r="O2214" s="190">
        <f t="shared" si="275"/>
        <v>103.01</v>
      </c>
      <c r="P2214" s="191">
        <f t="shared" si="276"/>
        <v>0</v>
      </c>
      <c r="Q2214" s="192">
        <f t="shared" si="277"/>
        <v>0</v>
      </c>
      <c r="R2214" s="193"/>
      <c r="S2214" s="194"/>
      <c r="T2214" s="195">
        <f t="shared" si="278"/>
        <v>0</v>
      </c>
      <c r="U2214" s="195">
        <f t="shared" si="279"/>
        <v>0</v>
      </c>
      <c r="V2214" s="195">
        <f t="shared" si="280"/>
        <v>0</v>
      </c>
      <c r="W2214" s="196" t="e">
        <f t="shared" si="281"/>
        <v>#DIV/0!</v>
      </c>
      <c r="X2214" s="197" t="e">
        <f t="shared" si="282"/>
        <v>#DIV/0!</v>
      </c>
    </row>
    <row r="2215" ht="11.4" hidden="1" customHeight="1" spans="1:24">
      <c r="A2215" s="184" t="s">
        <v>3207</v>
      </c>
      <c r="B2215" s="184" t="s">
        <v>147</v>
      </c>
      <c r="C2215" s="184" t="s">
        <v>2074</v>
      </c>
      <c r="D2215" s="185" t="s">
        <v>704</v>
      </c>
      <c r="E2215" s="186" t="s">
        <v>906</v>
      </c>
      <c r="F2215" s="186" t="s">
        <v>907</v>
      </c>
      <c r="G2215" s="186" t="s">
        <v>2075</v>
      </c>
      <c r="H2215" s="186" t="s">
        <v>2245</v>
      </c>
      <c r="I2215" s="187" t="s">
        <v>2246</v>
      </c>
      <c r="J2215" s="187" t="s">
        <v>2247</v>
      </c>
      <c r="K2215" s="188"/>
      <c r="L2215" s="188"/>
      <c r="M2215" s="189" t="s">
        <v>1018</v>
      </c>
      <c r="N2215" s="190">
        <v>107.69</v>
      </c>
      <c r="O2215" s="190">
        <f t="shared" si="275"/>
        <v>117.38</v>
      </c>
      <c r="P2215" s="191">
        <f t="shared" si="276"/>
        <v>0</v>
      </c>
      <c r="Q2215" s="192">
        <f t="shared" si="277"/>
        <v>0</v>
      </c>
      <c r="R2215" s="193"/>
      <c r="S2215" s="194"/>
      <c r="T2215" s="195">
        <f t="shared" si="278"/>
        <v>0</v>
      </c>
      <c r="U2215" s="195">
        <f t="shared" si="279"/>
        <v>0</v>
      </c>
      <c r="V2215" s="195">
        <f t="shared" si="280"/>
        <v>0</v>
      </c>
      <c r="W2215" s="196" t="e">
        <f t="shared" si="281"/>
        <v>#DIV/0!</v>
      </c>
      <c r="X2215" s="197" t="e">
        <f t="shared" si="282"/>
        <v>#DIV/0!</v>
      </c>
    </row>
    <row r="2216" ht="11.4" hidden="1" customHeight="1" spans="1:24">
      <c r="A2216" s="184" t="s">
        <v>3207</v>
      </c>
      <c r="B2216" s="184" t="s">
        <v>147</v>
      </c>
      <c r="C2216" s="184" t="s">
        <v>2074</v>
      </c>
      <c r="D2216" s="185" t="s">
        <v>704</v>
      </c>
      <c r="E2216" s="186" t="s">
        <v>906</v>
      </c>
      <c r="F2216" s="186" t="s">
        <v>907</v>
      </c>
      <c r="G2216" s="186" t="s">
        <v>2075</v>
      </c>
      <c r="H2216" s="186" t="s">
        <v>2245</v>
      </c>
      <c r="I2216" s="187" t="s">
        <v>2085</v>
      </c>
      <c r="J2216" s="187" t="s">
        <v>2086</v>
      </c>
      <c r="K2216" s="188"/>
      <c r="L2216" s="188"/>
      <c r="M2216" s="189" t="s">
        <v>1018</v>
      </c>
      <c r="N2216" s="190">
        <v>40.95</v>
      </c>
      <c r="O2216" s="190">
        <f t="shared" si="275"/>
        <v>44.64</v>
      </c>
      <c r="P2216" s="191">
        <f t="shared" si="276"/>
        <v>0</v>
      </c>
      <c r="Q2216" s="192">
        <f t="shared" si="277"/>
        <v>0</v>
      </c>
      <c r="R2216" s="193"/>
      <c r="S2216" s="194"/>
      <c r="T2216" s="195">
        <f t="shared" si="278"/>
        <v>0</v>
      </c>
      <c r="U2216" s="195">
        <f t="shared" si="279"/>
        <v>0</v>
      </c>
      <c r="V2216" s="195">
        <f t="shared" si="280"/>
        <v>0</v>
      </c>
      <c r="W2216" s="196" t="e">
        <f t="shared" si="281"/>
        <v>#DIV/0!</v>
      </c>
      <c r="X2216" s="197" t="e">
        <f t="shared" si="282"/>
        <v>#DIV/0!</v>
      </c>
    </row>
    <row r="2217" ht="11.4" hidden="1" customHeight="1" spans="1:24">
      <c r="A2217" s="184" t="s">
        <v>3207</v>
      </c>
      <c r="B2217" s="184" t="s">
        <v>147</v>
      </c>
      <c r="C2217" s="184" t="s">
        <v>2074</v>
      </c>
      <c r="D2217" s="185" t="s">
        <v>704</v>
      </c>
      <c r="E2217" s="186" t="s">
        <v>906</v>
      </c>
      <c r="F2217" s="186" t="s">
        <v>907</v>
      </c>
      <c r="G2217" s="186" t="s">
        <v>2075</v>
      </c>
      <c r="H2217" s="186" t="s">
        <v>2245</v>
      </c>
      <c r="I2217" s="187" t="s">
        <v>2089</v>
      </c>
      <c r="J2217" s="187" t="s">
        <v>2090</v>
      </c>
      <c r="K2217" s="188"/>
      <c r="L2217" s="188"/>
      <c r="M2217" s="189" t="s">
        <v>1018</v>
      </c>
      <c r="N2217" s="190">
        <v>131.25</v>
      </c>
      <c r="O2217" s="190">
        <f t="shared" si="275"/>
        <v>143.06</v>
      </c>
      <c r="P2217" s="191">
        <f t="shared" si="276"/>
        <v>0</v>
      </c>
      <c r="Q2217" s="192">
        <f t="shared" si="277"/>
        <v>0</v>
      </c>
      <c r="R2217" s="193"/>
      <c r="S2217" s="194"/>
      <c r="T2217" s="195">
        <f t="shared" si="278"/>
        <v>0</v>
      </c>
      <c r="U2217" s="195">
        <f t="shared" si="279"/>
        <v>0</v>
      </c>
      <c r="V2217" s="195">
        <f t="shared" si="280"/>
        <v>0</v>
      </c>
      <c r="W2217" s="196" t="e">
        <f t="shared" si="281"/>
        <v>#DIV/0!</v>
      </c>
      <c r="X2217" s="197" t="e">
        <f t="shared" si="282"/>
        <v>#DIV/0!</v>
      </c>
    </row>
    <row r="2218" ht="11.4" hidden="1" customHeight="1" spans="1:24">
      <c r="A2218" s="184" t="s">
        <v>3207</v>
      </c>
      <c r="B2218" s="184" t="s">
        <v>147</v>
      </c>
      <c r="C2218" s="184" t="s">
        <v>2074</v>
      </c>
      <c r="D2218" s="185" t="s">
        <v>704</v>
      </c>
      <c r="E2218" s="186" t="s">
        <v>906</v>
      </c>
      <c r="F2218" s="186" t="s">
        <v>907</v>
      </c>
      <c r="G2218" s="186" t="s">
        <v>2075</v>
      </c>
      <c r="H2218" s="186" t="s">
        <v>2245</v>
      </c>
      <c r="I2218" s="187" t="s">
        <v>2091</v>
      </c>
      <c r="J2218" s="187" t="s">
        <v>2092</v>
      </c>
      <c r="K2218" s="188"/>
      <c r="L2218" s="188"/>
      <c r="M2218" s="189" t="s">
        <v>1018</v>
      </c>
      <c r="N2218" s="190">
        <v>222.6</v>
      </c>
      <c r="O2218" s="190">
        <f t="shared" si="275"/>
        <v>242.63</v>
      </c>
      <c r="P2218" s="191">
        <f t="shared" si="276"/>
        <v>0</v>
      </c>
      <c r="Q2218" s="192">
        <f t="shared" si="277"/>
        <v>0</v>
      </c>
      <c r="R2218" s="193"/>
      <c r="S2218" s="194"/>
      <c r="T2218" s="195">
        <f t="shared" si="278"/>
        <v>0</v>
      </c>
      <c r="U2218" s="195">
        <f t="shared" si="279"/>
        <v>0</v>
      </c>
      <c r="V2218" s="195">
        <f t="shared" si="280"/>
        <v>0</v>
      </c>
      <c r="W2218" s="196" t="e">
        <f t="shared" si="281"/>
        <v>#DIV/0!</v>
      </c>
      <c r="X2218" s="197" t="e">
        <f t="shared" si="282"/>
        <v>#DIV/0!</v>
      </c>
    </row>
    <row r="2219" ht="11.4" hidden="1" customHeight="1" spans="1:24">
      <c r="A2219" s="184" t="s">
        <v>3207</v>
      </c>
      <c r="B2219" s="184" t="s">
        <v>147</v>
      </c>
      <c r="C2219" s="184" t="s">
        <v>2074</v>
      </c>
      <c r="D2219" s="185" t="s">
        <v>704</v>
      </c>
      <c r="E2219" s="186" t="s">
        <v>906</v>
      </c>
      <c r="F2219" s="186" t="s">
        <v>907</v>
      </c>
      <c r="G2219" s="186" t="s">
        <v>2075</v>
      </c>
      <c r="H2219" s="186" t="s">
        <v>2245</v>
      </c>
      <c r="I2219" s="187" t="s">
        <v>2093</v>
      </c>
      <c r="J2219" s="187" t="s">
        <v>2094</v>
      </c>
      <c r="K2219" s="188"/>
      <c r="L2219" s="188"/>
      <c r="M2219" s="189" t="s">
        <v>1018</v>
      </c>
      <c r="N2219" s="190">
        <v>176.4</v>
      </c>
      <c r="O2219" s="190">
        <f t="shared" si="275"/>
        <v>192.28</v>
      </c>
      <c r="P2219" s="191">
        <f t="shared" si="276"/>
        <v>0</v>
      </c>
      <c r="Q2219" s="192">
        <f t="shared" si="277"/>
        <v>0</v>
      </c>
      <c r="R2219" s="193"/>
      <c r="S2219" s="194"/>
      <c r="T2219" s="195">
        <f t="shared" si="278"/>
        <v>0</v>
      </c>
      <c r="U2219" s="195">
        <f t="shared" si="279"/>
        <v>0</v>
      </c>
      <c r="V2219" s="195">
        <f t="shared" si="280"/>
        <v>0</v>
      </c>
      <c r="W2219" s="196" t="e">
        <f t="shared" si="281"/>
        <v>#DIV/0!</v>
      </c>
      <c r="X2219" s="197" t="e">
        <f t="shared" si="282"/>
        <v>#DIV/0!</v>
      </c>
    </row>
    <row r="2220" ht="11.4" hidden="1" customHeight="1" spans="1:24">
      <c r="A2220" s="184" t="s">
        <v>3207</v>
      </c>
      <c r="B2220" s="184" t="s">
        <v>147</v>
      </c>
      <c r="C2220" s="184" t="s">
        <v>2074</v>
      </c>
      <c r="D2220" s="185" t="s">
        <v>704</v>
      </c>
      <c r="E2220" s="186" t="s">
        <v>906</v>
      </c>
      <c r="F2220" s="186" t="s">
        <v>907</v>
      </c>
      <c r="G2220" s="186" t="s">
        <v>2075</v>
      </c>
      <c r="H2220" s="186" t="s">
        <v>2245</v>
      </c>
      <c r="I2220" s="187" t="s">
        <v>2095</v>
      </c>
      <c r="J2220" s="187" t="s">
        <v>2096</v>
      </c>
      <c r="K2220" s="188"/>
      <c r="L2220" s="188"/>
      <c r="M2220" s="189" t="s">
        <v>1018</v>
      </c>
      <c r="N2220" s="190">
        <v>134.4</v>
      </c>
      <c r="O2220" s="190">
        <f t="shared" si="275"/>
        <v>146.5</v>
      </c>
      <c r="P2220" s="191">
        <f t="shared" si="276"/>
        <v>0</v>
      </c>
      <c r="Q2220" s="192">
        <f t="shared" si="277"/>
        <v>0</v>
      </c>
      <c r="R2220" s="193"/>
      <c r="S2220" s="194"/>
      <c r="T2220" s="195">
        <f t="shared" si="278"/>
        <v>0</v>
      </c>
      <c r="U2220" s="195">
        <f t="shared" si="279"/>
        <v>0</v>
      </c>
      <c r="V2220" s="195">
        <f t="shared" si="280"/>
        <v>0</v>
      </c>
      <c r="W2220" s="196" t="e">
        <f t="shared" si="281"/>
        <v>#DIV/0!</v>
      </c>
      <c r="X2220" s="197" t="e">
        <f t="shared" si="282"/>
        <v>#DIV/0!</v>
      </c>
    </row>
    <row r="2221" ht="11.4" hidden="1" customHeight="1" spans="1:24">
      <c r="A2221" s="184" t="s">
        <v>3207</v>
      </c>
      <c r="B2221" s="184" t="s">
        <v>147</v>
      </c>
      <c r="C2221" s="184" t="s">
        <v>2074</v>
      </c>
      <c r="D2221" s="185" t="s">
        <v>704</v>
      </c>
      <c r="E2221" s="186" t="s">
        <v>906</v>
      </c>
      <c r="F2221" s="186" t="s">
        <v>907</v>
      </c>
      <c r="G2221" s="186" t="s">
        <v>2075</v>
      </c>
      <c r="H2221" s="186" t="s">
        <v>2245</v>
      </c>
      <c r="I2221" s="187" t="s">
        <v>2097</v>
      </c>
      <c r="J2221" s="187" t="s">
        <v>2098</v>
      </c>
      <c r="K2221" s="188"/>
      <c r="L2221" s="188"/>
      <c r="M2221" s="189" t="s">
        <v>1018</v>
      </c>
      <c r="N2221" s="190">
        <v>152.56</v>
      </c>
      <c r="O2221" s="190">
        <f t="shared" si="275"/>
        <v>166.29</v>
      </c>
      <c r="P2221" s="191">
        <f t="shared" si="276"/>
        <v>0</v>
      </c>
      <c r="Q2221" s="192">
        <f t="shared" si="277"/>
        <v>0</v>
      </c>
      <c r="R2221" s="193"/>
      <c r="S2221" s="194"/>
      <c r="T2221" s="195">
        <f t="shared" si="278"/>
        <v>0</v>
      </c>
      <c r="U2221" s="195">
        <f t="shared" si="279"/>
        <v>0</v>
      </c>
      <c r="V2221" s="195">
        <f t="shared" si="280"/>
        <v>0</v>
      </c>
      <c r="W2221" s="196" t="e">
        <f t="shared" si="281"/>
        <v>#DIV/0!</v>
      </c>
      <c r="X2221" s="197" t="e">
        <f t="shared" si="282"/>
        <v>#DIV/0!</v>
      </c>
    </row>
    <row r="2222" ht="11.4" hidden="1" customHeight="1" spans="1:24">
      <c r="A2222" s="184" t="s">
        <v>3207</v>
      </c>
      <c r="B2222" s="184" t="s">
        <v>147</v>
      </c>
      <c r="C2222" s="184" t="s">
        <v>2074</v>
      </c>
      <c r="D2222" s="185" t="s">
        <v>704</v>
      </c>
      <c r="E2222" s="186" t="s">
        <v>906</v>
      </c>
      <c r="F2222" s="186" t="s">
        <v>907</v>
      </c>
      <c r="G2222" s="186" t="s">
        <v>2075</v>
      </c>
      <c r="H2222" s="186" t="s">
        <v>2245</v>
      </c>
      <c r="I2222" s="187" t="s">
        <v>2099</v>
      </c>
      <c r="J2222" s="187" t="s">
        <v>2100</v>
      </c>
      <c r="K2222" s="188"/>
      <c r="L2222" s="188"/>
      <c r="M2222" s="189" t="s">
        <v>1018</v>
      </c>
      <c r="N2222" s="190">
        <v>222.6</v>
      </c>
      <c r="O2222" s="190">
        <f t="shared" si="275"/>
        <v>242.63</v>
      </c>
      <c r="P2222" s="191">
        <f t="shared" si="276"/>
        <v>0</v>
      </c>
      <c r="Q2222" s="192">
        <f t="shared" si="277"/>
        <v>0</v>
      </c>
      <c r="R2222" s="193"/>
      <c r="S2222" s="194"/>
      <c r="T2222" s="195">
        <f t="shared" si="278"/>
        <v>0</v>
      </c>
      <c r="U2222" s="195">
        <f t="shared" si="279"/>
        <v>0</v>
      </c>
      <c r="V2222" s="195">
        <f t="shared" si="280"/>
        <v>0</v>
      </c>
      <c r="W2222" s="196" t="e">
        <f t="shared" si="281"/>
        <v>#DIV/0!</v>
      </c>
      <c r="X2222" s="197" t="e">
        <f t="shared" si="282"/>
        <v>#DIV/0!</v>
      </c>
    </row>
    <row r="2223" ht="11.4" hidden="1" customHeight="1" spans="1:24">
      <c r="A2223" s="184" t="s">
        <v>3207</v>
      </c>
      <c r="B2223" s="184" t="s">
        <v>147</v>
      </c>
      <c r="C2223" s="184" t="s">
        <v>2074</v>
      </c>
      <c r="D2223" s="185" t="s">
        <v>704</v>
      </c>
      <c r="E2223" s="186" t="s">
        <v>906</v>
      </c>
      <c r="F2223" s="186" t="s">
        <v>907</v>
      </c>
      <c r="G2223" s="186" t="s">
        <v>2075</v>
      </c>
      <c r="H2223" s="186" t="s">
        <v>2245</v>
      </c>
      <c r="I2223" s="187" t="s">
        <v>2101</v>
      </c>
      <c r="J2223" s="187" t="s">
        <v>2102</v>
      </c>
      <c r="K2223" s="188"/>
      <c r="L2223" s="188"/>
      <c r="M2223" s="189" t="s">
        <v>1018</v>
      </c>
      <c r="N2223" s="190">
        <v>86.1</v>
      </c>
      <c r="O2223" s="190">
        <f t="shared" si="275"/>
        <v>93.85</v>
      </c>
      <c r="P2223" s="191">
        <f t="shared" si="276"/>
        <v>0</v>
      </c>
      <c r="Q2223" s="192">
        <f t="shared" si="277"/>
        <v>0</v>
      </c>
      <c r="R2223" s="193"/>
      <c r="S2223" s="194"/>
      <c r="T2223" s="195">
        <f t="shared" si="278"/>
        <v>0</v>
      </c>
      <c r="U2223" s="195">
        <f t="shared" si="279"/>
        <v>0</v>
      </c>
      <c r="V2223" s="195">
        <f t="shared" si="280"/>
        <v>0</v>
      </c>
      <c r="W2223" s="196" t="e">
        <f t="shared" si="281"/>
        <v>#DIV/0!</v>
      </c>
      <c r="X2223" s="197" t="e">
        <f t="shared" si="282"/>
        <v>#DIV/0!</v>
      </c>
    </row>
    <row r="2224" ht="11.4" hidden="1" customHeight="1" spans="1:24">
      <c r="A2224" s="184" t="s">
        <v>3207</v>
      </c>
      <c r="B2224" s="184" t="s">
        <v>147</v>
      </c>
      <c r="C2224" s="184" t="s">
        <v>2074</v>
      </c>
      <c r="D2224" s="185" t="s">
        <v>704</v>
      </c>
      <c r="E2224" s="186" t="s">
        <v>906</v>
      </c>
      <c r="F2224" s="186" t="s">
        <v>907</v>
      </c>
      <c r="G2224" s="186" t="s">
        <v>2075</v>
      </c>
      <c r="H2224" s="186" t="s">
        <v>2245</v>
      </c>
      <c r="I2224" s="187" t="s">
        <v>2248</v>
      </c>
      <c r="J2224" s="187" t="s">
        <v>2249</v>
      </c>
      <c r="K2224" s="188"/>
      <c r="L2224" s="188"/>
      <c r="M2224" s="189" t="s">
        <v>1018</v>
      </c>
      <c r="N2224" s="190">
        <v>190.05</v>
      </c>
      <c r="O2224" s="190">
        <f t="shared" si="275"/>
        <v>207.15</v>
      </c>
      <c r="P2224" s="191">
        <f t="shared" si="276"/>
        <v>0</v>
      </c>
      <c r="Q2224" s="192">
        <f t="shared" si="277"/>
        <v>0</v>
      </c>
      <c r="R2224" s="193"/>
      <c r="S2224" s="194"/>
      <c r="T2224" s="195">
        <f t="shared" si="278"/>
        <v>0</v>
      </c>
      <c r="U2224" s="195">
        <f t="shared" si="279"/>
        <v>0</v>
      </c>
      <c r="V2224" s="195">
        <f t="shared" si="280"/>
        <v>0</v>
      </c>
      <c r="W2224" s="196" t="e">
        <f t="shared" si="281"/>
        <v>#DIV/0!</v>
      </c>
      <c r="X2224" s="197" t="e">
        <f t="shared" si="282"/>
        <v>#DIV/0!</v>
      </c>
    </row>
    <row r="2225" ht="11.4" hidden="1" customHeight="1" spans="1:24">
      <c r="A2225" s="184" t="s">
        <v>3207</v>
      </c>
      <c r="B2225" s="184" t="s">
        <v>147</v>
      </c>
      <c r="C2225" s="184" t="s">
        <v>2074</v>
      </c>
      <c r="D2225" s="185" t="s">
        <v>704</v>
      </c>
      <c r="E2225" s="186" t="s">
        <v>906</v>
      </c>
      <c r="F2225" s="186" t="s">
        <v>907</v>
      </c>
      <c r="G2225" s="186" t="s">
        <v>2075</v>
      </c>
      <c r="H2225" s="186" t="s">
        <v>2245</v>
      </c>
      <c r="I2225" s="187" t="s">
        <v>2250</v>
      </c>
      <c r="J2225" s="187" t="s">
        <v>2251</v>
      </c>
      <c r="K2225" s="188"/>
      <c r="L2225" s="188"/>
      <c r="M2225" s="189" t="s">
        <v>1018</v>
      </c>
      <c r="N2225" s="190">
        <v>190.05</v>
      </c>
      <c r="O2225" s="190">
        <f t="shared" si="275"/>
        <v>207.15</v>
      </c>
      <c r="P2225" s="191">
        <f t="shared" si="276"/>
        <v>0</v>
      </c>
      <c r="Q2225" s="192">
        <f t="shared" si="277"/>
        <v>0</v>
      </c>
      <c r="R2225" s="193"/>
      <c r="S2225" s="194"/>
      <c r="T2225" s="195">
        <f t="shared" si="278"/>
        <v>0</v>
      </c>
      <c r="U2225" s="195">
        <f t="shared" si="279"/>
        <v>0</v>
      </c>
      <c r="V2225" s="195">
        <f t="shared" si="280"/>
        <v>0</v>
      </c>
      <c r="W2225" s="196" t="e">
        <f t="shared" si="281"/>
        <v>#DIV/0!</v>
      </c>
      <c r="X2225" s="197" t="e">
        <f t="shared" si="282"/>
        <v>#DIV/0!</v>
      </c>
    </row>
    <row r="2226" ht="11.4" hidden="1" customHeight="1" spans="1:24">
      <c r="A2226" s="184" t="s">
        <v>3207</v>
      </c>
      <c r="B2226" s="184" t="s">
        <v>147</v>
      </c>
      <c r="C2226" s="184" t="s">
        <v>2074</v>
      </c>
      <c r="D2226" s="185" t="s">
        <v>704</v>
      </c>
      <c r="E2226" s="186" t="s">
        <v>906</v>
      </c>
      <c r="F2226" s="186" t="s">
        <v>907</v>
      </c>
      <c r="G2226" s="186" t="s">
        <v>2075</v>
      </c>
      <c r="H2226" s="186" t="s">
        <v>2245</v>
      </c>
      <c r="I2226" s="187" t="s">
        <v>2252</v>
      </c>
      <c r="J2226" s="187" t="s">
        <v>2253</v>
      </c>
      <c r="K2226" s="188"/>
      <c r="L2226" s="188"/>
      <c r="M2226" s="189" t="s">
        <v>1018</v>
      </c>
      <c r="N2226" s="190">
        <v>194.25</v>
      </c>
      <c r="O2226" s="190">
        <f t="shared" si="275"/>
        <v>211.73</v>
      </c>
      <c r="P2226" s="191">
        <f t="shared" si="276"/>
        <v>0</v>
      </c>
      <c r="Q2226" s="192">
        <f t="shared" si="277"/>
        <v>0</v>
      </c>
      <c r="R2226" s="193"/>
      <c r="S2226" s="194"/>
      <c r="T2226" s="195">
        <f t="shared" si="278"/>
        <v>0</v>
      </c>
      <c r="U2226" s="195">
        <f t="shared" si="279"/>
        <v>0</v>
      </c>
      <c r="V2226" s="195">
        <f t="shared" si="280"/>
        <v>0</v>
      </c>
      <c r="W2226" s="196" t="e">
        <f t="shared" si="281"/>
        <v>#DIV/0!</v>
      </c>
      <c r="X2226" s="197" t="e">
        <f t="shared" si="282"/>
        <v>#DIV/0!</v>
      </c>
    </row>
    <row r="2227" ht="11.4" hidden="1" customHeight="1" spans="1:24">
      <c r="A2227" s="184" t="s">
        <v>3207</v>
      </c>
      <c r="B2227" s="184" t="s">
        <v>147</v>
      </c>
      <c r="C2227" s="184" t="s">
        <v>2074</v>
      </c>
      <c r="D2227" s="185" t="s">
        <v>704</v>
      </c>
      <c r="E2227" s="186" t="s">
        <v>906</v>
      </c>
      <c r="F2227" s="186" t="s">
        <v>907</v>
      </c>
      <c r="G2227" s="186" t="s">
        <v>2075</v>
      </c>
      <c r="H2227" s="186" t="s">
        <v>2245</v>
      </c>
      <c r="I2227" s="187" t="s">
        <v>2131</v>
      </c>
      <c r="J2227" s="187" t="s">
        <v>2132</v>
      </c>
      <c r="K2227" s="188"/>
      <c r="L2227" s="188"/>
      <c r="M2227" s="189" t="s">
        <v>1018</v>
      </c>
      <c r="N2227" s="190">
        <v>176.4</v>
      </c>
      <c r="O2227" s="190">
        <f t="shared" si="275"/>
        <v>192.28</v>
      </c>
      <c r="P2227" s="191">
        <f t="shared" si="276"/>
        <v>0</v>
      </c>
      <c r="Q2227" s="192">
        <f t="shared" si="277"/>
        <v>0</v>
      </c>
      <c r="R2227" s="193"/>
      <c r="S2227" s="194"/>
      <c r="T2227" s="195">
        <f t="shared" si="278"/>
        <v>0</v>
      </c>
      <c r="U2227" s="195">
        <f t="shared" si="279"/>
        <v>0</v>
      </c>
      <c r="V2227" s="195">
        <f t="shared" si="280"/>
        <v>0</v>
      </c>
      <c r="W2227" s="196" t="e">
        <f t="shared" si="281"/>
        <v>#DIV/0!</v>
      </c>
      <c r="X2227" s="197" t="e">
        <f t="shared" si="282"/>
        <v>#DIV/0!</v>
      </c>
    </row>
    <row r="2228" ht="11.4" hidden="1" customHeight="1" spans="1:24">
      <c r="A2228" s="184" t="s">
        <v>3207</v>
      </c>
      <c r="B2228" s="184" t="s">
        <v>147</v>
      </c>
      <c r="C2228" s="184" t="s">
        <v>2074</v>
      </c>
      <c r="D2228" s="185" t="s">
        <v>704</v>
      </c>
      <c r="E2228" s="186" t="s">
        <v>906</v>
      </c>
      <c r="F2228" s="186" t="s">
        <v>907</v>
      </c>
      <c r="G2228" s="186" t="s">
        <v>2075</v>
      </c>
      <c r="H2228" s="186" t="s">
        <v>2245</v>
      </c>
      <c r="I2228" s="187" t="s">
        <v>2142</v>
      </c>
      <c r="J2228" s="187" t="s">
        <v>2143</v>
      </c>
      <c r="K2228" s="188"/>
      <c r="L2228" s="188"/>
      <c r="M2228" s="189" t="s">
        <v>1018</v>
      </c>
      <c r="N2228" s="190">
        <v>92.4</v>
      </c>
      <c r="O2228" s="190">
        <f t="shared" si="275"/>
        <v>100.72</v>
      </c>
      <c r="P2228" s="191">
        <f t="shared" si="276"/>
        <v>0</v>
      </c>
      <c r="Q2228" s="192">
        <f t="shared" si="277"/>
        <v>0</v>
      </c>
      <c r="R2228" s="193"/>
      <c r="S2228" s="194"/>
      <c r="T2228" s="195">
        <f t="shared" si="278"/>
        <v>0</v>
      </c>
      <c r="U2228" s="195">
        <f t="shared" si="279"/>
        <v>0</v>
      </c>
      <c r="V2228" s="195">
        <f t="shared" si="280"/>
        <v>0</v>
      </c>
      <c r="W2228" s="196" t="e">
        <f t="shared" si="281"/>
        <v>#DIV/0!</v>
      </c>
      <c r="X2228" s="197" t="e">
        <f t="shared" si="282"/>
        <v>#DIV/0!</v>
      </c>
    </row>
    <row r="2229" ht="11.4" hidden="1" customHeight="1" spans="1:24">
      <c r="A2229" s="184" t="s">
        <v>3207</v>
      </c>
      <c r="B2229" s="184" t="s">
        <v>147</v>
      </c>
      <c r="C2229" s="184" t="s">
        <v>2074</v>
      </c>
      <c r="D2229" s="185" t="s">
        <v>704</v>
      </c>
      <c r="E2229" s="186" t="s">
        <v>906</v>
      </c>
      <c r="F2229" s="186" t="s">
        <v>907</v>
      </c>
      <c r="G2229" s="186" t="s">
        <v>2075</v>
      </c>
      <c r="H2229" s="186" t="s">
        <v>2245</v>
      </c>
      <c r="I2229" s="187" t="s">
        <v>2144</v>
      </c>
      <c r="J2229" s="187" t="s">
        <v>2145</v>
      </c>
      <c r="K2229" s="188"/>
      <c r="L2229" s="188"/>
      <c r="M2229" s="189" t="s">
        <v>1018</v>
      </c>
      <c r="N2229" s="190">
        <v>111.3</v>
      </c>
      <c r="O2229" s="190">
        <f t="shared" si="275"/>
        <v>121.32</v>
      </c>
      <c r="P2229" s="191">
        <f t="shared" si="276"/>
        <v>0</v>
      </c>
      <c r="Q2229" s="192">
        <f t="shared" si="277"/>
        <v>0</v>
      </c>
      <c r="R2229" s="193"/>
      <c r="S2229" s="194"/>
      <c r="T2229" s="195">
        <f t="shared" si="278"/>
        <v>0</v>
      </c>
      <c r="U2229" s="195">
        <f t="shared" si="279"/>
        <v>0</v>
      </c>
      <c r="V2229" s="195">
        <f t="shared" si="280"/>
        <v>0</v>
      </c>
      <c r="W2229" s="196" t="e">
        <f t="shared" si="281"/>
        <v>#DIV/0!</v>
      </c>
      <c r="X2229" s="197" t="e">
        <f t="shared" si="282"/>
        <v>#DIV/0!</v>
      </c>
    </row>
    <row r="2230" ht="11.4" hidden="1" customHeight="1" spans="1:24">
      <c r="A2230" s="184" t="s">
        <v>3207</v>
      </c>
      <c r="B2230" s="184" t="s">
        <v>147</v>
      </c>
      <c r="C2230" s="184" t="s">
        <v>2074</v>
      </c>
      <c r="D2230" s="185" t="s">
        <v>704</v>
      </c>
      <c r="E2230" s="186" t="s">
        <v>906</v>
      </c>
      <c r="F2230" s="186" t="s">
        <v>907</v>
      </c>
      <c r="G2230" s="186" t="s">
        <v>2075</v>
      </c>
      <c r="H2230" s="186" t="s">
        <v>2245</v>
      </c>
      <c r="I2230" s="187" t="s">
        <v>2146</v>
      </c>
      <c r="J2230" s="187" t="s">
        <v>2147</v>
      </c>
      <c r="K2230" s="188"/>
      <c r="L2230" s="188"/>
      <c r="M2230" s="189" t="s">
        <v>1018</v>
      </c>
      <c r="N2230" s="190">
        <v>181.65</v>
      </c>
      <c r="O2230" s="190">
        <f t="shared" si="275"/>
        <v>198</v>
      </c>
      <c r="P2230" s="191">
        <f t="shared" si="276"/>
        <v>0</v>
      </c>
      <c r="Q2230" s="192">
        <f t="shared" si="277"/>
        <v>0</v>
      </c>
      <c r="R2230" s="193"/>
      <c r="S2230" s="194"/>
      <c r="T2230" s="195">
        <f t="shared" si="278"/>
        <v>0</v>
      </c>
      <c r="U2230" s="195">
        <f t="shared" si="279"/>
        <v>0</v>
      </c>
      <c r="V2230" s="195">
        <f t="shared" si="280"/>
        <v>0</v>
      </c>
      <c r="W2230" s="196" t="e">
        <f t="shared" si="281"/>
        <v>#DIV/0!</v>
      </c>
      <c r="X2230" s="197" t="e">
        <f t="shared" si="282"/>
        <v>#DIV/0!</v>
      </c>
    </row>
    <row r="2231" ht="11.4" hidden="1" customHeight="1" spans="1:24">
      <c r="A2231" s="184" t="s">
        <v>3207</v>
      </c>
      <c r="B2231" s="184" t="s">
        <v>147</v>
      </c>
      <c r="C2231" s="184" t="s">
        <v>2074</v>
      </c>
      <c r="D2231" s="185" t="s">
        <v>704</v>
      </c>
      <c r="E2231" s="186" t="s">
        <v>906</v>
      </c>
      <c r="F2231" s="186" t="s">
        <v>907</v>
      </c>
      <c r="G2231" s="186" t="s">
        <v>2075</v>
      </c>
      <c r="H2231" s="186" t="s">
        <v>2245</v>
      </c>
      <c r="I2231" s="187" t="s">
        <v>2148</v>
      </c>
      <c r="J2231" s="187" t="s">
        <v>2149</v>
      </c>
      <c r="K2231" s="188"/>
      <c r="L2231" s="188"/>
      <c r="M2231" s="189" t="s">
        <v>1018</v>
      </c>
      <c r="N2231" s="190">
        <v>198.45</v>
      </c>
      <c r="O2231" s="190">
        <f t="shared" si="275"/>
        <v>216.31</v>
      </c>
      <c r="P2231" s="191">
        <f t="shared" si="276"/>
        <v>0</v>
      </c>
      <c r="Q2231" s="192">
        <f t="shared" si="277"/>
        <v>0</v>
      </c>
      <c r="R2231" s="193"/>
      <c r="S2231" s="194"/>
      <c r="T2231" s="195">
        <f t="shared" si="278"/>
        <v>0</v>
      </c>
      <c r="U2231" s="195">
        <f t="shared" si="279"/>
        <v>0</v>
      </c>
      <c r="V2231" s="195">
        <f t="shared" si="280"/>
        <v>0</v>
      </c>
      <c r="W2231" s="196" t="e">
        <f t="shared" si="281"/>
        <v>#DIV/0!</v>
      </c>
      <c r="X2231" s="197" t="e">
        <f t="shared" si="282"/>
        <v>#DIV/0!</v>
      </c>
    </row>
    <row r="2232" ht="11.4" hidden="1" customHeight="1" spans="1:24">
      <c r="A2232" s="184" t="s">
        <v>3207</v>
      </c>
      <c r="B2232" s="184" t="s">
        <v>147</v>
      </c>
      <c r="C2232" s="184" t="s">
        <v>2074</v>
      </c>
      <c r="D2232" s="185" t="s">
        <v>704</v>
      </c>
      <c r="E2232" s="186" t="s">
        <v>906</v>
      </c>
      <c r="F2232" s="186" t="s">
        <v>907</v>
      </c>
      <c r="G2232" s="186" t="s">
        <v>2075</v>
      </c>
      <c r="H2232" s="186" t="s">
        <v>2245</v>
      </c>
      <c r="I2232" s="187" t="s">
        <v>2150</v>
      </c>
      <c r="J2232" s="187" t="s">
        <v>2151</v>
      </c>
      <c r="K2232" s="188"/>
      <c r="L2232" s="188"/>
      <c r="M2232" s="189" t="s">
        <v>1018</v>
      </c>
      <c r="N2232" s="190">
        <v>113.4</v>
      </c>
      <c r="O2232" s="190">
        <f t="shared" si="275"/>
        <v>123.61</v>
      </c>
      <c r="P2232" s="191">
        <f t="shared" si="276"/>
        <v>0</v>
      </c>
      <c r="Q2232" s="192">
        <f t="shared" si="277"/>
        <v>0</v>
      </c>
      <c r="R2232" s="193"/>
      <c r="S2232" s="194"/>
      <c r="T2232" s="195">
        <f t="shared" si="278"/>
        <v>0</v>
      </c>
      <c r="U2232" s="195">
        <f t="shared" si="279"/>
        <v>0</v>
      </c>
      <c r="V2232" s="195">
        <f t="shared" si="280"/>
        <v>0</v>
      </c>
      <c r="W2232" s="196" t="e">
        <f t="shared" si="281"/>
        <v>#DIV/0!</v>
      </c>
      <c r="X2232" s="197" t="e">
        <f t="shared" si="282"/>
        <v>#DIV/0!</v>
      </c>
    </row>
    <row r="2233" ht="11.4" hidden="1" customHeight="1" spans="1:24">
      <c r="A2233" s="184" t="s">
        <v>3207</v>
      </c>
      <c r="B2233" s="184" t="s">
        <v>147</v>
      </c>
      <c r="C2233" s="184" t="s">
        <v>2074</v>
      </c>
      <c r="D2233" s="185" t="s">
        <v>704</v>
      </c>
      <c r="E2233" s="186" t="s">
        <v>906</v>
      </c>
      <c r="F2233" s="186" t="s">
        <v>907</v>
      </c>
      <c r="G2233" s="186" t="s">
        <v>2075</v>
      </c>
      <c r="H2233" s="186" t="s">
        <v>2245</v>
      </c>
      <c r="I2233" s="187" t="s">
        <v>2152</v>
      </c>
      <c r="J2233" s="187" t="s">
        <v>2153</v>
      </c>
      <c r="K2233" s="188"/>
      <c r="L2233" s="188"/>
      <c r="M2233" s="189" t="s">
        <v>1018</v>
      </c>
      <c r="N2233" s="190">
        <v>152.56</v>
      </c>
      <c r="O2233" s="190">
        <f t="shared" si="275"/>
        <v>166.29</v>
      </c>
      <c r="P2233" s="191">
        <f t="shared" si="276"/>
        <v>0</v>
      </c>
      <c r="Q2233" s="192">
        <f t="shared" si="277"/>
        <v>0</v>
      </c>
      <c r="R2233" s="193"/>
      <c r="S2233" s="194"/>
      <c r="T2233" s="195">
        <f t="shared" si="278"/>
        <v>0</v>
      </c>
      <c r="U2233" s="195">
        <f t="shared" si="279"/>
        <v>0</v>
      </c>
      <c r="V2233" s="195">
        <f t="shared" si="280"/>
        <v>0</v>
      </c>
      <c r="W2233" s="196" t="e">
        <f t="shared" si="281"/>
        <v>#DIV/0!</v>
      </c>
      <c r="X2233" s="197" t="e">
        <f t="shared" si="282"/>
        <v>#DIV/0!</v>
      </c>
    </row>
    <row r="2234" ht="11.4" hidden="1" customHeight="1" spans="1:24">
      <c r="A2234" s="184" t="s">
        <v>3207</v>
      </c>
      <c r="B2234" s="184" t="s">
        <v>147</v>
      </c>
      <c r="C2234" s="184" t="s">
        <v>2074</v>
      </c>
      <c r="D2234" s="185" t="s">
        <v>704</v>
      </c>
      <c r="E2234" s="186" t="s">
        <v>906</v>
      </c>
      <c r="F2234" s="186" t="s">
        <v>907</v>
      </c>
      <c r="G2234" s="186" t="s">
        <v>2075</v>
      </c>
      <c r="H2234" s="186" t="s">
        <v>2245</v>
      </c>
      <c r="I2234" s="187" t="s">
        <v>2154</v>
      </c>
      <c r="J2234" s="187" t="s">
        <v>2155</v>
      </c>
      <c r="K2234" s="188"/>
      <c r="L2234" s="188"/>
      <c r="M2234" s="189" t="s">
        <v>1018</v>
      </c>
      <c r="N2234" s="190">
        <v>184.8</v>
      </c>
      <c r="O2234" s="190">
        <f t="shared" si="275"/>
        <v>201.43</v>
      </c>
      <c r="P2234" s="191">
        <f t="shared" si="276"/>
        <v>0</v>
      </c>
      <c r="Q2234" s="192">
        <f t="shared" si="277"/>
        <v>0</v>
      </c>
      <c r="R2234" s="193"/>
      <c r="S2234" s="194"/>
      <c r="T2234" s="195">
        <f t="shared" si="278"/>
        <v>0</v>
      </c>
      <c r="U2234" s="195">
        <f t="shared" si="279"/>
        <v>0</v>
      </c>
      <c r="V2234" s="195">
        <f t="shared" si="280"/>
        <v>0</v>
      </c>
      <c r="W2234" s="196" t="e">
        <f t="shared" si="281"/>
        <v>#DIV/0!</v>
      </c>
      <c r="X2234" s="197" t="e">
        <f t="shared" si="282"/>
        <v>#DIV/0!</v>
      </c>
    </row>
    <row r="2235" ht="11.4" hidden="1" customHeight="1" spans="1:24">
      <c r="A2235" s="184" t="s">
        <v>3207</v>
      </c>
      <c r="B2235" s="184" t="s">
        <v>147</v>
      </c>
      <c r="C2235" s="184" t="s">
        <v>2074</v>
      </c>
      <c r="D2235" s="185" t="s">
        <v>704</v>
      </c>
      <c r="E2235" s="186" t="s">
        <v>906</v>
      </c>
      <c r="F2235" s="186" t="s">
        <v>907</v>
      </c>
      <c r="G2235" s="186" t="s">
        <v>2075</v>
      </c>
      <c r="H2235" s="186" t="s">
        <v>2245</v>
      </c>
      <c r="I2235" s="187" t="s">
        <v>2156</v>
      </c>
      <c r="J2235" s="187" t="s">
        <v>2157</v>
      </c>
      <c r="K2235" s="188"/>
      <c r="L2235" s="188"/>
      <c r="M2235" s="189" t="s">
        <v>1018</v>
      </c>
      <c r="N2235" s="190">
        <v>89.25</v>
      </c>
      <c r="O2235" s="190">
        <f t="shared" si="275"/>
        <v>97.28</v>
      </c>
      <c r="P2235" s="191">
        <f t="shared" si="276"/>
        <v>0</v>
      </c>
      <c r="Q2235" s="192">
        <f t="shared" si="277"/>
        <v>0</v>
      </c>
      <c r="R2235" s="193"/>
      <c r="S2235" s="194"/>
      <c r="T2235" s="195">
        <f t="shared" si="278"/>
        <v>0</v>
      </c>
      <c r="U2235" s="195">
        <f t="shared" si="279"/>
        <v>0</v>
      </c>
      <c r="V2235" s="195">
        <f t="shared" si="280"/>
        <v>0</v>
      </c>
      <c r="W2235" s="196" t="e">
        <f t="shared" si="281"/>
        <v>#DIV/0!</v>
      </c>
      <c r="X2235" s="197" t="e">
        <f t="shared" si="282"/>
        <v>#DIV/0!</v>
      </c>
    </row>
    <row r="2236" ht="11.4" hidden="1" customHeight="1" spans="1:24">
      <c r="A2236" s="184" t="s">
        <v>3207</v>
      </c>
      <c r="B2236" s="184" t="s">
        <v>147</v>
      </c>
      <c r="C2236" s="184" t="s">
        <v>2074</v>
      </c>
      <c r="D2236" s="185" t="s">
        <v>704</v>
      </c>
      <c r="E2236" s="186" t="s">
        <v>906</v>
      </c>
      <c r="F2236" s="186" t="s">
        <v>907</v>
      </c>
      <c r="G2236" s="186" t="s">
        <v>2075</v>
      </c>
      <c r="H2236" s="186" t="s">
        <v>2245</v>
      </c>
      <c r="I2236" s="187" t="s">
        <v>2254</v>
      </c>
      <c r="J2236" s="187" t="s">
        <v>2255</v>
      </c>
      <c r="K2236" s="188"/>
      <c r="L2236" s="188"/>
      <c r="M2236" s="189" t="s">
        <v>1018</v>
      </c>
      <c r="N2236" s="190">
        <v>170.1</v>
      </c>
      <c r="O2236" s="190">
        <f t="shared" si="275"/>
        <v>185.41</v>
      </c>
      <c r="P2236" s="191">
        <f t="shared" si="276"/>
        <v>0</v>
      </c>
      <c r="Q2236" s="192">
        <f t="shared" si="277"/>
        <v>0</v>
      </c>
      <c r="R2236" s="193"/>
      <c r="S2236" s="194"/>
      <c r="T2236" s="195">
        <f t="shared" si="278"/>
        <v>0</v>
      </c>
      <c r="U2236" s="195">
        <f t="shared" si="279"/>
        <v>0</v>
      </c>
      <c r="V2236" s="195">
        <f t="shared" si="280"/>
        <v>0</v>
      </c>
      <c r="W2236" s="196" t="e">
        <f t="shared" si="281"/>
        <v>#DIV/0!</v>
      </c>
      <c r="X2236" s="197" t="e">
        <f t="shared" si="282"/>
        <v>#DIV/0!</v>
      </c>
    </row>
    <row r="2237" ht="11.4" hidden="1" customHeight="1" spans="1:24">
      <c r="A2237" s="184" t="s">
        <v>3207</v>
      </c>
      <c r="B2237" s="184" t="s">
        <v>147</v>
      </c>
      <c r="C2237" s="184" t="s">
        <v>2074</v>
      </c>
      <c r="D2237" s="185" t="s">
        <v>704</v>
      </c>
      <c r="E2237" s="186" t="s">
        <v>906</v>
      </c>
      <c r="F2237" s="186" t="s">
        <v>907</v>
      </c>
      <c r="G2237" s="186" t="s">
        <v>2075</v>
      </c>
      <c r="H2237" s="186" t="s">
        <v>2245</v>
      </c>
      <c r="I2237" s="187" t="s">
        <v>2256</v>
      </c>
      <c r="J2237" s="187" t="s">
        <v>2257</v>
      </c>
      <c r="K2237" s="188"/>
      <c r="L2237" s="188"/>
      <c r="M2237" s="189" t="s">
        <v>1018</v>
      </c>
      <c r="N2237" s="190">
        <v>172.2</v>
      </c>
      <c r="O2237" s="190">
        <f t="shared" si="275"/>
        <v>187.7</v>
      </c>
      <c r="P2237" s="191">
        <f t="shared" si="276"/>
        <v>0</v>
      </c>
      <c r="Q2237" s="192">
        <f t="shared" si="277"/>
        <v>0</v>
      </c>
      <c r="R2237" s="193"/>
      <c r="S2237" s="194"/>
      <c r="T2237" s="195">
        <f t="shared" si="278"/>
        <v>0</v>
      </c>
      <c r="U2237" s="195">
        <f t="shared" si="279"/>
        <v>0</v>
      </c>
      <c r="V2237" s="195">
        <f t="shared" si="280"/>
        <v>0</v>
      </c>
      <c r="W2237" s="196" t="e">
        <f t="shared" si="281"/>
        <v>#DIV/0!</v>
      </c>
      <c r="X2237" s="197" t="e">
        <f t="shared" si="282"/>
        <v>#DIV/0!</v>
      </c>
    </row>
    <row r="2238" ht="11.4" hidden="1" customHeight="1" spans="1:24">
      <c r="A2238" s="184" t="s">
        <v>3207</v>
      </c>
      <c r="B2238" s="184" t="s">
        <v>147</v>
      </c>
      <c r="C2238" s="184" t="s">
        <v>2074</v>
      </c>
      <c r="D2238" s="185" t="s">
        <v>704</v>
      </c>
      <c r="E2238" s="186" t="s">
        <v>906</v>
      </c>
      <c r="F2238" s="186" t="s">
        <v>907</v>
      </c>
      <c r="G2238" s="186" t="s">
        <v>2075</v>
      </c>
      <c r="H2238" s="186" t="s">
        <v>2245</v>
      </c>
      <c r="I2238" s="187" t="s">
        <v>2186</v>
      </c>
      <c r="J2238" s="187" t="s">
        <v>2187</v>
      </c>
      <c r="K2238" s="188"/>
      <c r="L2238" s="188"/>
      <c r="M2238" s="189" t="s">
        <v>1018</v>
      </c>
      <c r="N2238" s="190">
        <v>141.75</v>
      </c>
      <c r="O2238" s="190">
        <f t="shared" si="275"/>
        <v>154.51</v>
      </c>
      <c r="P2238" s="191">
        <f t="shared" si="276"/>
        <v>0</v>
      </c>
      <c r="Q2238" s="192">
        <f t="shared" si="277"/>
        <v>0</v>
      </c>
      <c r="R2238" s="193"/>
      <c r="S2238" s="194"/>
      <c r="T2238" s="195">
        <f t="shared" si="278"/>
        <v>0</v>
      </c>
      <c r="U2238" s="195">
        <f t="shared" si="279"/>
        <v>0</v>
      </c>
      <c r="V2238" s="195">
        <f t="shared" si="280"/>
        <v>0</v>
      </c>
      <c r="W2238" s="196" t="e">
        <f t="shared" si="281"/>
        <v>#DIV/0!</v>
      </c>
      <c r="X2238" s="197" t="e">
        <f t="shared" si="282"/>
        <v>#DIV/0!</v>
      </c>
    </row>
    <row r="2239" ht="11.4" hidden="1" customHeight="1" spans="1:24">
      <c r="A2239" s="184" t="s">
        <v>3207</v>
      </c>
      <c r="B2239" s="184" t="s">
        <v>147</v>
      </c>
      <c r="C2239" s="184" t="s">
        <v>2074</v>
      </c>
      <c r="D2239" s="185" t="s">
        <v>704</v>
      </c>
      <c r="E2239" s="186" t="s">
        <v>906</v>
      </c>
      <c r="F2239" s="186" t="s">
        <v>907</v>
      </c>
      <c r="G2239" s="186" t="s">
        <v>2075</v>
      </c>
      <c r="H2239" s="186" t="s">
        <v>2245</v>
      </c>
      <c r="I2239" s="187" t="s">
        <v>2196</v>
      </c>
      <c r="J2239" s="187" t="s">
        <v>2197</v>
      </c>
      <c r="K2239" s="188"/>
      <c r="L2239" s="188"/>
      <c r="M2239" s="189" t="s">
        <v>1018</v>
      </c>
      <c r="N2239" s="190">
        <v>68.25</v>
      </c>
      <c r="O2239" s="190">
        <f t="shared" si="275"/>
        <v>74.39</v>
      </c>
      <c r="P2239" s="191">
        <f t="shared" si="276"/>
        <v>0</v>
      </c>
      <c r="Q2239" s="192">
        <f t="shared" si="277"/>
        <v>0</v>
      </c>
      <c r="R2239" s="193"/>
      <c r="S2239" s="194"/>
      <c r="T2239" s="195">
        <f t="shared" si="278"/>
        <v>0</v>
      </c>
      <c r="U2239" s="195">
        <f t="shared" si="279"/>
        <v>0</v>
      </c>
      <c r="V2239" s="195">
        <f t="shared" si="280"/>
        <v>0</v>
      </c>
      <c r="W2239" s="196" t="e">
        <f t="shared" si="281"/>
        <v>#DIV/0!</v>
      </c>
      <c r="X2239" s="197" t="e">
        <f t="shared" si="282"/>
        <v>#DIV/0!</v>
      </c>
    </row>
    <row r="2240" ht="11.4" hidden="1" customHeight="1" spans="1:24">
      <c r="A2240" s="184" t="s">
        <v>3207</v>
      </c>
      <c r="B2240" s="184" t="s">
        <v>147</v>
      </c>
      <c r="C2240" s="184" t="s">
        <v>2074</v>
      </c>
      <c r="D2240" s="185" t="s">
        <v>704</v>
      </c>
      <c r="E2240" s="186" t="s">
        <v>906</v>
      </c>
      <c r="F2240" s="186" t="s">
        <v>907</v>
      </c>
      <c r="G2240" s="186" t="s">
        <v>2075</v>
      </c>
      <c r="H2240" s="186" t="s">
        <v>2245</v>
      </c>
      <c r="I2240" s="187" t="s">
        <v>2198</v>
      </c>
      <c r="J2240" s="187" t="s">
        <v>2199</v>
      </c>
      <c r="K2240" s="188"/>
      <c r="L2240" s="188"/>
      <c r="M2240" s="189" t="s">
        <v>1018</v>
      </c>
      <c r="N2240" s="190">
        <v>110.25</v>
      </c>
      <c r="O2240" s="190">
        <f t="shared" si="275"/>
        <v>120.17</v>
      </c>
      <c r="P2240" s="191">
        <f t="shared" si="276"/>
        <v>0</v>
      </c>
      <c r="Q2240" s="192">
        <f t="shared" si="277"/>
        <v>0</v>
      </c>
      <c r="R2240" s="193"/>
      <c r="S2240" s="194"/>
      <c r="T2240" s="195">
        <f t="shared" si="278"/>
        <v>0</v>
      </c>
      <c r="U2240" s="195">
        <f t="shared" si="279"/>
        <v>0</v>
      </c>
      <c r="V2240" s="195">
        <f t="shared" si="280"/>
        <v>0</v>
      </c>
      <c r="W2240" s="196" t="e">
        <f t="shared" si="281"/>
        <v>#DIV/0!</v>
      </c>
      <c r="X2240" s="197" t="e">
        <f t="shared" si="282"/>
        <v>#DIV/0!</v>
      </c>
    </row>
    <row r="2241" ht="11.4" hidden="1" customHeight="1" spans="1:24">
      <c r="A2241" s="184" t="s">
        <v>3207</v>
      </c>
      <c r="B2241" s="184" t="s">
        <v>147</v>
      </c>
      <c r="C2241" s="184" t="s">
        <v>2074</v>
      </c>
      <c r="D2241" s="185" t="s">
        <v>704</v>
      </c>
      <c r="E2241" s="186" t="s">
        <v>906</v>
      </c>
      <c r="F2241" s="186" t="s">
        <v>907</v>
      </c>
      <c r="G2241" s="186" t="s">
        <v>2075</v>
      </c>
      <c r="H2241" s="186" t="s">
        <v>2245</v>
      </c>
      <c r="I2241" s="187" t="s">
        <v>2200</v>
      </c>
      <c r="J2241" s="187" t="s">
        <v>2201</v>
      </c>
      <c r="K2241" s="188"/>
      <c r="L2241" s="188"/>
      <c r="M2241" s="189" t="s">
        <v>1018</v>
      </c>
      <c r="N2241" s="190">
        <v>178.5</v>
      </c>
      <c r="O2241" s="190">
        <f t="shared" si="275"/>
        <v>194.57</v>
      </c>
      <c r="P2241" s="191">
        <f t="shared" si="276"/>
        <v>0</v>
      </c>
      <c r="Q2241" s="192">
        <f t="shared" si="277"/>
        <v>0</v>
      </c>
      <c r="R2241" s="193"/>
      <c r="S2241" s="194"/>
      <c r="T2241" s="195">
        <f t="shared" si="278"/>
        <v>0</v>
      </c>
      <c r="U2241" s="195">
        <f t="shared" si="279"/>
        <v>0</v>
      </c>
      <c r="V2241" s="195">
        <f t="shared" si="280"/>
        <v>0</v>
      </c>
      <c r="W2241" s="196" t="e">
        <f t="shared" si="281"/>
        <v>#DIV/0!</v>
      </c>
      <c r="X2241" s="197" t="e">
        <f t="shared" si="282"/>
        <v>#DIV/0!</v>
      </c>
    </row>
    <row r="2242" ht="11.4" hidden="1" customHeight="1" spans="1:24">
      <c r="A2242" s="184" t="s">
        <v>3207</v>
      </c>
      <c r="B2242" s="184" t="s">
        <v>147</v>
      </c>
      <c r="C2242" s="184" t="s">
        <v>2074</v>
      </c>
      <c r="D2242" s="185" t="s">
        <v>704</v>
      </c>
      <c r="E2242" s="186" t="s">
        <v>906</v>
      </c>
      <c r="F2242" s="186" t="s">
        <v>907</v>
      </c>
      <c r="G2242" s="186" t="s">
        <v>2075</v>
      </c>
      <c r="H2242" s="186" t="s">
        <v>2245</v>
      </c>
      <c r="I2242" s="187" t="s">
        <v>2202</v>
      </c>
      <c r="J2242" s="187" t="s">
        <v>2203</v>
      </c>
      <c r="K2242" s="188"/>
      <c r="L2242" s="188"/>
      <c r="M2242" s="189" t="s">
        <v>1018</v>
      </c>
      <c r="N2242" s="190">
        <v>147</v>
      </c>
      <c r="O2242" s="190">
        <f t="shared" si="275"/>
        <v>160.23</v>
      </c>
      <c r="P2242" s="191">
        <f t="shared" si="276"/>
        <v>0</v>
      </c>
      <c r="Q2242" s="192">
        <f t="shared" si="277"/>
        <v>0</v>
      </c>
      <c r="R2242" s="193"/>
      <c r="S2242" s="194"/>
      <c r="T2242" s="195">
        <f t="shared" si="278"/>
        <v>0</v>
      </c>
      <c r="U2242" s="195">
        <f t="shared" si="279"/>
        <v>0</v>
      </c>
      <c r="V2242" s="195">
        <f t="shared" si="280"/>
        <v>0</v>
      </c>
      <c r="W2242" s="196" t="e">
        <f t="shared" si="281"/>
        <v>#DIV/0!</v>
      </c>
      <c r="X2242" s="197" t="e">
        <f t="shared" si="282"/>
        <v>#DIV/0!</v>
      </c>
    </row>
    <row r="2243" ht="11.4" hidden="1" customHeight="1" spans="1:24">
      <c r="A2243" s="184" t="s">
        <v>3207</v>
      </c>
      <c r="B2243" s="184" t="s">
        <v>147</v>
      </c>
      <c r="C2243" s="184" t="s">
        <v>2074</v>
      </c>
      <c r="D2243" s="185" t="s">
        <v>704</v>
      </c>
      <c r="E2243" s="186" t="s">
        <v>906</v>
      </c>
      <c r="F2243" s="186" t="s">
        <v>907</v>
      </c>
      <c r="G2243" s="186" t="s">
        <v>2075</v>
      </c>
      <c r="H2243" s="186" t="s">
        <v>2245</v>
      </c>
      <c r="I2243" s="187" t="s">
        <v>2204</v>
      </c>
      <c r="J2243" s="187" t="s">
        <v>2205</v>
      </c>
      <c r="K2243" s="188"/>
      <c r="L2243" s="188"/>
      <c r="M2243" s="189" t="s">
        <v>1018</v>
      </c>
      <c r="N2243" s="190">
        <v>105</v>
      </c>
      <c r="O2243" s="190">
        <f t="shared" si="275"/>
        <v>114.45</v>
      </c>
      <c r="P2243" s="191">
        <f t="shared" si="276"/>
        <v>0</v>
      </c>
      <c r="Q2243" s="192">
        <f t="shared" si="277"/>
        <v>0</v>
      </c>
      <c r="R2243" s="193"/>
      <c r="S2243" s="194"/>
      <c r="T2243" s="195">
        <f t="shared" si="278"/>
        <v>0</v>
      </c>
      <c r="U2243" s="195">
        <f t="shared" si="279"/>
        <v>0</v>
      </c>
      <c r="V2243" s="195">
        <f t="shared" si="280"/>
        <v>0</v>
      </c>
      <c r="W2243" s="196" t="e">
        <f t="shared" si="281"/>
        <v>#DIV/0!</v>
      </c>
      <c r="X2243" s="197" t="e">
        <f t="shared" si="282"/>
        <v>#DIV/0!</v>
      </c>
    </row>
    <row r="2244" ht="11.4" hidden="1" customHeight="1" spans="1:24">
      <c r="A2244" s="184" t="s">
        <v>3207</v>
      </c>
      <c r="B2244" s="184" t="s">
        <v>147</v>
      </c>
      <c r="C2244" s="184" t="s">
        <v>2074</v>
      </c>
      <c r="D2244" s="185" t="s">
        <v>704</v>
      </c>
      <c r="E2244" s="186" t="s">
        <v>906</v>
      </c>
      <c r="F2244" s="186" t="s">
        <v>907</v>
      </c>
      <c r="G2244" s="186" t="s">
        <v>2075</v>
      </c>
      <c r="H2244" s="186" t="s">
        <v>2245</v>
      </c>
      <c r="I2244" s="187" t="s">
        <v>2206</v>
      </c>
      <c r="J2244" s="187" t="s">
        <v>2207</v>
      </c>
      <c r="K2244" s="188"/>
      <c r="L2244" s="188"/>
      <c r="M2244" s="189" t="s">
        <v>1018</v>
      </c>
      <c r="N2244" s="190">
        <v>126</v>
      </c>
      <c r="O2244" s="190">
        <f t="shared" si="275"/>
        <v>137.34</v>
      </c>
      <c r="P2244" s="191">
        <f t="shared" si="276"/>
        <v>0</v>
      </c>
      <c r="Q2244" s="192">
        <f t="shared" si="277"/>
        <v>0</v>
      </c>
      <c r="R2244" s="193"/>
      <c r="S2244" s="194"/>
      <c r="T2244" s="195">
        <f t="shared" si="278"/>
        <v>0</v>
      </c>
      <c r="U2244" s="195">
        <f t="shared" si="279"/>
        <v>0</v>
      </c>
      <c r="V2244" s="195">
        <f t="shared" si="280"/>
        <v>0</v>
      </c>
      <c r="W2244" s="196" t="e">
        <f t="shared" si="281"/>
        <v>#DIV/0!</v>
      </c>
      <c r="X2244" s="197" t="e">
        <f t="shared" si="282"/>
        <v>#DIV/0!</v>
      </c>
    </row>
    <row r="2245" ht="11.4" hidden="1" customHeight="1" spans="1:24">
      <c r="A2245" s="184" t="s">
        <v>3207</v>
      </c>
      <c r="B2245" s="184" t="s">
        <v>147</v>
      </c>
      <c r="C2245" s="184" t="s">
        <v>2074</v>
      </c>
      <c r="D2245" s="185" t="s">
        <v>704</v>
      </c>
      <c r="E2245" s="186" t="s">
        <v>906</v>
      </c>
      <c r="F2245" s="186" t="s">
        <v>907</v>
      </c>
      <c r="G2245" s="186" t="s">
        <v>2075</v>
      </c>
      <c r="H2245" s="186" t="s">
        <v>2245</v>
      </c>
      <c r="I2245" s="187" t="s">
        <v>2208</v>
      </c>
      <c r="J2245" s="187" t="s">
        <v>2209</v>
      </c>
      <c r="K2245" s="188"/>
      <c r="L2245" s="188"/>
      <c r="M2245" s="189" t="s">
        <v>1018</v>
      </c>
      <c r="N2245" s="190">
        <v>204.75</v>
      </c>
      <c r="O2245" s="190">
        <f t="shared" si="275"/>
        <v>223.18</v>
      </c>
      <c r="P2245" s="191">
        <f t="shared" si="276"/>
        <v>0</v>
      </c>
      <c r="Q2245" s="192">
        <f t="shared" si="277"/>
        <v>0</v>
      </c>
      <c r="R2245" s="193"/>
      <c r="S2245" s="194"/>
      <c r="T2245" s="195">
        <f t="shared" si="278"/>
        <v>0</v>
      </c>
      <c r="U2245" s="195">
        <f t="shared" si="279"/>
        <v>0</v>
      </c>
      <c r="V2245" s="195">
        <f t="shared" si="280"/>
        <v>0</v>
      </c>
      <c r="W2245" s="196" t="e">
        <f t="shared" si="281"/>
        <v>#DIV/0!</v>
      </c>
      <c r="X2245" s="197" t="e">
        <f t="shared" si="282"/>
        <v>#DIV/0!</v>
      </c>
    </row>
    <row r="2246" ht="11.4" hidden="1" customHeight="1" spans="1:24">
      <c r="A2246" s="184" t="s">
        <v>3207</v>
      </c>
      <c r="B2246" s="184" t="s">
        <v>147</v>
      </c>
      <c r="C2246" s="184" t="s">
        <v>2074</v>
      </c>
      <c r="D2246" s="185" t="s">
        <v>704</v>
      </c>
      <c r="E2246" s="186" t="s">
        <v>906</v>
      </c>
      <c r="F2246" s="186" t="s">
        <v>907</v>
      </c>
      <c r="G2246" s="186" t="s">
        <v>2075</v>
      </c>
      <c r="H2246" s="186" t="s">
        <v>2245</v>
      </c>
      <c r="I2246" s="187" t="s">
        <v>2258</v>
      </c>
      <c r="J2246" s="187" t="s">
        <v>2259</v>
      </c>
      <c r="K2246" s="188"/>
      <c r="L2246" s="188"/>
      <c r="M2246" s="189" t="s">
        <v>1018</v>
      </c>
      <c r="N2246" s="190">
        <v>252</v>
      </c>
      <c r="O2246" s="190">
        <f t="shared" si="275"/>
        <v>274.68</v>
      </c>
      <c r="P2246" s="191">
        <f t="shared" si="276"/>
        <v>0</v>
      </c>
      <c r="Q2246" s="192">
        <f t="shared" si="277"/>
        <v>0</v>
      </c>
      <c r="R2246" s="193"/>
      <c r="S2246" s="194"/>
      <c r="T2246" s="195">
        <f t="shared" si="278"/>
        <v>0</v>
      </c>
      <c r="U2246" s="195">
        <f t="shared" si="279"/>
        <v>0</v>
      </c>
      <c r="V2246" s="195">
        <f t="shared" si="280"/>
        <v>0</v>
      </c>
      <c r="W2246" s="196" t="e">
        <f t="shared" si="281"/>
        <v>#DIV/0!</v>
      </c>
      <c r="X2246" s="197" t="e">
        <f t="shared" si="282"/>
        <v>#DIV/0!</v>
      </c>
    </row>
    <row r="2247" ht="11.4" hidden="1" customHeight="1" spans="1:24">
      <c r="A2247" s="184" t="s">
        <v>3207</v>
      </c>
      <c r="B2247" s="184" t="s">
        <v>147</v>
      </c>
      <c r="C2247" s="184" t="s">
        <v>2074</v>
      </c>
      <c r="D2247" s="185" t="s">
        <v>704</v>
      </c>
      <c r="E2247" s="186" t="s">
        <v>906</v>
      </c>
      <c r="F2247" s="186" t="s">
        <v>907</v>
      </c>
      <c r="G2247" s="186" t="s">
        <v>2075</v>
      </c>
      <c r="H2247" s="186" t="s">
        <v>2245</v>
      </c>
      <c r="I2247" s="187" t="s">
        <v>2260</v>
      </c>
      <c r="J2247" s="187" t="s">
        <v>2261</v>
      </c>
      <c r="K2247" s="188"/>
      <c r="L2247" s="188"/>
      <c r="M2247" s="189" t="s">
        <v>1018</v>
      </c>
      <c r="N2247" s="190">
        <v>136.5</v>
      </c>
      <c r="O2247" s="190">
        <f t="shared" si="275"/>
        <v>148.79</v>
      </c>
      <c r="P2247" s="191">
        <f t="shared" si="276"/>
        <v>0</v>
      </c>
      <c r="Q2247" s="192">
        <f t="shared" si="277"/>
        <v>0</v>
      </c>
      <c r="R2247" s="193"/>
      <c r="S2247" s="194"/>
      <c r="T2247" s="195">
        <f t="shared" si="278"/>
        <v>0</v>
      </c>
      <c r="U2247" s="195">
        <f t="shared" si="279"/>
        <v>0</v>
      </c>
      <c r="V2247" s="195">
        <f t="shared" si="280"/>
        <v>0</v>
      </c>
      <c r="W2247" s="196" t="e">
        <f t="shared" si="281"/>
        <v>#DIV/0!</v>
      </c>
      <c r="X2247" s="197" t="e">
        <f t="shared" si="282"/>
        <v>#DIV/0!</v>
      </c>
    </row>
    <row r="2248" ht="11.4" hidden="1" customHeight="1" spans="1:24">
      <c r="A2248" s="184" t="s">
        <v>3207</v>
      </c>
      <c r="B2248" s="184" t="s">
        <v>147</v>
      </c>
      <c r="C2248" s="184" t="s">
        <v>2074</v>
      </c>
      <c r="D2248" s="185" t="s">
        <v>704</v>
      </c>
      <c r="E2248" s="186" t="s">
        <v>906</v>
      </c>
      <c r="F2248" s="186" t="s">
        <v>907</v>
      </c>
      <c r="G2248" s="186" t="s">
        <v>2075</v>
      </c>
      <c r="H2248" s="186" t="s">
        <v>2245</v>
      </c>
      <c r="I2248" s="187" t="s">
        <v>2236</v>
      </c>
      <c r="J2248" s="187" t="s">
        <v>2237</v>
      </c>
      <c r="K2248" s="188"/>
      <c r="L2248" s="188"/>
      <c r="M2248" s="189" t="s">
        <v>1018</v>
      </c>
      <c r="N2248" s="190">
        <v>120.75</v>
      </c>
      <c r="O2248" s="190">
        <f t="shared" si="275"/>
        <v>131.62</v>
      </c>
      <c r="P2248" s="191">
        <f t="shared" si="276"/>
        <v>0</v>
      </c>
      <c r="Q2248" s="192">
        <f t="shared" si="277"/>
        <v>0</v>
      </c>
      <c r="R2248" s="193"/>
      <c r="S2248" s="194"/>
      <c r="T2248" s="195">
        <f t="shared" si="278"/>
        <v>0</v>
      </c>
      <c r="U2248" s="195">
        <f t="shared" si="279"/>
        <v>0</v>
      </c>
      <c r="V2248" s="195">
        <f t="shared" si="280"/>
        <v>0</v>
      </c>
      <c r="W2248" s="196" t="e">
        <f t="shared" si="281"/>
        <v>#DIV/0!</v>
      </c>
      <c r="X2248" s="197" t="e">
        <f t="shared" si="282"/>
        <v>#DIV/0!</v>
      </c>
    </row>
    <row r="2249" ht="11.4" hidden="1" customHeight="1" spans="1:24">
      <c r="A2249" s="184" t="s">
        <v>3208</v>
      </c>
      <c r="B2249" s="184" t="s">
        <v>149</v>
      </c>
      <c r="C2249" s="184" t="s">
        <v>2263</v>
      </c>
      <c r="D2249" s="185" t="s">
        <v>704</v>
      </c>
      <c r="E2249" s="186" t="s">
        <v>906</v>
      </c>
      <c r="F2249" s="186" t="s">
        <v>907</v>
      </c>
      <c r="G2249" s="186" t="s">
        <v>2264</v>
      </c>
      <c r="H2249" s="186" t="s">
        <v>2265</v>
      </c>
      <c r="I2249" s="187" t="s">
        <v>2266</v>
      </c>
      <c r="J2249" s="187" t="s">
        <v>2267</v>
      </c>
      <c r="K2249" s="188"/>
      <c r="L2249" s="188"/>
      <c r="M2249" s="189" t="s">
        <v>807</v>
      </c>
      <c r="N2249" s="190">
        <v>89.61</v>
      </c>
      <c r="O2249" s="190">
        <f t="shared" si="275"/>
        <v>97.67</v>
      </c>
      <c r="P2249" s="191">
        <f t="shared" si="276"/>
        <v>0</v>
      </c>
      <c r="Q2249" s="192">
        <f t="shared" si="277"/>
        <v>0</v>
      </c>
      <c r="R2249" s="193"/>
      <c r="S2249" s="194"/>
      <c r="T2249" s="195">
        <f t="shared" si="278"/>
        <v>0</v>
      </c>
      <c r="U2249" s="195">
        <f t="shared" si="279"/>
        <v>0</v>
      </c>
      <c r="V2249" s="195">
        <f t="shared" si="280"/>
        <v>0</v>
      </c>
      <c r="W2249" s="196" t="e">
        <f t="shared" si="281"/>
        <v>#DIV/0!</v>
      </c>
      <c r="X2249" s="197" t="e">
        <f t="shared" si="282"/>
        <v>#DIV/0!</v>
      </c>
    </row>
    <row r="2250" ht="11.4" hidden="1" customHeight="1" spans="1:24">
      <c r="A2250" s="184" t="s">
        <v>3208</v>
      </c>
      <c r="B2250" s="184" t="s">
        <v>149</v>
      </c>
      <c r="C2250" s="184" t="s">
        <v>2263</v>
      </c>
      <c r="D2250" s="185" t="s">
        <v>704</v>
      </c>
      <c r="E2250" s="186" t="s">
        <v>906</v>
      </c>
      <c r="F2250" s="186" t="s">
        <v>907</v>
      </c>
      <c r="G2250" s="186" t="s">
        <v>2264</v>
      </c>
      <c r="H2250" s="186" t="s">
        <v>2265</v>
      </c>
      <c r="I2250" s="187" t="s">
        <v>2268</v>
      </c>
      <c r="J2250" s="187" t="s">
        <v>2269</v>
      </c>
      <c r="K2250" s="188"/>
      <c r="L2250" s="188"/>
      <c r="M2250" s="189" t="s">
        <v>807</v>
      </c>
      <c r="N2250" s="190">
        <v>96.69</v>
      </c>
      <c r="O2250" s="190">
        <f t="shared" si="275"/>
        <v>105.39</v>
      </c>
      <c r="P2250" s="191">
        <f t="shared" si="276"/>
        <v>0</v>
      </c>
      <c r="Q2250" s="192">
        <f t="shared" si="277"/>
        <v>0</v>
      </c>
      <c r="R2250" s="193"/>
      <c r="S2250" s="194"/>
      <c r="T2250" s="195">
        <f t="shared" si="278"/>
        <v>0</v>
      </c>
      <c r="U2250" s="195">
        <f t="shared" si="279"/>
        <v>0</v>
      </c>
      <c r="V2250" s="195">
        <f t="shared" si="280"/>
        <v>0</v>
      </c>
      <c r="W2250" s="196" t="e">
        <f t="shared" si="281"/>
        <v>#DIV/0!</v>
      </c>
      <c r="X2250" s="197" t="e">
        <f t="shared" si="282"/>
        <v>#DIV/0!</v>
      </c>
    </row>
    <row r="2251" ht="11.4" hidden="1" customHeight="1" spans="1:24">
      <c r="A2251" s="184" t="s">
        <v>3208</v>
      </c>
      <c r="B2251" s="184" t="s">
        <v>149</v>
      </c>
      <c r="C2251" s="184" t="s">
        <v>2263</v>
      </c>
      <c r="D2251" s="185" t="s">
        <v>704</v>
      </c>
      <c r="E2251" s="186" t="s">
        <v>906</v>
      </c>
      <c r="F2251" s="186" t="s">
        <v>907</v>
      </c>
      <c r="G2251" s="186" t="s">
        <v>2264</v>
      </c>
      <c r="H2251" s="186" t="s">
        <v>2265</v>
      </c>
      <c r="I2251" s="187" t="s">
        <v>2270</v>
      </c>
      <c r="J2251" s="187" t="s">
        <v>2271</v>
      </c>
      <c r="K2251" s="188"/>
      <c r="L2251" s="188"/>
      <c r="M2251" s="189" t="s">
        <v>807</v>
      </c>
      <c r="N2251" s="190">
        <v>74.14</v>
      </c>
      <c r="O2251" s="190">
        <f t="shared" si="275"/>
        <v>80.81</v>
      </c>
      <c r="P2251" s="191">
        <f t="shared" si="276"/>
        <v>0</v>
      </c>
      <c r="Q2251" s="192">
        <f t="shared" si="277"/>
        <v>0</v>
      </c>
      <c r="R2251" s="193"/>
      <c r="S2251" s="194"/>
      <c r="T2251" s="195">
        <f t="shared" si="278"/>
        <v>0</v>
      </c>
      <c r="U2251" s="195">
        <f t="shared" si="279"/>
        <v>0</v>
      </c>
      <c r="V2251" s="195">
        <f t="shared" si="280"/>
        <v>0</v>
      </c>
      <c r="W2251" s="196" t="e">
        <f t="shared" si="281"/>
        <v>#DIV/0!</v>
      </c>
      <c r="X2251" s="197" t="e">
        <f t="shared" si="282"/>
        <v>#DIV/0!</v>
      </c>
    </row>
    <row r="2252" ht="11.4" hidden="1" customHeight="1" spans="1:24">
      <c r="A2252" s="184" t="s">
        <v>3208</v>
      </c>
      <c r="B2252" s="184" t="s">
        <v>149</v>
      </c>
      <c r="C2252" s="184" t="s">
        <v>2263</v>
      </c>
      <c r="D2252" s="185" t="s">
        <v>704</v>
      </c>
      <c r="E2252" s="186" t="s">
        <v>906</v>
      </c>
      <c r="F2252" s="186" t="s">
        <v>907</v>
      </c>
      <c r="G2252" s="186" t="s">
        <v>2264</v>
      </c>
      <c r="H2252" s="186" t="s">
        <v>2265</v>
      </c>
      <c r="I2252" s="187" t="s">
        <v>2272</v>
      </c>
      <c r="J2252" s="187" t="s">
        <v>2273</v>
      </c>
      <c r="K2252" s="188"/>
      <c r="L2252" s="188"/>
      <c r="M2252" s="189" t="s">
        <v>807</v>
      </c>
      <c r="N2252" s="190">
        <v>64.18</v>
      </c>
      <c r="O2252" s="190">
        <f t="shared" si="275"/>
        <v>69.96</v>
      </c>
      <c r="P2252" s="191">
        <f t="shared" si="276"/>
        <v>0</v>
      </c>
      <c r="Q2252" s="192">
        <f t="shared" si="277"/>
        <v>0</v>
      </c>
      <c r="R2252" s="193"/>
      <c r="S2252" s="194"/>
      <c r="T2252" s="195">
        <f t="shared" si="278"/>
        <v>0</v>
      </c>
      <c r="U2252" s="195">
        <f t="shared" si="279"/>
        <v>0</v>
      </c>
      <c r="V2252" s="195">
        <f t="shared" si="280"/>
        <v>0</v>
      </c>
      <c r="W2252" s="196" t="e">
        <f t="shared" si="281"/>
        <v>#DIV/0!</v>
      </c>
      <c r="X2252" s="197" t="e">
        <f t="shared" si="282"/>
        <v>#DIV/0!</v>
      </c>
    </row>
    <row r="2253" ht="11.4" hidden="1" customHeight="1" spans="1:24">
      <c r="A2253" s="184" t="s">
        <v>3208</v>
      </c>
      <c r="B2253" s="184" t="s">
        <v>149</v>
      </c>
      <c r="C2253" s="184" t="s">
        <v>2263</v>
      </c>
      <c r="D2253" s="185" t="s">
        <v>704</v>
      </c>
      <c r="E2253" s="186" t="s">
        <v>906</v>
      </c>
      <c r="F2253" s="186" t="s">
        <v>907</v>
      </c>
      <c r="G2253" s="186" t="s">
        <v>2264</v>
      </c>
      <c r="H2253" s="186" t="s">
        <v>2265</v>
      </c>
      <c r="I2253" s="187" t="s">
        <v>2274</v>
      </c>
      <c r="J2253" s="187" t="s">
        <v>2275</v>
      </c>
      <c r="K2253" s="188"/>
      <c r="L2253" s="188"/>
      <c r="M2253" s="189" t="s">
        <v>807</v>
      </c>
      <c r="N2253" s="190">
        <v>52.58</v>
      </c>
      <c r="O2253" s="190">
        <f t="shared" ref="O2253:O2316" si="283">ROUND(N2253*(1+$F$10),2)</f>
        <v>57.31</v>
      </c>
      <c r="P2253" s="191">
        <f t="shared" ref="P2253:P2316" si="284">ROUND(K2253*N2253,2)</f>
        <v>0</v>
      </c>
      <c r="Q2253" s="192">
        <f t="shared" si="277"/>
        <v>0</v>
      </c>
      <c r="R2253" s="193"/>
      <c r="S2253" s="194"/>
      <c r="T2253" s="195">
        <f t="shared" si="278"/>
        <v>0</v>
      </c>
      <c r="U2253" s="195">
        <f t="shared" si="279"/>
        <v>0</v>
      </c>
      <c r="V2253" s="195">
        <f t="shared" si="280"/>
        <v>0</v>
      </c>
      <c r="W2253" s="196" t="e">
        <f t="shared" si="281"/>
        <v>#DIV/0!</v>
      </c>
      <c r="X2253" s="197" t="e">
        <f t="shared" si="282"/>
        <v>#DIV/0!</v>
      </c>
    </row>
    <row r="2254" ht="11.4" hidden="1" customHeight="1" spans="1:24">
      <c r="A2254" s="184" t="s">
        <v>3208</v>
      </c>
      <c r="B2254" s="184" t="s">
        <v>149</v>
      </c>
      <c r="C2254" s="184" t="s">
        <v>2263</v>
      </c>
      <c r="D2254" s="185" t="s">
        <v>704</v>
      </c>
      <c r="E2254" s="186" t="s">
        <v>906</v>
      </c>
      <c r="F2254" s="186" t="s">
        <v>907</v>
      </c>
      <c r="G2254" s="186" t="s">
        <v>2264</v>
      </c>
      <c r="H2254" s="186" t="s">
        <v>2265</v>
      </c>
      <c r="I2254" s="187" t="s">
        <v>2276</v>
      </c>
      <c r="J2254" s="187" t="s">
        <v>2277</v>
      </c>
      <c r="K2254" s="188"/>
      <c r="L2254" s="188"/>
      <c r="M2254" s="189" t="s">
        <v>807</v>
      </c>
      <c r="N2254" s="190">
        <v>43.34</v>
      </c>
      <c r="O2254" s="190">
        <f t="shared" si="283"/>
        <v>47.24</v>
      </c>
      <c r="P2254" s="191">
        <f t="shared" si="284"/>
        <v>0</v>
      </c>
      <c r="Q2254" s="192">
        <f t="shared" ref="Q2254:Q2317" si="285">ROUND(L2254*N2254,2)</f>
        <v>0</v>
      </c>
      <c r="R2254" s="193"/>
      <c r="S2254" s="194"/>
      <c r="T2254" s="195">
        <f t="shared" ref="T2254:T2317" si="286">K2254-L2254</f>
        <v>0</v>
      </c>
      <c r="U2254" s="195">
        <f t="shared" ref="U2254:U2317" si="287">P2254-Q2254</f>
        <v>0</v>
      </c>
      <c r="V2254" s="195">
        <f t="shared" ref="V2254:V2317" si="288">ABS(U2254)</f>
        <v>0</v>
      </c>
      <c r="W2254" s="196" t="e">
        <f t="shared" ref="W2254:W2317" si="289">T2254/L2254</f>
        <v>#DIV/0!</v>
      </c>
      <c r="X2254" s="197" t="e">
        <f t="shared" ref="X2254:X2317" si="290">ABS(W2254)</f>
        <v>#DIV/0!</v>
      </c>
    </row>
    <row r="2255" ht="11.4" hidden="1" customHeight="1" spans="1:24">
      <c r="A2255" s="184" t="s">
        <v>3208</v>
      </c>
      <c r="B2255" s="184" t="s">
        <v>149</v>
      </c>
      <c r="C2255" s="184" t="s">
        <v>2263</v>
      </c>
      <c r="D2255" s="185" t="s">
        <v>704</v>
      </c>
      <c r="E2255" s="186" t="s">
        <v>906</v>
      </c>
      <c r="F2255" s="186" t="s">
        <v>907</v>
      </c>
      <c r="G2255" s="186" t="s">
        <v>2264</v>
      </c>
      <c r="H2255" s="186" t="s">
        <v>2265</v>
      </c>
      <c r="I2255" s="187" t="s">
        <v>2278</v>
      </c>
      <c r="J2255" s="187" t="s">
        <v>2279</v>
      </c>
      <c r="K2255" s="188"/>
      <c r="L2255" s="188"/>
      <c r="M2255" s="189" t="s">
        <v>807</v>
      </c>
      <c r="N2255" s="190">
        <v>39.71</v>
      </c>
      <c r="O2255" s="190">
        <f t="shared" si="283"/>
        <v>43.28</v>
      </c>
      <c r="P2255" s="191">
        <f t="shared" si="284"/>
        <v>0</v>
      </c>
      <c r="Q2255" s="192">
        <f t="shared" si="285"/>
        <v>0</v>
      </c>
      <c r="R2255" s="193"/>
      <c r="S2255" s="194"/>
      <c r="T2255" s="195">
        <f t="shared" si="286"/>
        <v>0</v>
      </c>
      <c r="U2255" s="195">
        <f t="shared" si="287"/>
        <v>0</v>
      </c>
      <c r="V2255" s="195">
        <f t="shared" si="288"/>
        <v>0</v>
      </c>
      <c r="W2255" s="196" t="e">
        <f t="shared" si="289"/>
        <v>#DIV/0!</v>
      </c>
      <c r="X2255" s="197" t="e">
        <f t="shared" si="290"/>
        <v>#DIV/0!</v>
      </c>
    </row>
    <row r="2256" ht="11.4" hidden="1" customHeight="1" spans="1:24">
      <c r="A2256" s="184" t="s">
        <v>3208</v>
      </c>
      <c r="B2256" s="184" t="s">
        <v>149</v>
      </c>
      <c r="C2256" s="184" t="s">
        <v>2263</v>
      </c>
      <c r="D2256" s="185" t="s">
        <v>704</v>
      </c>
      <c r="E2256" s="186" t="s">
        <v>906</v>
      </c>
      <c r="F2256" s="186" t="s">
        <v>907</v>
      </c>
      <c r="G2256" s="186" t="s">
        <v>2264</v>
      </c>
      <c r="H2256" s="186" t="s">
        <v>2265</v>
      </c>
      <c r="I2256" s="187" t="s">
        <v>2280</v>
      </c>
      <c r="J2256" s="187" t="s">
        <v>2281</v>
      </c>
      <c r="K2256" s="188"/>
      <c r="L2256" s="188"/>
      <c r="M2256" s="189" t="s">
        <v>963</v>
      </c>
      <c r="N2256" s="190">
        <v>237.04</v>
      </c>
      <c r="O2256" s="190">
        <f t="shared" si="283"/>
        <v>258.37</v>
      </c>
      <c r="P2256" s="191">
        <f t="shared" si="284"/>
        <v>0</v>
      </c>
      <c r="Q2256" s="192">
        <f t="shared" si="285"/>
        <v>0</v>
      </c>
      <c r="R2256" s="193"/>
      <c r="S2256" s="194"/>
      <c r="T2256" s="195">
        <f t="shared" si="286"/>
        <v>0</v>
      </c>
      <c r="U2256" s="195">
        <f t="shared" si="287"/>
        <v>0</v>
      </c>
      <c r="V2256" s="195">
        <f t="shared" si="288"/>
        <v>0</v>
      </c>
      <c r="W2256" s="196" t="e">
        <f t="shared" si="289"/>
        <v>#DIV/0!</v>
      </c>
      <c r="X2256" s="197" t="e">
        <f t="shared" si="290"/>
        <v>#DIV/0!</v>
      </c>
    </row>
    <row r="2257" ht="11.4" hidden="1" customHeight="1" spans="1:24">
      <c r="A2257" s="184" t="s">
        <v>3208</v>
      </c>
      <c r="B2257" s="184" t="s">
        <v>149</v>
      </c>
      <c r="C2257" s="184" t="s">
        <v>2263</v>
      </c>
      <c r="D2257" s="185" t="s">
        <v>704</v>
      </c>
      <c r="E2257" s="186" t="s">
        <v>906</v>
      </c>
      <c r="F2257" s="186" t="s">
        <v>907</v>
      </c>
      <c r="G2257" s="186" t="s">
        <v>2264</v>
      </c>
      <c r="H2257" s="186" t="s">
        <v>2265</v>
      </c>
      <c r="I2257" s="187" t="s">
        <v>2282</v>
      </c>
      <c r="J2257" s="187" t="s">
        <v>2283</v>
      </c>
      <c r="K2257" s="188"/>
      <c r="L2257" s="188"/>
      <c r="M2257" s="189" t="s">
        <v>963</v>
      </c>
      <c r="N2257" s="190">
        <v>126.49</v>
      </c>
      <c r="O2257" s="190">
        <f t="shared" si="283"/>
        <v>137.87</v>
      </c>
      <c r="P2257" s="191">
        <f t="shared" si="284"/>
        <v>0</v>
      </c>
      <c r="Q2257" s="192">
        <f t="shared" si="285"/>
        <v>0</v>
      </c>
      <c r="R2257" s="193"/>
      <c r="S2257" s="194"/>
      <c r="T2257" s="195">
        <f t="shared" si="286"/>
        <v>0</v>
      </c>
      <c r="U2257" s="195">
        <f t="shared" si="287"/>
        <v>0</v>
      </c>
      <c r="V2257" s="195">
        <f t="shared" si="288"/>
        <v>0</v>
      </c>
      <c r="W2257" s="196" t="e">
        <f t="shared" si="289"/>
        <v>#DIV/0!</v>
      </c>
      <c r="X2257" s="197" t="e">
        <f t="shared" si="290"/>
        <v>#DIV/0!</v>
      </c>
    </row>
    <row r="2258" ht="11.4" hidden="1" customHeight="1" spans="1:24">
      <c r="A2258" s="184" t="s">
        <v>3208</v>
      </c>
      <c r="B2258" s="184" t="s">
        <v>149</v>
      </c>
      <c r="C2258" s="184" t="s">
        <v>2263</v>
      </c>
      <c r="D2258" s="185" t="s">
        <v>704</v>
      </c>
      <c r="E2258" s="186" t="s">
        <v>906</v>
      </c>
      <c r="F2258" s="186" t="s">
        <v>907</v>
      </c>
      <c r="G2258" s="186" t="s">
        <v>2264</v>
      </c>
      <c r="H2258" s="186" t="s">
        <v>2265</v>
      </c>
      <c r="I2258" s="187" t="s">
        <v>2284</v>
      </c>
      <c r="J2258" s="187" t="s">
        <v>2285</v>
      </c>
      <c r="K2258" s="188"/>
      <c r="L2258" s="188"/>
      <c r="M2258" s="189" t="s">
        <v>963</v>
      </c>
      <c r="N2258" s="190">
        <v>103.5</v>
      </c>
      <c r="O2258" s="190">
        <f t="shared" si="283"/>
        <v>112.82</v>
      </c>
      <c r="P2258" s="191">
        <f t="shared" si="284"/>
        <v>0</v>
      </c>
      <c r="Q2258" s="192">
        <f t="shared" si="285"/>
        <v>0</v>
      </c>
      <c r="R2258" s="193"/>
      <c r="S2258" s="194"/>
      <c r="T2258" s="195">
        <f t="shared" si="286"/>
        <v>0</v>
      </c>
      <c r="U2258" s="195">
        <f t="shared" si="287"/>
        <v>0</v>
      </c>
      <c r="V2258" s="195">
        <f t="shared" si="288"/>
        <v>0</v>
      </c>
      <c r="W2258" s="196" t="e">
        <f t="shared" si="289"/>
        <v>#DIV/0!</v>
      </c>
      <c r="X2258" s="197" t="e">
        <f t="shared" si="290"/>
        <v>#DIV/0!</v>
      </c>
    </row>
    <row r="2259" ht="11.4" hidden="1" customHeight="1" spans="1:24">
      <c r="A2259" s="184" t="s">
        <v>3208</v>
      </c>
      <c r="B2259" s="184" t="s">
        <v>149</v>
      </c>
      <c r="C2259" s="184" t="s">
        <v>2263</v>
      </c>
      <c r="D2259" s="185" t="s">
        <v>704</v>
      </c>
      <c r="E2259" s="186" t="s">
        <v>906</v>
      </c>
      <c r="F2259" s="186" t="s">
        <v>907</v>
      </c>
      <c r="G2259" s="186" t="s">
        <v>2264</v>
      </c>
      <c r="H2259" s="186" t="s">
        <v>2265</v>
      </c>
      <c r="I2259" s="187" t="s">
        <v>2286</v>
      </c>
      <c r="J2259" s="187" t="s">
        <v>2287</v>
      </c>
      <c r="K2259" s="188"/>
      <c r="L2259" s="188"/>
      <c r="M2259" s="189" t="s">
        <v>963</v>
      </c>
      <c r="N2259" s="190">
        <v>76.44</v>
      </c>
      <c r="O2259" s="190">
        <f t="shared" si="283"/>
        <v>83.32</v>
      </c>
      <c r="P2259" s="191">
        <f t="shared" si="284"/>
        <v>0</v>
      </c>
      <c r="Q2259" s="192">
        <f t="shared" si="285"/>
        <v>0</v>
      </c>
      <c r="R2259" s="193"/>
      <c r="S2259" s="194"/>
      <c r="T2259" s="195">
        <f t="shared" si="286"/>
        <v>0</v>
      </c>
      <c r="U2259" s="195">
        <f t="shared" si="287"/>
        <v>0</v>
      </c>
      <c r="V2259" s="195">
        <f t="shared" si="288"/>
        <v>0</v>
      </c>
      <c r="W2259" s="196" t="e">
        <f t="shared" si="289"/>
        <v>#DIV/0!</v>
      </c>
      <c r="X2259" s="197" t="e">
        <f t="shared" si="290"/>
        <v>#DIV/0!</v>
      </c>
    </row>
    <row r="2260" ht="11.4" hidden="1" customHeight="1" spans="1:24">
      <c r="A2260" s="184" t="s">
        <v>3208</v>
      </c>
      <c r="B2260" s="184" t="s">
        <v>149</v>
      </c>
      <c r="C2260" s="184" t="s">
        <v>2263</v>
      </c>
      <c r="D2260" s="185" t="s">
        <v>704</v>
      </c>
      <c r="E2260" s="186" t="s">
        <v>906</v>
      </c>
      <c r="F2260" s="186" t="s">
        <v>907</v>
      </c>
      <c r="G2260" s="186" t="s">
        <v>2264</v>
      </c>
      <c r="H2260" s="186" t="s">
        <v>2265</v>
      </c>
      <c r="I2260" s="187" t="s">
        <v>2288</v>
      </c>
      <c r="J2260" s="187" t="s">
        <v>2289</v>
      </c>
      <c r="K2260" s="188"/>
      <c r="L2260" s="188"/>
      <c r="M2260" s="189" t="s">
        <v>963</v>
      </c>
      <c r="N2260" s="190">
        <v>73.14</v>
      </c>
      <c r="O2260" s="190">
        <f t="shared" si="283"/>
        <v>79.72</v>
      </c>
      <c r="P2260" s="191">
        <f t="shared" si="284"/>
        <v>0</v>
      </c>
      <c r="Q2260" s="192">
        <f t="shared" si="285"/>
        <v>0</v>
      </c>
      <c r="R2260" s="193"/>
      <c r="S2260" s="194"/>
      <c r="T2260" s="195">
        <f t="shared" si="286"/>
        <v>0</v>
      </c>
      <c r="U2260" s="195">
        <f t="shared" si="287"/>
        <v>0</v>
      </c>
      <c r="V2260" s="195">
        <f t="shared" si="288"/>
        <v>0</v>
      </c>
      <c r="W2260" s="196" t="e">
        <f t="shared" si="289"/>
        <v>#DIV/0!</v>
      </c>
      <c r="X2260" s="197" t="e">
        <f t="shared" si="290"/>
        <v>#DIV/0!</v>
      </c>
    </row>
    <row r="2261" ht="11.4" hidden="1" customHeight="1" spans="1:24">
      <c r="A2261" s="184" t="s">
        <v>3208</v>
      </c>
      <c r="B2261" s="184" t="s">
        <v>149</v>
      </c>
      <c r="C2261" s="184" t="s">
        <v>2263</v>
      </c>
      <c r="D2261" s="185" t="s">
        <v>704</v>
      </c>
      <c r="E2261" s="186" t="s">
        <v>906</v>
      </c>
      <c r="F2261" s="186" t="s">
        <v>907</v>
      </c>
      <c r="G2261" s="186" t="s">
        <v>2264</v>
      </c>
      <c r="H2261" s="186" t="s">
        <v>2265</v>
      </c>
      <c r="I2261" s="187" t="s">
        <v>2290</v>
      </c>
      <c r="J2261" s="187" t="s">
        <v>2291</v>
      </c>
      <c r="K2261" s="188"/>
      <c r="L2261" s="188"/>
      <c r="M2261" s="189" t="s">
        <v>935</v>
      </c>
      <c r="N2261" s="190">
        <v>3308.85</v>
      </c>
      <c r="O2261" s="190">
        <f t="shared" si="283"/>
        <v>3606.65</v>
      </c>
      <c r="P2261" s="191">
        <f t="shared" si="284"/>
        <v>0</v>
      </c>
      <c r="Q2261" s="192">
        <f t="shared" si="285"/>
        <v>0</v>
      </c>
      <c r="R2261" s="193"/>
      <c r="S2261" s="194"/>
      <c r="T2261" s="195">
        <f t="shared" si="286"/>
        <v>0</v>
      </c>
      <c r="U2261" s="195">
        <f t="shared" si="287"/>
        <v>0</v>
      </c>
      <c r="V2261" s="195">
        <f t="shared" si="288"/>
        <v>0</v>
      </c>
      <c r="W2261" s="196" t="e">
        <f t="shared" si="289"/>
        <v>#DIV/0!</v>
      </c>
      <c r="X2261" s="197" t="e">
        <f t="shared" si="290"/>
        <v>#DIV/0!</v>
      </c>
    </row>
    <row r="2262" ht="11.4" hidden="1" customHeight="1" spans="1:24">
      <c r="A2262" s="184" t="s">
        <v>3208</v>
      </c>
      <c r="B2262" s="184" t="s">
        <v>149</v>
      </c>
      <c r="C2262" s="184" t="s">
        <v>2263</v>
      </c>
      <c r="D2262" s="185" t="s">
        <v>704</v>
      </c>
      <c r="E2262" s="186" t="s">
        <v>906</v>
      </c>
      <c r="F2262" s="186" t="s">
        <v>907</v>
      </c>
      <c r="G2262" s="186" t="s">
        <v>2264</v>
      </c>
      <c r="H2262" s="186" t="s">
        <v>2265</v>
      </c>
      <c r="I2262" s="187" t="s">
        <v>2292</v>
      </c>
      <c r="J2262" s="187" t="s">
        <v>2293</v>
      </c>
      <c r="K2262" s="188"/>
      <c r="L2262" s="188"/>
      <c r="M2262" s="189" t="s">
        <v>963</v>
      </c>
      <c r="N2262" s="190">
        <v>35.7</v>
      </c>
      <c r="O2262" s="190">
        <f t="shared" si="283"/>
        <v>38.91</v>
      </c>
      <c r="P2262" s="191">
        <f t="shared" si="284"/>
        <v>0</v>
      </c>
      <c r="Q2262" s="192">
        <f t="shared" si="285"/>
        <v>0</v>
      </c>
      <c r="R2262" s="193"/>
      <c r="S2262" s="194"/>
      <c r="T2262" s="195">
        <f t="shared" si="286"/>
        <v>0</v>
      </c>
      <c r="U2262" s="195">
        <f t="shared" si="287"/>
        <v>0</v>
      </c>
      <c r="V2262" s="195">
        <f t="shared" si="288"/>
        <v>0</v>
      </c>
      <c r="W2262" s="196" t="e">
        <f t="shared" si="289"/>
        <v>#DIV/0!</v>
      </c>
      <c r="X2262" s="197" t="e">
        <f t="shared" si="290"/>
        <v>#DIV/0!</v>
      </c>
    </row>
    <row r="2263" ht="11.4" hidden="1" customHeight="1" spans="1:24">
      <c r="A2263" s="184" t="s">
        <v>3208</v>
      </c>
      <c r="B2263" s="184" t="s">
        <v>149</v>
      </c>
      <c r="C2263" s="184" t="s">
        <v>2263</v>
      </c>
      <c r="D2263" s="185" t="s">
        <v>704</v>
      </c>
      <c r="E2263" s="186" t="s">
        <v>906</v>
      </c>
      <c r="F2263" s="186" t="s">
        <v>907</v>
      </c>
      <c r="G2263" s="186" t="s">
        <v>2264</v>
      </c>
      <c r="H2263" s="186" t="s">
        <v>2265</v>
      </c>
      <c r="I2263" s="187" t="s">
        <v>2294</v>
      </c>
      <c r="J2263" s="187" t="s">
        <v>2295</v>
      </c>
      <c r="K2263" s="188"/>
      <c r="L2263" s="188"/>
      <c r="M2263" s="189" t="s">
        <v>963</v>
      </c>
      <c r="N2263" s="190">
        <v>748.98</v>
      </c>
      <c r="O2263" s="190">
        <f t="shared" si="283"/>
        <v>816.39</v>
      </c>
      <c r="P2263" s="191">
        <f t="shared" si="284"/>
        <v>0</v>
      </c>
      <c r="Q2263" s="192">
        <f t="shared" si="285"/>
        <v>0</v>
      </c>
      <c r="R2263" s="193"/>
      <c r="S2263" s="194"/>
      <c r="T2263" s="195">
        <f t="shared" si="286"/>
        <v>0</v>
      </c>
      <c r="U2263" s="195">
        <f t="shared" si="287"/>
        <v>0</v>
      </c>
      <c r="V2263" s="195">
        <f t="shared" si="288"/>
        <v>0</v>
      </c>
      <c r="W2263" s="196" t="e">
        <f t="shared" si="289"/>
        <v>#DIV/0!</v>
      </c>
      <c r="X2263" s="197" t="e">
        <f t="shared" si="290"/>
        <v>#DIV/0!</v>
      </c>
    </row>
    <row r="2264" ht="11.4" hidden="1" customHeight="1" spans="1:24">
      <c r="A2264" s="184" t="s">
        <v>3208</v>
      </c>
      <c r="B2264" s="184" t="s">
        <v>149</v>
      </c>
      <c r="C2264" s="184" t="s">
        <v>2263</v>
      </c>
      <c r="D2264" s="185" t="s">
        <v>704</v>
      </c>
      <c r="E2264" s="186" t="s">
        <v>906</v>
      </c>
      <c r="F2264" s="186" t="s">
        <v>907</v>
      </c>
      <c r="G2264" s="186" t="s">
        <v>2264</v>
      </c>
      <c r="H2264" s="186" t="s">
        <v>2265</v>
      </c>
      <c r="I2264" s="187" t="s">
        <v>2296</v>
      </c>
      <c r="J2264" s="187" t="s">
        <v>2297</v>
      </c>
      <c r="K2264" s="188"/>
      <c r="L2264" s="188"/>
      <c r="M2264" s="189" t="s">
        <v>963</v>
      </c>
      <c r="N2264" s="190">
        <v>156.3</v>
      </c>
      <c r="O2264" s="190">
        <f t="shared" si="283"/>
        <v>170.37</v>
      </c>
      <c r="P2264" s="191">
        <f t="shared" si="284"/>
        <v>0</v>
      </c>
      <c r="Q2264" s="192">
        <f t="shared" si="285"/>
        <v>0</v>
      </c>
      <c r="R2264" s="193"/>
      <c r="S2264" s="194"/>
      <c r="T2264" s="195">
        <f t="shared" si="286"/>
        <v>0</v>
      </c>
      <c r="U2264" s="195">
        <f t="shared" si="287"/>
        <v>0</v>
      </c>
      <c r="V2264" s="195">
        <f t="shared" si="288"/>
        <v>0</v>
      </c>
      <c r="W2264" s="196" t="e">
        <f t="shared" si="289"/>
        <v>#DIV/0!</v>
      </c>
      <c r="X2264" s="197" t="e">
        <f t="shared" si="290"/>
        <v>#DIV/0!</v>
      </c>
    </row>
    <row r="2265" ht="11.4" hidden="1" customHeight="1" spans="1:24">
      <c r="A2265" s="184" t="s">
        <v>3208</v>
      </c>
      <c r="B2265" s="184" t="s">
        <v>149</v>
      </c>
      <c r="C2265" s="184" t="s">
        <v>2263</v>
      </c>
      <c r="D2265" s="185" t="s">
        <v>704</v>
      </c>
      <c r="E2265" s="186" t="s">
        <v>906</v>
      </c>
      <c r="F2265" s="186" t="s">
        <v>907</v>
      </c>
      <c r="G2265" s="186" t="s">
        <v>2264</v>
      </c>
      <c r="H2265" s="186" t="s">
        <v>2265</v>
      </c>
      <c r="I2265" s="187" t="s">
        <v>2298</v>
      </c>
      <c r="J2265" s="187" t="s">
        <v>2299</v>
      </c>
      <c r="K2265" s="188"/>
      <c r="L2265" s="188"/>
      <c r="M2265" s="189" t="s">
        <v>963</v>
      </c>
      <c r="N2265" s="190">
        <v>661.31</v>
      </c>
      <c r="O2265" s="190">
        <f t="shared" si="283"/>
        <v>720.83</v>
      </c>
      <c r="P2265" s="191">
        <f t="shared" si="284"/>
        <v>0</v>
      </c>
      <c r="Q2265" s="192">
        <f t="shared" si="285"/>
        <v>0</v>
      </c>
      <c r="R2265" s="193"/>
      <c r="S2265" s="194"/>
      <c r="T2265" s="195">
        <f t="shared" si="286"/>
        <v>0</v>
      </c>
      <c r="U2265" s="195">
        <f t="shared" si="287"/>
        <v>0</v>
      </c>
      <c r="V2265" s="195">
        <f t="shared" si="288"/>
        <v>0</v>
      </c>
      <c r="W2265" s="196" t="e">
        <f t="shared" si="289"/>
        <v>#DIV/0!</v>
      </c>
      <c r="X2265" s="197" t="e">
        <f t="shared" si="290"/>
        <v>#DIV/0!</v>
      </c>
    </row>
    <row r="2266" ht="11.4" hidden="1" customHeight="1" spans="1:24">
      <c r="A2266" s="184" t="s">
        <v>3208</v>
      </c>
      <c r="B2266" s="184" t="s">
        <v>149</v>
      </c>
      <c r="C2266" s="184" t="s">
        <v>2263</v>
      </c>
      <c r="D2266" s="185" t="s">
        <v>704</v>
      </c>
      <c r="E2266" s="186" t="s">
        <v>906</v>
      </c>
      <c r="F2266" s="186" t="s">
        <v>907</v>
      </c>
      <c r="G2266" s="186" t="s">
        <v>2264</v>
      </c>
      <c r="H2266" s="186" t="s">
        <v>2265</v>
      </c>
      <c r="I2266" s="187" t="s">
        <v>2300</v>
      </c>
      <c r="J2266" s="187" t="s">
        <v>2301</v>
      </c>
      <c r="K2266" s="188"/>
      <c r="L2266" s="188"/>
      <c r="M2266" s="189" t="s">
        <v>963</v>
      </c>
      <c r="N2266" s="190">
        <v>97.08</v>
      </c>
      <c r="O2266" s="190">
        <f t="shared" si="283"/>
        <v>105.82</v>
      </c>
      <c r="P2266" s="191">
        <f t="shared" si="284"/>
        <v>0</v>
      </c>
      <c r="Q2266" s="192">
        <f t="shared" si="285"/>
        <v>0</v>
      </c>
      <c r="R2266" s="193"/>
      <c r="S2266" s="194"/>
      <c r="T2266" s="195">
        <f t="shared" si="286"/>
        <v>0</v>
      </c>
      <c r="U2266" s="195">
        <f t="shared" si="287"/>
        <v>0</v>
      </c>
      <c r="V2266" s="195">
        <f t="shared" si="288"/>
        <v>0</v>
      </c>
      <c r="W2266" s="196" t="e">
        <f t="shared" si="289"/>
        <v>#DIV/0!</v>
      </c>
      <c r="X2266" s="197" t="e">
        <f t="shared" si="290"/>
        <v>#DIV/0!</v>
      </c>
    </row>
    <row r="2267" ht="11.4" hidden="1" customHeight="1" spans="1:24">
      <c r="A2267" s="184" t="s">
        <v>3208</v>
      </c>
      <c r="B2267" s="184" t="s">
        <v>149</v>
      </c>
      <c r="C2267" s="184" t="s">
        <v>2263</v>
      </c>
      <c r="D2267" s="185" t="s">
        <v>704</v>
      </c>
      <c r="E2267" s="186" t="s">
        <v>906</v>
      </c>
      <c r="F2267" s="186" t="s">
        <v>907</v>
      </c>
      <c r="G2267" s="186" t="s">
        <v>2264</v>
      </c>
      <c r="H2267" s="186" t="s">
        <v>2265</v>
      </c>
      <c r="I2267" s="187" t="s">
        <v>2302</v>
      </c>
      <c r="J2267" s="187" t="s">
        <v>2303</v>
      </c>
      <c r="K2267" s="188"/>
      <c r="L2267" s="188"/>
      <c r="M2267" s="189" t="s">
        <v>989</v>
      </c>
      <c r="N2267" s="190">
        <v>2137.73</v>
      </c>
      <c r="O2267" s="190">
        <f t="shared" si="283"/>
        <v>2330.13</v>
      </c>
      <c r="P2267" s="191">
        <f t="shared" si="284"/>
        <v>0</v>
      </c>
      <c r="Q2267" s="192">
        <f t="shared" si="285"/>
        <v>0</v>
      </c>
      <c r="R2267" s="193"/>
      <c r="S2267" s="194"/>
      <c r="T2267" s="195">
        <f t="shared" si="286"/>
        <v>0</v>
      </c>
      <c r="U2267" s="195">
        <f t="shared" si="287"/>
        <v>0</v>
      </c>
      <c r="V2267" s="195">
        <f t="shared" si="288"/>
        <v>0</v>
      </c>
      <c r="W2267" s="196" t="e">
        <f t="shared" si="289"/>
        <v>#DIV/0!</v>
      </c>
      <c r="X2267" s="197" t="e">
        <f t="shared" si="290"/>
        <v>#DIV/0!</v>
      </c>
    </row>
    <row r="2268" ht="11.4" hidden="1" customHeight="1" spans="1:24">
      <c r="A2268" s="184" t="s">
        <v>3208</v>
      </c>
      <c r="B2268" s="184" t="s">
        <v>149</v>
      </c>
      <c r="C2268" s="184" t="s">
        <v>2263</v>
      </c>
      <c r="D2268" s="185" t="s">
        <v>704</v>
      </c>
      <c r="E2268" s="186" t="s">
        <v>906</v>
      </c>
      <c r="F2268" s="186" t="s">
        <v>907</v>
      </c>
      <c r="G2268" s="186" t="s">
        <v>2264</v>
      </c>
      <c r="H2268" s="186" t="s">
        <v>2265</v>
      </c>
      <c r="I2268" s="187" t="s">
        <v>2304</v>
      </c>
      <c r="J2268" s="187" t="s">
        <v>2305</v>
      </c>
      <c r="K2268" s="188"/>
      <c r="L2268" s="188"/>
      <c r="M2268" s="189" t="s">
        <v>989</v>
      </c>
      <c r="N2268" s="190">
        <v>2295.03</v>
      </c>
      <c r="O2268" s="190">
        <f t="shared" si="283"/>
        <v>2501.58</v>
      </c>
      <c r="P2268" s="191">
        <f t="shared" si="284"/>
        <v>0</v>
      </c>
      <c r="Q2268" s="192">
        <f t="shared" si="285"/>
        <v>0</v>
      </c>
      <c r="R2268" s="193"/>
      <c r="S2268" s="194"/>
      <c r="T2268" s="195">
        <f t="shared" si="286"/>
        <v>0</v>
      </c>
      <c r="U2268" s="195">
        <f t="shared" si="287"/>
        <v>0</v>
      </c>
      <c r="V2268" s="195">
        <f t="shared" si="288"/>
        <v>0</v>
      </c>
      <c r="W2268" s="196" t="e">
        <f t="shared" si="289"/>
        <v>#DIV/0!</v>
      </c>
      <c r="X2268" s="197" t="e">
        <f t="shared" si="290"/>
        <v>#DIV/0!</v>
      </c>
    </row>
    <row r="2269" ht="11.4" hidden="1" customHeight="1" spans="1:24">
      <c r="A2269" s="184" t="s">
        <v>3208</v>
      </c>
      <c r="B2269" s="184" t="s">
        <v>149</v>
      </c>
      <c r="C2269" s="184" t="s">
        <v>2263</v>
      </c>
      <c r="D2269" s="185" t="s">
        <v>704</v>
      </c>
      <c r="E2269" s="186" t="s">
        <v>906</v>
      </c>
      <c r="F2269" s="186" t="s">
        <v>907</v>
      </c>
      <c r="G2269" s="186" t="s">
        <v>2264</v>
      </c>
      <c r="H2269" s="186" t="s">
        <v>2265</v>
      </c>
      <c r="I2269" s="187" t="s">
        <v>2306</v>
      </c>
      <c r="J2269" s="187" t="s">
        <v>2307</v>
      </c>
      <c r="K2269" s="188"/>
      <c r="L2269" s="188"/>
      <c r="M2269" s="189" t="s">
        <v>2308</v>
      </c>
      <c r="N2269" s="190">
        <v>994.83</v>
      </c>
      <c r="O2269" s="190">
        <f t="shared" si="283"/>
        <v>1084.36</v>
      </c>
      <c r="P2269" s="191">
        <f t="shared" si="284"/>
        <v>0</v>
      </c>
      <c r="Q2269" s="192">
        <f t="shared" si="285"/>
        <v>0</v>
      </c>
      <c r="R2269" s="193"/>
      <c r="S2269" s="194"/>
      <c r="T2269" s="195">
        <f t="shared" si="286"/>
        <v>0</v>
      </c>
      <c r="U2269" s="195">
        <f t="shared" si="287"/>
        <v>0</v>
      </c>
      <c r="V2269" s="195">
        <f t="shared" si="288"/>
        <v>0</v>
      </c>
      <c r="W2269" s="196" t="e">
        <f t="shared" si="289"/>
        <v>#DIV/0!</v>
      </c>
      <c r="X2269" s="197" t="e">
        <f t="shared" si="290"/>
        <v>#DIV/0!</v>
      </c>
    </row>
    <row r="2270" ht="11.4" hidden="1" customHeight="1" spans="1:24">
      <c r="A2270" s="184" t="s">
        <v>3208</v>
      </c>
      <c r="B2270" s="184" t="s">
        <v>149</v>
      </c>
      <c r="C2270" s="184" t="s">
        <v>2263</v>
      </c>
      <c r="D2270" s="185" t="s">
        <v>704</v>
      </c>
      <c r="E2270" s="186" t="s">
        <v>906</v>
      </c>
      <c r="F2270" s="186" t="s">
        <v>907</v>
      </c>
      <c r="G2270" s="186" t="s">
        <v>2264</v>
      </c>
      <c r="H2270" s="186" t="s">
        <v>2265</v>
      </c>
      <c r="I2270" s="187" t="s">
        <v>2309</v>
      </c>
      <c r="J2270" s="187" t="s">
        <v>2310</v>
      </c>
      <c r="K2270" s="188"/>
      <c r="L2270" s="188"/>
      <c r="M2270" s="189" t="s">
        <v>2308</v>
      </c>
      <c r="N2270" s="190">
        <v>1148.83</v>
      </c>
      <c r="O2270" s="190">
        <f t="shared" si="283"/>
        <v>1252.22</v>
      </c>
      <c r="P2270" s="191">
        <f t="shared" si="284"/>
        <v>0</v>
      </c>
      <c r="Q2270" s="192">
        <f t="shared" si="285"/>
        <v>0</v>
      </c>
      <c r="R2270" s="193"/>
      <c r="S2270" s="194"/>
      <c r="T2270" s="195">
        <f t="shared" si="286"/>
        <v>0</v>
      </c>
      <c r="U2270" s="195">
        <f t="shared" si="287"/>
        <v>0</v>
      </c>
      <c r="V2270" s="195">
        <f t="shared" si="288"/>
        <v>0</v>
      </c>
      <c r="W2270" s="196" t="e">
        <f t="shared" si="289"/>
        <v>#DIV/0!</v>
      </c>
      <c r="X2270" s="197" t="e">
        <f t="shared" si="290"/>
        <v>#DIV/0!</v>
      </c>
    </row>
    <row r="2271" ht="11.4" hidden="1" customHeight="1" spans="1:24">
      <c r="A2271" s="184" t="s">
        <v>3208</v>
      </c>
      <c r="B2271" s="184" t="s">
        <v>149</v>
      </c>
      <c r="C2271" s="184" t="s">
        <v>2263</v>
      </c>
      <c r="D2271" s="185" t="s">
        <v>704</v>
      </c>
      <c r="E2271" s="186" t="s">
        <v>906</v>
      </c>
      <c r="F2271" s="186" t="s">
        <v>907</v>
      </c>
      <c r="G2271" s="186" t="s">
        <v>2264</v>
      </c>
      <c r="H2271" s="186" t="s">
        <v>2265</v>
      </c>
      <c r="I2271" s="187" t="s">
        <v>2311</v>
      </c>
      <c r="J2271" s="187" t="s">
        <v>2312</v>
      </c>
      <c r="K2271" s="188"/>
      <c r="L2271" s="188"/>
      <c r="M2271" s="189" t="s">
        <v>963</v>
      </c>
      <c r="N2271" s="190">
        <v>55.98</v>
      </c>
      <c r="O2271" s="190">
        <f t="shared" si="283"/>
        <v>61.02</v>
      </c>
      <c r="P2271" s="191">
        <f t="shared" si="284"/>
        <v>0</v>
      </c>
      <c r="Q2271" s="192">
        <f t="shared" si="285"/>
        <v>0</v>
      </c>
      <c r="R2271" s="193"/>
      <c r="S2271" s="194"/>
      <c r="T2271" s="195">
        <f t="shared" si="286"/>
        <v>0</v>
      </c>
      <c r="U2271" s="195">
        <f t="shared" si="287"/>
        <v>0</v>
      </c>
      <c r="V2271" s="195">
        <f t="shared" si="288"/>
        <v>0</v>
      </c>
      <c r="W2271" s="196" t="e">
        <f t="shared" si="289"/>
        <v>#DIV/0!</v>
      </c>
      <c r="X2271" s="197" t="e">
        <f t="shared" si="290"/>
        <v>#DIV/0!</v>
      </c>
    </row>
    <row r="2272" ht="11.4" hidden="1" customHeight="1" spans="1:24">
      <c r="A2272" s="184" t="s">
        <v>3208</v>
      </c>
      <c r="B2272" s="184" t="s">
        <v>149</v>
      </c>
      <c r="C2272" s="184" t="s">
        <v>2263</v>
      </c>
      <c r="D2272" s="185" t="s">
        <v>704</v>
      </c>
      <c r="E2272" s="186" t="s">
        <v>906</v>
      </c>
      <c r="F2272" s="186" t="s">
        <v>907</v>
      </c>
      <c r="G2272" s="186" t="s">
        <v>2264</v>
      </c>
      <c r="H2272" s="186" t="s">
        <v>2265</v>
      </c>
      <c r="I2272" s="187" t="s">
        <v>2313</v>
      </c>
      <c r="J2272" s="187" t="s">
        <v>2314</v>
      </c>
      <c r="K2272" s="188"/>
      <c r="L2272" s="188"/>
      <c r="M2272" s="189" t="s">
        <v>963</v>
      </c>
      <c r="N2272" s="190">
        <v>80.18</v>
      </c>
      <c r="O2272" s="190">
        <f t="shared" si="283"/>
        <v>87.4</v>
      </c>
      <c r="P2272" s="191">
        <f t="shared" si="284"/>
        <v>0</v>
      </c>
      <c r="Q2272" s="192">
        <f t="shared" si="285"/>
        <v>0</v>
      </c>
      <c r="R2272" s="193"/>
      <c r="S2272" s="194"/>
      <c r="T2272" s="195">
        <f t="shared" si="286"/>
        <v>0</v>
      </c>
      <c r="U2272" s="195">
        <f t="shared" si="287"/>
        <v>0</v>
      </c>
      <c r="V2272" s="195">
        <f t="shared" si="288"/>
        <v>0</v>
      </c>
      <c r="W2272" s="196" t="e">
        <f t="shared" si="289"/>
        <v>#DIV/0!</v>
      </c>
      <c r="X2272" s="197" t="e">
        <f t="shared" si="290"/>
        <v>#DIV/0!</v>
      </c>
    </row>
    <row r="2273" ht="11.4" hidden="1" customHeight="1" spans="1:24">
      <c r="A2273" s="184" t="s">
        <v>3208</v>
      </c>
      <c r="B2273" s="184" t="s">
        <v>149</v>
      </c>
      <c r="C2273" s="184" t="s">
        <v>2263</v>
      </c>
      <c r="D2273" s="185" t="s">
        <v>704</v>
      </c>
      <c r="E2273" s="186" t="s">
        <v>906</v>
      </c>
      <c r="F2273" s="186" t="s">
        <v>907</v>
      </c>
      <c r="G2273" s="186" t="s">
        <v>2264</v>
      </c>
      <c r="H2273" s="186" t="s">
        <v>2265</v>
      </c>
      <c r="I2273" s="187" t="s">
        <v>2315</v>
      </c>
      <c r="J2273" s="187" t="s">
        <v>2316</v>
      </c>
      <c r="K2273" s="188"/>
      <c r="L2273" s="188"/>
      <c r="M2273" s="189" t="s">
        <v>963</v>
      </c>
      <c r="N2273" s="190">
        <v>202.07</v>
      </c>
      <c r="O2273" s="190">
        <f t="shared" si="283"/>
        <v>220.26</v>
      </c>
      <c r="P2273" s="191">
        <f t="shared" si="284"/>
        <v>0</v>
      </c>
      <c r="Q2273" s="192">
        <f t="shared" si="285"/>
        <v>0</v>
      </c>
      <c r="R2273" s="193"/>
      <c r="S2273" s="194"/>
      <c r="T2273" s="195">
        <f t="shared" si="286"/>
        <v>0</v>
      </c>
      <c r="U2273" s="195">
        <f t="shared" si="287"/>
        <v>0</v>
      </c>
      <c r="V2273" s="195">
        <f t="shared" si="288"/>
        <v>0</v>
      </c>
      <c r="W2273" s="196" t="e">
        <f t="shared" si="289"/>
        <v>#DIV/0!</v>
      </c>
      <c r="X2273" s="197" t="e">
        <f t="shared" si="290"/>
        <v>#DIV/0!</v>
      </c>
    </row>
    <row r="2274" ht="11.4" hidden="1" customHeight="1" spans="1:24">
      <c r="A2274" s="184" t="s">
        <v>3208</v>
      </c>
      <c r="B2274" s="184" t="s">
        <v>149</v>
      </c>
      <c r="C2274" s="184" t="s">
        <v>2263</v>
      </c>
      <c r="D2274" s="185" t="s">
        <v>704</v>
      </c>
      <c r="E2274" s="186" t="s">
        <v>906</v>
      </c>
      <c r="F2274" s="186" t="s">
        <v>907</v>
      </c>
      <c r="G2274" s="186" t="s">
        <v>2264</v>
      </c>
      <c r="H2274" s="186" t="s">
        <v>2317</v>
      </c>
      <c r="I2274" s="187" t="s">
        <v>2318</v>
      </c>
      <c r="J2274" s="187" t="s">
        <v>2319</v>
      </c>
      <c r="K2274" s="188"/>
      <c r="L2274" s="188"/>
      <c r="M2274" s="189" t="s">
        <v>807</v>
      </c>
      <c r="N2274" s="190">
        <v>24.81</v>
      </c>
      <c r="O2274" s="190">
        <f t="shared" si="283"/>
        <v>27.04</v>
      </c>
      <c r="P2274" s="191">
        <f t="shared" si="284"/>
        <v>0</v>
      </c>
      <c r="Q2274" s="192">
        <f t="shared" si="285"/>
        <v>0</v>
      </c>
      <c r="R2274" s="193"/>
      <c r="S2274" s="194"/>
      <c r="T2274" s="195">
        <f t="shared" si="286"/>
        <v>0</v>
      </c>
      <c r="U2274" s="195">
        <f t="shared" si="287"/>
        <v>0</v>
      </c>
      <c r="V2274" s="195">
        <f t="shared" si="288"/>
        <v>0</v>
      </c>
      <c r="W2274" s="196" t="e">
        <f t="shared" si="289"/>
        <v>#DIV/0!</v>
      </c>
      <c r="X2274" s="197" t="e">
        <f t="shared" si="290"/>
        <v>#DIV/0!</v>
      </c>
    </row>
    <row r="2275" ht="11.4" hidden="1" customHeight="1" spans="1:24">
      <c r="A2275" s="184" t="s">
        <v>3208</v>
      </c>
      <c r="B2275" s="184" t="s">
        <v>149</v>
      </c>
      <c r="C2275" s="184" t="s">
        <v>2263</v>
      </c>
      <c r="D2275" s="185" t="s">
        <v>704</v>
      </c>
      <c r="E2275" s="186" t="s">
        <v>906</v>
      </c>
      <c r="F2275" s="186" t="s">
        <v>907</v>
      </c>
      <c r="G2275" s="186" t="s">
        <v>2264</v>
      </c>
      <c r="H2275" s="186" t="s">
        <v>2320</v>
      </c>
      <c r="I2275" s="187" t="s">
        <v>2321</v>
      </c>
      <c r="J2275" s="187" t="s">
        <v>2322</v>
      </c>
      <c r="K2275" s="188"/>
      <c r="L2275" s="188"/>
      <c r="M2275" s="189" t="s">
        <v>807</v>
      </c>
      <c r="N2275" s="190">
        <v>97.45</v>
      </c>
      <c r="O2275" s="190">
        <f t="shared" si="283"/>
        <v>106.22</v>
      </c>
      <c r="P2275" s="191">
        <f t="shared" si="284"/>
        <v>0</v>
      </c>
      <c r="Q2275" s="192">
        <f t="shared" si="285"/>
        <v>0</v>
      </c>
      <c r="R2275" s="193"/>
      <c r="S2275" s="194"/>
      <c r="T2275" s="195">
        <f t="shared" si="286"/>
        <v>0</v>
      </c>
      <c r="U2275" s="195">
        <f t="shared" si="287"/>
        <v>0</v>
      </c>
      <c r="V2275" s="195">
        <f t="shared" si="288"/>
        <v>0</v>
      </c>
      <c r="W2275" s="196" t="e">
        <f t="shared" si="289"/>
        <v>#DIV/0!</v>
      </c>
      <c r="X2275" s="197" t="e">
        <f t="shared" si="290"/>
        <v>#DIV/0!</v>
      </c>
    </row>
    <row r="2276" ht="11.4" hidden="1" customHeight="1" spans="1:24">
      <c r="A2276" s="184" t="s">
        <v>3208</v>
      </c>
      <c r="B2276" s="184" t="s">
        <v>149</v>
      </c>
      <c r="C2276" s="184" t="s">
        <v>2263</v>
      </c>
      <c r="D2276" s="185" t="s">
        <v>704</v>
      </c>
      <c r="E2276" s="186" t="s">
        <v>906</v>
      </c>
      <c r="F2276" s="186" t="s">
        <v>907</v>
      </c>
      <c r="G2276" s="186" t="s">
        <v>2264</v>
      </c>
      <c r="H2276" s="186" t="s">
        <v>2320</v>
      </c>
      <c r="I2276" s="187" t="s">
        <v>2323</v>
      </c>
      <c r="J2276" s="187" t="s">
        <v>2324</v>
      </c>
      <c r="K2276" s="188"/>
      <c r="L2276" s="188"/>
      <c r="M2276" s="189" t="s">
        <v>807</v>
      </c>
      <c r="N2276" s="190">
        <v>56.91</v>
      </c>
      <c r="O2276" s="190">
        <f t="shared" si="283"/>
        <v>62.03</v>
      </c>
      <c r="P2276" s="191">
        <f t="shared" si="284"/>
        <v>0</v>
      </c>
      <c r="Q2276" s="192">
        <f t="shared" si="285"/>
        <v>0</v>
      </c>
      <c r="R2276" s="193"/>
      <c r="S2276" s="194"/>
      <c r="T2276" s="195">
        <f t="shared" si="286"/>
        <v>0</v>
      </c>
      <c r="U2276" s="195">
        <f t="shared" si="287"/>
        <v>0</v>
      </c>
      <c r="V2276" s="195">
        <f t="shared" si="288"/>
        <v>0</v>
      </c>
      <c r="W2276" s="196" t="e">
        <f t="shared" si="289"/>
        <v>#DIV/0!</v>
      </c>
      <c r="X2276" s="197" t="e">
        <f t="shared" si="290"/>
        <v>#DIV/0!</v>
      </c>
    </row>
    <row r="2277" ht="11.4" hidden="1" customHeight="1" spans="1:24">
      <c r="A2277" s="184" t="s">
        <v>3208</v>
      </c>
      <c r="B2277" s="184" t="s">
        <v>149</v>
      </c>
      <c r="C2277" s="184" t="s">
        <v>2263</v>
      </c>
      <c r="D2277" s="185" t="s">
        <v>704</v>
      </c>
      <c r="E2277" s="186" t="s">
        <v>906</v>
      </c>
      <c r="F2277" s="186" t="s">
        <v>907</v>
      </c>
      <c r="G2277" s="186" t="s">
        <v>2264</v>
      </c>
      <c r="H2277" s="186" t="s">
        <v>2320</v>
      </c>
      <c r="I2277" s="187" t="s">
        <v>2325</v>
      </c>
      <c r="J2277" s="187" t="s">
        <v>2326</v>
      </c>
      <c r="K2277" s="188"/>
      <c r="L2277" s="188"/>
      <c r="M2277" s="189" t="s">
        <v>807</v>
      </c>
      <c r="N2277" s="190">
        <v>39.03</v>
      </c>
      <c r="O2277" s="190">
        <f t="shared" si="283"/>
        <v>42.54</v>
      </c>
      <c r="P2277" s="191">
        <f t="shared" si="284"/>
        <v>0</v>
      </c>
      <c r="Q2277" s="192">
        <f t="shared" si="285"/>
        <v>0</v>
      </c>
      <c r="R2277" s="193"/>
      <c r="S2277" s="194"/>
      <c r="T2277" s="195">
        <f t="shared" si="286"/>
        <v>0</v>
      </c>
      <c r="U2277" s="195">
        <f t="shared" si="287"/>
        <v>0</v>
      </c>
      <c r="V2277" s="195">
        <f t="shared" si="288"/>
        <v>0</v>
      </c>
      <c r="W2277" s="196" t="e">
        <f t="shared" si="289"/>
        <v>#DIV/0!</v>
      </c>
      <c r="X2277" s="197" t="e">
        <f t="shared" si="290"/>
        <v>#DIV/0!</v>
      </c>
    </row>
    <row r="2278" ht="11.4" hidden="1" customHeight="1" spans="1:24">
      <c r="A2278" s="184" t="s">
        <v>3208</v>
      </c>
      <c r="B2278" s="184" t="s">
        <v>149</v>
      </c>
      <c r="C2278" s="184" t="s">
        <v>2263</v>
      </c>
      <c r="D2278" s="185" t="s">
        <v>704</v>
      </c>
      <c r="E2278" s="186" t="s">
        <v>906</v>
      </c>
      <c r="F2278" s="186" t="s">
        <v>907</v>
      </c>
      <c r="G2278" s="186" t="s">
        <v>2264</v>
      </c>
      <c r="H2278" s="186" t="s">
        <v>2320</v>
      </c>
      <c r="I2278" s="187" t="s">
        <v>2327</v>
      </c>
      <c r="J2278" s="187" t="s">
        <v>2328</v>
      </c>
      <c r="K2278" s="188"/>
      <c r="L2278" s="188"/>
      <c r="M2278" s="189" t="s">
        <v>807</v>
      </c>
      <c r="N2278" s="190">
        <v>24.95</v>
      </c>
      <c r="O2278" s="190">
        <f t="shared" si="283"/>
        <v>27.2</v>
      </c>
      <c r="P2278" s="191">
        <f t="shared" si="284"/>
        <v>0</v>
      </c>
      <c r="Q2278" s="192">
        <f t="shared" si="285"/>
        <v>0</v>
      </c>
      <c r="R2278" s="193"/>
      <c r="S2278" s="194"/>
      <c r="T2278" s="195">
        <f t="shared" si="286"/>
        <v>0</v>
      </c>
      <c r="U2278" s="195">
        <f t="shared" si="287"/>
        <v>0</v>
      </c>
      <c r="V2278" s="195">
        <f t="shared" si="288"/>
        <v>0</v>
      </c>
      <c r="W2278" s="196" t="e">
        <f t="shared" si="289"/>
        <v>#DIV/0!</v>
      </c>
      <c r="X2278" s="197" t="e">
        <f t="shared" si="290"/>
        <v>#DIV/0!</v>
      </c>
    </row>
    <row r="2279" ht="11.4" hidden="1" customHeight="1" spans="1:24">
      <c r="A2279" s="184" t="s">
        <v>3208</v>
      </c>
      <c r="B2279" s="184" t="s">
        <v>149</v>
      </c>
      <c r="C2279" s="184" t="s">
        <v>2263</v>
      </c>
      <c r="D2279" s="185" t="s">
        <v>704</v>
      </c>
      <c r="E2279" s="186" t="s">
        <v>906</v>
      </c>
      <c r="F2279" s="186" t="s">
        <v>907</v>
      </c>
      <c r="G2279" s="186" t="s">
        <v>2264</v>
      </c>
      <c r="H2279" s="186" t="s">
        <v>2320</v>
      </c>
      <c r="I2279" s="187" t="s">
        <v>2329</v>
      </c>
      <c r="J2279" s="187" t="s">
        <v>2330</v>
      </c>
      <c r="K2279" s="188"/>
      <c r="L2279" s="188"/>
      <c r="M2279" s="189" t="s">
        <v>807</v>
      </c>
      <c r="N2279" s="190">
        <v>24.95</v>
      </c>
      <c r="O2279" s="190">
        <f t="shared" si="283"/>
        <v>27.2</v>
      </c>
      <c r="P2279" s="191">
        <f t="shared" si="284"/>
        <v>0</v>
      </c>
      <c r="Q2279" s="192">
        <f t="shared" si="285"/>
        <v>0</v>
      </c>
      <c r="R2279" s="193"/>
      <c r="S2279" s="194"/>
      <c r="T2279" s="195">
        <f t="shared" si="286"/>
        <v>0</v>
      </c>
      <c r="U2279" s="195">
        <f t="shared" si="287"/>
        <v>0</v>
      </c>
      <c r="V2279" s="195">
        <f t="shared" si="288"/>
        <v>0</v>
      </c>
      <c r="W2279" s="196" t="e">
        <f t="shared" si="289"/>
        <v>#DIV/0!</v>
      </c>
      <c r="X2279" s="197" t="e">
        <f t="shared" si="290"/>
        <v>#DIV/0!</v>
      </c>
    </row>
    <row r="2280" ht="11.4" hidden="1" customHeight="1" spans="1:24">
      <c r="A2280" s="184" t="s">
        <v>3208</v>
      </c>
      <c r="B2280" s="184" t="s">
        <v>149</v>
      </c>
      <c r="C2280" s="184" t="s">
        <v>2263</v>
      </c>
      <c r="D2280" s="185" t="s">
        <v>704</v>
      </c>
      <c r="E2280" s="186" t="s">
        <v>906</v>
      </c>
      <c r="F2280" s="186" t="s">
        <v>907</v>
      </c>
      <c r="G2280" s="186" t="s">
        <v>2264</v>
      </c>
      <c r="H2280" s="186" t="s">
        <v>2320</v>
      </c>
      <c r="I2280" s="187" t="s">
        <v>2331</v>
      </c>
      <c r="J2280" s="187" t="s">
        <v>2332</v>
      </c>
      <c r="K2280" s="188"/>
      <c r="L2280" s="188"/>
      <c r="M2280" s="189" t="s">
        <v>807</v>
      </c>
      <c r="N2280" s="190">
        <v>34.08</v>
      </c>
      <c r="O2280" s="190">
        <f t="shared" si="283"/>
        <v>37.15</v>
      </c>
      <c r="P2280" s="191">
        <f t="shared" si="284"/>
        <v>0</v>
      </c>
      <c r="Q2280" s="192">
        <f t="shared" si="285"/>
        <v>0</v>
      </c>
      <c r="R2280" s="193"/>
      <c r="S2280" s="194"/>
      <c r="T2280" s="195">
        <f t="shared" si="286"/>
        <v>0</v>
      </c>
      <c r="U2280" s="195">
        <f t="shared" si="287"/>
        <v>0</v>
      </c>
      <c r="V2280" s="195">
        <f t="shared" si="288"/>
        <v>0</v>
      </c>
      <c r="W2280" s="196" t="e">
        <f t="shared" si="289"/>
        <v>#DIV/0!</v>
      </c>
      <c r="X2280" s="197" t="e">
        <f t="shared" si="290"/>
        <v>#DIV/0!</v>
      </c>
    </row>
    <row r="2281" ht="11.4" hidden="1" customHeight="1" spans="1:24">
      <c r="A2281" s="184" t="s">
        <v>3208</v>
      </c>
      <c r="B2281" s="184" t="s">
        <v>149</v>
      </c>
      <c r="C2281" s="184" t="s">
        <v>2263</v>
      </c>
      <c r="D2281" s="185" t="s">
        <v>704</v>
      </c>
      <c r="E2281" s="186" t="s">
        <v>906</v>
      </c>
      <c r="F2281" s="186" t="s">
        <v>907</v>
      </c>
      <c r="G2281" s="186" t="s">
        <v>2264</v>
      </c>
      <c r="H2281" s="186" t="s">
        <v>2320</v>
      </c>
      <c r="I2281" s="187" t="s">
        <v>2333</v>
      </c>
      <c r="J2281" s="187" t="s">
        <v>2334</v>
      </c>
      <c r="K2281" s="188"/>
      <c r="L2281" s="188"/>
      <c r="M2281" s="189" t="s">
        <v>963</v>
      </c>
      <c r="N2281" s="190">
        <v>196.45</v>
      </c>
      <c r="O2281" s="190">
        <f t="shared" si="283"/>
        <v>214.13</v>
      </c>
      <c r="P2281" s="191">
        <f t="shared" si="284"/>
        <v>0</v>
      </c>
      <c r="Q2281" s="192">
        <f t="shared" si="285"/>
        <v>0</v>
      </c>
      <c r="R2281" s="193"/>
      <c r="S2281" s="194"/>
      <c r="T2281" s="195">
        <f t="shared" si="286"/>
        <v>0</v>
      </c>
      <c r="U2281" s="195">
        <f t="shared" si="287"/>
        <v>0</v>
      </c>
      <c r="V2281" s="195">
        <f t="shared" si="288"/>
        <v>0</v>
      </c>
      <c r="W2281" s="196" t="e">
        <f t="shared" si="289"/>
        <v>#DIV/0!</v>
      </c>
      <c r="X2281" s="197" t="e">
        <f t="shared" si="290"/>
        <v>#DIV/0!</v>
      </c>
    </row>
    <row r="2282" ht="11.4" hidden="1" customHeight="1" spans="1:24">
      <c r="A2282" s="184" t="s">
        <v>3208</v>
      </c>
      <c r="B2282" s="184" t="s">
        <v>149</v>
      </c>
      <c r="C2282" s="184" t="s">
        <v>2263</v>
      </c>
      <c r="D2282" s="185" t="s">
        <v>704</v>
      </c>
      <c r="E2282" s="186" t="s">
        <v>906</v>
      </c>
      <c r="F2282" s="186" t="s">
        <v>907</v>
      </c>
      <c r="G2282" s="186" t="s">
        <v>2264</v>
      </c>
      <c r="H2282" s="186" t="s">
        <v>2320</v>
      </c>
      <c r="I2282" s="187" t="s">
        <v>2335</v>
      </c>
      <c r="J2282" s="187" t="s">
        <v>2336</v>
      </c>
      <c r="K2282" s="188"/>
      <c r="L2282" s="188"/>
      <c r="M2282" s="189" t="s">
        <v>963</v>
      </c>
      <c r="N2282" s="190">
        <v>245.17</v>
      </c>
      <c r="O2282" s="190">
        <f t="shared" si="283"/>
        <v>267.24</v>
      </c>
      <c r="P2282" s="191">
        <f t="shared" si="284"/>
        <v>0</v>
      </c>
      <c r="Q2282" s="192">
        <f t="shared" si="285"/>
        <v>0</v>
      </c>
      <c r="R2282" s="193"/>
      <c r="S2282" s="194"/>
      <c r="T2282" s="195">
        <f t="shared" si="286"/>
        <v>0</v>
      </c>
      <c r="U2282" s="195">
        <f t="shared" si="287"/>
        <v>0</v>
      </c>
      <c r="V2282" s="195">
        <f t="shared" si="288"/>
        <v>0</v>
      </c>
      <c r="W2282" s="196" t="e">
        <f t="shared" si="289"/>
        <v>#DIV/0!</v>
      </c>
      <c r="X2282" s="197" t="e">
        <f t="shared" si="290"/>
        <v>#DIV/0!</v>
      </c>
    </row>
    <row r="2283" ht="11.4" hidden="1" customHeight="1" spans="1:24">
      <c r="A2283" s="184" t="s">
        <v>3208</v>
      </c>
      <c r="B2283" s="184" t="s">
        <v>149</v>
      </c>
      <c r="C2283" s="184" t="s">
        <v>2263</v>
      </c>
      <c r="D2283" s="185" t="s">
        <v>704</v>
      </c>
      <c r="E2283" s="186" t="s">
        <v>906</v>
      </c>
      <c r="F2283" s="186" t="s">
        <v>907</v>
      </c>
      <c r="G2283" s="186" t="s">
        <v>2264</v>
      </c>
      <c r="H2283" s="186" t="s">
        <v>2320</v>
      </c>
      <c r="I2283" s="187" t="s">
        <v>2337</v>
      </c>
      <c r="J2283" s="187" t="s">
        <v>2338</v>
      </c>
      <c r="K2283" s="188"/>
      <c r="L2283" s="188"/>
      <c r="M2283" s="189" t="s">
        <v>963</v>
      </c>
      <c r="N2283" s="190">
        <v>29.9</v>
      </c>
      <c r="O2283" s="190">
        <f t="shared" si="283"/>
        <v>32.59</v>
      </c>
      <c r="P2283" s="191">
        <f t="shared" si="284"/>
        <v>0</v>
      </c>
      <c r="Q2283" s="192">
        <f t="shared" si="285"/>
        <v>0</v>
      </c>
      <c r="R2283" s="193"/>
      <c r="S2283" s="194"/>
      <c r="T2283" s="195">
        <f t="shared" si="286"/>
        <v>0</v>
      </c>
      <c r="U2283" s="195">
        <f t="shared" si="287"/>
        <v>0</v>
      </c>
      <c r="V2283" s="195">
        <f t="shared" si="288"/>
        <v>0</v>
      </c>
      <c r="W2283" s="196" t="e">
        <f t="shared" si="289"/>
        <v>#DIV/0!</v>
      </c>
      <c r="X2283" s="197" t="e">
        <f t="shared" si="290"/>
        <v>#DIV/0!</v>
      </c>
    </row>
    <row r="2284" ht="11.4" hidden="1" customHeight="1" spans="1:24">
      <c r="A2284" s="184" t="s">
        <v>3208</v>
      </c>
      <c r="B2284" s="184" t="s">
        <v>149</v>
      </c>
      <c r="C2284" s="184" t="s">
        <v>2263</v>
      </c>
      <c r="D2284" s="185" t="s">
        <v>704</v>
      </c>
      <c r="E2284" s="186" t="s">
        <v>906</v>
      </c>
      <c r="F2284" s="186" t="s">
        <v>907</v>
      </c>
      <c r="G2284" s="186" t="s">
        <v>2264</v>
      </c>
      <c r="H2284" s="186" t="s">
        <v>2320</v>
      </c>
      <c r="I2284" s="187" t="s">
        <v>2339</v>
      </c>
      <c r="J2284" s="187" t="s">
        <v>2340</v>
      </c>
      <c r="K2284" s="188"/>
      <c r="L2284" s="188"/>
      <c r="M2284" s="189" t="s">
        <v>793</v>
      </c>
      <c r="N2284" s="190"/>
      <c r="O2284" s="190">
        <f t="shared" si="283"/>
        <v>0</v>
      </c>
      <c r="P2284" s="191">
        <f t="shared" si="284"/>
        <v>0</v>
      </c>
      <c r="Q2284" s="192">
        <f t="shared" si="285"/>
        <v>0</v>
      </c>
      <c r="R2284" s="193"/>
      <c r="S2284" s="194"/>
      <c r="T2284" s="195">
        <f t="shared" si="286"/>
        <v>0</v>
      </c>
      <c r="U2284" s="195">
        <f t="shared" si="287"/>
        <v>0</v>
      </c>
      <c r="V2284" s="195">
        <f t="shared" si="288"/>
        <v>0</v>
      </c>
      <c r="W2284" s="196" t="e">
        <f t="shared" si="289"/>
        <v>#DIV/0!</v>
      </c>
      <c r="X2284" s="197" t="e">
        <f t="shared" si="290"/>
        <v>#DIV/0!</v>
      </c>
    </row>
    <row r="2285" ht="11.4" hidden="1" customHeight="1" spans="1:24">
      <c r="A2285" s="184" t="s">
        <v>3208</v>
      </c>
      <c r="B2285" s="184" t="s">
        <v>149</v>
      </c>
      <c r="C2285" s="184" t="s">
        <v>2263</v>
      </c>
      <c r="D2285" s="185" t="s">
        <v>704</v>
      </c>
      <c r="E2285" s="186" t="s">
        <v>906</v>
      </c>
      <c r="F2285" s="186" t="s">
        <v>907</v>
      </c>
      <c r="G2285" s="186" t="s">
        <v>2264</v>
      </c>
      <c r="H2285" s="186" t="s">
        <v>2265</v>
      </c>
      <c r="I2285" s="187" t="s">
        <v>2341</v>
      </c>
      <c r="J2285" s="187" t="s">
        <v>2342</v>
      </c>
      <c r="K2285" s="188"/>
      <c r="L2285" s="188"/>
      <c r="M2285" s="189" t="s">
        <v>963</v>
      </c>
      <c r="N2285" s="190">
        <v>134.85</v>
      </c>
      <c r="O2285" s="190">
        <f t="shared" si="283"/>
        <v>146.99</v>
      </c>
      <c r="P2285" s="191">
        <f t="shared" si="284"/>
        <v>0</v>
      </c>
      <c r="Q2285" s="192">
        <f t="shared" si="285"/>
        <v>0</v>
      </c>
      <c r="R2285" s="193"/>
      <c r="S2285" s="194"/>
      <c r="T2285" s="195">
        <f t="shared" si="286"/>
        <v>0</v>
      </c>
      <c r="U2285" s="195">
        <f t="shared" si="287"/>
        <v>0</v>
      </c>
      <c r="V2285" s="195">
        <f t="shared" si="288"/>
        <v>0</v>
      </c>
      <c r="W2285" s="196" t="e">
        <f t="shared" si="289"/>
        <v>#DIV/0!</v>
      </c>
      <c r="X2285" s="197" t="e">
        <f t="shared" si="290"/>
        <v>#DIV/0!</v>
      </c>
    </row>
    <row r="2286" ht="11.4" hidden="1" customHeight="1" spans="1:24">
      <c r="A2286" s="184" t="s">
        <v>3208</v>
      </c>
      <c r="B2286" s="184" t="s">
        <v>149</v>
      </c>
      <c r="C2286" s="184" t="s">
        <v>2263</v>
      </c>
      <c r="D2286" s="185" t="s">
        <v>704</v>
      </c>
      <c r="E2286" s="186" t="s">
        <v>906</v>
      </c>
      <c r="F2286" s="186" t="s">
        <v>907</v>
      </c>
      <c r="G2286" s="186" t="s">
        <v>2264</v>
      </c>
      <c r="H2286" s="186" t="s">
        <v>2265</v>
      </c>
      <c r="I2286" s="187" t="s">
        <v>2343</v>
      </c>
      <c r="J2286" s="187" t="s">
        <v>2344</v>
      </c>
      <c r="K2286" s="188"/>
      <c r="L2286" s="188"/>
      <c r="M2286" s="189" t="s">
        <v>963</v>
      </c>
      <c r="N2286" s="190">
        <v>416.64</v>
      </c>
      <c r="O2286" s="190">
        <f t="shared" si="283"/>
        <v>454.14</v>
      </c>
      <c r="P2286" s="191">
        <f t="shared" si="284"/>
        <v>0</v>
      </c>
      <c r="Q2286" s="192">
        <f t="shared" si="285"/>
        <v>0</v>
      </c>
      <c r="R2286" s="193"/>
      <c r="S2286" s="194"/>
      <c r="T2286" s="195">
        <f t="shared" si="286"/>
        <v>0</v>
      </c>
      <c r="U2286" s="195">
        <f t="shared" si="287"/>
        <v>0</v>
      </c>
      <c r="V2286" s="195">
        <f t="shared" si="288"/>
        <v>0</v>
      </c>
      <c r="W2286" s="196" t="e">
        <f t="shared" si="289"/>
        <v>#DIV/0!</v>
      </c>
      <c r="X2286" s="197" t="e">
        <f t="shared" si="290"/>
        <v>#DIV/0!</v>
      </c>
    </row>
    <row r="2287" ht="11.4" hidden="1" customHeight="1" spans="1:24">
      <c r="A2287" s="184" t="s">
        <v>3208</v>
      </c>
      <c r="B2287" s="184" t="s">
        <v>149</v>
      </c>
      <c r="C2287" s="184" t="s">
        <v>2263</v>
      </c>
      <c r="D2287" s="185" t="s">
        <v>704</v>
      </c>
      <c r="E2287" s="186" t="s">
        <v>906</v>
      </c>
      <c r="F2287" s="186" t="s">
        <v>907</v>
      </c>
      <c r="G2287" s="186" t="s">
        <v>2264</v>
      </c>
      <c r="H2287" s="186" t="s">
        <v>2265</v>
      </c>
      <c r="I2287" s="187" t="s">
        <v>2345</v>
      </c>
      <c r="J2287" s="187" t="s">
        <v>2346</v>
      </c>
      <c r="K2287" s="188"/>
      <c r="L2287" s="188"/>
      <c r="M2287" s="189" t="s">
        <v>963</v>
      </c>
      <c r="N2287" s="190">
        <v>454.51</v>
      </c>
      <c r="O2287" s="190">
        <f t="shared" si="283"/>
        <v>495.42</v>
      </c>
      <c r="P2287" s="191">
        <f t="shared" si="284"/>
        <v>0</v>
      </c>
      <c r="Q2287" s="192">
        <f t="shared" si="285"/>
        <v>0</v>
      </c>
      <c r="R2287" s="193"/>
      <c r="S2287" s="194"/>
      <c r="T2287" s="195">
        <f t="shared" si="286"/>
        <v>0</v>
      </c>
      <c r="U2287" s="195">
        <f t="shared" si="287"/>
        <v>0</v>
      </c>
      <c r="V2287" s="195">
        <f t="shared" si="288"/>
        <v>0</v>
      </c>
      <c r="W2287" s="196" t="e">
        <f t="shared" si="289"/>
        <v>#DIV/0!</v>
      </c>
      <c r="X2287" s="197" t="e">
        <f t="shared" si="290"/>
        <v>#DIV/0!</v>
      </c>
    </row>
    <row r="2288" ht="11.4" hidden="1" customHeight="1" spans="1:24">
      <c r="A2288" s="184" t="s">
        <v>3208</v>
      </c>
      <c r="B2288" s="184" t="s">
        <v>149</v>
      </c>
      <c r="C2288" s="184" t="s">
        <v>2263</v>
      </c>
      <c r="D2288" s="185" t="s">
        <v>704</v>
      </c>
      <c r="E2288" s="186" t="s">
        <v>906</v>
      </c>
      <c r="F2288" s="186" t="s">
        <v>907</v>
      </c>
      <c r="G2288" s="186" t="s">
        <v>2264</v>
      </c>
      <c r="H2288" s="186" t="s">
        <v>2265</v>
      </c>
      <c r="I2288" s="187" t="s">
        <v>2347</v>
      </c>
      <c r="J2288" s="187" t="s">
        <v>2348</v>
      </c>
      <c r="K2288" s="188"/>
      <c r="L2288" s="188"/>
      <c r="M2288" s="189" t="s">
        <v>963</v>
      </c>
      <c r="N2288" s="190">
        <v>236.73</v>
      </c>
      <c r="O2288" s="190">
        <f t="shared" si="283"/>
        <v>258.04</v>
      </c>
      <c r="P2288" s="191">
        <f t="shared" si="284"/>
        <v>0</v>
      </c>
      <c r="Q2288" s="192">
        <f t="shared" si="285"/>
        <v>0</v>
      </c>
      <c r="R2288" s="193"/>
      <c r="S2288" s="194"/>
      <c r="T2288" s="195">
        <f t="shared" si="286"/>
        <v>0</v>
      </c>
      <c r="U2288" s="195">
        <f t="shared" si="287"/>
        <v>0</v>
      </c>
      <c r="V2288" s="195">
        <f t="shared" si="288"/>
        <v>0</v>
      </c>
      <c r="W2288" s="196" t="e">
        <f t="shared" si="289"/>
        <v>#DIV/0!</v>
      </c>
      <c r="X2288" s="197" t="e">
        <f t="shared" si="290"/>
        <v>#DIV/0!</v>
      </c>
    </row>
    <row r="2289" ht="11.4" hidden="1" customHeight="1" spans="1:24">
      <c r="A2289" s="184" t="s">
        <v>3176</v>
      </c>
      <c r="B2289" s="184" t="s">
        <v>153</v>
      </c>
      <c r="C2289" s="184" t="s">
        <v>905</v>
      </c>
      <c r="D2289" s="185" t="s">
        <v>704</v>
      </c>
      <c r="E2289" s="186" t="s">
        <v>906</v>
      </c>
      <c r="F2289" s="186" t="s">
        <v>907</v>
      </c>
      <c r="G2289" s="186" t="s">
        <v>908</v>
      </c>
      <c r="H2289" s="186" t="s">
        <v>909</v>
      </c>
      <c r="I2289" s="187" t="s">
        <v>2349</v>
      </c>
      <c r="J2289" s="187" t="s">
        <v>2350</v>
      </c>
      <c r="K2289" s="188"/>
      <c r="L2289" s="188"/>
      <c r="M2289" s="189" t="s">
        <v>989</v>
      </c>
      <c r="N2289" s="190">
        <v>5000.89</v>
      </c>
      <c r="O2289" s="190">
        <f t="shared" si="283"/>
        <v>5450.97</v>
      </c>
      <c r="P2289" s="191">
        <f t="shared" si="284"/>
        <v>0</v>
      </c>
      <c r="Q2289" s="192">
        <f t="shared" si="285"/>
        <v>0</v>
      </c>
      <c r="R2289" s="193"/>
      <c r="S2289" s="194"/>
      <c r="T2289" s="195">
        <f t="shared" si="286"/>
        <v>0</v>
      </c>
      <c r="U2289" s="195">
        <f t="shared" si="287"/>
        <v>0</v>
      </c>
      <c r="V2289" s="195">
        <f t="shared" si="288"/>
        <v>0</v>
      </c>
      <c r="W2289" s="196" t="e">
        <f t="shared" si="289"/>
        <v>#DIV/0!</v>
      </c>
      <c r="X2289" s="197" t="e">
        <f t="shared" si="290"/>
        <v>#DIV/0!</v>
      </c>
    </row>
    <row r="2290" ht="11.4" hidden="1" customHeight="1" spans="1:24">
      <c r="A2290" s="184" t="s">
        <v>3176</v>
      </c>
      <c r="B2290" s="184" t="s">
        <v>153</v>
      </c>
      <c r="C2290" s="184" t="s">
        <v>905</v>
      </c>
      <c r="D2290" s="185" t="s">
        <v>704</v>
      </c>
      <c r="E2290" s="186" t="s">
        <v>906</v>
      </c>
      <c r="F2290" s="186" t="s">
        <v>907</v>
      </c>
      <c r="G2290" s="186" t="s">
        <v>908</v>
      </c>
      <c r="H2290" s="186" t="s">
        <v>909</v>
      </c>
      <c r="I2290" s="187" t="s">
        <v>2352</v>
      </c>
      <c r="J2290" s="187" t="s">
        <v>2353</v>
      </c>
      <c r="K2290" s="188"/>
      <c r="L2290" s="188"/>
      <c r="M2290" s="189" t="s">
        <v>989</v>
      </c>
      <c r="N2290" s="190">
        <v>4096.03</v>
      </c>
      <c r="O2290" s="190">
        <f t="shared" si="283"/>
        <v>4464.67</v>
      </c>
      <c r="P2290" s="191">
        <f t="shared" si="284"/>
        <v>0</v>
      </c>
      <c r="Q2290" s="192">
        <f t="shared" si="285"/>
        <v>0</v>
      </c>
      <c r="R2290" s="193"/>
      <c r="S2290" s="194"/>
      <c r="T2290" s="195">
        <f t="shared" si="286"/>
        <v>0</v>
      </c>
      <c r="U2290" s="195">
        <f t="shared" si="287"/>
        <v>0</v>
      </c>
      <c r="V2290" s="195">
        <f t="shared" si="288"/>
        <v>0</v>
      </c>
      <c r="W2290" s="196" t="e">
        <f t="shared" si="289"/>
        <v>#DIV/0!</v>
      </c>
      <c r="X2290" s="197" t="e">
        <f t="shared" si="290"/>
        <v>#DIV/0!</v>
      </c>
    </row>
    <row r="2291" ht="11.4" hidden="1" customHeight="1" spans="1:24">
      <c r="A2291" s="184" t="s">
        <v>3176</v>
      </c>
      <c r="B2291" s="184" t="s">
        <v>153</v>
      </c>
      <c r="C2291" s="184" t="s">
        <v>905</v>
      </c>
      <c r="D2291" s="185" t="s">
        <v>704</v>
      </c>
      <c r="E2291" s="186" t="s">
        <v>906</v>
      </c>
      <c r="F2291" s="186" t="s">
        <v>907</v>
      </c>
      <c r="G2291" s="186" t="s">
        <v>908</v>
      </c>
      <c r="H2291" s="186" t="s">
        <v>909</v>
      </c>
      <c r="I2291" s="187" t="s">
        <v>2354</v>
      </c>
      <c r="J2291" s="187" t="s">
        <v>2355</v>
      </c>
      <c r="K2291" s="188"/>
      <c r="L2291" s="188"/>
      <c r="M2291" s="189" t="s">
        <v>989</v>
      </c>
      <c r="N2291" s="190">
        <v>1924.76</v>
      </c>
      <c r="O2291" s="190">
        <f t="shared" si="283"/>
        <v>2097.99</v>
      </c>
      <c r="P2291" s="191">
        <f t="shared" si="284"/>
        <v>0</v>
      </c>
      <c r="Q2291" s="192">
        <f t="shared" si="285"/>
        <v>0</v>
      </c>
      <c r="R2291" s="193"/>
      <c r="S2291" s="194"/>
      <c r="T2291" s="195">
        <f t="shared" si="286"/>
        <v>0</v>
      </c>
      <c r="U2291" s="195">
        <f t="shared" si="287"/>
        <v>0</v>
      </c>
      <c r="V2291" s="195">
        <f t="shared" si="288"/>
        <v>0</v>
      </c>
      <c r="W2291" s="196" t="e">
        <f t="shared" si="289"/>
        <v>#DIV/0!</v>
      </c>
      <c r="X2291" s="197" t="e">
        <f t="shared" si="290"/>
        <v>#DIV/0!</v>
      </c>
    </row>
    <row r="2292" ht="11.4" hidden="1" customHeight="1" spans="1:24">
      <c r="A2292" s="184" t="s">
        <v>3176</v>
      </c>
      <c r="B2292" s="184" t="s">
        <v>153</v>
      </c>
      <c r="C2292" s="184" t="s">
        <v>905</v>
      </c>
      <c r="D2292" s="185" t="s">
        <v>704</v>
      </c>
      <c r="E2292" s="186" t="s">
        <v>906</v>
      </c>
      <c r="F2292" s="186" t="s">
        <v>907</v>
      </c>
      <c r="G2292" s="186" t="s">
        <v>908</v>
      </c>
      <c r="H2292" s="186" t="s">
        <v>909</v>
      </c>
      <c r="I2292" s="187" t="s">
        <v>2356</v>
      </c>
      <c r="J2292" s="187" t="s">
        <v>2357</v>
      </c>
      <c r="K2292" s="188"/>
      <c r="L2292" s="188"/>
      <c r="M2292" s="189" t="s">
        <v>989</v>
      </c>
      <c r="N2292" s="190">
        <v>1165.33</v>
      </c>
      <c r="O2292" s="190">
        <f t="shared" si="283"/>
        <v>1270.21</v>
      </c>
      <c r="P2292" s="191">
        <f t="shared" si="284"/>
        <v>0</v>
      </c>
      <c r="Q2292" s="192">
        <f t="shared" si="285"/>
        <v>0</v>
      </c>
      <c r="R2292" s="193"/>
      <c r="S2292" s="194"/>
      <c r="T2292" s="195">
        <f t="shared" si="286"/>
        <v>0</v>
      </c>
      <c r="U2292" s="195">
        <f t="shared" si="287"/>
        <v>0</v>
      </c>
      <c r="V2292" s="195">
        <f t="shared" si="288"/>
        <v>0</v>
      </c>
      <c r="W2292" s="196" t="e">
        <f t="shared" si="289"/>
        <v>#DIV/0!</v>
      </c>
      <c r="X2292" s="197" t="e">
        <f t="shared" si="290"/>
        <v>#DIV/0!</v>
      </c>
    </row>
    <row r="2293" ht="11.4" hidden="1" customHeight="1" spans="1:24">
      <c r="A2293" s="184" t="s">
        <v>3176</v>
      </c>
      <c r="B2293" s="184" t="s">
        <v>153</v>
      </c>
      <c r="C2293" s="184" t="s">
        <v>905</v>
      </c>
      <c r="D2293" s="185" t="s">
        <v>704</v>
      </c>
      <c r="E2293" s="186" t="s">
        <v>906</v>
      </c>
      <c r="F2293" s="186" t="s">
        <v>907</v>
      </c>
      <c r="G2293" s="186" t="s">
        <v>908</v>
      </c>
      <c r="H2293" s="186" t="s">
        <v>909</v>
      </c>
      <c r="I2293" s="187" t="s">
        <v>2358</v>
      </c>
      <c r="J2293" s="187" t="s">
        <v>2359</v>
      </c>
      <c r="K2293" s="188"/>
      <c r="L2293" s="188"/>
      <c r="M2293" s="189" t="s">
        <v>989</v>
      </c>
      <c r="N2293" s="190">
        <v>918.38</v>
      </c>
      <c r="O2293" s="190">
        <f t="shared" si="283"/>
        <v>1001.03</v>
      </c>
      <c r="P2293" s="191">
        <f t="shared" si="284"/>
        <v>0</v>
      </c>
      <c r="Q2293" s="192">
        <f t="shared" si="285"/>
        <v>0</v>
      </c>
      <c r="R2293" s="193"/>
      <c r="S2293" s="194"/>
      <c r="T2293" s="195">
        <f t="shared" si="286"/>
        <v>0</v>
      </c>
      <c r="U2293" s="195">
        <f t="shared" si="287"/>
        <v>0</v>
      </c>
      <c r="V2293" s="195">
        <f t="shared" si="288"/>
        <v>0</v>
      </c>
      <c r="W2293" s="196" t="e">
        <f t="shared" si="289"/>
        <v>#DIV/0!</v>
      </c>
      <c r="X2293" s="197" t="e">
        <f t="shared" si="290"/>
        <v>#DIV/0!</v>
      </c>
    </row>
    <row r="2294" ht="11.4" hidden="1" customHeight="1" spans="1:24">
      <c r="A2294" s="184" t="s">
        <v>3176</v>
      </c>
      <c r="B2294" s="184" t="s">
        <v>153</v>
      </c>
      <c r="C2294" s="184" t="s">
        <v>905</v>
      </c>
      <c r="D2294" s="185" t="s">
        <v>704</v>
      </c>
      <c r="E2294" s="186" t="s">
        <v>906</v>
      </c>
      <c r="F2294" s="186" t="s">
        <v>907</v>
      </c>
      <c r="G2294" s="186" t="s">
        <v>908</v>
      </c>
      <c r="H2294" s="186" t="s">
        <v>909</v>
      </c>
      <c r="I2294" s="187" t="s">
        <v>2360</v>
      </c>
      <c r="J2294" s="187" t="s">
        <v>2361</v>
      </c>
      <c r="K2294" s="188"/>
      <c r="L2294" s="188"/>
      <c r="M2294" s="189" t="s">
        <v>989</v>
      </c>
      <c r="N2294" s="190">
        <v>944.89</v>
      </c>
      <c r="O2294" s="190">
        <f t="shared" si="283"/>
        <v>1029.93</v>
      </c>
      <c r="P2294" s="191">
        <f t="shared" si="284"/>
        <v>0</v>
      </c>
      <c r="Q2294" s="192">
        <f t="shared" si="285"/>
        <v>0</v>
      </c>
      <c r="R2294" s="193"/>
      <c r="S2294" s="194"/>
      <c r="T2294" s="195">
        <f t="shared" si="286"/>
        <v>0</v>
      </c>
      <c r="U2294" s="195">
        <f t="shared" si="287"/>
        <v>0</v>
      </c>
      <c r="V2294" s="195">
        <f t="shared" si="288"/>
        <v>0</v>
      </c>
      <c r="W2294" s="196" t="e">
        <f t="shared" si="289"/>
        <v>#DIV/0!</v>
      </c>
      <c r="X2294" s="197" t="e">
        <f t="shared" si="290"/>
        <v>#DIV/0!</v>
      </c>
    </row>
    <row r="2295" ht="11.4" hidden="1" customHeight="1" spans="1:24">
      <c r="A2295" s="184" t="s">
        <v>3176</v>
      </c>
      <c r="B2295" s="184" t="s">
        <v>153</v>
      </c>
      <c r="C2295" s="184" t="s">
        <v>905</v>
      </c>
      <c r="D2295" s="185" t="s">
        <v>704</v>
      </c>
      <c r="E2295" s="186" t="s">
        <v>906</v>
      </c>
      <c r="F2295" s="186" t="s">
        <v>907</v>
      </c>
      <c r="G2295" s="186" t="s">
        <v>908</v>
      </c>
      <c r="H2295" s="186" t="s">
        <v>909</v>
      </c>
      <c r="I2295" s="187" t="s">
        <v>2362</v>
      </c>
      <c r="J2295" s="187" t="s">
        <v>2363</v>
      </c>
      <c r="K2295" s="188"/>
      <c r="L2295" s="188"/>
      <c r="M2295" s="189" t="s">
        <v>989</v>
      </c>
      <c r="N2295" s="190">
        <v>621.38</v>
      </c>
      <c r="O2295" s="190">
        <f t="shared" si="283"/>
        <v>677.3</v>
      </c>
      <c r="P2295" s="191">
        <f t="shared" si="284"/>
        <v>0</v>
      </c>
      <c r="Q2295" s="192">
        <f t="shared" si="285"/>
        <v>0</v>
      </c>
      <c r="R2295" s="193"/>
      <c r="S2295" s="194"/>
      <c r="T2295" s="195">
        <f t="shared" si="286"/>
        <v>0</v>
      </c>
      <c r="U2295" s="195">
        <f t="shared" si="287"/>
        <v>0</v>
      </c>
      <c r="V2295" s="195">
        <f t="shared" si="288"/>
        <v>0</v>
      </c>
      <c r="W2295" s="196" t="e">
        <f t="shared" si="289"/>
        <v>#DIV/0!</v>
      </c>
      <c r="X2295" s="197" t="e">
        <f t="shared" si="290"/>
        <v>#DIV/0!</v>
      </c>
    </row>
    <row r="2296" ht="11.4" hidden="1" customHeight="1" spans="1:24">
      <c r="A2296" s="184" t="s">
        <v>3176</v>
      </c>
      <c r="B2296" s="184" t="s">
        <v>153</v>
      </c>
      <c r="C2296" s="184" t="s">
        <v>905</v>
      </c>
      <c r="D2296" s="185" t="s">
        <v>704</v>
      </c>
      <c r="E2296" s="186" t="s">
        <v>906</v>
      </c>
      <c r="F2296" s="186" t="s">
        <v>907</v>
      </c>
      <c r="G2296" s="186" t="s">
        <v>908</v>
      </c>
      <c r="H2296" s="186" t="s">
        <v>909</v>
      </c>
      <c r="I2296" s="187" t="s">
        <v>2364</v>
      </c>
      <c r="J2296" s="187" t="s">
        <v>2365</v>
      </c>
      <c r="K2296" s="188"/>
      <c r="L2296" s="188"/>
      <c r="M2296" s="189" t="s">
        <v>989</v>
      </c>
      <c r="N2296" s="190">
        <v>242.43</v>
      </c>
      <c r="O2296" s="190">
        <f t="shared" si="283"/>
        <v>264.25</v>
      </c>
      <c r="P2296" s="191">
        <f t="shared" si="284"/>
        <v>0</v>
      </c>
      <c r="Q2296" s="192">
        <f t="shared" si="285"/>
        <v>0</v>
      </c>
      <c r="R2296" s="193"/>
      <c r="S2296" s="194"/>
      <c r="T2296" s="195">
        <f t="shared" si="286"/>
        <v>0</v>
      </c>
      <c r="U2296" s="195">
        <f t="shared" si="287"/>
        <v>0</v>
      </c>
      <c r="V2296" s="195">
        <f t="shared" si="288"/>
        <v>0</v>
      </c>
      <c r="W2296" s="196" t="e">
        <f t="shared" si="289"/>
        <v>#DIV/0!</v>
      </c>
      <c r="X2296" s="197" t="e">
        <f t="shared" si="290"/>
        <v>#DIV/0!</v>
      </c>
    </row>
    <row r="2297" ht="11.4" hidden="1" customHeight="1" spans="1:24">
      <c r="A2297" s="184" t="s">
        <v>3176</v>
      </c>
      <c r="B2297" s="184" t="s">
        <v>153</v>
      </c>
      <c r="C2297" s="184" t="s">
        <v>905</v>
      </c>
      <c r="D2297" s="185" t="s">
        <v>704</v>
      </c>
      <c r="E2297" s="186" t="s">
        <v>906</v>
      </c>
      <c r="F2297" s="186" t="s">
        <v>907</v>
      </c>
      <c r="G2297" s="186" t="s">
        <v>908</v>
      </c>
      <c r="H2297" s="186" t="s">
        <v>909</v>
      </c>
      <c r="I2297" s="187" t="s">
        <v>2366</v>
      </c>
      <c r="J2297" s="187" t="s">
        <v>2367</v>
      </c>
      <c r="K2297" s="188"/>
      <c r="L2297" s="188"/>
      <c r="M2297" s="189" t="s">
        <v>2308</v>
      </c>
      <c r="N2297" s="190">
        <v>610</v>
      </c>
      <c r="O2297" s="190">
        <f t="shared" si="283"/>
        <v>664.9</v>
      </c>
      <c r="P2297" s="191">
        <f t="shared" si="284"/>
        <v>0</v>
      </c>
      <c r="Q2297" s="192">
        <f t="shared" si="285"/>
        <v>0</v>
      </c>
      <c r="R2297" s="193"/>
      <c r="S2297" s="194"/>
      <c r="T2297" s="195">
        <f t="shared" si="286"/>
        <v>0</v>
      </c>
      <c r="U2297" s="195">
        <f t="shared" si="287"/>
        <v>0</v>
      </c>
      <c r="V2297" s="195">
        <f t="shared" si="288"/>
        <v>0</v>
      </c>
      <c r="W2297" s="196" t="e">
        <f t="shared" si="289"/>
        <v>#DIV/0!</v>
      </c>
      <c r="X2297" s="197" t="e">
        <f t="shared" si="290"/>
        <v>#DIV/0!</v>
      </c>
    </row>
    <row r="2298" ht="11.4" hidden="1" customHeight="1" spans="1:24">
      <c r="A2298" s="184" t="s">
        <v>3176</v>
      </c>
      <c r="B2298" s="184" t="s">
        <v>153</v>
      </c>
      <c r="C2298" s="184" t="s">
        <v>905</v>
      </c>
      <c r="D2298" s="185" t="s">
        <v>704</v>
      </c>
      <c r="E2298" s="186" t="s">
        <v>906</v>
      </c>
      <c r="F2298" s="186" t="s">
        <v>907</v>
      </c>
      <c r="G2298" s="186" t="s">
        <v>908</v>
      </c>
      <c r="H2298" s="186" t="s">
        <v>909</v>
      </c>
      <c r="I2298" s="187" t="s">
        <v>2369</v>
      </c>
      <c r="J2298" s="187" t="s">
        <v>2370</v>
      </c>
      <c r="K2298" s="188"/>
      <c r="L2298" s="188"/>
      <c r="M2298" s="189" t="s">
        <v>2308</v>
      </c>
      <c r="N2298" s="190">
        <v>610</v>
      </c>
      <c r="O2298" s="190">
        <f t="shared" si="283"/>
        <v>664.9</v>
      </c>
      <c r="P2298" s="191">
        <f t="shared" si="284"/>
        <v>0</v>
      </c>
      <c r="Q2298" s="192">
        <f t="shared" si="285"/>
        <v>0</v>
      </c>
      <c r="R2298" s="193"/>
      <c r="S2298" s="194"/>
      <c r="T2298" s="195">
        <f t="shared" si="286"/>
        <v>0</v>
      </c>
      <c r="U2298" s="195">
        <f t="shared" si="287"/>
        <v>0</v>
      </c>
      <c r="V2298" s="195">
        <f t="shared" si="288"/>
        <v>0</v>
      </c>
      <c r="W2298" s="196" t="e">
        <f t="shared" si="289"/>
        <v>#DIV/0!</v>
      </c>
      <c r="X2298" s="197" t="e">
        <f t="shared" si="290"/>
        <v>#DIV/0!</v>
      </c>
    </row>
    <row r="2299" ht="11.4" hidden="1" customHeight="1" spans="1:24">
      <c r="A2299" s="184" t="s">
        <v>3176</v>
      </c>
      <c r="B2299" s="184" t="s">
        <v>153</v>
      </c>
      <c r="C2299" s="184" t="s">
        <v>905</v>
      </c>
      <c r="D2299" s="185" t="s">
        <v>704</v>
      </c>
      <c r="E2299" s="186" t="s">
        <v>906</v>
      </c>
      <c r="F2299" s="186" t="s">
        <v>907</v>
      </c>
      <c r="G2299" s="186" t="s">
        <v>908</v>
      </c>
      <c r="H2299" s="186" t="s">
        <v>909</v>
      </c>
      <c r="I2299" s="187" t="s">
        <v>2371</v>
      </c>
      <c r="J2299" s="187" t="s">
        <v>2372</v>
      </c>
      <c r="K2299" s="188"/>
      <c r="L2299" s="188"/>
      <c r="M2299" s="189" t="s">
        <v>2308</v>
      </c>
      <c r="N2299" s="190">
        <v>368</v>
      </c>
      <c r="O2299" s="190">
        <f t="shared" si="283"/>
        <v>401.12</v>
      </c>
      <c r="P2299" s="191">
        <f t="shared" si="284"/>
        <v>0</v>
      </c>
      <c r="Q2299" s="192">
        <f t="shared" si="285"/>
        <v>0</v>
      </c>
      <c r="R2299" s="193"/>
      <c r="S2299" s="194"/>
      <c r="T2299" s="195">
        <f t="shared" si="286"/>
        <v>0</v>
      </c>
      <c r="U2299" s="195">
        <f t="shared" si="287"/>
        <v>0</v>
      </c>
      <c r="V2299" s="195">
        <f t="shared" si="288"/>
        <v>0</v>
      </c>
      <c r="W2299" s="196" t="e">
        <f t="shared" si="289"/>
        <v>#DIV/0!</v>
      </c>
      <c r="X2299" s="197" t="e">
        <f t="shared" si="290"/>
        <v>#DIV/0!</v>
      </c>
    </row>
    <row r="2300" ht="11.4" hidden="1" customHeight="1" spans="1:24">
      <c r="A2300" s="184" t="s">
        <v>3176</v>
      </c>
      <c r="B2300" s="184" t="s">
        <v>153</v>
      </c>
      <c r="C2300" s="184" t="s">
        <v>905</v>
      </c>
      <c r="D2300" s="185" t="s">
        <v>704</v>
      </c>
      <c r="E2300" s="186" t="s">
        <v>906</v>
      </c>
      <c r="F2300" s="186" t="s">
        <v>907</v>
      </c>
      <c r="G2300" s="186" t="s">
        <v>908</v>
      </c>
      <c r="H2300" s="186" t="s">
        <v>909</v>
      </c>
      <c r="I2300" s="187" t="s">
        <v>2373</v>
      </c>
      <c r="J2300" s="187" t="s">
        <v>2374</v>
      </c>
      <c r="K2300" s="188"/>
      <c r="L2300" s="188"/>
      <c r="M2300" s="189" t="s">
        <v>2308</v>
      </c>
      <c r="N2300" s="190">
        <v>368</v>
      </c>
      <c r="O2300" s="190">
        <f t="shared" si="283"/>
        <v>401.12</v>
      </c>
      <c r="P2300" s="191">
        <f t="shared" si="284"/>
        <v>0</v>
      </c>
      <c r="Q2300" s="192">
        <f t="shared" si="285"/>
        <v>0</v>
      </c>
      <c r="R2300" s="193"/>
      <c r="S2300" s="194"/>
      <c r="T2300" s="195">
        <f t="shared" si="286"/>
        <v>0</v>
      </c>
      <c r="U2300" s="195">
        <f t="shared" si="287"/>
        <v>0</v>
      </c>
      <c r="V2300" s="195">
        <f t="shared" si="288"/>
        <v>0</v>
      </c>
      <c r="W2300" s="196" t="e">
        <f t="shared" si="289"/>
        <v>#DIV/0!</v>
      </c>
      <c r="X2300" s="197" t="e">
        <f t="shared" si="290"/>
        <v>#DIV/0!</v>
      </c>
    </row>
    <row r="2301" ht="11.4" hidden="1" customHeight="1" spans="1:24">
      <c r="A2301" s="184" t="s">
        <v>3176</v>
      </c>
      <c r="B2301" s="184" t="s">
        <v>153</v>
      </c>
      <c r="C2301" s="184" t="s">
        <v>905</v>
      </c>
      <c r="D2301" s="185" t="s">
        <v>704</v>
      </c>
      <c r="E2301" s="186" t="s">
        <v>906</v>
      </c>
      <c r="F2301" s="186" t="s">
        <v>907</v>
      </c>
      <c r="G2301" s="186" t="s">
        <v>908</v>
      </c>
      <c r="H2301" s="186" t="s">
        <v>909</v>
      </c>
      <c r="I2301" s="187" t="s">
        <v>2375</v>
      </c>
      <c r="J2301" s="187" t="s">
        <v>2376</v>
      </c>
      <c r="K2301" s="188"/>
      <c r="L2301" s="188"/>
      <c r="M2301" s="189" t="s">
        <v>793</v>
      </c>
      <c r="N2301" s="190"/>
      <c r="O2301" s="190">
        <f t="shared" si="283"/>
        <v>0</v>
      </c>
      <c r="P2301" s="191">
        <f t="shared" si="284"/>
        <v>0</v>
      </c>
      <c r="Q2301" s="192">
        <f t="shared" si="285"/>
        <v>0</v>
      </c>
      <c r="R2301" s="193"/>
      <c r="S2301" s="194"/>
      <c r="T2301" s="195">
        <f t="shared" si="286"/>
        <v>0</v>
      </c>
      <c r="U2301" s="195">
        <f t="shared" si="287"/>
        <v>0</v>
      </c>
      <c r="V2301" s="195">
        <f t="shared" si="288"/>
        <v>0</v>
      </c>
      <c r="W2301" s="196" t="e">
        <f t="shared" si="289"/>
        <v>#DIV/0!</v>
      </c>
      <c r="X2301" s="197" t="e">
        <f t="shared" si="290"/>
        <v>#DIV/0!</v>
      </c>
    </row>
    <row r="2302" ht="11.4" hidden="1" customHeight="1" spans="1:24">
      <c r="A2302" s="184" t="s">
        <v>3176</v>
      </c>
      <c r="B2302" s="184" t="s">
        <v>153</v>
      </c>
      <c r="C2302" s="184" t="s">
        <v>905</v>
      </c>
      <c r="D2302" s="185" t="s">
        <v>704</v>
      </c>
      <c r="E2302" s="186" t="s">
        <v>906</v>
      </c>
      <c r="F2302" s="186" t="s">
        <v>907</v>
      </c>
      <c r="G2302" s="186" t="s">
        <v>908</v>
      </c>
      <c r="H2302" s="186" t="s">
        <v>909</v>
      </c>
      <c r="I2302" s="187" t="s">
        <v>2377</v>
      </c>
      <c r="J2302" s="187" t="s">
        <v>2378</v>
      </c>
      <c r="K2302" s="188"/>
      <c r="L2302" s="188"/>
      <c r="M2302" s="189" t="s">
        <v>2308</v>
      </c>
      <c r="N2302" s="190">
        <v>1973.15</v>
      </c>
      <c r="O2302" s="190">
        <f t="shared" si="283"/>
        <v>2150.73</v>
      </c>
      <c r="P2302" s="191">
        <f t="shared" si="284"/>
        <v>0</v>
      </c>
      <c r="Q2302" s="192">
        <f t="shared" si="285"/>
        <v>0</v>
      </c>
      <c r="R2302" s="193"/>
      <c r="S2302" s="194"/>
      <c r="T2302" s="195">
        <f t="shared" si="286"/>
        <v>0</v>
      </c>
      <c r="U2302" s="195">
        <f t="shared" si="287"/>
        <v>0</v>
      </c>
      <c r="V2302" s="195">
        <f t="shared" si="288"/>
        <v>0</v>
      </c>
      <c r="W2302" s="196" t="e">
        <f t="shared" si="289"/>
        <v>#DIV/0!</v>
      </c>
      <c r="X2302" s="197" t="e">
        <f t="shared" si="290"/>
        <v>#DIV/0!</v>
      </c>
    </row>
    <row r="2303" ht="11.4" hidden="1" customHeight="1" spans="1:24">
      <c r="A2303" s="184" t="s">
        <v>3176</v>
      </c>
      <c r="B2303" s="184" t="s">
        <v>153</v>
      </c>
      <c r="C2303" s="184" t="s">
        <v>905</v>
      </c>
      <c r="D2303" s="185" t="s">
        <v>704</v>
      </c>
      <c r="E2303" s="186" t="s">
        <v>906</v>
      </c>
      <c r="F2303" s="186" t="s">
        <v>907</v>
      </c>
      <c r="G2303" s="186" t="s">
        <v>908</v>
      </c>
      <c r="H2303" s="186" t="s">
        <v>909</v>
      </c>
      <c r="I2303" s="187" t="s">
        <v>2380</v>
      </c>
      <c r="J2303" s="187" t="s">
        <v>2381</v>
      </c>
      <c r="K2303" s="188"/>
      <c r="L2303" s="188"/>
      <c r="M2303" s="189" t="s">
        <v>2308</v>
      </c>
      <c r="N2303" s="190">
        <v>1264.76</v>
      </c>
      <c r="O2303" s="190">
        <f t="shared" si="283"/>
        <v>1378.59</v>
      </c>
      <c r="P2303" s="191">
        <f t="shared" si="284"/>
        <v>0</v>
      </c>
      <c r="Q2303" s="192">
        <f t="shared" si="285"/>
        <v>0</v>
      </c>
      <c r="R2303" s="193"/>
      <c r="S2303" s="194"/>
      <c r="T2303" s="195">
        <f t="shared" si="286"/>
        <v>0</v>
      </c>
      <c r="U2303" s="195">
        <f t="shared" si="287"/>
        <v>0</v>
      </c>
      <c r="V2303" s="195">
        <f t="shared" si="288"/>
        <v>0</v>
      </c>
      <c r="W2303" s="196" t="e">
        <f t="shared" si="289"/>
        <v>#DIV/0!</v>
      </c>
      <c r="X2303" s="197" t="e">
        <f t="shared" si="290"/>
        <v>#DIV/0!</v>
      </c>
    </row>
    <row r="2304" ht="11.4" hidden="1" customHeight="1" spans="1:24">
      <c r="A2304" s="184" t="s">
        <v>3176</v>
      </c>
      <c r="B2304" s="184" t="s">
        <v>153</v>
      </c>
      <c r="C2304" s="184" t="s">
        <v>905</v>
      </c>
      <c r="D2304" s="185" t="s">
        <v>704</v>
      </c>
      <c r="E2304" s="186" t="s">
        <v>906</v>
      </c>
      <c r="F2304" s="186" t="s">
        <v>907</v>
      </c>
      <c r="G2304" s="186" t="s">
        <v>908</v>
      </c>
      <c r="H2304" s="186" t="s">
        <v>909</v>
      </c>
      <c r="I2304" s="187" t="s">
        <v>2382</v>
      </c>
      <c r="J2304" s="187" t="s">
        <v>2383</v>
      </c>
      <c r="K2304" s="188"/>
      <c r="L2304" s="188"/>
      <c r="M2304" s="189" t="s">
        <v>2308</v>
      </c>
      <c r="N2304" s="190">
        <v>641.29</v>
      </c>
      <c r="O2304" s="190">
        <f t="shared" si="283"/>
        <v>699.01</v>
      </c>
      <c r="P2304" s="191">
        <f t="shared" si="284"/>
        <v>0</v>
      </c>
      <c r="Q2304" s="192">
        <f t="shared" si="285"/>
        <v>0</v>
      </c>
      <c r="R2304" s="193"/>
      <c r="S2304" s="194"/>
      <c r="T2304" s="195">
        <f t="shared" si="286"/>
        <v>0</v>
      </c>
      <c r="U2304" s="195">
        <f t="shared" si="287"/>
        <v>0</v>
      </c>
      <c r="V2304" s="195">
        <f t="shared" si="288"/>
        <v>0</v>
      </c>
      <c r="W2304" s="196" t="e">
        <f t="shared" si="289"/>
        <v>#DIV/0!</v>
      </c>
      <c r="X2304" s="197" t="e">
        <f t="shared" si="290"/>
        <v>#DIV/0!</v>
      </c>
    </row>
    <row r="2305" ht="11.4" hidden="1" customHeight="1" spans="1:24">
      <c r="A2305" s="184" t="s">
        <v>3176</v>
      </c>
      <c r="B2305" s="184" t="s">
        <v>153</v>
      </c>
      <c r="C2305" s="184" t="s">
        <v>905</v>
      </c>
      <c r="D2305" s="185" t="s">
        <v>704</v>
      </c>
      <c r="E2305" s="186" t="s">
        <v>906</v>
      </c>
      <c r="F2305" s="186" t="s">
        <v>907</v>
      </c>
      <c r="G2305" s="186" t="s">
        <v>908</v>
      </c>
      <c r="H2305" s="186" t="s">
        <v>909</v>
      </c>
      <c r="I2305" s="187" t="s">
        <v>2384</v>
      </c>
      <c r="J2305" s="187" t="s">
        <v>2385</v>
      </c>
      <c r="K2305" s="188"/>
      <c r="L2305" s="188"/>
      <c r="M2305" s="189" t="s">
        <v>2308</v>
      </c>
      <c r="N2305" s="190">
        <v>1813.65</v>
      </c>
      <c r="O2305" s="190">
        <f t="shared" si="283"/>
        <v>1976.88</v>
      </c>
      <c r="P2305" s="191">
        <f t="shared" si="284"/>
        <v>0</v>
      </c>
      <c r="Q2305" s="192">
        <f t="shared" si="285"/>
        <v>0</v>
      </c>
      <c r="R2305" s="193"/>
      <c r="S2305" s="194"/>
      <c r="T2305" s="195">
        <f t="shared" si="286"/>
        <v>0</v>
      </c>
      <c r="U2305" s="195">
        <f t="shared" si="287"/>
        <v>0</v>
      </c>
      <c r="V2305" s="195">
        <f t="shared" si="288"/>
        <v>0</v>
      </c>
      <c r="W2305" s="196" t="e">
        <f t="shared" si="289"/>
        <v>#DIV/0!</v>
      </c>
      <c r="X2305" s="197" t="e">
        <f t="shared" si="290"/>
        <v>#DIV/0!</v>
      </c>
    </row>
    <row r="2306" ht="11.4" hidden="1" customHeight="1" spans="1:24">
      <c r="A2306" s="184" t="s">
        <v>3176</v>
      </c>
      <c r="B2306" s="184" t="s">
        <v>153</v>
      </c>
      <c r="C2306" s="184" t="s">
        <v>905</v>
      </c>
      <c r="D2306" s="185" t="s">
        <v>704</v>
      </c>
      <c r="E2306" s="186" t="s">
        <v>906</v>
      </c>
      <c r="F2306" s="186" t="s">
        <v>907</v>
      </c>
      <c r="G2306" s="186" t="s">
        <v>908</v>
      </c>
      <c r="H2306" s="186" t="s">
        <v>909</v>
      </c>
      <c r="I2306" s="187" t="s">
        <v>2386</v>
      </c>
      <c r="J2306" s="187" t="s">
        <v>2387</v>
      </c>
      <c r="K2306" s="188"/>
      <c r="L2306" s="188"/>
      <c r="M2306" s="189" t="s">
        <v>2308</v>
      </c>
      <c r="N2306" s="190">
        <v>243.65</v>
      </c>
      <c r="O2306" s="190">
        <f t="shared" si="283"/>
        <v>265.58</v>
      </c>
      <c r="P2306" s="191">
        <f t="shared" si="284"/>
        <v>0</v>
      </c>
      <c r="Q2306" s="192">
        <f t="shared" si="285"/>
        <v>0</v>
      </c>
      <c r="R2306" s="193"/>
      <c r="S2306" s="194"/>
      <c r="T2306" s="195">
        <f t="shared" si="286"/>
        <v>0</v>
      </c>
      <c r="U2306" s="195">
        <f t="shared" si="287"/>
        <v>0</v>
      </c>
      <c r="V2306" s="195">
        <f t="shared" si="288"/>
        <v>0</v>
      </c>
      <c r="W2306" s="196" t="e">
        <f t="shared" si="289"/>
        <v>#DIV/0!</v>
      </c>
      <c r="X2306" s="197" t="e">
        <f t="shared" si="290"/>
        <v>#DIV/0!</v>
      </c>
    </row>
    <row r="2307" ht="11.4" hidden="1" customHeight="1" spans="1:24">
      <c r="A2307" s="184" t="s">
        <v>3176</v>
      </c>
      <c r="B2307" s="184" t="s">
        <v>153</v>
      </c>
      <c r="C2307" s="184" t="s">
        <v>905</v>
      </c>
      <c r="D2307" s="185" t="s">
        <v>704</v>
      </c>
      <c r="E2307" s="186" t="s">
        <v>906</v>
      </c>
      <c r="F2307" s="186" t="s">
        <v>907</v>
      </c>
      <c r="G2307" s="186" t="s">
        <v>908</v>
      </c>
      <c r="H2307" s="186" t="s">
        <v>909</v>
      </c>
      <c r="I2307" s="187" t="s">
        <v>2388</v>
      </c>
      <c r="J2307" s="187" t="s">
        <v>2389</v>
      </c>
      <c r="K2307" s="188"/>
      <c r="L2307" s="188"/>
      <c r="M2307" s="189" t="s">
        <v>2308</v>
      </c>
      <c r="N2307" s="190">
        <v>314.05</v>
      </c>
      <c r="O2307" s="190">
        <f t="shared" si="283"/>
        <v>342.31</v>
      </c>
      <c r="P2307" s="191">
        <f t="shared" si="284"/>
        <v>0</v>
      </c>
      <c r="Q2307" s="192">
        <f t="shared" si="285"/>
        <v>0</v>
      </c>
      <c r="R2307" s="193"/>
      <c r="S2307" s="194"/>
      <c r="T2307" s="195">
        <f t="shared" si="286"/>
        <v>0</v>
      </c>
      <c r="U2307" s="195">
        <f t="shared" si="287"/>
        <v>0</v>
      </c>
      <c r="V2307" s="195">
        <f t="shared" si="288"/>
        <v>0</v>
      </c>
      <c r="W2307" s="196" t="e">
        <f t="shared" si="289"/>
        <v>#DIV/0!</v>
      </c>
      <c r="X2307" s="197" t="e">
        <f t="shared" si="290"/>
        <v>#DIV/0!</v>
      </c>
    </row>
    <row r="2308" ht="11.4" hidden="1" customHeight="1" spans="1:24">
      <c r="A2308" s="184" t="s">
        <v>3176</v>
      </c>
      <c r="B2308" s="184" t="s">
        <v>153</v>
      </c>
      <c r="C2308" s="184" t="s">
        <v>905</v>
      </c>
      <c r="D2308" s="185" t="s">
        <v>704</v>
      </c>
      <c r="E2308" s="186" t="s">
        <v>906</v>
      </c>
      <c r="F2308" s="186" t="s">
        <v>907</v>
      </c>
      <c r="G2308" s="186" t="s">
        <v>908</v>
      </c>
      <c r="H2308" s="186" t="s">
        <v>909</v>
      </c>
      <c r="I2308" s="187" t="s">
        <v>2390</v>
      </c>
      <c r="J2308" s="187" t="s">
        <v>2391</v>
      </c>
      <c r="K2308" s="188"/>
      <c r="L2308" s="188"/>
      <c r="M2308" s="189" t="s">
        <v>2308</v>
      </c>
      <c r="N2308" s="190">
        <v>446.05</v>
      </c>
      <c r="O2308" s="190">
        <f t="shared" si="283"/>
        <v>486.19</v>
      </c>
      <c r="P2308" s="191">
        <f t="shared" si="284"/>
        <v>0</v>
      </c>
      <c r="Q2308" s="192">
        <f t="shared" si="285"/>
        <v>0</v>
      </c>
      <c r="R2308" s="193"/>
      <c r="S2308" s="194"/>
      <c r="T2308" s="195">
        <f t="shared" si="286"/>
        <v>0</v>
      </c>
      <c r="U2308" s="195">
        <f t="shared" si="287"/>
        <v>0</v>
      </c>
      <c r="V2308" s="195">
        <f t="shared" si="288"/>
        <v>0</v>
      </c>
      <c r="W2308" s="196" t="e">
        <f t="shared" si="289"/>
        <v>#DIV/0!</v>
      </c>
      <c r="X2308" s="197" t="e">
        <f t="shared" si="290"/>
        <v>#DIV/0!</v>
      </c>
    </row>
    <row r="2309" ht="11.4" hidden="1" customHeight="1" spans="1:24">
      <c r="A2309" s="184" t="s">
        <v>3176</v>
      </c>
      <c r="B2309" s="184" t="s">
        <v>153</v>
      </c>
      <c r="C2309" s="184" t="s">
        <v>905</v>
      </c>
      <c r="D2309" s="185" t="s">
        <v>704</v>
      </c>
      <c r="E2309" s="186" t="s">
        <v>906</v>
      </c>
      <c r="F2309" s="186" t="s">
        <v>907</v>
      </c>
      <c r="G2309" s="186" t="s">
        <v>908</v>
      </c>
      <c r="H2309" s="186" t="s">
        <v>909</v>
      </c>
      <c r="I2309" s="187" t="s">
        <v>2392</v>
      </c>
      <c r="J2309" s="187" t="s">
        <v>2393</v>
      </c>
      <c r="K2309" s="188"/>
      <c r="L2309" s="188"/>
      <c r="M2309" s="189" t="s">
        <v>2308</v>
      </c>
      <c r="N2309" s="190">
        <v>567.05</v>
      </c>
      <c r="O2309" s="190">
        <f t="shared" si="283"/>
        <v>618.08</v>
      </c>
      <c r="P2309" s="191">
        <f t="shared" si="284"/>
        <v>0</v>
      </c>
      <c r="Q2309" s="192">
        <f t="shared" si="285"/>
        <v>0</v>
      </c>
      <c r="R2309" s="193"/>
      <c r="S2309" s="194"/>
      <c r="T2309" s="195">
        <f t="shared" si="286"/>
        <v>0</v>
      </c>
      <c r="U2309" s="195">
        <f t="shared" si="287"/>
        <v>0</v>
      </c>
      <c r="V2309" s="195">
        <f t="shared" si="288"/>
        <v>0</v>
      </c>
      <c r="W2309" s="196" t="e">
        <f t="shared" si="289"/>
        <v>#DIV/0!</v>
      </c>
      <c r="X2309" s="197" t="e">
        <f t="shared" si="290"/>
        <v>#DIV/0!</v>
      </c>
    </row>
    <row r="2310" ht="11.4" hidden="1" customHeight="1" spans="1:24">
      <c r="A2310" s="184" t="s">
        <v>3176</v>
      </c>
      <c r="B2310" s="184" t="s">
        <v>153</v>
      </c>
      <c r="C2310" s="184" t="s">
        <v>905</v>
      </c>
      <c r="D2310" s="185" t="s">
        <v>704</v>
      </c>
      <c r="E2310" s="186" t="s">
        <v>906</v>
      </c>
      <c r="F2310" s="186" t="s">
        <v>907</v>
      </c>
      <c r="G2310" s="186" t="s">
        <v>908</v>
      </c>
      <c r="H2310" s="186" t="s">
        <v>909</v>
      </c>
      <c r="I2310" s="187" t="s">
        <v>2394</v>
      </c>
      <c r="J2310" s="187" t="s">
        <v>2395</v>
      </c>
      <c r="K2310" s="188"/>
      <c r="L2310" s="188"/>
      <c r="M2310" s="189" t="s">
        <v>2308</v>
      </c>
      <c r="N2310" s="190">
        <v>152.75</v>
      </c>
      <c r="O2310" s="190">
        <f t="shared" si="283"/>
        <v>166.5</v>
      </c>
      <c r="P2310" s="191">
        <f t="shared" si="284"/>
        <v>0</v>
      </c>
      <c r="Q2310" s="192">
        <f t="shared" si="285"/>
        <v>0</v>
      </c>
      <c r="R2310" s="193"/>
      <c r="S2310" s="194"/>
      <c r="T2310" s="195">
        <f t="shared" si="286"/>
        <v>0</v>
      </c>
      <c r="U2310" s="195">
        <f t="shared" si="287"/>
        <v>0</v>
      </c>
      <c r="V2310" s="195">
        <f t="shared" si="288"/>
        <v>0</v>
      </c>
      <c r="W2310" s="196" t="e">
        <f t="shared" si="289"/>
        <v>#DIV/0!</v>
      </c>
      <c r="X2310" s="197" t="e">
        <f t="shared" si="290"/>
        <v>#DIV/0!</v>
      </c>
    </row>
    <row r="2311" ht="11.4" hidden="1" customHeight="1" spans="1:24">
      <c r="A2311" s="184" t="s">
        <v>3176</v>
      </c>
      <c r="B2311" s="184" t="s">
        <v>153</v>
      </c>
      <c r="C2311" s="184" t="s">
        <v>905</v>
      </c>
      <c r="D2311" s="185" t="s">
        <v>704</v>
      </c>
      <c r="E2311" s="186" t="s">
        <v>906</v>
      </c>
      <c r="F2311" s="186" t="s">
        <v>907</v>
      </c>
      <c r="G2311" s="186" t="s">
        <v>908</v>
      </c>
      <c r="H2311" s="186" t="s">
        <v>909</v>
      </c>
      <c r="I2311" s="187" t="s">
        <v>2396</v>
      </c>
      <c r="J2311" s="187" t="s">
        <v>2397</v>
      </c>
      <c r="K2311" s="188"/>
      <c r="L2311" s="188"/>
      <c r="M2311" s="189" t="s">
        <v>807</v>
      </c>
      <c r="N2311" s="190">
        <v>27.67</v>
      </c>
      <c r="O2311" s="190">
        <f t="shared" si="283"/>
        <v>30.16</v>
      </c>
      <c r="P2311" s="191">
        <f t="shared" si="284"/>
        <v>0</v>
      </c>
      <c r="Q2311" s="192">
        <f t="shared" si="285"/>
        <v>0</v>
      </c>
      <c r="R2311" s="193"/>
      <c r="S2311" s="194"/>
      <c r="T2311" s="195">
        <f t="shared" si="286"/>
        <v>0</v>
      </c>
      <c r="U2311" s="195">
        <f t="shared" si="287"/>
        <v>0</v>
      </c>
      <c r="V2311" s="195">
        <f t="shared" si="288"/>
        <v>0</v>
      </c>
      <c r="W2311" s="196" t="e">
        <f t="shared" si="289"/>
        <v>#DIV/0!</v>
      </c>
      <c r="X2311" s="197" t="e">
        <f t="shared" si="290"/>
        <v>#DIV/0!</v>
      </c>
    </row>
    <row r="2312" ht="11.4" hidden="1" customHeight="1" spans="1:24">
      <c r="A2312" s="184" t="s">
        <v>3176</v>
      </c>
      <c r="B2312" s="184" t="s">
        <v>153</v>
      </c>
      <c r="C2312" s="184" t="s">
        <v>905</v>
      </c>
      <c r="D2312" s="185" t="s">
        <v>704</v>
      </c>
      <c r="E2312" s="186" t="s">
        <v>906</v>
      </c>
      <c r="F2312" s="186" t="s">
        <v>907</v>
      </c>
      <c r="G2312" s="186" t="s">
        <v>908</v>
      </c>
      <c r="H2312" s="186" t="s">
        <v>909</v>
      </c>
      <c r="I2312" s="187" t="s">
        <v>2398</v>
      </c>
      <c r="J2312" s="187" t="s">
        <v>2399</v>
      </c>
      <c r="K2312" s="188"/>
      <c r="L2312" s="188"/>
      <c r="M2312" s="189" t="s">
        <v>989</v>
      </c>
      <c r="N2312" s="190">
        <v>2968.65</v>
      </c>
      <c r="O2312" s="190">
        <f t="shared" si="283"/>
        <v>3235.83</v>
      </c>
      <c r="P2312" s="191">
        <f t="shared" si="284"/>
        <v>0</v>
      </c>
      <c r="Q2312" s="192">
        <f t="shared" si="285"/>
        <v>0</v>
      </c>
      <c r="R2312" s="193"/>
      <c r="S2312" s="194"/>
      <c r="T2312" s="195">
        <f t="shared" si="286"/>
        <v>0</v>
      </c>
      <c r="U2312" s="195">
        <f t="shared" si="287"/>
        <v>0</v>
      </c>
      <c r="V2312" s="195">
        <f t="shared" si="288"/>
        <v>0</v>
      </c>
      <c r="W2312" s="196" t="e">
        <f t="shared" si="289"/>
        <v>#DIV/0!</v>
      </c>
      <c r="X2312" s="197" t="e">
        <f t="shared" si="290"/>
        <v>#DIV/0!</v>
      </c>
    </row>
    <row r="2313" ht="11.4" hidden="1" customHeight="1" spans="1:24">
      <c r="A2313" s="184" t="s">
        <v>3176</v>
      </c>
      <c r="B2313" s="184" t="s">
        <v>153</v>
      </c>
      <c r="C2313" s="184" t="s">
        <v>905</v>
      </c>
      <c r="D2313" s="185" t="s">
        <v>704</v>
      </c>
      <c r="E2313" s="186" t="s">
        <v>906</v>
      </c>
      <c r="F2313" s="186" t="s">
        <v>907</v>
      </c>
      <c r="G2313" s="186" t="s">
        <v>908</v>
      </c>
      <c r="H2313" s="186" t="s">
        <v>909</v>
      </c>
      <c r="I2313" s="187" t="s">
        <v>2400</v>
      </c>
      <c r="J2313" s="187" t="s">
        <v>2401</v>
      </c>
      <c r="K2313" s="188"/>
      <c r="L2313" s="188"/>
      <c r="M2313" s="189" t="s">
        <v>989</v>
      </c>
      <c r="N2313" s="190">
        <v>2941.15</v>
      </c>
      <c r="O2313" s="190">
        <f t="shared" si="283"/>
        <v>3205.85</v>
      </c>
      <c r="P2313" s="191">
        <f t="shared" si="284"/>
        <v>0</v>
      </c>
      <c r="Q2313" s="192">
        <f t="shared" si="285"/>
        <v>0</v>
      </c>
      <c r="R2313" s="193"/>
      <c r="S2313" s="194"/>
      <c r="T2313" s="195">
        <f t="shared" si="286"/>
        <v>0</v>
      </c>
      <c r="U2313" s="195">
        <f t="shared" si="287"/>
        <v>0</v>
      </c>
      <c r="V2313" s="195">
        <f t="shared" si="288"/>
        <v>0</v>
      </c>
      <c r="W2313" s="196" t="e">
        <f t="shared" si="289"/>
        <v>#DIV/0!</v>
      </c>
      <c r="X2313" s="197" t="e">
        <f t="shared" si="290"/>
        <v>#DIV/0!</v>
      </c>
    </row>
    <row r="2314" ht="11.4" hidden="1" customHeight="1" spans="1:24">
      <c r="A2314" s="184" t="s">
        <v>3176</v>
      </c>
      <c r="B2314" s="184" t="s">
        <v>153</v>
      </c>
      <c r="C2314" s="184" t="s">
        <v>905</v>
      </c>
      <c r="D2314" s="185" t="s">
        <v>704</v>
      </c>
      <c r="E2314" s="186" t="s">
        <v>906</v>
      </c>
      <c r="F2314" s="186" t="s">
        <v>907</v>
      </c>
      <c r="G2314" s="186" t="s">
        <v>908</v>
      </c>
      <c r="H2314" s="186" t="s">
        <v>909</v>
      </c>
      <c r="I2314" s="187" t="s">
        <v>2402</v>
      </c>
      <c r="J2314" s="187" t="s">
        <v>2403</v>
      </c>
      <c r="K2314" s="188"/>
      <c r="L2314" s="188"/>
      <c r="M2314" s="189" t="s">
        <v>989</v>
      </c>
      <c r="N2314" s="190">
        <v>2836.65</v>
      </c>
      <c r="O2314" s="190">
        <f t="shared" si="283"/>
        <v>3091.95</v>
      </c>
      <c r="P2314" s="191">
        <f t="shared" si="284"/>
        <v>0</v>
      </c>
      <c r="Q2314" s="192">
        <f t="shared" si="285"/>
        <v>0</v>
      </c>
      <c r="R2314" s="193"/>
      <c r="S2314" s="194"/>
      <c r="T2314" s="195">
        <f t="shared" si="286"/>
        <v>0</v>
      </c>
      <c r="U2314" s="195">
        <f t="shared" si="287"/>
        <v>0</v>
      </c>
      <c r="V2314" s="195">
        <f t="shared" si="288"/>
        <v>0</v>
      </c>
      <c r="W2314" s="196" t="e">
        <f t="shared" si="289"/>
        <v>#DIV/0!</v>
      </c>
      <c r="X2314" s="197" t="e">
        <f t="shared" si="290"/>
        <v>#DIV/0!</v>
      </c>
    </row>
    <row r="2315" ht="11.4" hidden="1" customHeight="1" spans="1:24">
      <c r="A2315" s="184" t="s">
        <v>3176</v>
      </c>
      <c r="B2315" s="184" t="s">
        <v>153</v>
      </c>
      <c r="C2315" s="184" t="s">
        <v>905</v>
      </c>
      <c r="D2315" s="185" t="s">
        <v>704</v>
      </c>
      <c r="E2315" s="186" t="s">
        <v>906</v>
      </c>
      <c r="F2315" s="186" t="s">
        <v>907</v>
      </c>
      <c r="G2315" s="186" t="s">
        <v>908</v>
      </c>
      <c r="H2315" s="186" t="s">
        <v>909</v>
      </c>
      <c r="I2315" s="187" t="s">
        <v>2404</v>
      </c>
      <c r="J2315" s="187" t="s">
        <v>2405</v>
      </c>
      <c r="K2315" s="188"/>
      <c r="L2315" s="188"/>
      <c r="M2315" s="189" t="s">
        <v>989</v>
      </c>
      <c r="N2315" s="190">
        <v>2358.7</v>
      </c>
      <c r="O2315" s="190">
        <f t="shared" si="283"/>
        <v>2570.98</v>
      </c>
      <c r="P2315" s="191">
        <f t="shared" si="284"/>
        <v>0</v>
      </c>
      <c r="Q2315" s="192">
        <f t="shared" si="285"/>
        <v>0</v>
      </c>
      <c r="R2315" s="193"/>
      <c r="S2315" s="194"/>
      <c r="T2315" s="195">
        <f t="shared" si="286"/>
        <v>0</v>
      </c>
      <c r="U2315" s="195">
        <f t="shared" si="287"/>
        <v>0</v>
      </c>
      <c r="V2315" s="195">
        <f t="shared" si="288"/>
        <v>0</v>
      </c>
      <c r="W2315" s="196" t="e">
        <f t="shared" si="289"/>
        <v>#DIV/0!</v>
      </c>
      <c r="X2315" s="197" t="e">
        <f t="shared" si="290"/>
        <v>#DIV/0!</v>
      </c>
    </row>
    <row r="2316" ht="11.4" hidden="1" customHeight="1" spans="1:24">
      <c r="A2316" s="184" t="s">
        <v>3176</v>
      </c>
      <c r="B2316" s="184" t="s">
        <v>153</v>
      </c>
      <c r="C2316" s="184" t="s">
        <v>905</v>
      </c>
      <c r="D2316" s="185" t="s">
        <v>704</v>
      </c>
      <c r="E2316" s="186" t="s">
        <v>906</v>
      </c>
      <c r="F2316" s="186" t="s">
        <v>907</v>
      </c>
      <c r="G2316" s="186" t="s">
        <v>908</v>
      </c>
      <c r="H2316" s="186" t="s">
        <v>909</v>
      </c>
      <c r="I2316" s="187" t="s">
        <v>2406</v>
      </c>
      <c r="J2316" s="187" t="s">
        <v>2407</v>
      </c>
      <c r="K2316" s="188"/>
      <c r="L2316" s="188"/>
      <c r="M2316" s="189" t="s">
        <v>989</v>
      </c>
      <c r="N2316" s="190">
        <v>2336.7</v>
      </c>
      <c r="O2316" s="190">
        <f t="shared" si="283"/>
        <v>2547</v>
      </c>
      <c r="P2316" s="191">
        <f t="shared" si="284"/>
        <v>0</v>
      </c>
      <c r="Q2316" s="192">
        <f t="shared" si="285"/>
        <v>0</v>
      </c>
      <c r="R2316" s="193"/>
      <c r="S2316" s="194"/>
      <c r="T2316" s="195">
        <f t="shared" si="286"/>
        <v>0</v>
      </c>
      <c r="U2316" s="195">
        <f t="shared" si="287"/>
        <v>0</v>
      </c>
      <c r="V2316" s="195">
        <f t="shared" si="288"/>
        <v>0</v>
      </c>
      <c r="W2316" s="196" t="e">
        <f t="shared" si="289"/>
        <v>#DIV/0!</v>
      </c>
      <c r="X2316" s="197" t="e">
        <f t="shared" si="290"/>
        <v>#DIV/0!</v>
      </c>
    </row>
    <row r="2317" ht="11.4" hidden="1" customHeight="1" spans="1:24">
      <c r="A2317" s="184" t="s">
        <v>3176</v>
      </c>
      <c r="B2317" s="184" t="s">
        <v>153</v>
      </c>
      <c r="C2317" s="184" t="s">
        <v>905</v>
      </c>
      <c r="D2317" s="185" t="s">
        <v>704</v>
      </c>
      <c r="E2317" s="186" t="s">
        <v>906</v>
      </c>
      <c r="F2317" s="186" t="s">
        <v>907</v>
      </c>
      <c r="G2317" s="186" t="s">
        <v>908</v>
      </c>
      <c r="H2317" s="186" t="s">
        <v>909</v>
      </c>
      <c r="I2317" s="187" t="s">
        <v>2408</v>
      </c>
      <c r="J2317" s="187" t="s">
        <v>2409</v>
      </c>
      <c r="K2317" s="188"/>
      <c r="L2317" s="188"/>
      <c r="M2317" s="189" t="s">
        <v>989</v>
      </c>
      <c r="N2317" s="190">
        <v>7092.3</v>
      </c>
      <c r="O2317" s="190">
        <f t="shared" ref="O2317:O2380" si="291">ROUND(N2317*(1+$F$10),2)</f>
        <v>7730.61</v>
      </c>
      <c r="P2317" s="191">
        <f t="shared" ref="P2317:P2380" si="292">ROUND(K2317*N2317,2)</f>
        <v>0</v>
      </c>
      <c r="Q2317" s="192">
        <f t="shared" si="285"/>
        <v>0</v>
      </c>
      <c r="R2317" s="193"/>
      <c r="S2317" s="194"/>
      <c r="T2317" s="195">
        <f t="shared" si="286"/>
        <v>0</v>
      </c>
      <c r="U2317" s="195">
        <f t="shared" si="287"/>
        <v>0</v>
      </c>
      <c r="V2317" s="195">
        <f t="shared" si="288"/>
        <v>0</v>
      </c>
      <c r="W2317" s="196" t="e">
        <f t="shared" si="289"/>
        <v>#DIV/0!</v>
      </c>
      <c r="X2317" s="197" t="e">
        <f t="shared" si="290"/>
        <v>#DIV/0!</v>
      </c>
    </row>
    <row r="2318" ht="11.4" hidden="1" customHeight="1" spans="1:24">
      <c r="A2318" s="184" t="s">
        <v>3176</v>
      </c>
      <c r="B2318" s="184" t="s">
        <v>153</v>
      </c>
      <c r="C2318" s="184" t="s">
        <v>905</v>
      </c>
      <c r="D2318" s="185" t="s">
        <v>704</v>
      </c>
      <c r="E2318" s="186" t="s">
        <v>906</v>
      </c>
      <c r="F2318" s="186" t="s">
        <v>907</v>
      </c>
      <c r="G2318" s="186" t="s">
        <v>908</v>
      </c>
      <c r="H2318" s="186" t="s">
        <v>909</v>
      </c>
      <c r="I2318" s="187" t="s">
        <v>2410</v>
      </c>
      <c r="J2318" s="187" t="s">
        <v>2411</v>
      </c>
      <c r="K2318" s="188"/>
      <c r="L2318" s="188"/>
      <c r="M2318" s="189" t="s">
        <v>989</v>
      </c>
      <c r="N2318" s="190">
        <v>6328.35</v>
      </c>
      <c r="O2318" s="190">
        <f t="shared" si="291"/>
        <v>6897.9</v>
      </c>
      <c r="P2318" s="191">
        <f t="shared" si="292"/>
        <v>0</v>
      </c>
      <c r="Q2318" s="192">
        <f t="shared" ref="Q2318:Q2381" si="293">ROUND(L2318*N2318,2)</f>
        <v>0</v>
      </c>
      <c r="R2318" s="193"/>
      <c r="S2318" s="194"/>
      <c r="T2318" s="195">
        <f t="shared" ref="T2318:T2381" si="294">K2318-L2318</f>
        <v>0</v>
      </c>
      <c r="U2318" s="195">
        <f t="shared" ref="U2318:U2381" si="295">P2318-Q2318</f>
        <v>0</v>
      </c>
      <c r="V2318" s="195">
        <f t="shared" ref="V2318:V2381" si="296">ABS(U2318)</f>
        <v>0</v>
      </c>
      <c r="W2318" s="196" t="e">
        <f t="shared" ref="W2318:W2381" si="297">T2318/L2318</f>
        <v>#DIV/0!</v>
      </c>
      <c r="X2318" s="197" t="e">
        <f t="shared" ref="X2318:X2381" si="298">ABS(W2318)</f>
        <v>#DIV/0!</v>
      </c>
    </row>
    <row r="2319" ht="11.4" hidden="1" customHeight="1" spans="1:24">
      <c r="A2319" s="184" t="s">
        <v>3176</v>
      </c>
      <c r="B2319" s="184" t="s">
        <v>153</v>
      </c>
      <c r="C2319" s="184" t="s">
        <v>905</v>
      </c>
      <c r="D2319" s="185" t="s">
        <v>704</v>
      </c>
      <c r="E2319" s="186" t="s">
        <v>906</v>
      </c>
      <c r="F2319" s="186" t="s">
        <v>907</v>
      </c>
      <c r="G2319" s="186" t="s">
        <v>908</v>
      </c>
      <c r="H2319" s="186" t="s">
        <v>909</v>
      </c>
      <c r="I2319" s="187" t="s">
        <v>2412</v>
      </c>
      <c r="J2319" s="187" t="s">
        <v>2413</v>
      </c>
      <c r="K2319" s="188"/>
      <c r="L2319" s="188"/>
      <c r="M2319" s="189" t="s">
        <v>989</v>
      </c>
      <c r="N2319" s="190">
        <v>5249.49</v>
      </c>
      <c r="O2319" s="190">
        <f t="shared" si="291"/>
        <v>5721.94</v>
      </c>
      <c r="P2319" s="191">
        <f t="shared" si="292"/>
        <v>0</v>
      </c>
      <c r="Q2319" s="192">
        <f t="shared" si="293"/>
        <v>0</v>
      </c>
      <c r="R2319" s="193"/>
      <c r="S2319" s="194"/>
      <c r="T2319" s="195">
        <f t="shared" si="294"/>
        <v>0</v>
      </c>
      <c r="U2319" s="195">
        <f t="shared" si="295"/>
        <v>0</v>
      </c>
      <c r="V2319" s="195">
        <f t="shared" si="296"/>
        <v>0</v>
      </c>
      <c r="W2319" s="196" t="e">
        <f t="shared" si="297"/>
        <v>#DIV/0!</v>
      </c>
      <c r="X2319" s="197" t="e">
        <f t="shared" si="298"/>
        <v>#DIV/0!</v>
      </c>
    </row>
    <row r="2320" ht="11.4" hidden="1" customHeight="1" spans="1:24">
      <c r="A2320" s="184" t="s">
        <v>3176</v>
      </c>
      <c r="B2320" s="184" t="s">
        <v>153</v>
      </c>
      <c r="C2320" s="184" t="s">
        <v>905</v>
      </c>
      <c r="D2320" s="185" t="s">
        <v>704</v>
      </c>
      <c r="E2320" s="186" t="s">
        <v>906</v>
      </c>
      <c r="F2320" s="186" t="s">
        <v>907</v>
      </c>
      <c r="G2320" s="186" t="s">
        <v>908</v>
      </c>
      <c r="H2320" s="186" t="s">
        <v>2414</v>
      </c>
      <c r="I2320" s="187" t="s">
        <v>2415</v>
      </c>
      <c r="J2320" s="187" t="s">
        <v>2416</v>
      </c>
      <c r="K2320" s="188"/>
      <c r="L2320" s="188"/>
      <c r="M2320" s="189" t="s">
        <v>847</v>
      </c>
      <c r="N2320" s="190">
        <v>179.04</v>
      </c>
      <c r="O2320" s="190">
        <f t="shared" si="291"/>
        <v>195.15</v>
      </c>
      <c r="P2320" s="191">
        <f t="shared" si="292"/>
        <v>0</v>
      </c>
      <c r="Q2320" s="192">
        <f t="shared" si="293"/>
        <v>0</v>
      </c>
      <c r="R2320" s="193"/>
      <c r="S2320" s="194"/>
      <c r="T2320" s="195">
        <f t="shared" si="294"/>
        <v>0</v>
      </c>
      <c r="U2320" s="195">
        <f t="shared" si="295"/>
        <v>0</v>
      </c>
      <c r="V2320" s="195">
        <f t="shared" si="296"/>
        <v>0</v>
      </c>
      <c r="W2320" s="196" t="e">
        <f t="shared" si="297"/>
        <v>#DIV/0!</v>
      </c>
      <c r="X2320" s="197" t="e">
        <f t="shared" si="298"/>
        <v>#DIV/0!</v>
      </c>
    </row>
    <row r="2321" ht="11.4" hidden="1" customHeight="1" spans="1:24">
      <c r="A2321" s="184" t="s">
        <v>3176</v>
      </c>
      <c r="B2321" s="184" t="s">
        <v>153</v>
      </c>
      <c r="C2321" s="184" t="s">
        <v>905</v>
      </c>
      <c r="D2321" s="185" t="s">
        <v>704</v>
      </c>
      <c r="E2321" s="186" t="s">
        <v>906</v>
      </c>
      <c r="F2321" s="186" t="s">
        <v>907</v>
      </c>
      <c r="G2321" s="186" t="s">
        <v>908</v>
      </c>
      <c r="H2321" s="186" t="s">
        <v>2414</v>
      </c>
      <c r="I2321" s="187" t="s">
        <v>2418</v>
      </c>
      <c r="J2321" s="187" t="s">
        <v>2419</v>
      </c>
      <c r="K2321" s="188"/>
      <c r="L2321" s="188"/>
      <c r="M2321" s="189" t="s">
        <v>847</v>
      </c>
      <c r="N2321" s="190">
        <v>205.44</v>
      </c>
      <c r="O2321" s="190">
        <f t="shared" si="291"/>
        <v>223.93</v>
      </c>
      <c r="P2321" s="191">
        <f t="shared" si="292"/>
        <v>0</v>
      </c>
      <c r="Q2321" s="192">
        <f t="shared" si="293"/>
        <v>0</v>
      </c>
      <c r="R2321" s="193"/>
      <c r="S2321" s="194"/>
      <c r="T2321" s="195">
        <f t="shared" si="294"/>
        <v>0</v>
      </c>
      <c r="U2321" s="195">
        <f t="shared" si="295"/>
        <v>0</v>
      </c>
      <c r="V2321" s="195">
        <f t="shared" si="296"/>
        <v>0</v>
      </c>
      <c r="W2321" s="196" t="e">
        <f t="shared" si="297"/>
        <v>#DIV/0!</v>
      </c>
      <c r="X2321" s="197" t="e">
        <f t="shared" si="298"/>
        <v>#DIV/0!</v>
      </c>
    </row>
    <row r="2322" ht="11.4" hidden="1" customHeight="1" spans="1:24">
      <c r="A2322" s="184" t="s">
        <v>3176</v>
      </c>
      <c r="B2322" s="184" t="s">
        <v>153</v>
      </c>
      <c r="C2322" s="184" t="s">
        <v>905</v>
      </c>
      <c r="D2322" s="185" t="s">
        <v>704</v>
      </c>
      <c r="E2322" s="186" t="s">
        <v>906</v>
      </c>
      <c r="F2322" s="186" t="s">
        <v>907</v>
      </c>
      <c r="G2322" s="186" t="s">
        <v>908</v>
      </c>
      <c r="H2322" s="186" t="s">
        <v>2414</v>
      </c>
      <c r="I2322" s="187" t="s">
        <v>2420</v>
      </c>
      <c r="J2322" s="187" t="s">
        <v>2421</v>
      </c>
      <c r="K2322" s="188"/>
      <c r="L2322" s="188"/>
      <c r="M2322" s="189" t="s">
        <v>807</v>
      </c>
      <c r="N2322" s="190">
        <v>238.25</v>
      </c>
      <c r="O2322" s="190">
        <f t="shared" si="291"/>
        <v>259.69</v>
      </c>
      <c r="P2322" s="191">
        <f t="shared" si="292"/>
        <v>0</v>
      </c>
      <c r="Q2322" s="192">
        <f t="shared" si="293"/>
        <v>0</v>
      </c>
      <c r="R2322" s="193"/>
      <c r="S2322" s="194"/>
      <c r="T2322" s="195">
        <f t="shared" si="294"/>
        <v>0</v>
      </c>
      <c r="U2322" s="195">
        <f t="shared" si="295"/>
        <v>0</v>
      </c>
      <c r="V2322" s="195">
        <f t="shared" si="296"/>
        <v>0</v>
      </c>
      <c r="W2322" s="196" t="e">
        <f t="shared" si="297"/>
        <v>#DIV/0!</v>
      </c>
      <c r="X2322" s="197" t="e">
        <f t="shared" si="298"/>
        <v>#DIV/0!</v>
      </c>
    </row>
    <row r="2323" ht="11.4" hidden="1" customHeight="1" spans="1:24">
      <c r="A2323" s="184" t="s">
        <v>3176</v>
      </c>
      <c r="B2323" s="184" t="s">
        <v>153</v>
      </c>
      <c r="C2323" s="184" t="s">
        <v>905</v>
      </c>
      <c r="D2323" s="185" t="s">
        <v>704</v>
      </c>
      <c r="E2323" s="186" t="s">
        <v>906</v>
      </c>
      <c r="F2323" s="186" t="s">
        <v>907</v>
      </c>
      <c r="G2323" s="186" t="s">
        <v>908</v>
      </c>
      <c r="H2323" s="186" t="s">
        <v>2414</v>
      </c>
      <c r="I2323" s="187" t="s">
        <v>2422</v>
      </c>
      <c r="J2323" s="187" t="s">
        <v>2423</v>
      </c>
      <c r="K2323" s="188"/>
      <c r="L2323" s="188"/>
      <c r="M2323" s="189" t="s">
        <v>847</v>
      </c>
      <c r="N2323" s="190">
        <v>179.04</v>
      </c>
      <c r="O2323" s="190">
        <f t="shared" si="291"/>
        <v>195.15</v>
      </c>
      <c r="P2323" s="191">
        <f t="shared" si="292"/>
        <v>0</v>
      </c>
      <c r="Q2323" s="192">
        <f t="shared" si="293"/>
        <v>0</v>
      </c>
      <c r="R2323" s="193"/>
      <c r="S2323" s="194"/>
      <c r="T2323" s="195">
        <f t="shared" si="294"/>
        <v>0</v>
      </c>
      <c r="U2323" s="195">
        <f t="shared" si="295"/>
        <v>0</v>
      </c>
      <c r="V2323" s="195">
        <f t="shared" si="296"/>
        <v>0</v>
      </c>
      <c r="W2323" s="196" t="e">
        <f t="shared" si="297"/>
        <v>#DIV/0!</v>
      </c>
      <c r="X2323" s="197" t="e">
        <f t="shared" si="298"/>
        <v>#DIV/0!</v>
      </c>
    </row>
    <row r="2324" ht="11.4" hidden="1" customHeight="1" spans="1:24">
      <c r="A2324" s="184" t="s">
        <v>3176</v>
      </c>
      <c r="B2324" s="184" t="s">
        <v>153</v>
      </c>
      <c r="C2324" s="184" t="s">
        <v>905</v>
      </c>
      <c r="D2324" s="185" t="s">
        <v>704</v>
      </c>
      <c r="E2324" s="186" t="s">
        <v>906</v>
      </c>
      <c r="F2324" s="186" t="s">
        <v>907</v>
      </c>
      <c r="G2324" s="186" t="s">
        <v>908</v>
      </c>
      <c r="H2324" s="186" t="s">
        <v>2414</v>
      </c>
      <c r="I2324" s="187" t="s">
        <v>2424</v>
      </c>
      <c r="J2324" s="187" t="s">
        <v>2425</v>
      </c>
      <c r="K2324" s="188"/>
      <c r="L2324" s="188"/>
      <c r="M2324" s="189" t="s">
        <v>847</v>
      </c>
      <c r="N2324" s="190">
        <v>205.44</v>
      </c>
      <c r="O2324" s="190">
        <f t="shared" si="291"/>
        <v>223.93</v>
      </c>
      <c r="P2324" s="191">
        <f t="shared" si="292"/>
        <v>0</v>
      </c>
      <c r="Q2324" s="192">
        <f t="shared" si="293"/>
        <v>0</v>
      </c>
      <c r="R2324" s="193"/>
      <c r="S2324" s="194"/>
      <c r="T2324" s="195">
        <f t="shared" si="294"/>
        <v>0</v>
      </c>
      <c r="U2324" s="195">
        <f t="shared" si="295"/>
        <v>0</v>
      </c>
      <c r="V2324" s="195">
        <f t="shared" si="296"/>
        <v>0</v>
      </c>
      <c r="W2324" s="196" t="e">
        <f t="shared" si="297"/>
        <v>#DIV/0!</v>
      </c>
      <c r="X2324" s="197" t="e">
        <f t="shared" si="298"/>
        <v>#DIV/0!</v>
      </c>
    </row>
    <row r="2325" ht="11.4" hidden="1" customHeight="1" spans="1:24">
      <c r="A2325" s="184" t="s">
        <v>3176</v>
      </c>
      <c r="B2325" s="184" t="s">
        <v>153</v>
      </c>
      <c r="C2325" s="184" t="s">
        <v>905</v>
      </c>
      <c r="D2325" s="185" t="s">
        <v>704</v>
      </c>
      <c r="E2325" s="186" t="s">
        <v>906</v>
      </c>
      <c r="F2325" s="186" t="s">
        <v>907</v>
      </c>
      <c r="G2325" s="186" t="s">
        <v>908</v>
      </c>
      <c r="H2325" s="186" t="s">
        <v>2414</v>
      </c>
      <c r="I2325" s="187" t="s">
        <v>2426</v>
      </c>
      <c r="J2325" s="187" t="s">
        <v>2427</v>
      </c>
      <c r="K2325" s="188"/>
      <c r="L2325" s="188"/>
      <c r="M2325" s="189" t="s">
        <v>847</v>
      </c>
      <c r="N2325" s="190">
        <v>156.31</v>
      </c>
      <c r="O2325" s="190">
        <f t="shared" si="291"/>
        <v>170.38</v>
      </c>
      <c r="P2325" s="191">
        <f t="shared" si="292"/>
        <v>0</v>
      </c>
      <c r="Q2325" s="192">
        <f t="shared" si="293"/>
        <v>0</v>
      </c>
      <c r="R2325" s="193"/>
      <c r="S2325" s="194"/>
      <c r="T2325" s="195">
        <f t="shared" si="294"/>
        <v>0</v>
      </c>
      <c r="U2325" s="195">
        <f t="shared" si="295"/>
        <v>0</v>
      </c>
      <c r="V2325" s="195">
        <f t="shared" si="296"/>
        <v>0</v>
      </c>
      <c r="W2325" s="196" t="e">
        <f t="shared" si="297"/>
        <v>#DIV/0!</v>
      </c>
      <c r="X2325" s="197" t="e">
        <f t="shared" si="298"/>
        <v>#DIV/0!</v>
      </c>
    </row>
    <row r="2326" ht="11.4" hidden="1" customHeight="1" spans="1:24">
      <c r="A2326" s="184" t="s">
        <v>3176</v>
      </c>
      <c r="B2326" s="184" t="s">
        <v>153</v>
      </c>
      <c r="C2326" s="184" t="s">
        <v>905</v>
      </c>
      <c r="D2326" s="185" t="s">
        <v>704</v>
      </c>
      <c r="E2326" s="186" t="s">
        <v>906</v>
      </c>
      <c r="F2326" s="186" t="s">
        <v>907</v>
      </c>
      <c r="G2326" s="186" t="s">
        <v>908</v>
      </c>
      <c r="H2326" s="186" t="s">
        <v>2414</v>
      </c>
      <c r="I2326" s="187" t="s">
        <v>2428</v>
      </c>
      <c r="J2326" s="187" t="s">
        <v>2429</v>
      </c>
      <c r="K2326" s="188"/>
      <c r="L2326" s="188"/>
      <c r="M2326" s="189" t="s">
        <v>807</v>
      </c>
      <c r="N2326" s="190">
        <v>93.05</v>
      </c>
      <c r="O2326" s="190">
        <f t="shared" si="291"/>
        <v>101.42</v>
      </c>
      <c r="P2326" s="191">
        <f t="shared" si="292"/>
        <v>0</v>
      </c>
      <c r="Q2326" s="192">
        <f t="shared" si="293"/>
        <v>0</v>
      </c>
      <c r="R2326" s="193"/>
      <c r="S2326" s="194"/>
      <c r="T2326" s="195">
        <f t="shared" si="294"/>
        <v>0</v>
      </c>
      <c r="U2326" s="195">
        <f t="shared" si="295"/>
        <v>0</v>
      </c>
      <c r="V2326" s="195">
        <f t="shared" si="296"/>
        <v>0</v>
      </c>
      <c r="W2326" s="196" t="e">
        <f t="shared" si="297"/>
        <v>#DIV/0!</v>
      </c>
      <c r="X2326" s="197" t="e">
        <f t="shared" si="298"/>
        <v>#DIV/0!</v>
      </c>
    </row>
    <row r="2327" ht="11.4" hidden="1" customHeight="1" spans="1:24">
      <c r="A2327" s="184" t="s">
        <v>3176</v>
      </c>
      <c r="B2327" s="184" t="s">
        <v>153</v>
      </c>
      <c r="C2327" s="184" t="s">
        <v>905</v>
      </c>
      <c r="D2327" s="185" t="s">
        <v>704</v>
      </c>
      <c r="E2327" s="186" t="s">
        <v>906</v>
      </c>
      <c r="F2327" s="186" t="s">
        <v>907</v>
      </c>
      <c r="G2327" s="186" t="s">
        <v>908</v>
      </c>
      <c r="H2327" s="186" t="s">
        <v>2414</v>
      </c>
      <c r="I2327" s="187" t="s">
        <v>2430</v>
      </c>
      <c r="J2327" s="187" t="s">
        <v>2431</v>
      </c>
      <c r="K2327" s="188"/>
      <c r="L2327" s="188"/>
      <c r="M2327" s="189" t="s">
        <v>807</v>
      </c>
      <c r="N2327" s="190">
        <v>205.25</v>
      </c>
      <c r="O2327" s="190">
        <f t="shared" si="291"/>
        <v>223.72</v>
      </c>
      <c r="P2327" s="191">
        <f t="shared" si="292"/>
        <v>0</v>
      </c>
      <c r="Q2327" s="192">
        <f t="shared" si="293"/>
        <v>0</v>
      </c>
      <c r="R2327" s="193"/>
      <c r="S2327" s="194"/>
      <c r="T2327" s="195">
        <f t="shared" si="294"/>
        <v>0</v>
      </c>
      <c r="U2327" s="195">
        <f t="shared" si="295"/>
        <v>0</v>
      </c>
      <c r="V2327" s="195">
        <f t="shared" si="296"/>
        <v>0</v>
      </c>
      <c r="W2327" s="196" t="e">
        <f t="shared" si="297"/>
        <v>#DIV/0!</v>
      </c>
      <c r="X2327" s="197" t="e">
        <f t="shared" si="298"/>
        <v>#DIV/0!</v>
      </c>
    </row>
    <row r="2328" ht="11.4" hidden="1" customHeight="1" spans="1:24">
      <c r="A2328" s="184" t="s">
        <v>3176</v>
      </c>
      <c r="B2328" s="184" t="s">
        <v>153</v>
      </c>
      <c r="C2328" s="184" t="s">
        <v>905</v>
      </c>
      <c r="D2328" s="185" t="s">
        <v>704</v>
      </c>
      <c r="E2328" s="186" t="s">
        <v>906</v>
      </c>
      <c r="F2328" s="186" t="s">
        <v>907</v>
      </c>
      <c r="G2328" s="186" t="s">
        <v>908</v>
      </c>
      <c r="H2328" s="186" t="s">
        <v>2414</v>
      </c>
      <c r="I2328" s="187" t="s">
        <v>2432</v>
      </c>
      <c r="J2328" s="187" t="s">
        <v>2433</v>
      </c>
      <c r="K2328" s="188"/>
      <c r="L2328" s="188"/>
      <c r="M2328" s="189" t="s">
        <v>847</v>
      </c>
      <c r="N2328" s="190">
        <v>219.44</v>
      </c>
      <c r="O2328" s="190">
        <f t="shared" si="291"/>
        <v>239.19</v>
      </c>
      <c r="P2328" s="191">
        <f t="shared" si="292"/>
        <v>0</v>
      </c>
      <c r="Q2328" s="192">
        <f t="shared" si="293"/>
        <v>0</v>
      </c>
      <c r="R2328" s="193"/>
      <c r="S2328" s="194"/>
      <c r="T2328" s="195">
        <f t="shared" si="294"/>
        <v>0</v>
      </c>
      <c r="U2328" s="195">
        <f t="shared" si="295"/>
        <v>0</v>
      </c>
      <c r="V2328" s="195">
        <f t="shared" si="296"/>
        <v>0</v>
      </c>
      <c r="W2328" s="196" t="e">
        <f t="shared" si="297"/>
        <v>#DIV/0!</v>
      </c>
      <c r="X2328" s="197" t="e">
        <f t="shared" si="298"/>
        <v>#DIV/0!</v>
      </c>
    </row>
    <row r="2329" ht="11.4" hidden="1" customHeight="1" spans="1:24">
      <c r="A2329" s="184" t="s">
        <v>3176</v>
      </c>
      <c r="B2329" s="184" t="s">
        <v>153</v>
      </c>
      <c r="C2329" s="184" t="s">
        <v>905</v>
      </c>
      <c r="D2329" s="185" t="s">
        <v>704</v>
      </c>
      <c r="E2329" s="186" t="s">
        <v>906</v>
      </c>
      <c r="F2329" s="186" t="s">
        <v>907</v>
      </c>
      <c r="G2329" s="186" t="s">
        <v>908</v>
      </c>
      <c r="H2329" s="186" t="s">
        <v>2414</v>
      </c>
      <c r="I2329" s="187" t="s">
        <v>2434</v>
      </c>
      <c r="J2329" s="187" t="s">
        <v>2435</v>
      </c>
      <c r="K2329" s="188"/>
      <c r="L2329" s="188"/>
      <c r="M2329" s="189" t="s">
        <v>847</v>
      </c>
      <c r="N2329" s="190">
        <v>365.36</v>
      </c>
      <c r="O2329" s="190">
        <f t="shared" si="291"/>
        <v>398.24</v>
      </c>
      <c r="P2329" s="191">
        <f t="shared" si="292"/>
        <v>0</v>
      </c>
      <c r="Q2329" s="192">
        <f t="shared" si="293"/>
        <v>0</v>
      </c>
      <c r="R2329" s="193"/>
      <c r="S2329" s="194"/>
      <c r="T2329" s="195">
        <f t="shared" si="294"/>
        <v>0</v>
      </c>
      <c r="U2329" s="195">
        <f t="shared" si="295"/>
        <v>0</v>
      </c>
      <c r="V2329" s="195">
        <f t="shared" si="296"/>
        <v>0</v>
      </c>
      <c r="W2329" s="196" t="e">
        <f t="shared" si="297"/>
        <v>#DIV/0!</v>
      </c>
      <c r="X2329" s="197" t="e">
        <f t="shared" si="298"/>
        <v>#DIV/0!</v>
      </c>
    </row>
    <row r="2330" ht="11.4" hidden="1" customHeight="1" spans="1:24">
      <c r="A2330" s="184" t="s">
        <v>3176</v>
      </c>
      <c r="B2330" s="184" t="s">
        <v>153</v>
      </c>
      <c r="C2330" s="184" t="s">
        <v>905</v>
      </c>
      <c r="D2330" s="185" t="s">
        <v>704</v>
      </c>
      <c r="E2330" s="186" t="s">
        <v>906</v>
      </c>
      <c r="F2330" s="186" t="s">
        <v>907</v>
      </c>
      <c r="G2330" s="186" t="s">
        <v>908</v>
      </c>
      <c r="H2330" s="186" t="s">
        <v>2414</v>
      </c>
      <c r="I2330" s="187" t="s">
        <v>2436</v>
      </c>
      <c r="J2330" s="187" t="s">
        <v>2437</v>
      </c>
      <c r="K2330" s="188"/>
      <c r="L2330" s="188"/>
      <c r="M2330" s="189" t="s">
        <v>963</v>
      </c>
      <c r="N2330" s="190">
        <v>832.04</v>
      </c>
      <c r="O2330" s="190">
        <f t="shared" si="291"/>
        <v>906.92</v>
      </c>
      <c r="P2330" s="191">
        <f t="shared" si="292"/>
        <v>0</v>
      </c>
      <c r="Q2330" s="192">
        <f t="shared" si="293"/>
        <v>0</v>
      </c>
      <c r="R2330" s="193"/>
      <c r="S2330" s="194"/>
      <c r="T2330" s="195">
        <f t="shared" si="294"/>
        <v>0</v>
      </c>
      <c r="U2330" s="195">
        <f t="shared" si="295"/>
        <v>0</v>
      </c>
      <c r="V2330" s="195">
        <f t="shared" si="296"/>
        <v>0</v>
      </c>
      <c r="W2330" s="196" t="e">
        <f t="shared" si="297"/>
        <v>#DIV/0!</v>
      </c>
      <c r="X2330" s="197" t="e">
        <f t="shared" si="298"/>
        <v>#DIV/0!</v>
      </c>
    </row>
    <row r="2331" ht="11.4" hidden="1" customHeight="1" spans="1:24">
      <c r="A2331" s="184" t="s">
        <v>3176</v>
      </c>
      <c r="B2331" s="184" t="s">
        <v>153</v>
      </c>
      <c r="C2331" s="184" t="s">
        <v>905</v>
      </c>
      <c r="D2331" s="185" t="s">
        <v>704</v>
      </c>
      <c r="E2331" s="186" t="s">
        <v>906</v>
      </c>
      <c r="F2331" s="186" t="s">
        <v>907</v>
      </c>
      <c r="G2331" s="186" t="s">
        <v>908</v>
      </c>
      <c r="H2331" s="186" t="s">
        <v>2414</v>
      </c>
      <c r="I2331" s="187" t="s">
        <v>2438</v>
      </c>
      <c r="J2331" s="187" t="s">
        <v>2439</v>
      </c>
      <c r="K2331" s="188"/>
      <c r="L2331" s="188"/>
      <c r="M2331" s="189" t="s">
        <v>963</v>
      </c>
      <c r="N2331" s="190">
        <v>1691.55</v>
      </c>
      <c r="O2331" s="190">
        <f t="shared" si="291"/>
        <v>1843.79</v>
      </c>
      <c r="P2331" s="191">
        <f t="shared" si="292"/>
        <v>0</v>
      </c>
      <c r="Q2331" s="192">
        <f t="shared" si="293"/>
        <v>0</v>
      </c>
      <c r="R2331" s="193"/>
      <c r="S2331" s="194"/>
      <c r="T2331" s="195">
        <f t="shared" si="294"/>
        <v>0</v>
      </c>
      <c r="U2331" s="195">
        <f t="shared" si="295"/>
        <v>0</v>
      </c>
      <c r="V2331" s="195">
        <f t="shared" si="296"/>
        <v>0</v>
      </c>
      <c r="W2331" s="196" t="e">
        <f t="shared" si="297"/>
        <v>#DIV/0!</v>
      </c>
      <c r="X2331" s="197" t="e">
        <f t="shared" si="298"/>
        <v>#DIV/0!</v>
      </c>
    </row>
    <row r="2332" ht="11.4" hidden="1" customHeight="1" spans="1:24">
      <c r="A2332" s="184" t="s">
        <v>3176</v>
      </c>
      <c r="B2332" s="184" t="s">
        <v>153</v>
      </c>
      <c r="C2332" s="184" t="s">
        <v>905</v>
      </c>
      <c r="D2332" s="185" t="s">
        <v>704</v>
      </c>
      <c r="E2332" s="186" t="s">
        <v>906</v>
      </c>
      <c r="F2332" s="186" t="s">
        <v>907</v>
      </c>
      <c r="G2332" s="186" t="s">
        <v>908</v>
      </c>
      <c r="H2332" s="186" t="s">
        <v>2414</v>
      </c>
      <c r="I2332" s="187" t="s">
        <v>2440</v>
      </c>
      <c r="J2332" s="187" t="s">
        <v>2441</v>
      </c>
      <c r="K2332" s="188"/>
      <c r="L2332" s="188"/>
      <c r="M2332" s="189" t="s">
        <v>963</v>
      </c>
      <c r="N2332" s="190">
        <v>1315.9</v>
      </c>
      <c r="O2332" s="190">
        <f t="shared" si="291"/>
        <v>1434.33</v>
      </c>
      <c r="P2332" s="191">
        <f t="shared" si="292"/>
        <v>0</v>
      </c>
      <c r="Q2332" s="192">
        <f t="shared" si="293"/>
        <v>0</v>
      </c>
      <c r="R2332" s="193"/>
      <c r="S2332" s="194"/>
      <c r="T2332" s="195">
        <f t="shared" si="294"/>
        <v>0</v>
      </c>
      <c r="U2332" s="195">
        <f t="shared" si="295"/>
        <v>0</v>
      </c>
      <c r="V2332" s="195">
        <f t="shared" si="296"/>
        <v>0</v>
      </c>
      <c r="W2332" s="196" t="e">
        <f t="shared" si="297"/>
        <v>#DIV/0!</v>
      </c>
      <c r="X2332" s="197" t="e">
        <f t="shared" si="298"/>
        <v>#DIV/0!</v>
      </c>
    </row>
    <row r="2333" ht="11.4" hidden="1" customHeight="1" spans="1:24">
      <c r="A2333" s="184" t="s">
        <v>3176</v>
      </c>
      <c r="B2333" s="184" t="s">
        <v>153</v>
      </c>
      <c r="C2333" s="184" t="s">
        <v>905</v>
      </c>
      <c r="D2333" s="185" t="s">
        <v>704</v>
      </c>
      <c r="E2333" s="186" t="s">
        <v>906</v>
      </c>
      <c r="F2333" s="186" t="s">
        <v>907</v>
      </c>
      <c r="G2333" s="186" t="s">
        <v>908</v>
      </c>
      <c r="H2333" s="186" t="s">
        <v>2414</v>
      </c>
      <c r="I2333" s="187" t="s">
        <v>2442</v>
      </c>
      <c r="J2333" s="187" t="s">
        <v>2443</v>
      </c>
      <c r="K2333" s="188"/>
      <c r="L2333" s="188"/>
      <c r="M2333" s="189" t="s">
        <v>963</v>
      </c>
      <c r="N2333" s="190">
        <v>969.96</v>
      </c>
      <c r="O2333" s="190">
        <f t="shared" si="291"/>
        <v>1057.26</v>
      </c>
      <c r="P2333" s="191">
        <f t="shared" si="292"/>
        <v>0</v>
      </c>
      <c r="Q2333" s="192">
        <f t="shared" si="293"/>
        <v>0</v>
      </c>
      <c r="R2333" s="193"/>
      <c r="S2333" s="194"/>
      <c r="T2333" s="195">
        <f t="shared" si="294"/>
        <v>0</v>
      </c>
      <c r="U2333" s="195">
        <f t="shared" si="295"/>
        <v>0</v>
      </c>
      <c r="V2333" s="195">
        <f t="shared" si="296"/>
        <v>0</v>
      </c>
      <c r="W2333" s="196" t="e">
        <f t="shared" si="297"/>
        <v>#DIV/0!</v>
      </c>
      <c r="X2333" s="197" t="e">
        <f t="shared" si="298"/>
        <v>#DIV/0!</v>
      </c>
    </row>
    <row r="2334" ht="11.4" hidden="1" customHeight="1" spans="1:24">
      <c r="A2334" s="184" t="s">
        <v>3176</v>
      </c>
      <c r="B2334" s="184" t="s">
        <v>153</v>
      </c>
      <c r="C2334" s="184" t="s">
        <v>905</v>
      </c>
      <c r="D2334" s="185" t="s">
        <v>704</v>
      </c>
      <c r="E2334" s="186" t="s">
        <v>906</v>
      </c>
      <c r="F2334" s="186" t="s">
        <v>907</v>
      </c>
      <c r="G2334" s="186" t="s">
        <v>908</v>
      </c>
      <c r="H2334" s="186" t="s">
        <v>2414</v>
      </c>
      <c r="I2334" s="187" t="s">
        <v>2444</v>
      </c>
      <c r="J2334" s="187" t="s">
        <v>2445</v>
      </c>
      <c r="K2334" s="188"/>
      <c r="L2334" s="188"/>
      <c r="M2334" s="189" t="s">
        <v>963</v>
      </c>
      <c r="N2334" s="190">
        <v>1692.65</v>
      </c>
      <c r="O2334" s="190">
        <f t="shared" si="291"/>
        <v>1844.99</v>
      </c>
      <c r="P2334" s="191">
        <f t="shared" si="292"/>
        <v>0</v>
      </c>
      <c r="Q2334" s="192">
        <f t="shared" si="293"/>
        <v>0</v>
      </c>
      <c r="R2334" s="193"/>
      <c r="S2334" s="194"/>
      <c r="T2334" s="195">
        <f t="shared" si="294"/>
        <v>0</v>
      </c>
      <c r="U2334" s="195">
        <f t="shared" si="295"/>
        <v>0</v>
      </c>
      <c r="V2334" s="195">
        <f t="shared" si="296"/>
        <v>0</v>
      </c>
      <c r="W2334" s="196" t="e">
        <f t="shared" si="297"/>
        <v>#DIV/0!</v>
      </c>
      <c r="X2334" s="197" t="e">
        <f t="shared" si="298"/>
        <v>#DIV/0!</v>
      </c>
    </row>
    <row r="2335" ht="11.4" hidden="1" customHeight="1" spans="1:24">
      <c r="A2335" s="184" t="s">
        <v>3176</v>
      </c>
      <c r="B2335" s="184" t="s">
        <v>153</v>
      </c>
      <c r="C2335" s="184" t="s">
        <v>905</v>
      </c>
      <c r="D2335" s="185" t="s">
        <v>704</v>
      </c>
      <c r="E2335" s="186" t="s">
        <v>906</v>
      </c>
      <c r="F2335" s="186" t="s">
        <v>907</v>
      </c>
      <c r="G2335" s="186" t="s">
        <v>908</v>
      </c>
      <c r="H2335" s="186" t="s">
        <v>2414</v>
      </c>
      <c r="I2335" s="187" t="s">
        <v>2446</v>
      </c>
      <c r="J2335" s="187" t="s">
        <v>2447</v>
      </c>
      <c r="K2335" s="188"/>
      <c r="L2335" s="188"/>
      <c r="M2335" s="189" t="s">
        <v>1018</v>
      </c>
      <c r="N2335" s="190">
        <v>350</v>
      </c>
      <c r="O2335" s="190">
        <f t="shared" si="291"/>
        <v>381.5</v>
      </c>
      <c r="P2335" s="191">
        <f t="shared" si="292"/>
        <v>0</v>
      </c>
      <c r="Q2335" s="192">
        <f t="shared" si="293"/>
        <v>0</v>
      </c>
      <c r="R2335" s="193"/>
      <c r="S2335" s="194"/>
      <c r="T2335" s="195">
        <f t="shared" si="294"/>
        <v>0</v>
      </c>
      <c r="U2335" s="195">
        <f t="shared" si="295"/>
        <v>0</v>
      </c>
      <c r="V2335" s="195">
        <f t="shared" si="296"/>
        <v>0</v>
      </c>
      <c r="W2335" s="196" t="e">
        <f t="shared" si="297"/>
        <v>#DIV/0!</v>
      </c>
      <c r="X2335" s="197" t="e">
        <f t="shared" si="298"/>
        <v>#DIV/0!</v>
      </c>
    </row>
    <row r="2336" ht="11.4" hidden="1" customHeight="1" spans="1:24">
      <c r="A2336" s="184" t="s">
        <v>3176</v>
      </c>
      <c r="B2336" s="184" t="s">
        <v>153</v>
      </c>
      <c r="C2336" s="184" t="s">
        <v>905</v>
      </c>
      <c r="D2336" s="185" t="s">
        <v>704</v>
      </c>
      <c r="E2336" s="186" t="s">
        <v>906</v>
      </c>
      <c r="F2336" s="186" t="s">
        <v>907</v>
      </c>
      <c r="G2336" s="186" t="s">
        <v>908</v>
      </c>
      <c r="H2336" s="186" t="s">
        <v>2448</v>
      </c>
      <c r="I2336" s="187" t="s">
        <v>2449</v>
      </c>
      <c r="J2336" s="187" t="s">
        <v>2450</v>
      </c>
      <c r="K2336" s="188"/>
      <c r="L2336" s="188"/>
      <c r="M2336" s="189" t="s">
        <v>807</v>
      </c>
      <c r="N2336" s="190">
        <v>230.44</v>
      </c>
      <c r="O2336" s="190">
        <f t="shared" si="291"/>
        <v>251.18</v>
      </c>
      <c r="P2336" s="191">
        <f t="shared" si="292"/>
        <v>0</v>
      </c>
      <c r="Q2336" s="192">
        <f t="shared" si="293"/>
        <v>0</v>
      </c>
      <c r="R2336" s="193"/>
      <c r="S2336" s="194"/>
      <c r="T2336" s="195">
        <f t="shared" si="294"/>
        <v>0</v>
      </c>
      <c r="U2336" s="195">
        <f t="shared" si="295"/>
        <v>0</v>
      </c>
      <c r="V2336" s="195">
        <f t="shared" si="296"/>
        <v>0</v>
      </c>
      <c r="W2336" s="196" t="e">
        <f t="shared" si="297"/>
        <v>#DIV/0!</v>
      </c>
      <c r="X2336" s="197" t="e">
        <f t="shared" si="298"/>
        <v>#DIV/0!</v>
      </c>
    </row>
    <row r="2337" ht="11.4" hidden="1" customHeight="1" spans="1:24">
      <c r="A2337" s="184" t="s">
        <v>3176</v>
      </c>
      <c r="B2337" s="184" t="s">
        <v>153</v>
      </c>
      <c r="C2337" s="184" t="s">
        <v>905</v>
      </c>
      <c r="D2337" s="185" t="s">
        <v>704</v>
      </c>
      <c r="E2337" s="186" t="s">
        <v>906</v>
      </c>
      <c r="F2337" s="186" t="s">
        <v>907</v>
      </c>
      <c r="G2337" s="186" t="s">
        <v>908</v>
      </c>
      <c r="H2337" s="186" t="s">
        <v>2448</v>
      </c>
      <c r="I2337" s="187" t="s">
        <v>2451</v>
      </c>
      <c r="J2337" s="187" t="s">
        <v>3209</v>
      </c>
      <c r="K2337" s="188"/>
      <c r="L2337" s="188"/>
      <c r="M2337" s="189" t="s">
        <v>807</v>
      </c>
      <c r="N2337" s="190">
        <v>199.42</v>
      </c>
      <c r="O2337" s="190">
        <f t="shared" si="291"/>
        <v>217.37</v>
      </c>
      <c r="P2337" s="191">
        <f t="shared" si="292"/>
        <v>0</v>
      </c>
      <c r="Q2337" s="192">
        <f t="shared" si="293"/>
        <v>0</v>
      </c>
      <c r="R2337" s="193"/>
      <c r="S2337" s="194"/>
      <c r="T2337" s="195">
        <f t="shared" si="294"/>
        <v>0</v>
      </c>
      <c r="U2337" s="195">
        <f t="shared" si="295"/>
        <v>0</v>
      </c>
      <c r="V2337" s="195">
        <f t="shared" si="296"/>
        <v>0</v>
      </c>
      <c r="W2337" s="196" t="e">
        <f t="shared" si="297"/>
        <v>#DIV/0!</v>
      </c>
      <c r="X2337" s="197" t="e">
        <f t="shared" si="298"/>
        <v>#DIV/0!</v>
      </c>
    </row>
    <row r="2338" ht="11.4" hidden="1" customHeight="1" spans="1:24">
      <c r="A2338" s="184" t="s">
        <v>3176</v>
      </c>
      <c r="B2338" s="184" t="s">
        <v>153</v>
      </c>
      <c r="C2338" s="184" t="s">
        <v>905</v>
      </c>
      <c r="D2338" s="185" t="s">
        <v>704</v>
      </c>
      <c r="E2338" s="186" t="s">
        <v>906</v>
      </c>
      <c r="F2338" s="186" t="s">
        <v>907</v>
      </c>
      <c r="G2338" s="186" t="s">
        <v>908</v>
      </c>
      <c r="H2338" s="186" t="s">
        <v>2448</v>
      </c>
      <c r="I2338" s="187" t="s">
        <v>2453</v>
      </c>
      <c r="J2338" s="187" t="s">
        <v>3210</v>
      </c>
      <c r="K2338" s="188"/>
      <c r="L2338" s="188"/>
      <c r="M2338" s="189" t="s">
        <v>807</v>
      </c>
      <c r="N2338" s="190">
        <v>187.87</v>
      </c>
      <c r="O2338" s="190">
        <f t="shared" si="291"/>
        <v>204.78</v>
      </c>
      <c r="P2338" s="191">
        <f t="shared" si="292"/>
        <v>0</v>
      </c>
      <c r="Q2338" s="192">
        <f t="shared" si="293"/>
        <v>0</v>
      </c>
      <c r="R2338" s="193"/>
      <c r="S2338" s="194"/>
      <c r="T2338" s="195">
        <f t="shared" si="294"/>
        <v>0</v>
      </c>
      <c r="U2338" s="195">
        <f t="shared" si="295"/>
        <v>0</v>
      </c>
      <c r="V2338" s="195">
        <f t="shared" si="296"/>
        <v>0</v>
      </c>
      <c r="W2338" s="196" t="e">
        <f t="shared" si="297"/>
        <v>#DIV/0!</v>
      </c>
      <c r="X2338" s="197" t="e">
        <f t="shared" si="298"/>
        <v>#DIV/0!</v>
      </c>
    </row>
    <row r="2339" ht="11.4" hidden="1" customHeight="1" spans="1:24">
      <c r="A2339" s="184" t="s">
        <v>3176</v>
      </c>
      <c r="B2339" s="184" t="s">
        <v>153</v>
      </c>
      <c r="C2339" s="184" t="s">
        <v>905</v>
      </c>
      <c r="D2339" s="185" t="s">
        <v>704</v>
      </c>
      <c r="E2339" s="186" t="s">
        <v>906</v>
      </c>
      <c r="F2339" s="186" t="s">
        <v>907</v>
      </c>
      <c r="G2339" s="186" t="s">
        <v>908</v>
      </c>
      <c r="H2339" s="186" t="s">
        <v>2448</v>
      </c>
      <c r="I2339" s="187" t="s">
        <v>2455</v>
      </c>
      <c r="J2339" s="187" t="s">
        <v>2456</v>
      </c>
      <c r="K2339" s="188"/>
      <c r="L2339" s="188"/>
      <c r="M2339" s="189" t="s">
        <v>807</v>
      </c>
      <c r="N2339" s="190">
        <v>175.55</v>
      </c>
      <c r="O2339" s="190">
        <f t="shared" si="291"/>
        <v>191.35</v>
      </c>
      <c r="P2339" s="191">
        <f t="shared" si="292"/>
        <v>0</v>
      </c>
      <c r="Q2339" s="192">
        <f t="shared" si="293"/>
        <v>0</v>
      </c>
      <c r="R2339" s="193"/>
      <c r="S2339" s="194"/>
      <c r="T2339" s="195">
        <f t="shared" si="294"/>
        <v>0</v>
      </c>
      <c r="U2339" s="195">
        <f t="shared" si="295"/>
        <v>0</v>
      </c>
      <c r="V2339" s="195">
        <f t="shared" si="296"/>
        <v>0</v>
      </c>
      <c r="W2339" s="196" t="e">
        <f t="shared" si="297"/>
        <v>#DIV/0!</v>
      </c>
      <c r="X2339" s="197" t="e">
        <f t="shared" si="298"/>
        <v>#DIV/0!</v>
      </c>
    </row>
    <row r="2340" ht="11.4" hidden="1" customHeight="1" spans="1:24">
      <c r="A2340" s="184" t="s">
        <v>3176</v>
      </c>
      <c r="B2340" s="184" t="s">
        <v>153</v>
      </c>
      <c r="C2340" s="184" t="s">
        <v>905</v>
      </c>
      <c r="D2340" s="185" t="s">
        <v>704</v>
      </c>
      <c r="E2340" s="186" t="s">
        <v>906</v>
      </c>
      <c r="F2340" s="186" t="s">
        <v>907</v>
      </c>
      <c r="G2340" s="186" t="s">
        <v>908</v>
      </c>
      <c r="H2340" s="186" t="s">
        <v>2448</v>
      </c>
      <c r="I2340" s="187" t="s">
        <v>2457</v>
      </c>
      <c r="J2340" s="187" t="s">
        <v>3211</v>
      </c>
      <c r="K2340" s="188"/>
      <c r="L2340" s="188"/>
      <c r="M2340" s="189" t="s">
        <v>807</v>
      </c>
      <c r="N2340" s="190">
        <v>156.85</v>
      </c>
      <c r="O2340" s="190">
        <f t="shared" si="291"/>
        <v>170.97</v>
      </c>
      <c r="P2340" s="191">
        <f t="shared" si="292"/>
        <v>0</v>
      </c>
      <c r="Q2340" s="192">
        <f t="shared" si="293"/>
        <v>0</v>
      </c>
      <c r="R2340" s="193"/>
      <c r="S2340" s="194"/>
      <c r="T2340" s="195">
        <f t="shared" si="294"/>
        <v>0</v>
      </c>
      <c r="U2340" s="195">
        <f t="shared" si="295"/>
        <v>0</v>
      </c>
      <c r="V2340" s="195">
        <f t="shared" si="296"/>
        <v>0</v>
      </c>
      <c r="W2340" s="196" t="e">
        <f t="shared" si="297"/>
        <v>#DIV/0!</v>
      </c>
      <c r="X2340" s="197" t="e">
        <f t="shared" si="298"/>
        <v>#DIV/0!</v>
      </c>
    </row>
    <row r="2341" ht="11.4" hidden="1" customHeight="1" spans="1:24">
      <c r="A2341" s="184" t="s">
        <v>3176</v>
      </c>
      <c r="B2341" s="184" t="s">
        <v>153</v>
      </c>
      <c r="C2341" s="184" t="s">
        <v>905</v>
      </c>
      <c r="D2341" s="185" t="s">
        <v>704</v>
      </c>
      <c r="E2341" s="186" t="s">
        <v>906</v>
      </c>
      <c r="F2341" s="186" t="s">
        <v>907</v>
      </c>
      <c r="G2341" s="186" t="s">
        <v>908</v>
      </c>
      <c r="H2341" s="186" t="s">
        <v>2448</v>
      </c>
      <c r="I2341" s="187" t="s">
        <v>2459</v>
      </c>
      <c r="J2341" s="187" t="s">
        <v>2460</v>
      </c>
      <c r="K2341" s="188"/>
      <c r="L2341" s="188"/>
      <c r="M2341" s="189" t="s">
        <v>807</v>
      </c>
      <c r="N2341" s="190">
        <v>122.2</v>
      </c>
      <c r="O2341" s="190">
        <f t="shared" si="291"/>
        <v>133.2</v>
      </c>
      <c r="P2341" s="191">
        <f t="shared" si="292"/>
        <v>0</v>
      </c>
      <c r="Q2341" s="192">
        <f t="shared" si="293"/>
        <v>0</v>
      </c>
      <c r="R2341" s="193"/>
      <c r="S2341" s="194"/>
      <c r="T2341" s="195">
        <f t="shared" si="294"/>
        <v>0</v>
      </c>
      <c r="U2341" s="195">
        <f t="shared" si="295"/>
        <v>0</v>
      </c>
      <c r="V2341" s="195">
        <f t="shared" si="296"/>
        <v>0</v>
      </c>
      <c r="W2341" s="196" t="e">
        <f t="shared" si="297"/>
        <v>#DIV/0!</v>
      </c>
      <c r="X2341" s="197" t="e">
        <f t="shared" si="298"/>
        <v>#DIV/0!</v>
      </c>
    </row>
    <row r="2342" ht="11.4" hidden="1" customHeight="1" spans="1:24">
      <c r="A2342" s="184" t="s">
        <v>3176</v>
      </c>
      <c r="B2342" s="184" t="s">
        <v>153</v>
      </c>
      <c r="C2342" s="184" t="s">
        <v>905</v>
      </c>
      <c r="D2342" s="185" t="s">
        <v>704</v>
      </c>
      <c r="E2342" s="186" t="s">
        <v>906</v>
      </c>
      <c r="F2342" s="186" t="s">
        <v>907</v>
      </c>
      <c r="G2342" s="186" t="s">
        <v>908</v>
      </c>
      <c r="H2342" s="186" t="s">
        <v>2448</v>
      </c>
      <c r="I2342" s="187" t="s">
        <v>2461</v>
      </c>
      <c r="J2342" s="187" t="s">
        <v>2462</v>
      </c>
      <c r="K2342" s="188"/>
      <c r="L2342" s="188"/>
      <c r="M2342" s="189" t="s">
        <v>793</v>
      </c>
      <c r="N2342" s="190">
        <v>4616.45</v>
      </c>
      <c r="O2342" s="190">
        <f t="shared" si="291"/>
        <v>5031.93</v>
      </c>
      <c r="P2342" s="191">
        <f t="shared" si="292"/>
        <v>0</v>
      </c>
      <c r="Q2342" s="192">
        <f t="shared" si="293"/>
        <v>0</v>
      </c>
      <c r="R2342" s="193"/>
      <c r="S2342" s="194"/>
      <c r="T2342" s="195">
        <f t="shared" si="294"/>
        <v>0</v>
      </c>
      <c r="U2342" s="195">
        <f t="shared" si="295"/>
        <v>0</v>
      </c>
      <c r="V2342" s="195">
        <f t="shared" si="296"/>
        <v>0</v>
      </c>
      <c r="W2342" s="196" t="e">
        <f t="shared" si="297"/>
        <v>#DIV/0!</v>
      </c>
      <c r="X2342" s="197" t="e">
        <f t="shared" si="298"/>
        <v>#DIV/0!</v>
      </c>
    </row>
    <row r="2343" ht="11.4" hidden="1" customHeight="1" spans="1:24">
      <c r="A2343" s="184" t="s">
        <v>3176</v>
      </c>
      <c r="B2343" s="184" t="s">
        <v>153</v>
      </c>
      <c r="C2343" s="184" t="s">
        <v>905</v>
      </c>
      <c r="D2343" s="185" t="s">
        <v>704</v>
      </c>
      <c r="E2343" s="186" t="s">
        <v>906</v>
      </c>
      <c r="F2343" s="186" t="s">
        <v>907</v>
      </c>
      <c r="G2343" s="186" t="s">
        <v>908</v>
      </c>
      <c r="H2343" s="186" t="s">
        <v>2448</v>
      </c>
      <c r="I2343" s="187" t="s">
        <v>2463</v>
      </c>
      <c r="J2343" s="187" t="s">
        <v>2464</v>
      </c>
      <c r="K2343" s="188"/>
      <c r="L2343" s="188"/>
      <c r="M2343" s="189" t="s">
        <v>807</v>
      </c>
      <c r="N2343" s="190">
        <v>180.37</v>
      </c>
      <c r="O2343" s="190">
        <f t="shared" si="291"/>
        <v>196.6</v>
      </c>
      <c r="P2343" s="191">
        <f t="shared" si="292"/>
        <v>0</v>
      </c>
      <c r="Q2343" s="192">
        <f t="shared" si="293"/>
        <v>0</v>
      </c>
      <c r="R2343" s="193"/>
      <c r="S2343" s="194"/>
      <c r="T2343" s="195">
        <f t="shared" si="294"/>
        <v>0</v>
      </c>
      <c r="U2343" s="195">
        <f t="shared" si="295"/>
        <v>0</v>
      </c>
      <c r="V2343" s="195">
        <f t="shared" si="296"/>
        <v>0</v>
      </c>
      <c r="W2343" s="196" t="e">
        <f t="shared" si="297"/>
        <v>#DIV/0!</v>
      </c>
      <c r="X2343" s="197" t="e">
        <f t="shared" si="298"/>
        <v>#DIV/0!</v>
      </c>
    </row>
    <row r="2344" ht="11.4" hidden="1" customHeight="1" spans="1:24">
      <c r="A2344" s="184" t="s">
        <v>3176</v>
      </c>
      <c r="B2344" s="184" t="s">
        <v>153</v>
      </c>
      <c r="C2344" s="184" t="s">
        <v>905</v>
      </c>
      <c r="D2344" s="185" t="s">
        <v>704</v>
      </c>
      <c r="E2344" s="186" t="s">
        <v>906</v>
      </c>
      <c r="F2344" s="186" t="s">
        <v>907</v>
      </c>
      <c r="G2344" s="186" t="s">
        <v>908</v>
      </c>
      <c r="H2344" s="186" t="s">
        <v>2448</v>
      </c>
      <c r="I2344" s="187" t="s">
        <v>2465</v>
      </c>
      <c r="J2344" s="187" t="s">
        <v>2466</v>
      </c>
      <c r="K2344" s="188"/>
      <c r="L2344" s="188"/>
      <c r="M2344" s="189" t="s">
        <v>807</v>
      </c>
      <c r="N2344" s="190">
        <v>146.92</v>
      </c>
      <c r="O2344" s="190">
        <f t="shared" si="291"/>
        <v>160.14</v>
      </c>
      <c r="P2344" s="191">
        <f t="shared" si="292"/>
        <v>0</v>
      </c>
      <c r="Q2344" s="192">
        <f t="shared" si="293"/>
        <v>0</v>
      </c>
      <c r="R2344" s="193"/>
      <c r="S2344" s="194"/>
      <c r="T2344" s="195">
        <f t="shared" si="294"/>
        <v>0</v>
      </c>
      <c r="U2344" s="195">
        <f t="shared" si="295"/>
        <v>0</v>
      </c>
      <c r="V2344" s="195">
        <f t="shared" si="296"/>
        <v>0</v>
      </c>
      <c r="W2344" s="196" t="e">
        <f t="shared" si="297"/>
        <v>#DIV/0!</v>
      </c>
      <c r="X2344" s="197" t="e">
        <f t="shared" si="298"/>
        <v>#DIV/0!</v>
      </c>
    </row>
    <row r="2345" ht="11.4" hidden="1" customHeight="1" spans="1:24">
      <c r="A2345" s="184" t="s">
        <v>3176</v>
      </c>
      <c r="B2345" s="184" t="s">
        <v>153</v>
      </c>
      <c r="C2345" s="184" t="s">
        <v>905</v>
      </c>
      <c r="D2345" s="185" t="s">
        <v>704</v>
      </c>
      <c r="E2345" s="186" t="s">
        <v>906</v>
      </c>
      <c r="F2345" s="186" t="s">
        <v>907</v>
      </c>
      <c r="G2345" s="186" t="s">
        <v>908</v>
      </c>
      <c r="H2345" s="186" t="s">
        <v>2448</v>
      </c>
      <c r="I2345" s="187" t="s">
        <v>2467</v>
      </c>
      <c r="J2345" s="187" t="s">
        <v>2468</v>
      </c>
      <c r="K2345" s="188"/>
      <c r="L2345" s="188"/>
      <c r="M2345" s="189" t="s">
        <v>807</v>
      </c>
      <c r="N2345" s="190">
        <v>126.78</v>
      </c>
      <c r="O2345" s="190">
        <f t="shared" si="291"/>
        <v>138.19</v>
      </c>
      <c r="P2345" s="191">
        <f t="shared" si="292"/>
        <v>0</v>
      </c>
      <c r="Q2345" s="192">
        <f t="shared" si="293"/>
        <v>0</v>
      </c>
      <c r="R2345" s="193"/>
      <c r="S2345" s="194"/>
      <c r="T2345" s="195">
        <f t="shared" si="294"/>
        <v>0</v>
      </c>
      <c r="U2345" s="195">
        <f t="shared" si="295"/>
        <v>0</v>
      </c>
      <c r="V2345" s="195">
        <f t="shared" si="296"/>
        <v>0</v>
      </c>
      <c r="W2345" s="196" t="e">
        <f t="shared" si="297"/>
        <v>#DIV/0!</v>
      </c>
      <c r="X2345" s="197" t="e">
        <f t="shared" si="298"/>
        <v>#DIV/0!</v>
      </c>
    </row>
    <row r="2346" ht="11.4" hidden="1" customHeight="1" spans="1:24">
      <c r="A2346" s="184" t="s">
        <v>3176</v>
      </c>
      <c r="B2346" s="184" t="s">
        <v>153</v>
      </c>
      <c r="C2346" s="184" t="s">
        <v>905</v>
      </c>
      <c r="D2346" s="185" t="s">
        <v>704</v>
      </c>
      <c r="E2346" s="186" t="s">
        <v>906</v>
      </c>
      <c r="F2346" s="186" t="s">
        <v>907</v>
      </c>
      <c r="G2346" s="186" t="s">
        <v>908</v>
      </c>
      <c r="H2346" s="186" t="s">
        <v>2448</v>
      </c>
      <c r="I2346" s="187" t="s">
        <v>2469</v>
      </c>
      <c r="J2346" s="187" t="s">
        <v>2470</v>
      </c>
      <c r="K2346" s="188"/>
      <c r="L2346" s="188"/>
      <c r="M2346" s="189" t="s">
        <v>807</v>
      </c>
      <c r="N2346" s="190">
        <v>109.45</v>
      </c>
      <c r="O2346" s="190">
        <f t="shared" si="291"/>
        <v>119.3</v>
      </c>
      <c r="P2346" s="191">
        <f t="shared" si="292"/>
        <v>0</v>
      </c>
      <c r="Q2346" s="192">
        <f t="shared" si="293"/>
        <v>0</v>
      </c>
      <c r="R2346" s="193"/>
      <c r="S2346" s="194"/>
      <c r="T2346" s="195">
        <f t="shared" si="294"/>
        <v>0</v>
      </c>
      <c r="U2346" s="195">
        <f t="shared" si="295"/>
        <v>0</v>
      </c>
      <c r="V2346" s="195">
        <f t="shared" si="296"/>
        <v>0</v>
      </c>
      <c r="W2346" s="196" t="e">
        <f t="shared" si="297"/>
        <v>#DIV/0!</v>
      </c>
      <c r="X2346" s="197" t="e">
        <f t="shared" si="298"/>
        <v>#DIV/0!</v>
      </c>
    </row>
    <row r="2347" ht="11.4" hidden="1" customHeight="1" spans="1:24">
      <c r="A2347" s="184" t="s">
        <v>3176</v>
      </c>
      <c r="B2347" s="184" t="s">
        <v>153</v>
      </c>
      <c r="C2347" s="184" t="s">
        <v>905</v>
      </c>
      <c r="D2347" s="185" t="s">
        <v>704</v>
      </c>
      <c r="E2347" s="186" t="s">
        <v>906</v>
      </c>
      <c r="F2347" s="186" t="s">
        <v>907</v>
      </c>
      <c r="G2347" s="186" t="s">
        <v>908</v>
      </c>
      <c r="H2347" s="186" t="s">
        <v>2448</v>
      </c>
      <c r="I2347" s="187" t="s">
        <v>2471</v>
      </c>
      <c r="J2347" s="187" t="s">
        <v>2472</v>
      </c>
      <c r="K2347" s="188"/>
      <c r="L2347" s="188"/>
      <c r="M2347" s="189" t="s">
        <v>807</v>
      </c>
      <c r="N2347" s="190">
        <v>95.83</v>
      </c>
      <c r="O2347" s="190">
        <f t="shared" si="291"/>
        <v>104.45</v>
      </c>
      <c r="P2347" s="191">
        <f t="shared" si="292"/>
        <v>0</v>
      </c>
      <c r="Q2347" s="192">
        <f t="shared" si="293"/>
        <v>0</v>
      </c>
      <c r="R2347" s="193"/>
      <c r="S2347" s="194"/>
      <c r="T2347" s="195">
        <f t="shared" si="294"/>
        <v>0</v>
      </c>
      <c r="U2347" s="195">
        <f t="shared" si="295"/>
        <v>0</v>
      </c>
      <c r="V2347" s="195">
        <f t="shared" si="296"/>
        <v>0</v>
      </c>
      <c r="W2347" s="196" t="e">
        <f t="shared" si="297"/>
        <v>#DIV/0!</v>
      </c>
      <c r="X2347" s="197" t="e">
        <f t="shared" si="298"/>
        <v>#DIV/0!</v>
      </c>
    </row>
    <row r="2348" ht="11.4" hidden="1" customHeight="1" spans="1:24">
      <c r="A2348" s="184" t="s">
        <v>3176</v>
      </c>
      <c r="B2348" s="184" t="s">
        <v>153</v>
      </c>
      <c r="C2348" s="184" t="s">
        <v>905</v>
      </c>
      <c r="D2348" s="185" t="s">
        <v>704</v>
      </c>
      <c r="E2348" s="186" t="s">
        <v>906</v>
      </c>
      <c r="F2348" s="186" t="s">
        <v>907</v>
      </c>
      <c r="G2348" s="186" t="s">
        <v>908</v>
      </c>
      <c r="H2348" s="186" t="s">
        <v>2448</v>
      </c>
      <c r="I2348" s="187" t="s">
        <v>2473</v>
      </c>
      <c r="J2348" s="187" t="s">
        <v>2474</v>
      </c>
      <c r="K2348" s="188"/>
      <c r="L2348" s="188"/>
      <c r="M2348" s="189" t="s">
        <v>807</v>
      </c>
      <c r="N2348" s="190">
        <v>82.51</v>
      </c>
      <c r="O2348" s="190">
        <f t="shared" si="291"/>
        <v>89.94</v>
      </c>
      <c r="P2348" s="191">
        <f t="shared" si="292"/>
        <v>0</v>
      </c>
      <c r="Q2348" s="192">
        <f t="shared" si="293"/>
        <v>0</v>
      </c>
      <c r="R2348" s="193"/>
      <c r="S2348" s="194"/>
      <c r="T2348" s="195">
        <f t="shared" si="294"/>
        <v>0</v>
      </c>
      <c r="U2348" s="195">
        <f t="shared" si="295"/>
        <v>0</v>
      </c>
      <c r="V2348" s="195">
        <f t="shared" si="296"/>
        <v>0</v>
      </c>
      <c r="W2348" s="196" t="e">
        <f t="shared" si="297"/>
        <v>#DIV/0!</v>
      </c>
      <c r="X2348" s="197" t="e">
        <f t="shared" si="298"/>
        <v>#DIV/0!</v>
      </c>
    </row>
    <row r="2349" ht="11.4" hidden="1" customHeight="1" spans="1:24">
      <c r="A2349" s="184" t="s">
        <v>3176</v>
      </c>
      <c r="B2349" s="184" t="s">
        <v>153</v>
      </c>
      <c r="C2349" s="184" t="s">
        <v>905</v>
      </c>
      <c r="D2349" s="185" t="s">
        <v>704</v>
      </c>
      <c r="E2349" s="186" t="s">
        <v>906</v>
      </c>
      <c r="F2349" s="186" t="s">
        <v>907</v>
      </c>
      <c r="G2349" s="186" t="s">
        <v>908</v>
      </c>
      <c r="H2349" s="186" t="s">
        <v>2448</v>
      </c>
      <c r="I2349" s="187" t="s">
        <v>2475</v>
      </c>
      <c r="J2349" s="187" t="s">
        <v>2476</v>
      </c>
      <c r="K2349" s="188"/>
      <c r="L2349" s="188"/>
      <c r="M2349" s="189" t="s">
        <v>807</v>
      </c>
      <c r="N2349" s="190">
        <v>75.09</v>
      </c>
      <c r="O2349" s="190">
        <f t="shared" si="291"/>
        <v>81.85</v>
      </c>
      <c r="P2349" s="191">
        <f t="shared" si="292"/>
        <v>0</v>
      </c>
      <c r="Q2349" s="192">
        <f t="shared" si="293"/>
        <v>0</v>
      </c>
      <c r="R2349" s="193"/>
      <c r="S2349" s="194"/>
      <c r="T2349" s="195">
        <f t="shared" si="294"/>
        <v>0</v>
      </c>
      <c r="U2349" s="195">
        <f t="shared" si="295"/>
        <v>0</v>
      </c>
      <c r="V2349" s="195">
        <f t="shared" si="296"/>
        <v>0</v>
      </c>
      <c r="W2349" s="196" t="e">
        <f t="shared" si="297"/>
        <v>#DIV/0!</v>
      </c>
      <c r="X2349" s="197" t="e">
        <f t="shared" si="298"/>
        <v>#DIV/0!</v>
      </c>
    </row>
    <row r="2350" ht="11.4" hidden="1" customHeight="1" spans="1:24">
      <c r="A2350" s="184" t="s">
        <v>3176</v>
      </c>
      <c r="B2350" s="184" t="s">
        <v>153</v>
      </c>
      <c r="C2350" s="184" t="s">
        <v>905</v>
      </c>
      <c r="D2350" s="185" t="s">
        <v>704</v>
      </c>
      <c r="E2350" s="186" t="s">
        <v>906</v>
      </c>
      <c r="F2350" s="186" t="s">
        <v>907</v>
      </c>
      <c r="G2350" s="186" t="s">
        <v>908</v>
      </c>
      <c r="H2350" s="186" t="s">
        <v>2448</v>
      </c>
      <c r="I2350" s="187" t="s">
        <v>2477</v>
      </c>
      <c r="J2350" s="187" t="s">
        <v>2478</v>
      </c>
      <c r="K2350" s="188"/>
      <c r="L2350" s="188"/>
      <c r="M2350" s="189" t="s">
        <v>807</v>
      </c>
      <c r="N2350" s="190">
        <v>64.9</v>
      </c>
      <c r="O2350" s="190">
        <f t="shared" si="291"/>
        <v>70.74</v>
      </c>
      <c r="P2350" s="191">
        <f t="shared" si="292"/>
        <v>0</v>
      </c>
      <c r="Q2350" s="192">
        <f t="shared" si="293"/>
        <v>0</v>
      </c>
      <c r="R2350" s="193"/>
      <c r="S2350" s="194"/>
      <c r="T2350" s="195">
        <f t="shared" si="294"/>
        <v>0</v>
      </c>
      <c r="U2350" s="195">
        <f t="shared" si="295"/>
        <v>0</v>
      </c>
      <c r="V2350" s="195">
        <f t="shared" si="296"/>
        <v>0</v>
      </c>
      <c r="W2350" s="196" t="e">
        <f t="shared" si="297"/>
        <v>#DIV/0!</v>
      </c>
      <c r="X2350" s="197" t="e">
        <f t="shared" si="298"/>
        <v>#DIV/0!</v>
      </c>
    </row>
    <row r="2351" ht="11.4" hidden="1" customHeight="1" spans="1:24">
      <c r="A2351" s="184" t="s">
        <v>3176</v>
      </c>
      <c r="B2351" s="184" t="s">
        <v>153</v>
      </c>
      <c r="C2351" s="184" t="s">
        <v>905</v>
      </c>
      <c r="D2351" s="185" t="s">
        <v>704</v>
      </c>
      <c r="E2351" s="186" t="s">
        <v>906</v>
      </c>
      <c r="F2351" s="186" t="s">
        <v>907</v>
      </c>
      <c r="G2351" s="186" t="s">
        <v>908</v>
      </c>
      <c r="H2351" s="186" t="s">
        <v>2479</v>
      </c>
      <c r="I2351" s="187" t="s">
        <v>2480</v>
      </c>
      <c r="J2351" s="187" t="s">
        <v>2481</v>
      </c>
      <c r="K2351" s="188"/>
      <c r="L2351" s="188"/>
      <c r="M2351" s="189" t="s">
        <v>963</v>
      </c>
      <c r="N2351" s="190">
        <v>418.43</v>
      </c>
      <c r="O2351" s="190">
        <f t="shared" si="291"/>
        <v>456.09</v>
      </c>
      <c r="P2351" s="191">
        <f t="shared" si="292"/>
        <v>0</v>
      </c>
      <c r="Q2351" s="192">
        <f t="shared" si="293"/>
        <v>0</v>
      </c>
      <c r="R2351" s="193"/>
      <c r="S2351" s="194"/>
      <c r="T2351" s="195">
        <f t="shared" si="294"/>
        <v>0</v>
      </c>
      <c r="U2351" s="195">
        <f t="shared" si="295"/>
        <v>0</v>
      </c>
      <c r="V2351" s="195">
        <f t="shared" si="296"/>
        <v>0</v>
      </c>
      <c r="W2351" s="196" t="e">
        <f t="shared" si="297"/>
        <v>#DIV/0!</v>
      </c>
      <c r="X2351" s="197" t="e">
        <f t="shared" si="298"/>
        <v>#DIV/0!</v>
      </c>
    </row>
    <row r="2352" ht="11.4" hidden="1" customHeight="1" spans="1:24">
      <c r="A2352" s="184" t="s">
        <v>3176</v>
      </c>
      <c r="B2352" s="184" t="s">
        <v>153</v>
      </c>
      <c r="C2352" s="184" t="s">
        <v>905</v>
      </c>
      <c r="D2352" s="185" t="s">
        <v>704</v>
      </c>
      <c r="E2352" s="186" t="s">
        <v>906</v>
      </c>
      <c r="F2352" s="186" t="s">
        <v>907</v>
      </c>
      <c r="G2352" s="186" t="s">
        <v>908</v>
      </c>
      <c r="H2352" s="186" t="s">
        <v>2479</v>
      </c>
      <c r="I2352" s="187" t="s">
        <v>2482</v>
      </c>
      <c r="J2352" s="187" t="s">
        <v>2483</v>
      </c>
      <c r="K2352" s="188"/>
      <c r="L2352" s="188"/>
      <c r="M2352" s="189" t="s">
        <v>963</v>
      </c>
      <c r="N2352" s="190">
        <v>360.13</v>
      </c>
      <c r="O2352" s="190">
        <f t="shared" si="291"/>
        <v>392.54</v>
      </c>
      <c r="P2352" s="191">
        <f t="shared" si="292"/>
        <v>0</v>
      </c>
      <c r="Q2352" s="192">
        <f t="shared" si="293"/>
        <v>0</v>
      </c>
      <c r="R2352" s="193"/>
      <c r="S2352" s="194"/>
      <c r="T2352" s="195">
        <f t="shared" si="294"/>
        <v>0</v>
      </c>
      <c r="U2352" s="195">
        <f t="shared" si="295"/>
        <v>0</v>
      </c>
      <c r="V2352" s="195">
        <f t="shared" si="296"/>
        <v>0</v>
      </c>
      <c r="W2352" s="196" t="e">
        <f t="shared" si="297"/>
        <v>#DIV/0!</v>
      </c>
      <c r="X2352" s="197" t="e">
        <f t="shared" si="298"/>
        <v>#DIV/0!</v>
      </c>
    </row>
    <row r="2353" ht="11.4" hidden="1" customHeight="1" spans="1:24">
      <c r="A2353" s="184" t="s">
        <v>3176</v>
      </c>
      <c r="B2353" s="184" t="s">
        <v>153</v>
      </c>
      <c r="C2353" s="184" t="s">
        <v>905</v>
      </c>
      <c r="D2353" s="185" t="s">
        <v>704</v>
      </c>
      <c r="E2353" s="186" t="s">
        <v>906</v>
      </c>
      <c r="F2353" s="186" t="s">
        <v>907</v>
      </c>
      <c r="G2353" s="186" t="s">
        <v>908</v>
      </c>
      <c r="H2353" s="186" t="s">
        <v>2479</v>
      </c>
      <c r="I2353" s="187" t="s">
        <v>2484</v>
      </c>
      <c r="J2353" s="187" t="s">
        <v>2485</v>
      </c>
      <c r="K2353" s="188"/>
      <c r="L2353" s="188"/>
      <c r="M2353" s="189" t="s">
        <v>963</v>
      </c>
      <c r="N2353" s="190">
        <v>297.43</v>
      </c>
      <c r="O2353" s="190">
        <f t="shared" si="291"/>
        <v>324.2</v>
      </c>
      <c r="P2353" s="191">
        <f t="shared" si="292"/>
        <v>0</v>
      </c>
      <c r="Q2353" s="192">
        <f t="shared" si="293"/>
        <v>0</v>
      </c>
      <c r="R2353" s="193"/>
      <c r="S2353" s="194"/>
      <c r="T2353" s="195">
        <f t="shared" si="294"/>
        <v>0</v>
      </c>
      <c r="U2353" s="195">
        <f t="shared" si="295"/>
        <v>0</v>
      </c>
      <c r="V2353" s="195">
        <f t="shared" si="296"/>
        <v>0</v>
      </c>
      <c r="W2353" s="196" t="e">
        <f t="shared" si="297"/>
        <v>#DIV/0!</v>
      </c>
      <c r="X2353" s="197" t="e">
        <f t="shared" si="298"/>
        <v>#DIV/0!</v>
      </c>
    </row>
    <row r="2354" ht="11.4" hidden="1" customHeight="1" spans="1:24">
      <c r="A2354" s="184" t="s">
        <v>3176</v>
      </c>
      <c r="B2354" s="184" t="s">
        <v>153</v>
      </c>
      <c r="C2354" s="184" t="s">
        <v>905</v>
      </c>
      <c r="D2354" s="185" t="s">
        <v>704</v>
      </c>
      <c r="E2354" s="186" t="s">
        <v>906</v>
      </c>
      <c r="F2354" s="186" t="s">
        <v>907</v>
      </c>
      <c r="G2354" s="186" t="s">
        <v>908</v>
      </c>
      <c r="H2354" s="186" t="s">
        <v>2479</v>
      </c>
      <c r="I2354" s="187" t="s">
        <v>2486</v>
      </c>
      <c r="J2354" s="187" t="s">
        <v>2487</v>
      </c>
      <c r="K2354" s="188"/>
      <c r="L2354" s="188"/>
      <c r="M2354" s="189" t="s">
        <v>963</v>
      </c>
      <c r="N2354" s="190">
        <v>412.93</v>
      </c>
      <c r="O2354" s="190">
        <f t="shared" si="291"/>
        <v>450.09</v>
      </c>
      <c r="P2354" s="191">
        <f t="shared" si="292"/>
        <v>0</v>
      </c>
      <c r="Q2354" s="192">
        <f t="shared" si="293"/>
        <v>0</v>
      </c>
      <c r="R2354" s="193"/>
      <c r="S2354" s="194"/>
      <c r="T2354" s="195">
        <f t="shared" si="294"/>
        <v>0</v>
      </c>
      <c r="U2354" s="195">
        <f t="shared" si="295"/>
        <v>0</v>
      </c>
      <c r="V2354" s="195">
        <f t="shared" si="296"/>
        <v>0</v>
      </c>
      <c r="W2354" s="196" t="e">
        <f t="shared" si="297"/>
        <v>#DIV/0!</v>
      </c>
      <c r="X2354" s="197" t="e">
        <f t="shared" si="298"/>
        <v>#DIV/0!</v>
      </c>
    </row>
    <row r="2355" ht="11.4" hidden="1" customHeight="1" spans="1:24">
      <c r="A2355" s="184" t="s">
        <v>3176</v>
      </c>
      <c r="B2355" s="184" t="s">
        <v>153</v>
      </c>
      <c r="C2355" s="184" t="s">
        <v>905</v>
      </c>
      <c r="D2355" s="185" t="s">
        <v>704</v>
      </c>
      <c r="E2355" s="186" t="s">
        <v>906</v>
      </c>
      <c r="F2355" s="186" t="s">
        <v>907</v>
      </c>
      <c r="G2355" s="186" t="s">
        <v>908</v>
      </c>
      <c r="H2355" s="186" t="s">
        <v>2479</v>
      </c>
      <c r="I2355" s="187" t="s">
        <v>2488</v>
      </c>
      <c r="J2355" s="187" t="s">
        <v>2489</v>
      </c>
      <c r="K2355" s="188"/>
      <c r="L2355" s="188"/>
      <c r="M2355" s="189" t="s">
        <v>963</v>
      </c>
      <c r="N2355" s="190">
        <v>363.43</v>
      </c>
      <c r="O2355" s="190">
        <f t="shared" si="291"/>
        <v>396.14</v>
      </c>
      <c r="P2355" s="191">
        <f t="shared" si="292"/>
        <v>0</v>
      </c>
      <c r="Q2355" s="192">
        <f t="shared" si="293"/>
        <v>0</v>
      </c>
      <c r="R2355" s="193"/>
      <c r="S2355" s="194"/>
      <c r="T2355" s="195">
        <f t="shared" si="294"/>
        <v>0</v>
      </c>
      <c r="U2355" s="195">
        <f t="shared" si="295"/>
        <v>0</v>
      </c>
      <c r="V2355" s="195">
        <f t="shared" si="296"/>
        <v>0</v>
      </c>
      <c r="W2355" s="196" t="e">
        <f t="shared" si="297"/>
        <v>#DIV/0!</v>
      </c>
      <c r="X2355" s="197" t="e">
        <f t="shared" si="298"/>
        <v>#DIV/0!</v>
      </c>
    </row>
    <row r="2356" ht="11.4" hidden="1" customHeight="1" spans="1:24">
      <c r="A2356" s="184" t="s">
        <v>3176</v>
      </c>
      <c r="B2356" s="184" t="s">
        <v>153</v>
      </c>
      <c r="C2356" s="184" t="s">
        <v>905</v>
      </c>
      <c r="D2356" s="185" t="s">
        <v>704</v>
      </c>
      <c r="E2356" s="186" t="s">
        <v>906</v>
      </c>
      <c r="F2356" s="186" t="s">
        <v>907</v>
      </c>
      <c r="G2356" s="186" t="s">
        <v>908</v>
      </c>
      <c r="H2356" s="186" t="s">
        <v>2479</v>
      </c>
      <c r="I2356" s="187" t="s">
        <v>2490</v>
      </c>
      <c r="J2356" s="187" t="s">
        <v>2491</v>
      </c>
      <c r="K2356" s="188"/>
      <c r="L2356" s="188"/>
      <c r="M2356" s="189" t="s">
        <v>963</v>
      </c>
      <c r="N2356" s="190">
        <v>348.03</v>
      </c>
      <c r="O2356" s="190">
        <f t="shared" si="291"/>
        <v>379.35</v>
      </c>
      <c r="P2356" s="191">
        <f t="shared" si="292"/>
        <v>0</v>
      </c>
      <c r="Q2356" s="192">
        <f t="shared" si="293"/>
        <v>0</v>
      </c>
      <c r="R2356" s="193"/>
      <c r="S2356" s="194"/>
      <c r="T2356" s="195">
        <f t="shared" si="294"/>
        <v>0</v>
      </c>
      <c r="U2356" s="195">
        <f t="shared" si="295"/>
        <v>0</v>
      </c>
      <c r="V2356" s="195">
        <f t="shared" si="296"/>
        <v>0</v>
      </c>
      <c r="W2356" s="196" t="e">
        <f t="shared" si="297"/>
        <v>#DIV/0!</v>
      </c>
      <c r="X2356" s="197" t="e">
        <f t="shared" si="298"/>
        <v>#DIV/0!</v>
      </c>
    </row>
    <row r="2357" ht="11.4" hidden="1" customHeight="1" spans="1:24">
      <c r="A2357" s="184" t="s">
        <v>3176</v>
      </c>
      <c r="B2357" s="184" t="s">
        <v>153</v>
      </c>
      <c r="C2357" s="184" t="s">
        <v>905</v>
      </c>
      <c r="D2357" s="185" t="s">
        <v>704</v>
      </c>
      <c r="E2357" s="186" t="s">
        <v>906</v>
      </c>
      <c r="F2357" s="186" t="s">
        <v>907</v>
      </c>
      <c r="G2357" s="186" t="s">
        <v>908</v>
      </c>
      <c r="H2357" s="186" t="s">
        <v>2479</v>
      </c>
      <c r="I2357" s="187" t="s">
        <v>2492</v>
      </c>
      <c r="J2357" s="187" t="s">
        <v>2493</v>
      </c>
      <c r="K2357" s="188"/>
      <c r="L2357" s="188"/>
      <c r="M2357" s="189" t="s">
        <v>807</v>
      </c>
      <c r="N2357" s="190">
        <v>212.29</v>
      </c>
      <c r="O2357" s="190">
        <f t="shared" si="291"/>
        <v>231.4</v>
      </c>
      <c r="P2357" s="191">
        <f t="shared" si="292"/>
        <v>0</v>
      </c>
      <c r="Q2357" s="192">
        <f t="shared" si="293"/>
        <v>0</v>
      </c>
      <c r="R2357" s="193"/>
      <c r="S2357" s="194"/>
      <c r="T2357" s="195">
        <f t="shared" si="294"/>
        <v>0</v>
      </c>
      <c r="U2357" s="195">
        <f t="shared" si="295"/>
        <v>0</v>
      </c>
      <c r="V2357" s="195">
        <f t="shared" si="296"/>
        <v>0</v>
      </c>
      <c r="W2357" s="196" t="e">
        <f t="shared" si="297"/>
        <v>#DIV/0!</v>
      </c>
      <c r="X2357" s="197" t="e">
        <f t="shared" si="298"/>
        <v>#DIV/0!</v>
      </c>
    </row>
    <row r="2358" ht="11.4" hidden="1" customHeight="1" spans="1:24">
      <c r="A2358" s="184" t="s">
        <v>3176</v>
      </c>
      <c r="B2358" s="184" t="s">
        <v>153</v>
      </c>
      <c r="C2358" s="184" t="s">
        <v>905</v>
      </c>
      <c r="D2358" s="185" t="s">
        <v>704</v>
      </c>
      <c r="E2358" s="186" t="s">
        <v>906</v>
      </c>
      <c r="F2358" s="186" t="s">
        <v>907</v>
      </c>
      <c r="G2358" s="186" t="s">
        <v>908</v>
      </c>
      <c r="H2358" s="186" t="s">
        <v>2479</v>
      </c>
      <c r="I2358" s="187" t="s">
        <v>2495</v>
      </c>
      <c r="J2358" s="187" t="s">
        <v>2496</v>
      </c>
      <c r="K2358" s="188"/>
      <c r="L2358" s="188"/>
      <c r="M2358" s="189" t="s">
        <v>963</v>
      </c>
      <c r="N2358" s="190">
        <v>488.83</v>
      </c>
      <c r="O2358" s="190">
        <f t="shared" si="291"/>
        <v>532.82</v>
      </c>
      <c r="P2358" s="191">
        <f t="shared" si="292"/>
        <v>0</v>
      </c>
      <c r="Q2358" s="192">
        <f t="shared" si="293"/>
        <v>0</v>
      </c>
      <c r="R2358" s="193"/>
      <c r="S2358" s="194"/>
      <c r="T2358" s="195">
        <f t="shared" si="294"/>
        <v>0</v>
      </c>
      <c r="U2358" s="195">
        <f t="shared" si="295"/>
        <v>0</v>
      </c>
      <c r="V2358" s="195">
        <f t="shared" si="296"/>
        <v>0</v>
      </c>
      <c r="W2358" s="196" t="e">
        <f t="shared" si="297"/>
        <v>#DIV/0!</v>
      </c>
      <c r="X2358" s="197" t="e">
        <f t="shared" si="298"/>
        <v>#DIV/0!</v>
      </c>
    </row>
    <row r="2359" ht="11.4" hidden="1" customHeight="1" spans="1:24">
      <c r="A2359" s="184" t="s">
        <v>3176</v>
      </c>
      <c r="B2359" s="184" t="s">
        <v>153</v>
      </c>
      <c r="C2359" s="184" t="s">
        <v>905</v>
      </c>
      <c r="D2359" s="185" t="s">
        <v>704</v>
      </c>
      <c r="E2359" s="186" t="s">
        <v>906</v>
      </c>
      <c r="F2359" s="186" t="s">
        <v>907</v>
      </c>
      <c r="G2359" s="186" t="s">
        <v>908</v>
      </c>
      <c r="H2359" s="186" t="s">
        <v>2479</v>
      </c>
      <c r="I2359" s="187" t="s">
        <v>2497</v>
      </c>
      <c r="J2359" s="187" t="s">
        <v>2498</v>
      </c>
      <c r="K2359" s="188"/>
      <c r="L2359" s="188"/>
      <c r="M2359" s="189" t="s">
        <v>963</v>
      </c>
      <c r="N2359" s="190">
        <v>277.63</v>
      </c>
      <c r="O2359" s="190">
        <f t="shared" si="291"/>
        <v>302.62</v>
      </c>
      <c r="P2359" s="191">
        <f t="shared" si="292"/>
        <v>0</v>
      </c>
      <c r="Q2359" s="192">
        <f t="shared" si="293"/>
        <v>0</v>
      </c>
      <c r="R2359" s="193"/>
      <c r="S2359" s="194"/>
      <c r="T2359" s="195">
        <f t="shared" si="294"/>
        <v>0</v>
      </c>
      <c r="U2359" s="195">
        <f t="shared" si="295"/>
        <v>0</v>
      </c>
      <c r="V2359" s="195">
        <f t="shared" si="296"/>
        <v>0</v>
      </c>
      <c r="W2359" s="196" t="e">
        <f t="shared" si="297"/>
        <v>#DIV/0!</v>
      </c>
      <c r="X2359" s="197" t="e">
        <f t="shared" si="298"/>
        <v>#DIV/0!</v>
      </c>
    </row>
    <row r="2360" ht="11.4" hidden="1" customHeight="1" spans="1:24">
      <c r="A2360" s="184" t="s">
        <v>3176</v>
      </c>
      <c r="B2360" s="184" t="s">
        <v>153</v>
      </c>
      <c r="C2360" s="184" t="s">
        <v>905</v>
      </c>
      <c r="D2360" s="185" t="s">
        <v>704</v>
      </c>
      <c r="E2360" s="186" t="s">
        <v>906</v>
      </c>
      <c r="F2360" s="186" t="s">
        <v>907</v>
      </c>
      <c r="G2360" s="186" t="s">
        <v>908</v>
      </c>
      <c r="H2360" s="186" t="s">
        <v>2479</v>
      </c>
      <c r="I2360" s="187" t="s">
        <v>2499</v>
      </c>
      <c r="J2360" s="187" t="s">
        <v>2500</v>
      </c>
      <c r="K2360" s="188"/>
      <c r="L2360" s="188"/>
      <c r="M2360" s="189" t="s">
        <v>963</v>
      </c>
      <c r="N2360" s="190">
        <v>430.53</v>
      </c>
      <c r="O2360" s="190">
        <f t="shared" si="291"/>
        <v>469.28</v>
      </c>
      <c r="P2360" s="191">
        <f t="shared" si="292"/>
        <v>0</v>
      </c>
      <c r="Q2360" s="192">
        <f t="shared" si="293"/>
        <v>0</v>
      </c>
      <c r="R2360" s="193"/>
      <c r="S2360" s="194"/>
      <c r="T2360" s="195">
        <f t="shared" si="294"/>
        <v>0</v>
      </c>
      <c r="U2360" s="195">
        <f t="shared" si="295"/>
        <v>0</v>
      </c>
      <c r="V2360" s="195">
        <f t="shared" si="296"/>
        <v>0</v>
      </c>
      <c r="W2360" s="196" t="e">
        <f t="shared" si="297"/>
        <v>#DIV/0!</v>
      </c>
      <c r="X2360" s="197" t="e">
        <f t="shared" si="298"/>
        <v>#DIV/0!</v>
      </c>
    </row>
    <row r="2361" ht="11.4" hidden="1" customHeight="1" spans="1:24">
      <c r="A2361" s="184" t="s">
        <v>3176</v>
      </c>
      <c r="B2361" s="184" t="s">
        <v>153</v>
      </c>
      <c r="C2361" s="184" t="s">
        <v>905</v>
      </c>
      <c r="D2361" s="185" t="s">
        <v>704</v>
      </c>
      <c r="E2361" s="186" t="s">
        <v>906</v>
      </c>
      <c r="F2361" s="186" t="s">
        <v>907</v>
      </c>
      <c r="G2361" s="186" t="s">
        <v>908</v>
      </c>
      <c r="H2361" s="186" t="s">
        <v>2479</v>
      </c>
      <c r="I2361" s="187" t="s">
        <v>2501</v>
      </c>
      <c r="J2361" s="187" t="s">
        <v>2502</v>
      </c>
      <c r="K2361" s="188"/>
      <c r="L2361" s="188"/>
      <c r="M2361" s="189" t="s">
        <v>963</v>
      </c>
      <c r="N2361" s="190">
        <v>720.06</v>
      </c>
      <c r="O2361" s="190">
        <f t="shared" si="291"/>
        <v>784.87</v>
      </c>
      <c r="P2361" s="191">
        <f t="shared" si="292"/>
        <v>0</v>
      </c>
      <c r="Q2361" s="192">
        <f t="shared" si="293"/>
        <v>0</v>
      </c>
      <c r="R2361" s="193"/>
      <c r="S2361" s="194"/>
      <c r="T2361" s="195">
        <f t="shared" si="294"/>
        <v>0</v>
      </c>
      <c r="U2361" s="195">
        <f t="shared" si="295"/>
        <v>0</v>
      </c>
      <c r="V2361" s="195">
        <f t="shared" si="296"/>
        <v>0</v>
      </c>
      <c r="W2361" s="196" t="e">
        <f t="shared" si="297"/>
        <v>#DIV/0!</v>
      </c>
      <c r="X2361" s="197" t="e">
        <f t="shared" si="298"/>
        <v>#DIV/0!</v>
      </c>
    </row>
    <row r="2362" ht="11.4" hidden="1" customHeight="1" spans="1:24">
      <c r="A2362" s="184" t="s">
        <v>3176</v>
      </c>
      <c r="B2362" s="184" t="s">
        <v>153</v>
      </c>
      <c r="C2362" s="184" t="s">
        <v>905</v>
      </c>
      <c r="D2362" s="185" t="s">
        <v>704</v>
      </c>
      <c r="E2362" s="186" t="s">
        <v>906</v>
      </c>
      <c r="F2362" s="186" t="s">
        <v>907</v>
      </c>
      <c r="G2362" s="186" t="s">
        <v>908</v>
      </c>
      <c r="H2362" s="186" t="s">
        <v>2479</v>
      </c>
      <c r="I2362" s="187" t="s">
        <v>2503</v>
      </c>
      <c r="J2362" s="187" t="s">
        <v>2504</v>
      </c>
      <c r="K2362" s="188"/>
      <c r="L2362" s="188"/>
      <c r="M2362" s="189" t="s">
        <v>963</v>
      </c>
      <c r="N2362" s="190">
        <v>358.38</v>
      </c>
      <c r="O2362" s="190">
        <f t="shared" si="291"/>
        <v>390.63</v>
      </c>
      <c r="P2362" s="191">
        <f t="shared" si="292"/>
        <v>0</v>
      </c>
      <c r="Q2362" s="192">
        <f t="shared" si="293"/>
        <v>0</v>
      </c>
      <c r="R2362" s="193"/>
      <c r="S2362" s="194"/>
      <c r="T2362" s="195">
        <f t="shared" si="294"/>
        <v>0</v>
      </c>
      <c r="U2362" s="195">
        <f t="shared" si="295"/>
        <v>0</v>
      </c>
      <c r="V2362" s="195">
        <f t="shared" si="296"/>
        <v>0</v>
      </c>
      <c r="W2362" s="196" t="e">
        <f t="shared" si="297"/>
        <v>#DIV/0!</v>
      </c>
      <c r="X2362" s="197" t="e">
        <f t="shared" si="298"/>
        <v>#DIV/0!</v>
      </c>
    </row>
    <row r="2363" ht="11.4" hidden="1" customHeight="1" spans="1:24">
      <c r="A2363" s="184" t="s">
        <v>3176</v>
      </c>
      <c r="B2363" s="184" t="s">
        <v>153</v>
      </c>
      <c r="C2363" s="184" t="s">
        <v>905</v>
      </c>
      <c r="D2363" s="185" t="s">
        <v>704</v>
      </c>
      <c r="E2363" s="186" t="s">
        <v>906</v>
      </c>
      <c r="F2363" s="186" t="s">
        <v>907</v>
      </c>
      <c r="G2363" s="186" t="s">
        <v>908</v>
      </c>
      <c r="H2363" s="186" t="s">
        <v>2479</v>
      </c>
      <c r="I2363" s="187" t="s">
        <v>2506</v>
      </c>
      <c r="J2363" s="187" t="s">
        <v>2507</v>
      </c>
      <c r="K2363" s="188"/>
      <c r="L2363" s="188"/>
      <c r="M2363" s="189" t="s">
        <v>963</v>
      </c>
      <c r="N2363" s="190">
        <v>597.73</v>
      </c>
      <c r="O2363" s="190">
        <f t="shared" si="291"/>
        <v>651.53</v>
      </c>
      <c r="P2363" s="191">
        <f t="shared" si="292"/>
        <v>0</v>
      </c>
      <c r="Q2363" s="192">
        <f t="shared" si="293"/>
        <v>0</v>
      </c>
      <c r="R2363" s="193"/>
      <c r="S2363" s="194"/>
      <c r="T2363" s="195">
        <f t="shared" si="294"/>
        <v>0</v>
      </c>
      <c r="U2363" s="195">
        <f t="shared" si="295"/>
        <v>0</v>
      </c>
      <c r="V2363" s="195">
        <f t="shared" si="296"/>
        <v>0</v>
      </c>
      <c r="W2363" s="196" t="e">
        <f t="shared" si="297"/>
        <v>#DIV/0!</v>
      </c>
      <c r="X2363" s="197" t="e">
        <f t="shared" si="298"/>
        <v>#DIV/0!</v>
      </c>
    </row>
    <row r="2364" ht="11.4" hidden="1" customHeight="1" spans="1:24">
      <c r="A2364" s="184" t="s">
        <v>3176</v>
      </c>
      <c r="B2364" s="184" t="s">
        <v>153</v>
      </c>
      <c r="C2364" s="184" t="s">
        <v>905</v>
      </c>
      <c r="D2364" s="185" t="s">
        <v>704</v>
      </c>
      <c r="E2364" s="186" t="s">
        <v>906</v>
      </c>
      <c r="F2364" s="186" t="s">
        <v>907</v>
      </c>
      <c r="G2364" s="186" t="s">
        <v>908</v>
      </c>
      <c r="H2364" s="186" t="s">
        <v>2479</v>
      </c>
      <c r="I2364" s="187" t="s">
        <v>2508</v>
      </c>
      <c r="J2364" s="187" t="s">
        <v>2509</v>
      </c>
      <c r="K2364" s="188"/>
      <c r="L2364" s="188"/>
      <c r="M2364" s="189" t="s">
        <v>963</v>
      </c>
      <c r="N2364" s="190">
        <v>368.83</v>
      </c>
      <c r="O2364" s="190">
        <f t="shared" si="291"/>
        <v>402.02</v>
      </c>
      <c r="P2364" s="191">
        <f t="shared" si="292"/>
        <v>0</v>
      </c>
      <c r="Q2364" s="192">
        <f t="shared" si="293"/>
        <v>0</v>
      </c>
      <c r="R2364" s="193"/>
      <c r="S2364" s="194"/>
      <c r="T2364" s="195">
        <f t="shared" si="294"/>
        <v>0</v>
      </c>
      <c r="U2364" s="195">
        <f t="shared" si="295"/>
        <v>0</v>
      </c>
      <c r="V2364" s="195">
        <f t="shared" si="296"/>
        <v>0</v>
      </c>
      <c r="W2364" s="196" t="e">
        <f t="shared" si="297"/>
        <v>#DIV/0!</v>
      </c>
      <c r="X2364" s="197" t="e">
        <f t="shared" si="298"/>
        <v>#DIV/0!</v>
      </c>
    </row>
    <row r="2365" ht="11.4" hidden="1" customHeight="1" spans="1:24">
      <c r="A2365" s="184" t="s">
        <v>3176</v>
      </c>
      <c r="B2365" s="184" t="s">
        <v>153</v>
      </c>
      <c r="C2365" s="184" t="s">
        <v>905</v>
      </c>
      <c r="D2365" s="185" t="s">
        <v>704</v>
      </c>
      <c r="E2365" s="186" t="s">
        <v>906</v>
      </c>
      <c r="F2365" s="186" t="s">
        <v>907</v>
      </c>
      <c r="G2365" s="186" t="s">
        <v>908</v>
      </c>
      <c r="H2365" s="186" t="s">
        <v>2479</v>
      </c>
      <c r="I2365" s="187" t="s">
        <v>2510</v>
      </c>
      <c r="J2365" s="187" t="s">
        <v>2511</v>
      </c>
      <c r="K2365" s="188"/>
      <c r="L2365" s="188"/>
      <c r="M2365" s="189" t="s">
        <v>963</v>
      </c>
      <c r="N2365" s="190">
        <v>623.03</v>
      </c>
      <c r="O2365" s="190">
        <f t="shared" si="291"/>
        <v>679.1</v>
      </c>
      <c r="P2365" s="191">
        <f t="shared" si="292"/>
        <v>0</v>
      </c>
      <c r="Q2365" s="192">
        <f t="shared" si="293"/>
        <v>0</v>
      </c>
      <c r="R2365" s="193"/>
      <c r="S2365" s="194"/>
      <c r="T2365" s="195">
        <f t="shared" si="294"/>
        <v>0</v>
      </c>
      <c r="U2365" s="195">
        <f t="shared" si="295"/>
        <v>0</v>
      </c>
      <c r="V2365" s="195">
        <f t="shared" si="296"/>
        <v>0</v>
      </c>
      <c r="W2365" s="196" t="e">
        <f t="shared" si="297"/>
        <v>#DIV/0!</v>
      </c>
      <c r="X2365" s="197" t="e">
        <f t="shared" si="298"/>
        <v>#DIV/0!</v>
      </c>
    </row>
    <row r="2366" ht="11.4" hidden="1" customHeight="1" spans="1:24">
      <c r="A2366" s="184" t="s">
        <v>3176</v>
      </c>
      <c r="B2366" s="184" t="s">
        <v>153</v>
      </c>
      <c r="C2366" s="184" t="s">
        <v>905</v>
      </c>
      <c r="D2366" s="185" t="s">
        <v>704</v>
      </c>
      <c r="E2366" s="186" t="s">
        <v>906</v>
      </c>
      <c r="F2366" s="186" t="s">
        <v>907</v>
      </c>
      <c r="G2366" s="186" t="s">
        <v>908</v>
      </c>
      <c r="H2366" s="186" t="s">
        <v>2479</v>
      </c>
      <c r="I2366" s="187" t="s">
        <v>2512</v>
      </c>
      <c r="J2366" s="187" t="s">
        <v>2513</v>
      </c>
      <c r="K2366" s="188"/>
      <c r="L2366" s="188"/>
      <c r="M2366" s="189" t="s">
        <v>963</v>
      </c>
      <c r="N2366" s="190">
        <v>894.62</v>
      </c>
      <c r="O2366" s="190">
        <f t="shared" si="291"/>
        <v>975.14</v>
      </c>
      <c r="P2366" s="191">
        <f t="shared" si="292"/>
        <v>0</v>
      </c>
      <c r="Q2366" s="192">
        <f t="shared" si="293"/>
        <v>0</v>
      </c>
      <c r="R2366" s="193"/>
      <c r="S2366" s="194"/>
      <c r="T2366" s="195">
        <f t="shared" si="294"/>
        <v>0</v>
      </c>
      <c r="U2366" s="195">
        <f t="shared" si="295"/>
        <v>0</v>
      </c>
      <c r="V2366" s="195">
        <f t="shared" si="296"/>
        <v>0</v>
      </c>
      <c r="W2366" s="196" t="e">
        <f t="shared" si="297"/>
        <v>#DIV/0!</v>
      </c>
      <c r="X2366" s="197" t="e">
        <f t="shared" si="298"/>
        <v>#DIV/0!</v>
      </c>
    </row>
    <row r="2367" ht="11.4" hidden="1" customHeight="1" spans="1:24">
      <c r="A2367" s="184" t="s">
        <v>3176</v>
      </c>
      <c r="B2367" s="184" t="s">
        <v>153</v>
      </c>
      <c r="C2367" s="184" t="s">
        <v>905</v>
      </c>
      <c r="D2367" s="185" t="s">
        <v>704</v>
      </c>
      <c r="E2367" s="186" t="s">
        <v>906</v>
      </c>
      <c r="F2367" s="186" t="s">
        <v>907</v>
      </c>
      <c r="G2367" s="186" t="s">
        <v>908</v>
      </c>
      <c r="H2367" s="186" t="s">
        <v>2479</v>
      </c>
      <c r="I2367" s="187" t="s">
        <v>2514</v>
      </c>
      <c r="J2367" s="187" t="s">
        <v>2515</v>
      </c>
      <c r="K2367" s="188"/>
      <c r="L2367" s="188"/>
      <c r="M2367" s="189" t="s">
        <v>963</v>
      </c>
      <c r="N2367" s="190">
        <v>1213.85</v>
      </c>
      <c r="O2367" s="190">
        <f t="shared" si="291"/>
        <v>1323.1</v>
      </c>
      <c r="P2367" s="191">
        <f t="shared" si="292"/>
        <v>0</v>
      </c>
      <c r="Q2367" s="192">
        <f t="shared" si="293"/>
        <v>0</v>
      </c>
      <c r="R2367" s="193"/>
      <c r="S2367" s="194"/>
      <c r="T2367" s="195">
        <f t="shared" si="294"/>
        <v>0</v>
      </c>
      <c r="U2367" s="195">
        <f t="shared" si="295"/>
        <v>0</v>
      </c>
      <c r="V2367" s="195">
        <f t="shared" si="296"/>
        <v>0</v>
      </c>
      <c r="W2367" s="196" t="e">
        <f t="shared" si="297"/>
        <v>#DIV/0!</v>
      </c>
      <c r="X2367" s="197" t="e">
        <f t="shared" si="298"/>
        <v>#DIV/0!</v>
      </c>
    </row>
    <row r="2368" ht="11.4" hidden="1" customHeight="1" spans="1:24">
      <c r="A2368" s="184" t="s">
        <v>3176</v>
      </c>
      <c r="B2368" s="184" t="s">
        <v>153</v>
      </c>
      <c r="C2368" s="184" t="s">
        <v>905</v>
      </c>
      <c r="D2368" s="185" t="s">
        <v>704</v>
      </c>
      <c r="E2368" s="186" t="s">
        <v>906</v>
      </c>
      <c r="F2368" s="186" t="s">
        <v>907</v>
      </c>
      <c r="G2368" s="186" t="s">
        <v>908</v>
      </c>
      <c r="H2368" s="186" t="s">
        <v>2479</v>
      </c>
      <c r="I2368" s="187" t="s">
        <v>2516</v>
      </c>
      <c r="J2368" s="187" t="s">
        <v>2517</v>
      </c>
      <c r="K2368" s="188"/>
      <c r="L2368" s="188"/>
      <c r="M2368" s="189" t="s">
        <v>963</v>
      </c>
      <c r="N2368" s="190">
        <v>232.43</v>
      </c>
      <c r="O2368" s="190">
        <f t="shared" si="291"/>
        <v>253.35</v>
      </c>
      <c r="P2368" s="191">
        <f t="shared" si="292"/>
        <v>0</v>
      </c>
      <c r="Q2368" s="192">
        <f t="shared" si="293"/>
        <v>0</v>
      </c>
      <c r="R2368" s="193"/>
      <c r="S2368" s="194"/>
      <c r="T2368" s="195">
        <f t="shared" si="294"/>
        <v>0</v>
      </c>
      <c r="U2368" s="195">
        <f t="shared" si="295"/>
        <v>0</v>
      </c>
      <c r="V2368" s="195">
        <f t="shared" si="296"/>
        <v>0</v>
      </c>
      <c r="W2368" s="196" t="e">
        <f t="shared" si="297"/>
        <v>#DIV/0!</v>
      </c>
      <c r="X2368" s="197" t="e">
        <f t="shared" si="298"/>
        <v>#DIV/0!</v>
      </c>
    </row>
    <row r="2369" ht="11.4" hidden="1" customHeight="1" spans="1:24">
      <c r="A2369" s="184" t="s">
        <v>3176</v>
      </c>
      <c r="B2369" s="184" t="s">
        <v>153</v>
      </c>
      <c r="C2369" s="184" t="s">
        <v>905</v>
      </c>
      <c r="D2369" s="185" t="s">
        <v>704</v>
      </c>
      <c r="E2369" s="186" t="s">
        <v>906</v>
      </c>
      <c r="F2369" s="186" t="s">
        <v>907</v>
      </c>
      <c r="G2369" s="186" t="s">
        <v>908</v>
      </c>
      <c r="H2369" s="186" t="s">
        <v>2479</v>
      </c>
      <c r="I2369" s="187" t="s">
        <v>2518</v>
      </c>
      <c r="J2369" s="187" t="s">
        <v>2519</v>
      </c>
      <c r="K2369" s="188"/>
      <c r="L2369" s="188"/>
      <c r="M2369" s="189" t="s">
        <v>793</v>
      </c>
      <c r="N2369" s="190"/>
      <c r="O2369" s="190">
        <f t="shared" si="291"/>
        <v>0</v>
      </c>
      <c r="P2369" s="191">
        <f t="shared" si="292"/>
        <v>0</v>
      </c>
      <c r="Q2369" s="192">
        <f t="shared" si="293"/>
        <v>0</v>
      </c>
      <c r="R2369" s="193"/>
      <c r="S2369" s="194"/>
      <c r="T2369" s="195">
        <f t="shared" si="294"/>
        <v>0</v>
      </c>
      <c r="U2369" s="195">
        <f t="shared" si="295"/>
        <v>0</v>
      </c>
      <c r="V2369" s="195">
        <f t="shared" si="296"/>
        <v>0</v>
      </c>
      <c r="W2369" s="196" t="e">
        <f t="shared" si="297"/>
        <v>#DIV/0!</v>
      </c>
      <c r="X2369" s="197" t="e">
        <f t="shared" si="298"/>
        <v>#DIV/0!</v>
      </c>
    </row>
    <row r="2370" ht="11.4" hidden="1" customHeight="1" spans="1:24">
      <c r="A2370" s="184" t="s">
        <v>3176</v>
      </c>
      <c r="B2370" s="184" t="s">
        <v>153</v>
      </c>
      <c r="C2370" s="184" t="s">
        <v>905</v>
      </c>
      <c r="D2370" s="185" t="s">
        <v>704</v>
      </c>
      <c r="E2370" s="186" t="s">
        <v>906</v>
      </c>
      <c r="F2370" s="186" t="s">
        <v>907</v>
      </c>
      <c r="G2370" s="186" t="s">
        <v>908</v>
      </c>
      <c r="H2370" s="186" t="s">
        <v>2479</v>
      </c>
      <c r="I2370" s="187" t="s">
        <v>2520</v>
      </c>
      <c r="J2370" s="187" t="s">
        <v>2521</v>
      </c>
      <c r="K2370" s="188"/>
      <c r="L2370" s="188"/>
      <c r="M2370" s="189" t="s">
        <v>793</v>
      </c>
      <c r="N2370" s="190"/>
      <c r="O2370" s="190">
        <f t="shared" si="291"/>
        <v>0</v>
      </c>
      <c r="P2370" s="191">
        <f t="shared" si="292"/>
        <v>0</v>
      </c>
      <c r="Q2370" s="192">
        <f t="shared" si="293"/>
        <v>0</v>
      </c>
      <c r="R2370" s="193"/>
      <c r="S2370" s="194"/>
      <c r="T2370" s="195">
        <f t="shared" si="294"/>
        <v>0</v>
      </c>
      <c r="U2370" s="195">
        <f t="shared" si="295"/>
        <v>0</v>
      </c>
      <c r="V2370" s="195">
        <f t="shared" si="296"/>
        <v>0</v>
      </c>
      <c r="W2370" s="196" t="e">
        <f t="shared" si="297"/>
        <v>#DIV/0!</v>
      </c>
      <c r="X2370" s="197" t="e">
        <f t="shared" si="298"/>
        <v>#DIV/0!</v>
      </c>
    </row>
    <row r="2371" ht="11.4" hidden="1" customHeight="1" spans="1:24">
      <c r="A2371" s="184" t="s">
        <v>3176</v>
      </c>
      <c r="B2371" s="184" t="s">
        <v>153</v>
      </c>
      <c r="C2371" s="184" t="s">
        <v>905</v>
      </c>
      <c r="D2371" s="185" t="s">
        <v>704</v>
      </c>
      <c r="E2371" s="186" t="s">
        <v>906</v>
      </c>
      <c r="F2371" s="186" t="s">
        <v>907</v>
      </c>
      <c r="G2371" s="186" t="s">
        <v>908</v>
      </c>
      <c r="H2371" s="186" t="s">
        <v>2522</v>
      </c>
      <c r="I2371" s="187" t="s">
        <v>2523</v>
      </c>
      <c r="J2371" s="187" t="s">
        <v>2524</v>
      </c>
      <c r="K2371" s="188"/>
      <c r="L2371" s="188"/>
      <c r="M2371" s="189" t="s">
        <v>793</v>
      </c>
      <c r="N2371" s="190">
        <v>2345</v>
      </c>
      <c r="O2371" s="190">
        <f t="shared" si="291"/>
        <v>2556.05</v>
      </c>
      <c r="P2371" s="191">
        <f t="shared" si="292"/>
        <v>0</v>
      </c>
      <c r="Q2371" s="192">
        <f t="shared" si="293"/>
        <v>0</v>
      </c>
      <c r="R2371" s="193"/>
      <c r="S2371" s="194"/>
      <c r="T2371" s="195">
        <f t="shared" si="294"/>
        <v>0</v>
      </c>
      <c r="U2371" s="195">
        <f t="shared" si="295"/>
        <v>0</v>
      </c>
      <c r="V2371" s="195">
        <f t="shared" si="296"/>
        <v>0</v>
      </c>
      <c r="W2371" s="196" t="e">
        <f t="shared" si="297"/>
        <v>#DIV/0!</v>
      </c>
      <c r="X2371" s="197" t="e">
        <f t="shared" si="298"/>
        <v>#DIV/0!</v>
      </c>
    </row>
    <row r="2372" ht="11.4" hidden="1" customHeight="1" spans="1:24">
      <c r="A2372" s="184" t="s">
        <v>3176</v>
      </c>
      <c r="B2372" s="184" t="s">
        <v>153</v>
      </c>
      <c r="C2372" s="184" t="s">
        <v>905</v>
      </c>
      <c r="D2372" s="185" t="s">
        <v>704</v>
      </c>
      <c r="E2372" s="186" t="s">
        <v>906</v>
      </c>
      <c r="F2372" s="186" t="s">
        <v>907</v>
      </c>
      <c r="G2372" s="186" t="s">
        <v>908</v>
      </c>
      <c r="H2372" s="186" t="s">
        <v>2522</v>
      </c>
      <c r="I2372" s="187" t="s">
        <v>2525</v>
      </c>
      <c r="J2372" s="187" t="s">
        <v>2526</v>
      </c>
      <c r="K2372" s="188"/>
      <c r="L2372" s="188"/>
      <c r="M2372" s="189" t="s">
        <v>989</v>
      </c>
      <c r="N2372" s="190">
        <v>649.73</v>
      </c>
      <c r="O2372" s="190">
        <f t="shared" si="291"/>
        <v>708.21</v>
      </c>
      <c r="P2372" s="191">
        <f t="shared" si="292"/>
        <v>0</v>
      </c>
      <c r="Q2372" s="192">
        <f t="shared" si="293"/>
        <v>0</v>
      </c>
      <c r="R2372" s="193"/>
      <c r="S2372" s="194"/>
      <c r="T2372" s="195">
        <f t="shared" si="294"/>
        <v>0</v>
      </c>
      <c r="U2372" s="195">
        <f t="shared" si="295"/>
        <v>0</v>
      </c>
      <c r="V2372" s="195">
        <f t="shared" si="296"/>
        <v>0</v>
      </c>
      <c r="W2372" s="196" t="e">
        <f t="shared" si="297"/>
        <v>#DIV/0!</v>
      </c>
      <c r="X2372" s="197" t="e">
        <f t="shared" si="298"/>
        <v>#DIV/0!</v>
      </c>
    </row>
    <row r="2373" ht="11.4" hidden="1" customHeight="1" spans="1:24">
      <c r="A2373" s="184" t="s">
        <v>3212</v>
      </c>
      <c r="B2373" s="184" t="s">
        <v>161</v>
      </c>
      <c r="C2373" s="184" t="s">
        <v>2528</v>
      </c>
      <c r="D2373" s="185" t="s">
        <v>704</v>
      </c>
      <c r="E2373" s="186" t="s">
        <v>906</v>
      </c>
      <c r="F2373" s="186" t="s">
        <v>2529</v>
      </c>
      <c r="G2373" s="186" t="s">
        <v>2530</v>
      </c>
      <c r="H2373" s="186" t="s">
        <v>2531</v>
      </c>
      <c r="I2373" s="187" t="s">
        <v>2532</v>
      </c>
      <c r="J2373" s="187" t="s">
        <v>2533</v>
      </c>
      <c r="K2373" s="188"/>
      <c r="L2373" s="188"/>
      <c r="M2373" s="189" t="s">
        <v>963</v>
      </c>
      <c r="N2373" s="190">
        <v>510.81</v>
      </c>
      <c r="O2373" s="190">
        <f t="shared" si="291"/>
        <v>556.78</v>
      </c>
      <c r="P2373" s="191">
        <f t="shared" si="292"/>
        <v>0</v>
      </c>
      <c r="Q2373" s="192">
        <f t="shared" si="293"/>
        <v>0</v>
      </c>
      <c r="R2373" s="193"/>
      <c r="S2373" s="194"/>
      <c r="T2373" s="195">
        <f t="shared" si="294"/>
        <v>0</v>
      </c>
      <c r="U2373" s="195">
        <f t="shared" si="295"/>
        <v>0</v>
      </c>
      <c r="V2373" s="195">
        <f t="shared" si="296"/>
        <v>0</v>
      </c>
      <c r="W2373" s="196" t="e">
        <f t="shared" si="297"/>
        <v>#DIV/0!</v>
      </c>
      <c r="X2373" s="197" t="e">
        <f t="shared" si="298"/>
        <v>#DIV/0!</v>
      </c>
    </row>
    <row r="2374" ht="11.4" hidden="1" customHeight="1" spans="1:24">
      <c r="A2374" s="184" t="s">
        <v>3212</v>
      </c>
      <c r="B2374" s="184" t="s">
        <v>161</v>
      </c>
      <c r="C2374" s="184" t="s">
        <v>2528</v>
      </c>
      <c r="D2374" s="185" t="s">
        <v>704</v>
      </c>
      <c r="E2374" s="186" t="s">
        <v>906</v>
      </c>
      <c r="F2374" s="186" t="s">
        <v>2529</v>
      </c>
      <c r="G2374" s="186" t="s">
        <v>2530</v>
      </c>
      <c r="H2374" s="186" t="s">
        <v>2531</v>
      </c>
      <c r="I2374" s="187" t="s">
        <v>2534</v>
      </c>
      <c r="J2374" s="187" t="s">
        <v>2535</v>
      </c>
      <c r="K2374" s="188"/>
      <c r="L2374" s="188"/>
      <c r="M2374" s="189" t="s">
        <v>963</v>
      </c>
      <c r="N2374" s="190">
        <v>509.91</v>
      </c>
      <c r="O2374" s="190">
        <f t="shared" si="291"/>
        <v>555.8</v>
      </c>
      <c r="P2374" s="191">
        <f t="shared" si="292"/>
        <v>0</v>
      </c>
      <c r="Q2374" s="192">
        <f t="shared" si="293"/>
        <v>0</v>
      </c>
      <c r="R2374" s="193"/>
      <c r="S2374" s="194"/>
      <c r="T2374" s="195">
        <f t="shared" si="294"/>
        <v>0</v>
      </c>
      <c r="U2374" s="195">
        <f t="shared" si="295"/>
        <v>0</v>
      </c>
      <c r="V2374" s="195">
        <f t="shared" si="296"/>
        <v>0</v>
      </c>
      <c r="W2374" s="196" t="e">
        <f t="shared" si="297"/>
        <v>#DIV/0!</v>
      </c>
      <c r="X2374" s="197" t="e">
        <f t="shared" si="298"/>
        <v>#DIV/0!</v>
      </c>
    </row>
    <row r="2375" ht="11.4" hidden="1" customHeight="1" spans="1:24">
      <c r="A2375" s="184" t="s">
        <v>3212</v>
      </c>
      <c r="B2375" s="184" t="s">
        <v>161</v>
      </c>
      <c r="C2375" s="184" t="s">
        <v>2528</v>
      </c>
      <c r="D2375" s="185" t="s">
        <v>704</v>
      </c>
      <c r="E2375" s="186" t="s">
        <v>906</v>
      </c>
      <c r="F2375" s="186" t="s">
        <v>2529</v>
      </c>
      <c r="G2375" s="186" t="s">
        <v>2530</v>
      </c>
      <c r="H2375" s="186" t="s">
        <v>2531</v>
      </c>
      <c r="I2375" s="187" t="s">
        <v>2536</v>
      </c>
      <c r="J2375" s="187" t="s">
        <v>2537</v>
      </c>
      <c r="K2375" s="188"/>
      <c r="L2375" s="188"/>
      <c r="M2375" s="189" t="s">
        <v>963</v>
      </c>
      <c r="N2375" s="190">
        <v>339.64</v>
      </c>
      <c r="O2375" s="190">
        <f t="shared" si="291"/>
        <v>370.21</v>
      </c>
      <c r="P2375" s="191">
        <f t="shared" si="292"/>
        <v>0</v>
      </c>
      <c r="Q2375" s="192">
        <f t="shared" si="293"/>
        <v>0</v>
      </c>
      <c r="R2375" s="193"/>
      <c r="S2375" s="194"/>
      <c r="T2375" s="195">
        <f t="shared" si="294"/>
        <v>0</v>
      </c>
      <c r="U2375" s="195">
        <f t="shared" si="295"/>
        <v>0</v>
      </c>
      <c r="V2375" s="195">
        <f t="shared" si="296"/>
        <v>0</v>
      </c>
      <c r="W2375" s="196" t="e">
        <f t="shared" si="297"/>
        <v>#DIV/0!</v>
      </c>
      <c r="X2375" s="197" t="e">
        <f t="shared" si="298"/>
        <v>#DIV/0!</v>
      </c>
    </row>
    <row r="2376" ht="11.4" hidden="1" customHeight="1" spans="1:24">
      <c r="A2376" s="184" t="s">
        <v>3212</v>
      </c>
      <c r="B2376" s="184" t="s">
        <v>161</v>
      </c>
      <c r="C2376" s="184" t="s">
        <v>2528</v>
      </c>
      <c r="D2376" s="185" t="s">
        <v>704</v>
      </c>
      <c r="E2376" s="186" t="s">
        <v>906</v>
      </c>
      <c r="F2376" s="186" t="s">
        <v>2529</v>
      </c>
      <c r="G2376" s="186" t="s">
        <v>2530</v>
      </c>
      <c r="H2376" s="186" t="s">
        <v>2531</v>
      </c>
      <c r="I2376" s="187" t="s">
        <v>2538</v>
      </c>
      <c r="J2376" s="187" t="s">
        <v>2539</v>
      </c>
      <c r="K2376" s="188"/>
      <c r="L2376" s="188"/>
      <c r="M2376" s="189" t="s">
        <v>963</v>
      </c>
      <c r="N2376" s="190">
        <v>339.64</v>
      </c>
      <c r="O2376" s="190">
        <f t="shared" si="291"/>
        <v>370.21</v>
      </c>
      <c r="P2376" s="191">
        <f t="shared" si="292"/>
        <v>0</v>
      </c>
      <c r="Q2376" s="192">
        <f t="shared" si="293"/>
        <v>0</v>
      </c>
      <c r="R2376" s="193"/>
      <c r="S2376" s="194"/>
      <c r="T2376" s="195">
        <f t="shared" si="294"/>
        <v>0</v>
      </c>
      <c r="U2376" s="195">
        <f t="shared" si="295"/>
        <v>0</v>
      </c>
      <c r="V2376" s="195">
        <f t="shared" si="296"/>
        <v>0</v>
      </c>
      <c r="W2376" s="196" t="e">
        <f t="shared" si="297"/>
        <v>#DIV/0!</v>
      </c>
      <c r="X2376" s="197" t="e">
        <f t="shared" si="298"/>
        <v>#DIV/0!</v>
      </c>
    </row>
    <row r="2377" ht="11.4" hidden="1" customHeight="1" spans="1:24">
      <c r="A2377" s="184" t="s">
        <v>3212</v>
      </c>
      <c r="B2377" s="184" t="s">
        <v>161</v>
      </c>
      <c r="C2377" s="184" t="s">
        <v>2528</v>
      </c>
      <c r="D2377" s="185" t="s">
        <v>704</v>
      </c>
      <c r="E2377" s="186" t="s">
        <v>906</v>
      </c>
      <c r="F2377" s="186" t="s">
        <v>2529</v>
      </c>
      <c r="G2377" s="186" t="s">
        <v>2530</v>
      </c>
      <c r="H2377" s="186" t="s">
        <v>2531</v>
      </c>
      <c r="I2377" s="187" t="s">
        <v>2540</v>
      </c>
      <c r="J2377" s="187" t="s">
        <v>2541</v>
      </c>
      <c r="K2377" s="188"/>
      <c r="L2377" s="188"/>
      <c r="M2377" s="189" t="s">
        <v>2308</v>
      </c>
      <c r="N2377" s="190">
        <v>311.71</v>
      </c>
      <c r="O2377" s="190">
        <f t="shared" si="291"/>
        <v>339.76</v>
      </c>
      <c r="P2377" s="191">
        <f t="shared" si="292"/>
        <v>0</v>
      </c>
      <c r="Q2377" s="192">
        <f t="shared" si="293"/>
        <v>0</v>
      </c>
      <c r="R2377" s="193"/>
      <c r="S2377" s="194"/>
      <c r="T2377" s="195">
        <f t="shared" si="294"/>
        <v>0</v>
      </c>
      <c r="U2377" s="195">
        <f t="shared" si="295"/>
        <v>0</v>
      </c>
      <c r="V2377" s="195">
        <f t="shared" si="296"/>
        <v>0</v>
      </c>
      <c r="W2377" s="196" t="e">
        <f t="shared" si="297"/>
        <v>#DIV/0!</v>
      </c>
      <c r="X2377" s="197" t="e">
        <f t="shared" si="298"/>
        <v>#DIV/0!</v>
      </c>
    </row>
    <row r="2378" ht="11.4" hidden="1" customHeight="1" spans="1:24">
      <c r="A2378" s="184" t="s">
        <v>3212</v>
      </c>
      <c r="B2378" s="184" t="s">
        <v>161</v>
      </c>
      <c r="C2378" s="184" t="s">
        <v>2528</v>
      </c>
      <c r="D2378" s="185" t="s">
        <v>704</v>
      </c>
      <c r="E2378" s="186" t="s">
        <v>906</v>
      </c>
      <c r="F2378" s="186" t="s">
        <v>2529</v>
      </c>
      <c r="G2378" s="186" t="s">
        <v>2530</v>
      </c>
      <c r="H2378" s="186" t="s">
        <v>2531</v>
      </c>
      <c r="I2378" s="187" t="s">
        <v>2542</v>
      </c>
      <c r="J2378" s="187" t="s">
        <v>2543</v>
      </c>
      <c r="K2378" s="188"/>
      <c r="L2378" s="188"/>
      <c r="M2378" s="189" t="s">
        <v>963</v>
      </c>
      <c r="N2378" s="190">
        <v>625.23</v>
      </c>
      <c r="O2378" s="190">
        <f t="shared" si="291"/>
        <v>681.5</v>
      </c>
      <c r="P2378" s="191">
        <f t="shared" si="292"/>
        <v>0</v>
      </c>
      <c r="Q2378" s="192">
        <f t="shared" si="293"/>
        <v>0</v>
      </c>
      <c r="R2378" s="193"/>
      <c r="S2378" s="194"/>
      <c r="T2378" s="195">
        <f t="shared" si="294"/>
        <v>0</v>
      </c>
      <c r="U2378" s="195">
        <f t="shared" si="295"/>
        <v>0</v>
      </c>
      <c r="V2378" s="195">
        <f t="shared" si="296"/>
        <v>0</v>
      </c>
      <c r="W2378" s="196" t="e">
        <f t="shared" si="297"/>
        <v>#DIV/0!</v>
      </c>
      <c r="X2378" s="197" t="e">
        <f t="shared" si="298"/>
        <v>#DIV/0!</v>
      </c>
    </row>
    <row r="2379" ht="11.4" hidden="1" customHeight="1" spans="1:24">
      <c r="A2379" s="184" t="s">
        <v>3212</v>
      </c>
      <c r="B2379" s="184" t="s">
        <v>161</v>
      </c>
      <c r="C2379" s="184" t="s">
        <v>2528</v>
      </c>
      <c r="D2379" s="185" t="s">
        <v>704</v>
      </c>
      <c r="E2379" s="186" t="s">
        <v>906</v>
      </c>
      <c r="F2379" s="186" t="s">
        <v>2529</v>
      </c>
      <c r="G2379" s="186" t="s">
        <v>2530</v>
      </c>
      <c r="H2379" s="186" t="s">
        <v>2531</v>
      </c>
      <c r="I2379" s="187" t="s">
        <v>2544</v>
      </c>
      <c r="J2379" s="187" t="s">
        <v>2545</v>
      </c>
      <c r="K2379" s="188"/>
      <c r="L2379" s="188"/>
      <c r="M2379" s="189" t="s">
        <v>989</v>
      </c>
      <c r="N2379" s="190">
        <v>556.76</v>
      </c>
      <c r="O2379" s="190">
        <f t="shared" si="291"/>
        <v>606.87</v>
      </c>
      <c r="P2379" s="191">
        <f t="shared" si="292"/>
        <v>0</v>
      </c>
      <c r="Q2379" s="192">
        <f t="shared" si="293"/>
        <v>0</v>
      </c>
      <c r="R2379" s="193"/>
      <c r="S2379" s="194"/>
      <c r="T2379" s="195">
        <f t="shared" si="294"/>
        <v>0</v>
      </c>
      <c r="U2379" s="195">
        <f t="shared" si="295"/>
        <v>0</v>
      </c>
      <c r="V2379" s="195">
        <f t="shared" si="296"/>
        <v>0</v>
      </c>
      <c r="W2379" s="196" t="e">
        <f t="shared" si="297"/>
        <v>#DIV/0!</v>
      </c>
      <c r="X2379" s="197" t="e">
        <f t="shared" si="298"/>
        <v>#DIV/0!</v>
      </c>
    </row>
    <row r="2380" ht="11.4" hidden="1" customHeight="1" spans="1:24">
      <c r="A2380" s="184" t="s">
        <v>3212</v>
      </c>
      <c r="B2380" s="184" t="s">
        <v>161</v>
      </c>
      <c r="C2380" s="184" t="s">
        <v>2528</v>
      </c>
      <c r="D2380" s="185" t="s">
        <v>704</v>
      </c>
      <c r="E2380" s="186" t="s">
        <v>906</v>
      </c>
      <c r="F2380" s="186" t="s">
        <v>2529</v>
      </c>
      <c r="G2380" s="186" t="s">
        <v>2530</v>
      </c>
      <c r="H2380" s="186" t="s">
        <v>2531</v>
      </c>
      <c r="I2380" s="187" t="s">
        <v>2546</v>
      </c>
      <c r="J2380" s="187" t="s">
        <v>2547</v>
      </c>
      <c r="K2380" s="188"/>
      <c r="L2380" s="188"/>
      <c r="M2380" s="189" t="s">
        <v>2548</v>
      </c>
      <c r="N2380" s="190">
        <v>3112.61</v>
      </c>
      <c r="O2380" s="190">
        <f t="shared" si="291"/>
        <v>3392.74</v>
      </c>
      <c r="P2380" s="191">
        <f t="shared" si="292"/>
        <v>0</v>
      </c>
      <c r="Q2380" s="192">
        <f t="shared" si="293"/>
        <v>0</v>
      </c>
      <c r="R2380" s="193"/>
      <c r="S2380" s="194"/>
      <c r="T2380" s="195">
        <f t="shared" si="294"/>
        <v>0</v>
      </c>
      <c r="U2380" s="195">
        <f t="shared" si="295"/>
        <v>0</v>
      </c>
      <c r="V2380" s="195">
        <f t="shared" si="296"/>
        <v>0</v>
      </c>
      <c r="W2380" s="196" t="e">
        <f t="shared" si="297"/>
        <v>#DIV/0!</v>
      </c>
      <c r="X2380" s="197" t="e">
        <f t="shared" si="298"/>
        <v>#DIV/0!</v>
      </c>
    </row>
    <row r="2381" ht="11.4" hidden="1" customHeight="1" spans="1:24">
      <c r="A2381" s="184" t="s">
        <v>3212</v>
      </c>
      <c r="B2381" s="184" t="s">
        <v>161</v>
      </c>
      <c r="C2381" s="184" t="s">
        <v>2528</v>
      </c>
      <c r="D2381" s="185" t="s">
        <v>704</v>
      </c>
      <c r="E2381" s="186" t="s">
        <v>906</v>
      </c>
      <c r="F2381" s="186" t="s">
        <v>2529</v>
      </c>
      <c r="G2381" s="186" t="s">
        <v>2530</v>
      </c>
      <c r="H2381" s="186" t="s">
        <v>2531</v>
      </c>
      <c r="I2381" s="187" t="s">
        <v>2549</v>
      </c>
      <c r="J2381" s="187" t="s">
        <v>2550</v>
      </c>
      <c r="K2381" s="188"/>
      <c r="L2381" s="188"/>
      <c r="M2381" s="189" t="s">
        <v>963</v>
      </c>
      <c r="N2381" s="190">
        <v>290.09</v>
      </c>
      <c r="O2381" s="190">
        <f t="shared" ref="O2381:O2444" si="299">ROUND(N2381*(1+$F$10),2)</f>
        <v>316.2</v>
      </c>
      <c r="P2381" s="191">
        <f t="shared" ref="P2381:P2444" si="300">ROUND(K2381*N2381,2)</f>
        <v>0</v>
      </c>
      <c r="Q2381" s="192">
        <f t="shared" si="293"/>
        <v>0</v>
      </c>
      <c r="R2381" s="193"/>
      <c r="S2381" s="194"/>
      <c r="T2381" s="195">
        <f t="shared" si="294"/>
        <v>0</v>
      </c>
      <c r="U2381" s="195">
        <f t="shared" si="295"/>
        <v>0</v>
      </c>
      <c r="V2381" s="195">
        <f t="shared" si="296"/>
        <v>0</v>
      </c>
      <c r="W2381" s="196" t="e">
        <f t="shared" si="297"/>
        <v>#DIV/0!</v>
      </c>
      <c r="X2381" s="197" t="e">
        <f t="shared" si="298"/>
        <v>#DIV/0!</v>
      </c>
    </row>
    <row r="2382" ht="11.4" hidden="1" customHeight="1" spans="1:24">
      <c r="A2382" s="184" t="s">
        <v>3212</v>
      </c>
      <c r="B2382" s="184" t="s">
        <v>161</v>
      </c>
      <c r="C2382" s="184" t="s">
        <v>2528</v>
      </c>
      <c r="D2382" s="185" t="s">
        <v>704</v>
      </c>
      <c r="E2382" s="186" t="s">
        <v>906</v>
      </c>
      <c r="F2382" s="186" t="s">
        <v>2529</v>
      </c>
      <c r="G2382" s="186" t="s">
        <v>2530</v>
      </c>
      <c r="H2382" s="186" t="s">
        <v>2551</v>
      </c>
      <c r="I2382" s="187" t="s">
        <v>2552</v>
      </c>
      <c r="J2382" s="187" t="s">
        <v>2553</v>
      </c>
      <c r="K2382" s="188"/>
      <c r="L2382" s="188"/>
      <c r="M2382" s="189" t="s">
        <v>963</v>
      </c>
      <c r="N2382" s="190">
        <v>271.17</v>
      </c>
      <c r="O2382" s="190">
        <f t="shared" si="299"/>
        <v>295.58</v>
      </c>
      <c r="P2382" s="191">
        <f t="shared" si="300"/>
        <v>0</v>
      </c>
      <c r="Q2382" s="192">
        <f t="shared" ref="Q2382:Q2445" si="301">ROUND(L2382*N2382,2)</f>
        <v>0</v>
      </c>
      <c r="R2382" s="193"/>
      <c r="S2382" s="194"/>
      <c r="T2382" s="195">
        <f t="shared" ref="T2382:T2445" si="302">K2382-L2382</f>
        <v>0</v>
      </c>
      <c r="U2382" s="195">
        <f t="shared" ref="U2382:U2445" si="303">P2382-Q2382</f>
        <v>0</v>
      </c>
      <c r="V2382" s="195">
        <f t="shared" ref="V2382:V2445" si="304">ABS(U2382)</f>
        <v>0</v>
      </c>
      <c r="W2382" s="196" t="e">
        <f t="shared" ref="W2382:W2445" si="305">T2382/L2382</f>
        <v>#DIV/0!</v>
      </c>
      <c r="X2382" s="197" t="e">
        <f t="shared" ref="X2382:X2445" si="306">ABS(W2382)</f>
        <v>#DIV/0!</v>
      </c>
    </row>
    <row r="2383" ht="11.4" hidden="1" customHeight="1" spans="1:24">
      <c r="A2383" s="184" t="s">
        <v>3212</v>
      </c>
      <c r="B2383" s="184" t="s">
        <v>161</v>
      </c>
      <c r="C2383" s="184" t="s">
        <v>2528</v>
      </c>
      <c r="D2383" s="185" t="s">
        <v>704</v>
      </c>
      <c r="E2383" s="186" t="s">
        <v>906</v>
      </c>
      <c r="F2383" s="186" t="s">
        <v>2529</v>
      </c>
      <c r="G2383" s="186" t="s">
        <v>2530</v>
      </c>
      <c r="H2383" s="186" t="s">
        <v>2551</v>
      </c>
      <c r="I2383" s="187" t="s">
        <v>2554</v>
      </c>
      <c r="J2383" s="187" t="s">
        <v>2555</v>
      </c>
      <c r="K2383" s="188"/>
      <c r="L2383" s="188"/>
      <c r="M2383" s="189" t="s">
        <v>989</v>
      </c>
      <c r="N2383" s="190">
        <v>1794.59</v>
      </c>
      <c r="O2383" s="190">
        <f t="shared" si="299"/>
        <v>1956.1</v>
      </c>
      <c r="P2383" s="191">
        <f t="shared" si="300"/>
        <v>0</v>
      </c>
      <c r="Q2383" s="192">
        <f t="shared" si="301"/>
        <v>0</v>
      </c>
      <c r="R2383" s="193"/>
      <c r="S2383" s="194"/>
      <c r="T2383" s="195">
        <f t="shared" si="302"/>
        <v>0</v>
      </c>
      <c r="U2383" s="195">
        <f t="shared" si="303"/>
        <v>0</v>
      </c>
      <c r="V2383" s="195">
        <f t="shared" si="304"/>
        <v>0</v>
      </c>
      <c r="W2383" s="196" t="e">
        <f t="shared" si="305"/>
        <v>#DIV/0!</v>
      </c>
      <c r="X2383" s="197" t="e">
        <f t="shared" si="306"/>
        <v>#DIV/0!</v>
      </c>
    </row>
    <row r="2384" ht="11.4" hidden="1" customHeight="1" spans="1:24">
      <c r="A2384" s="184" t="s">
        <v>3212</v>
      </c>
      <c r="B2384" s="184" t="s">
        <v>161</v>
      </c>
      <c r="C2384" s="184" t="s">
        <v>2528</v>
      </c>
      <c r="D2384" s="185" t="s">
        <v>704</v>
      </c>
      <c r="E2384" s="186" t="s">
        <v>906</v>
      </c>
      <c r="F2384" s="186" t="s">
        <v>2529</v>
      </c>
      <c r="G2384" s="186" t="s">
        <v>2530</v>
      </c>
      <c r="H2384" s="186" t="s">
        <v>2551</v>
      </c>
      <c r="I2384" s="187" t="s">
        <v>2556</v>
      </c>
      <c r="J2384" s="187" t="s">
        <v>2557</v>
      </c>
      <c r="K2384" s="188"/>
      <c r="L2384" s="188"/>
      <c r="M2384" s="189" t="s">
        <v>793</v>
      </c>
      <c r="N2384" s="190">
        <v>2774.77</v>
      </c>
      <c r="O2384" s="190">
        <f t="shared" si="299"/>
        <v>3024.5</v>
      </c>
      <c r="P2384" s="191">
        <f t="shared" si="300"/>
        <v>0</v>
      </c>
      <c r="Q2384" s="192">
        <f t="shared" si="301"/>
        <v>0</v>
      </c>
      <c r="R2384" s="193"/>
      <c r="S2384" s="194"/>
      <c r="T2384" s="195">
        <f t="shared" si="302"/>
        <v>0</v>
      </c>
      <c r="U2384" s="195">
        <f t="shared" si="303"/>
        <v>0</v>
      </c>
      <c r="V2384" s="195">
        <f t="shared" si="304"/>
        <v>0</v>
      </c>
      <c r="W2384" s="196" t="e">
        <f t="shared" si="305"/>
        <v>#DIV/0!</v>
      </c>
      <c r="X2384" s="197" t="e">
        <f t="shared" si="306"/>
        <v>#DIV/0!</v>
      </c>
    </row>
    <row r="2385" ht="11.4" hidden="1" customHeight="1" spans="1:24">
      <c r="A2385" s="184" t="s">
        <v>3212</v>
      </c>
      <c r="B2385" s="184" t="s">
        <v>161</v>
      </c>
      <c r="C2385" s="184" t="s">
        <v>2528</v>
      </c>
      <c r="D2385" s="185" t="s">
        <v>704</v>
      </c>
      <c r="E2385" s="186" t="s">
        <v>906</v>
      </c>
      <c r="F2385" s="186" t="s">
        <v>2529</v>
      </c>
      <c r="G2385" s="186" t="s">
        <v>2530</v>
      </c>
      <c r="H2385" s="186" t="s">
        <v>2558</v>
      </c>
      <c r="I2385" s="187" t="s">
        <v>2559</v>
      </c>
      <c r="J2385" s="187" t="s">
        <v>2560</v>
      </c>
      <c r="K2385" s="188"/>
      <c r="L2385" s="188"/>
      <c r="M2385" s="189" t="s">
        <v>1018</v>
      </c>
      <c r="N2385" s="190">
        <v>63.96</v>
      </c>
      <c r="O2385" s="190">
        <f t="shared" si="299"/>
        <v>69.72</v>
      </c>
      <c r="P2385" s="191">
        <f t="shared" si="300"/>
        <v>0</v>
      </c>
      <c r="Q2385" s="192">
        <f t="shared" si="301"/>
        <v>0</v>
      </c>
      <c r="R2385" s="193"/>
      <c r="S2385" s="194"/>
      <c r="T2385" s="195">
        <f t="shared" si="302"/>
        <v>0</v>
      </c>
      <c r="U2385" s="195">
        <f t="shared" si="303"/>
        <v>0</v>
      </c>
      <c r="V2385" s="195">
        <f t="shared" si="304"/>
        <v>0</v>
      </c>
      <c r="W2385" s="196" t="e">
        <f t="shared" si="305"/>
        <v>#DIV/0!</v>
      </c>
      <c r="X2385" s="197" t="e">
        <f t="shared" si="306"/>
        <v>#DIV/0!</v>
      </c>
    </row>
    <row r="2386" ht="11.4" hidden="1" customHeight="1" spans="1:24">
      <c r="A2386" s="184" t="s">
        <v>3212</v>
      </c>
      <c r="B2386" s="184" t="s">
        <v>161</v>
      </c>
      <c r="C2386" s="184" t="s">
        <v>2528</v>
      </c>
      <c r="D2386" s="185" t="s">
        <v>704</v>
      </c>
      <c r="E2386" s="186" t="s">
        <v>906</v>
      </c>
      <c r="F2386" s="186" t="s">
        <v>2529</v>
      </c>
      <c r="G2386" s="186" t="s">
        <v>2530</v>
      </c>
      <c r="H2386" s="186" t="s">
        <v>2558</v>
      </c>
      <c r="I2386" s="187" t="s">
        <v>2561</v>
      </c>
      <c r="J2386" s="187" t="s">
        <v>2562</v>
      </c>
      <c r="K2386" s="188"/>
      <c r="L2386" s="188"/>
      <c r="M2386" s="189" t="s">
        <v>1018</v>
      </c>
      <c r="N2386" s="190">
        <v>17.35</v>
      </c>
      <c r="O2386" s="190">
        <f t="shared" si="299"/>
        <v>18.91</v>
      </c>
      <c r="P2386" s="191">
        <f t="shared" si="300"/>
        <v>0</v>
      </c>
      <c r="Q2386" s="192">
        <f t="shared" si="301"/>
        <v>0</v>
      </c>
      <c r="R2386" s="193"/>
      <c r="S2386" s="194"/>
      <c r="T2386" s="195">
        <f t="shared" si="302"/>
        <v>0</v>
      </c>
      <c r="U2386" s="195">
        <f t="shared" si="303"/>
        <v>0</v>
      </c>
      <c r="V2386" s="195">
        <f t="shared" si="304"/>
        <v>0</v>
      </c>
      <c r="W2386" s="196" t="e">
        <f t="shared" si="305"/>
        <v>#DIV/0!</v>
      </c>
      <c r="X2386" s="197" t="e">
        <f t="shared" si="306"/>
        <v>#DIV/0!</v>
      </c>
    </row>
    <row r="2387" ht="11.4" hidden="1" customHeight="1" spans="1:24">
      <c r="A2387" s="184" t="s">
        <v>3212</v>
      </c>
      <c r="B2387" s="184" t="s">
        <v>161</v>
      </c>
      <c r="C2387" s="184" t="s">
        <v>2528</v>
      </c>
      <c r="D2387" s="185" t="s">
        <v>704</v>
      </c>
      <c r="E2387" s="186" t="s">
        <v>906</v>
      </c>
      <c r="F2387" s="186" t="s">
        <v>2529</v>
      </c>
      <c r="G2387" s="186" t="s">
        <v>2530</v>
      </c>
      <c r="H2387" s="186" t="s">
        <v>2558</v>
      </c>
      <c r="I2387" s="187" t="s">
        <v>2563</v>
      </c>
      <c r="J2387" s="187" t="s">
        <v>2564</v>
      </c>
      <c r="K2387" s="188"/>
      <c r="L2387" s="188"/>
      <c r="M2387" s="189" t="s">
        <v>807</v>
      </c>
      <c r="N2387" s="190">
        <v>44</v>
      </c>
      <c r="O2387" s="190">
        <f t="shared" si="299"/>
        <v>47.96</v>
      </c>
      <c r="P2387" s="191">
        <f t="shared" si="300"/>
        <v>0</v>
      </c>
      <c r="Q2387" s="192">
        <f t="shared" si="301"/>
        <v>0</v>
      </c>
      <c r="R2387" s="193"/>
      <c r="S2387" s="194"/>
      <c r="T2387" s="195">
        <f t="shared" si="302"/>
        <v>0</v>
      </c>
      <c r="U2387" s="195">
        <f t="shared" si="303"/>
        <v>0</v>
      </c>
      <c r="V2387" s="195">
        <f t="shared" si="304"/>
        <v>0</v>
      </c>
      <c r="W2387" s="196" t="e">
        <f t="shared" si="305"/>
        <v>#DIV/0!</v>
      </c>
      <c r="X2387" s="197" t="e">
        <f t="shared" si="306"/>
        <v>#DIV/0!</v>
      </c>
    </row>
    <row r="2388" ht="11.4" hidden="1" customHeight="1" spans="1:24">
      <c r="A2388" s="184" t="s">
        <v>3212</v>
      </c>
      <c r="B2388" s="184" t="s">
        <v>161</v>
      </c>
      <c r="C2388" s="184" t="s">
        <v>2528</v>
      </c>
      <c r="D2388" s="185" t="s">
        <v>704</v>
      </c>
      <c r="E2388" s="186" t="s">
        <v>906</v>
      </c>
      <c r="F2388" s="186" t="s">
        <v>2529</v>
      </c>
      <c r="G2388" s="186" t="s">
        <v>2530</v>
      </c>
      <c r="H2388" s="186" t="s">
        <v>2558</v>
      </c>
      <c r="I2388" s="187" t="s">
        <v>2565</v>
      </c>
      <c r="J2388" s="187" t="s">
        <v>2566</v>
      </c>
      <c r="K2388" s="188"/>
      <c r="L2388" s="188"/>
      <c r="M2388" s="189" t="s">
        <v>807</v>
      </c>
      <c r="N2388" s="190">
        <v>55.86</v>
      </c>
      <c r="O2388" s="190">
        <f t="shared" si="299"/>
        <v>60.89</v>
      </c>
      <c r="P2388" s="191">
        <f t="shared" si="300"/>
        <v>0</v>
      </c>
      <c r="Q2388" s="192">
        <f t="shared" si="301"/>
        <v>0</v>
      </c>
      <c r="R2388" s="193"/>
      <c r="S2388" s="194"/>
      <c r="T2388" s="195">
        <f t="shared" si="302"/>
        <v>0</v>
      </c>
      <c r="U2388" s="195">
        <f t="shared" si="303"/>
        <v>0</v>
      </c>
      <c r="V2388" s="195">
        <f t="shared" si="304"/>
        <v>0</v>
      </c>
      <c r="W2388" s="196" t="e">
        <f t="shared" si="305"/>
        <v>#DIV/0!</v>
      </c>
      <c r="X2388" s="197" t="e">
        <f t="shared" si="306"/>
        <v>#DIV/0!</v>
      </c>
    </row>
    <row r="2389" ht="11.4" hidden="1" customHeight="1" spans="1:24">
      <c r="A2389" s="184" t="s">
        <v>3212</v>
      </c>
      <c r="B2389" s="184" t="s">
        <v>161</v>
      </c>
      <c r="C2389" s="184" t="s">
        <v>2528</v>
      </c>
      <c r="D2389" s="185" t="s">
        <v>704</v>
      </c>
      <c r="E2389" s="186" t="s">
        <v>906</v>
      </c>
      <c r="F2389" s="186" t="s">
        <v>2529</v>
      </c>
      <c r="G2389" s="186" t="s">
        <v>2530</v>
      </c>
      <c r="H2389" s="186" t="s">
        <v>2558</v>
      </c>
      <c r="I2389" s="187" t="s">
        <v>2567</v>
      </c>
      <c r="J2389" s="187" t="s">
        <v>2568</v>
      </c>
      <c r="K2389" s="188"/>
      <c r="L2389" s="188"/>
      <c r="M2389" s="189" t="s">
        <v>807</v>
      </c>
      <c r="N2389" s="190">
        <v>70.27</v>
      </c>
      <c r="O2389" s="190">
        <f t="shared" si="299"/>
        <v>76.59</v>
      </c>
      <c r="P2389" s="191">
        <f t="shared" si="300"/>
        <v>0</v>
      </c>
      <c r="Q2389" s="192">
        <f t="shared" si="301"/>
        <v>0</v>
      </c>
      <c r="R2389" s="193"/>
      <c r="S2389" s="194"/>
      <c r="T2389" s="195">
        <f t="shared" si="302"/>
        <v>0</v>
      </c>
      <c r="U2389" s="195">
        <f t="shared" si="303"/>
        <v>0</v>
      </c>
      <c r="V2389" s="195">
        <f t="shared" si="304"/>
        <v>0</v>
      </c>
      <c r="W2389" s="196" t="e">
        <f t="shared" si="305"/>
        <v>#DIV/0!</v>
      </c>
      <c r="X2389" s="197" t="e">
        <f t="shared" si="306"/>
        <v>#DIV/0!</v>
      </c>
    </row>
    <row r="2390" ht="11.4" hidden="1" customHeight="1" spans="1:24">
      <c r="A2390" s="184" t="s">
        <v>3212</v>
      </c>
      <c r="B2390" s="184" t="s">
        <v>161</v>
      </c>
      <c r="C2390" s="184" t="s">
        <v>2528</v>
      </c>
      <c r="D2390" s="185" t="s">
        <v>704</v>
      </c>
      <c r="E2390" s="186" t="s">
        <v>906</v>
      </c>
      <c r="F2390" s="186" t="s">
        <v>2529</v>
      </c>
      <c r="G2390" s="186" t="s">
        <v>2530</v>
      </c>
      <c r="H2390" s="186" t="s">
        <v>2558</v>
      </c>
      <c r="I2390" s="187" t="s">
        <v>2569</v>
      </c>
      <c r="J2390" s="187" t="s">
        <v>2570</v>
      </c>
      <c r="K2390" s="188"/>
      <c r="L2390" s="188"/>
      <c r="M2390" s="189" t="s">
        <v>807</v>
      </c>
      <c r="N2390" s="190">
        <v>101.8</v>
      </c>
      <c r="O2390" s="190">
        <f t="shared" si="299"/>
        <v>110.96</v>
      </c>
      <c r="P2390" s="191">
        <f t="shared" si="300"/>
        <v>0</v>
      </c>
      <c r="Q2390" s="192">
        <f t="shared" si="301"/>
        <v>0</v>
      </c>
      <c r="R2390" s="193"/>
      <c r="S2390" s="194"/>
      <c r="T2390" s="195">
        <f t="shared" si="302"/>
        <v>0</v>
      </c>
      <c r="U2390" s="195">
        <f t="shared" si="303"/>
        <v>0</v>
      </c>
      <c r="V2390" s="195">
        <f t="shared" si="304"/>
        <v>0</v>
      </c>
      <c r="W2390" s="196" t="e">
        <f t="shared" si="305"/>
        <v>#DIV/0!</v>
      </c>
      <c r="X2390" s="197" t="e">
        <f t="shared" si="306"/>
        <v>#DIV/0!</v>
      </c>
    </row>
    <row r="2391" ht="11.4" hidden="1" customHeight="1" spans="1:24">
      <c r="A2391" s="184" t="s">
        <v>3212</v>
      </c>
      <c r="B2391" s="184" t="s">
        <v>161</v>
      </c>
      <c r="C2391" s="184" t="s">
        <v>2528</v>
      </c>
      <c r="D2391" s="185" t="s">
        <v>704</v>
      </c>
      <c r="E2391" s="186" t="s">
        <v>906</v>
      </c>
      <c r="F2391" s="186" t="s">
        <v>2529</v>
      </c>
      <c r="G2391" s="186" t="s">
        <v>2530</v>
      </c>
      <c r="H2391" s="186" t="s">
        <v>2558</v>
      </c>
      <c r="I2391" s="187" t="s">
        <v>2571</v>
      </c>
      <c r="J2391" s="187" t="s">
        <v>2572</v>
      </c>
      <c r="K2391" s="188"/>
      <c r="L2391" s="188"/>
      <c r="M2391" s="189" t="s">
        <v>807</v>
      </c>
      <c r="N2391" s="190">
        <v>118.02</v>
      </c>
      <c r="O2391" s="190">
        <f t="shared" si="299"/>
        <v>128.64</v>
      </c>
      <c r="P2391" s="191">
        <f t="shared" si="300"/>
        <v>0</v>
      </c>
      <c r="Q2391" s="192">
        <f t="shared" si="301"/>
        <v>0</v>
      </c>
      <c r="R2391" s="193"/>
      <c r="S2391" s="194"/>
      <c r="T2391" s="195">
        <f t="shared" si="302"/>
        <v>0</v>
      </c>
      <c r="U2391" s="195">
        <f t="shared" si="303"/>
        <v>0</v>
      </c>
      <c r="V2391" s="195">
        <f t="shared" si="304"/>
        <v>0</v>
      </c>
      <c r="W2391" s="196" t="e">
        <f t="shared" si="305"/>
        <v>#DIV/0!</v>
      </c>
      <c r="X2391" s="197" t="e">
        <f t="shared" si="306"/>
        <v>#DIV/0!</v>
      </c>
    </row>
    <row r="2392" ht="11.4" hidden="1" customHeight="1" spans="1:24">
      <c r="A2392" s="184" t="s">
        <v>3212</v>
      </c>
      <c r="B2392" s="184" t="s">
        <v>161</v>
      </c>
      <c r="C2392" s="184" t="s">
        <v>2528</v>
      </c>
      <c r="D2392" s="185" t="s">
        <v>704</v>
      </c>
      <c r="E2392" s="186" t="s">
        <v>906</v>
      </c>
      <c r="F2392" s="186" t="s">
        <v>2529</v>
      </c>
      <c r="G2392" s="186" t="s">
        <v>2530</v>
      </c>
      <c r="H2392" s="186" t="s">
        <v>2558</v>
      </c>
      <c r="I2392" s="187" t="s">
        <v>2573</v>
      </c>
      <c r="J2392" s="187" t="s">
        <v>2574</v>
      </c>
      <c r="K2392" s="188"/>
      <c r="L2392" s="188"/>
      <c r="M2392" s="189" t="s">
        <v>807</v>
      </c>
      <c r="N2392" s="190">
        <v>136.04</v>
      </c>
      <c r="O2392" s="190">
        <f t="shared" si="299"/>
        <v>148.28</v>
      </c>
      <c r="P2392" s="191">
        <f t="shared" si="300"/>
        <v>0</v>
      </c>
      <c r="Q2392" s="192">
        <f t="shared" si="301"/>
        <v>0</v>
      </c>
      <c r="R2392" s="193"/>
      <c r="S2392" s="194"/>
      <c r="T2392" s="195">
        <f t="shared" si="302"/>
        <v>0</v>
      </c>
      <c r="U2392" s="195">
        <f t="shared" si="303"/>
        <v>0</v>
      </c>
      <c r="V2392" s="195">
        <f t="shared" si="304"/>
        <v>0</v>
      </c>
      <c r="W2392" s="196" t="e">
        <f t="shared" si="305"/>
        <v>#DIV/0!</v>
      </c>
      <c r="X2392" s="197" t="e">
        <f t="shared" si="306"/>
        <v>#DIV/0!</v>
      </c>
    </row>
    <row r="2393" ht="11.4" hidden="1" customHeight="1" spans="1:24">
      <c r="A2393" s="184" t="s">
        <v>3212</v>
      </c>
      <c r="B2393" s="184" t="s">
        <v>161</v>
      </c>
      <c r="C2393" s="184" t="s">
        <v>2528</v>
      </c>
      <c r="D2393" s="185" t="s">
        <v>704</v>
      </c>
      <c r="E2393" s="186" t="s">
        <v>906</v>
      </c>
      <c r="F2393" s="186" t="s">
        <v>2529</v>
      </c>
      <c r="G2393" s="186" t="s">
        <v>2530</v>
      </c>
      <c r="H2393" s="186" t="s">
        <v>2558</v>
      </c>
      <c r="I2393" s="187" t="s">
        <v>2575</v>
      </c>
      <c r="J2393" s="187" t="s">
        <v>2576</v>
      </c>
      <c r="K2393" s="188"/>
      <c r="L2393" s="188"/>
      <c r="M2393" s="189" t="s">
        <v>807</v>
      </c>
      <c r="N2393" s="190">
        <v>182.88</v>
      </c>
      <c r="O2393" s="190">
        <f t="shared" si="299"/>
        <v>199.34</v>
      </c>
      <c r="P2393" s="191">
        <f t="shared" si="300"/>
        <v>0</v>
      </c>
      <c r="Q2393" s="192">
        <f t="shared" si="301"/>
        <v>0</v>
      </c>
      <c r="R2393" s="193"/>
      <c r="S2393" s="194"/>
      <c r="T2393" s="195">
        <f t="shared" si="302"/>
        <v>0</v>
      </c>
      <c r="U2393" s="195">
        <f t="shared" si="303"/>
        <v>0</v>
      </c>
      <c r="V2393" s="195">
        <f t="shared" si="304"/>
        <v>0</v>
      </c>
      <c r="W2393" s="196" t="e">
        <f t="shared" si="305"/>
        <v>#DIV/0!</v>
      </c>
      <c r="X2393" s="197" t="e">
        <f t="shared" si="306"/>
        <v>#DIV/0!</v>
      </c>
    </row>
    <row r="2394" ht="11.4" hidden="1" customHeight="1" spans="1:24">
      <c r="A2394" s="184" t="s">
        <v>3212</v>
      </c>
      <c r="B2394" s="184" t="s">
        <v>161</v>
      </c>
      <c r="C2394" s="184" t="s">
        <v>2528</v>
      </c>
      <c r="D2394" s="185" t="s">
        <v>704</v>
      </c>
      <c r="E2394" s="186" t="s">
        <v>906</v>
      </c>
      <c r="F2394" s="186" t="s">
        <v>2529</v>
      </c>
      <c r="G2394" s="186" t="s">
        <v>2530</v>
      </c>
      <c r="H2394" s="186" t="s">
        <v>2558</v>
      </c>
      <c r="I2394" s="187" t="s">
        <v>2577</v>
      </c>
      <c r="J2394" s="187" t="s">
        <v>2578</v>
      </c>
      <c r="K2394" s="188"/>
      <c r="L2394" s="188"/>
      <c r="M2394" s="189" t="s">
        <v>1018</v>
      </c>
      <c r="N2394" s="190">
        <v>489.12</v>
      </c>
      <c r="O2394" s="190">
        <f t="shared" si="299"/>
        <v>533.14</v>
      </c>
      <c r="P2394" s="191">
        <f t="shared" si="300"/>
        <v>0</v>
      </c>
      <c r="Q2394" s="192">
        <f t="shared" si="301"/>
        <v>0</v>
      </c>
      <c r="R2394" s="193"/>
      <c r="S2394" s="194"/>
      <c r="T2394" s="195">
        <f t="shared" si="302"/>
        <v>0</v>
      </c>
      <c r="U2394" s="195">
        <f t="shared" si="303"/>
        <v>0</v>
      </c>
      <c r="V2394" s="195">
        <f t="shared" si="304"/>
        <v>0</v>
      </c>
      <c r="W2394" s="196" t="e">
        <f t="shared" si="305"/>
        <v>#DIV/0!</v>
      </c>
      <c r="X2394" s="197" t="e">
        <f t="shared" si="306"/>
        <v>#DIV/0!</v>
      </c>
    </row>
    <row r="2395" ht="11.4" hidden="1" customHeight="1" spans="1:24">
      <c r="A2395" s="184" t="s">
        <v>3212</v>
      </c>
      <c r="B2395" s="184" t="s">
        <v>161</v>
      </c>
      <c r="C2395" s="184" t="s">
        <v>2528</v>
      </c>
      <c r="D2395" s="185" t="s">
        <v>704</v>
      </c>
      <c r="E2395" s="186" t="s">
        <v>906</v>
      </c>
      <c r="F2395" s="186" t="s">
        <v>2529</v>
      </c>
      <c r="G2395" s="186" t="s">
        <v>2530</v>
      </c>
      <c r="H2395" s="186" t="s">
        <v>2558</v>
      </c>
      <c r="I2395" s="187" t="s">
        <v>2579</v>
      </c>
      <c r="J2395" s="187" t="s">
        <v>2580</v>
      </c>
      <c r="K2395" s="188"/>
      <c r="L2395" s="188"/>
      <c r="M2395" s="189" t="s">
        <v>1018</v>
      </c>
      <c r="N2395" s="190">
        <v>909.48</v>
      </c>
      <c r="O2395" s="190">
        <f t="shared" si="299"/>
        <v>991.33</v>
      </c>
      <c r="P2395" s="191">
        <f t="shared" si="300"/>
        <v>0</v>
      </c>
      <c r="Q2395" s="192">
        <f t="shared" si="301"/>
        <v>0</v>
      </c>
      <c r="R2395" s="193"/>
      <c r="S2395" s="194"/>
      <c r="T2395" s="195">
        <f t="shared" si="302"/>
        <v>0</v>
      </c>
      <c r="U2395" s="195">
        <f t="shared" si="303"/>
        <v>0</v>
      </c>
      <c r="V2395" s="195">
        <f t="shared" si="304"/>
        <v>0</v>
      </c>
      <c r="W2395" s="196" t="e">
        <f t="shared" si="305"/>
        <v>#DIV/0!</v>
      </c>
      <c r="X2395" s="197" t="e">
        <f t="shared" si="306"/>
        <v>#DIV/0!</v>
      </c>
    </row>
    <row r="2396" ht="11.4" hidden="1" customHeight="1" spans="1:24">
      <c r="A2396" s="184" t="s">
        <v>3212</v>
      </c>
      <c r="B2396" s="184" t="s">
        <v>161</v>
      </c>
      <c r="C2396" s="184" t="s">
        <v>2528</v>
      </c>
      <c r="D2396" s="185" t="s">
        <v>704</v>
      </c>
      <c r="E2396" s="186" t="s">
        <v>906</v>
      </c>
      <c r="F2396" s="186" t="s">
        <v>2529</v>
      </c>
      <c r="G2396" s="186" t="s">
        <v>2530</v>
      </c>
      <c r="H2396" s="186" t="s">
        <v>2558</v>
      </c>
      <c r="I2396" s="187" t="s">
        <v>2581</v>
      </c>
      <c r="J2396" s="187" t="s">
        <v>2582</v>
      </c>
      <c r="K2396" s="188"/>
      <c r="L2396" s="188"/>
      <c r="M2396" s="189" t="s">
        <v>1018</v>
      </c>
      <c r="N2396" s="190">
        <v>240.54</v>
      </c>
      <c r="O2396" s="190">
        <f t="shared" si="299"/>
        <v>262.19</v>
      </c>
      <c r="P2396" s="191">
        <f t="shared" si="300"/>
        <v>0</v>
      </c>
      <c r="Q2396" s="192">
        <f t="shared" si="301"/>
        <v>0</v>
      </c>
      <c r="R2396" s="193"/>
      <c r="S2396" s="194"/>
      <c r="T2396" s="195">
        <f t="shared" si="302"/>
        <v>0</v>
      </c>
      <c r="U2396" s="195">
        <f t="shared" si="303"/>
        <v>0</v>
      </c>
      <c r="V2396" s="195">
        <f t="shared" si="304"/>
        <v>0</v>
      </c>
      <c r="W2396" s="196" t="e">
        <f t="shared" si="305"/>
        <v>#DIV/0!</v>
      </c>
      <c r="X2396" s="197" t="e">
        <f t="shared" si="306"/>
        <v>#DIV/0!</v>
      </c>
    </row>
    <row r="2397" ht="11.4" hidden="1" customHeight="1" spans="1:24">
      <c r="A2397" s="184" t="s">
        <v>3212</v>
      </c>
      <c r="B2397" s="184" t="s">
        <v>161</v>
      </c>
      <c r="C2397" s="184" t="s">
        <v>2528</v>
      </c>
      <c r="D2397" s="185" t="s">
        <v>704</v>
      </c>
      <c r="E2397" s="186" t="s">
        <v>906</v>
      </c>
      <c r="F2397" s="186" t="s">
        <v>2529</v>
      </c>
      <c r="G2397" s="186" t="s">
        <v>2530</v>
      </c>
      <c r="H2397" s="186" t="s">
        <v>2558</v>
      </c>
      <c r="I2397" s="187" t="s">
        <v>2583</v>
      </c>
      <c r="J2397" s="187" t="s">
        <v>2584</v>
      </c>
      <c r="K2397" s="188"/>
      <c r="L2397" s="188"/>
      <c r="M2397" s="189" t="s">
        <v>1018</v>
      </c>
      <c r="N2397" s="190">
        <v>232.43</v>
      </c>
      <c r="O2397" s="190">
        <f t="shared" si="299"/>
        <v>253.35</v>
      </c>
      <c r="P2397" s="191">
        <f t="shared" si="300"/>
        <v>0</v>
      </c>
      <c r="Q2397" s="192">
        <f t="shared" si="301"/>
        <v>0</v>
      </c>
      <c r="R2397" s="193"/>
      <c r="S2397" s="194"/>
      <c r="T2397" s="195">
        <f t="shared" si="302"/>
        <v>0</v>
      </c>
      <c r="U2397" s="195">
        <f t="shared" si="303"/>
        <v>0</v>
      </c>
      <c r="V2397" s="195">
        <f t="shared" si="304"/>
        <v>0</v>
      </c>
      <c r="W2397" s="196" t="e">
        <f t="shared" si="305"/>
        <v>#DIV/0!</v>
      </c>
      <c r="X2397" s="197" t="e">
        <f t="shared" si="306"/>
        <v>#DIV/0!</v>
      </c>
    </row>
    <row r="2398" ht="11.4" hidden="1" customHeight="1" spans="1:24">
      <c r="A2398" s="184" t="s">
        <v>3212</v>
      </c>
      <c r="B2398" s="184" t="s">
        <v>161</v>
      </c>
      <c r="C2398" s="184" t="s">
        <v>2528</v>
      </c>
      <c r="D2398" s="185" t="s">
        <v>704</v>
      </c>
      <c r="E2398" s="186" t="s">
        <v>906</v>
      </c>
      <c r="F2398" s="186" t="s">
        <v>2529</v>
      </c>
      <c r="G2398" s="186" t="s">
        <v>2530</v>
      </c>
      <c r="H2398" s="186" t="s">
        <v>2558</v>
      </c>
      <c r="I2398" s="187" t="s">
        <v>2585</v>
      </c>
      <c r="J2398" s="187" t="s">
        <v>2586</v>
      </c>
      <c r="K2398" s="188"/>
      <c r="L2398" s="188"/>
      <c r="M2398" s="189" t="s">
        <v>1018</v>
      </c>
      <c r="N2398" s="190">
        <v>2829.18</v>
      </c>
      <c r="O2398" s="190">
        <f t="shared" si="299"/>
        <v>3083.81</v>
      </c>
      <c r="P2398" s="191">
        <f t="shared" si="300"/>
        <v>0</v>
      </c>
      <c r="Q2398" s="192">
        <f t="shared" si="301"/>
        <v>0</v>
      </c>
      <c r="R2398" s="193"/>
      <c r="S2398" s="194"/>
      <c r="T2398" s="195">
        <f t="shared" si="302"/>
        <v>0</v>
      </c>
      <c r="U2398" s="195">
        <f t="shared" si="303"/>
        <v>0</v>
      </c>
      <c r="V2398" s="195">
        <f t="shared" si="304"/>
        <v>0</v>
      </c>
      <c r="W2398" s="196" t="e">
        <f t="shared" si="305"/>
        <v>#DIV/0!</v>
      </c>
      <c r="X2398" s="197" t="e">
        <f t="shared" si="306"/>
        <v>#DIV/0!</v>
      </c>
    </row>
    <row r="2399" ht="11.4" hidden="1" customHeight="1" spans="1:24">
      <c r="A2399" s="184" t="s">
        <v>3212</v>
      </c>
      <c r="B2399" s="184" t="s">
        <v>161</v>
      </c>
      <c r="C2399" s="184" t="s">
        <v>2528</v>
      </c>
      <c r="D2399" s="185" t="s">
        <v>704</v>
      </c>
      <c r="E2399" s="186" t="s">
        <v>906</v>
      </c>
      <c r="F2399" s="186" t="s">
        <v>2529</v>
      </c>
      <c r="G2399" s="186" t="s">
        <v>2530</v>
      </c>
      <c r="H2399" s="186" t="s">
        <v>2558</v>
      </c>
      <c r="I2399" s="187" t="s">
        <v>2587</v>
      </c>
      <c r="J2399" s="187" t="s">
        <v>2588</v>
      </c>
      <c r="K2399" s="188"/>
      <c r="L2399" s="188"/>
      <c r="M2399" s="189" t="s">
        <v>1018</v>
      </c>
      <c r="N2399" s="190">
        <v>750.19</v>
      </c>
      <c r="O2399" s="190">
        <f t="shared" si="299"/>
        <v>817.71</v>
      </c>
      <c r="P2399" s="191">
        <f t="shared" si="300"/>
        <v>0</v>
      </c>
      <c r="Q2399" s="192">
        <f t="shared" si="301"/>
        <v>0</v>
      </c>
      <c r="R2399" s="193"/>
      <c r="S2399" s="194"/>
      <c r="T2399" s="195">
        <f t="shared" si="302"/>
        <v>0</v>
      </c>
      <c r="U2399" s="195">
        <f t="shared" si="303"/>
        <v>0</v>
      </c>
      <c r="V2399" s="195">
        <f t="shared" si="304"/>
        <v>0</v>
      </c>
      <c r="W2399" s="196" t="e">
        <f t="shared" si="305"/>
        <v>#DIV/0!</v>
      </c>
      <c r="X2399" s="197" t="e">
        <f t="shared" si="306"/>
        <v>#DIV/0!</v>
      </c>
    </row>
    <row r="2400" ht="11.4" hidden="1" customHeight="1" spans="1:24">
      <c r="A2400" s="184" t="s">
        <v>3212</v>
      </c>
      <c r="B2400" s="184" t="s">
        <v>161</v>
      </c>
      <c r="C2400" s="184" t="s">
        <v>2528</v>
      </c>
      <c r="D2400" s="185" t="s">
        <v>704</v>
      </c>
      <c r="E2400" s="186" t="s">
        <v>906</v>
      </c>
      <c r="F2400" s="186" t="s">
        <v>2529</v>
      </c>
      <c r="G2400" s="186" t="s">
        <v>2530</v>
      </c>
      <c r="H2400" s="186" t="s">
        <v>2558</v>
      </c>
      <c r="I2400" s="187" t="s">
        <v>2589</v>
      </c>
      <c r="J2400" s="187" t="s">
        <v>2590</v>
      </c>
      <c r="K2400" s="188"/>
      <c r="L2400" s="188"/>
      <c r="M2400" s="189" t="s">
        <v>1018</v>
      </c>
      <c r="N2400" s="190">
        <v>579.08</v>
      </c>
      <c r="O2400" s="190">
        <f t="shared" si="299"/>
        <v>631.2</v>
      </c>
      <c r="P2400" s="191">
        <f t="shared" si="300"/>
        <v>0</v>
      </c>
      <c r="Q2400" s="192">
        <f t="shared" si="301"/>
        <v>0</v>
      </c>
      <c r="R2400" s="193"/>
      <c r="S2400" s="194"/>
      <c r="T2400" s="195">
        <f t="shared" si="302"/>
        <v>0</v>
      </c>
      <c r="U2400" s="195">
        <f t="shared" si="303"/>
        <v>0</v>
      </c>
      <c r="V2400" s="195">
        <f t="shared" si="304"/>
        <v>0</v>
      </c>
      <c r="W2400" s="196" t="e">
        <f t="shared" si="305"/>
        <v>#DIV/0!</v>
      </c>
      <c r="X2400" s="197" t="e">
        <f t="shared" si="306"/>
        <v>#DIV/0!</v>
      </c>
    </row>
    <row r="2401" ht="11.4" hidden="1" customHeight="1" spans="1:24">
      <c r="A2401" s="184" t="s">
        <v>3212</v>
      </c>
      <c r="B2401" s="184" t="s">
        <v>161</v>
      </c>
      <c r="C2401" s="184" t="s">
        <v>2528</v>
      </c>
      <c r="D2401" s="185" t="s">
        <v>704</v>
      </c>
      <c r="E2401" s="186" t="s">
        <v>906</v>
      </c>
      <c r="F2401" s="186" t="s">
        <v>2529</v>
      </c>
      <c r="G2401" s="186" t="s">
        <v>2530</v>
      </c>
      <c r="H2401" s="186" t="s">
        <v>2591</v>
      </c>
      <c r="I2401" s="187" t="s">
        <v>2592</v>
      </c>
      <c r="J2401" s="187" t="s">
        <v>2593</v>
      </c>
      <c r="K2401" s="188"/>
      <c r="L2401" s="188"/>
      <c r="M2401" s="189" t="s">
        <v>2548</v>
      </c>
      <c r="N2401" s="190">
        <v>2654.05</v>
      </c>
      <c r="O2401" s="190">
        <f t="shared" si="299"/>
        <v>2892.91</v>
      </c>
      <c r="P2401" s="191">
        <f t="shared" si="300"/>
        <v>0</v>
      </c>
      <c r="Q2401" s="192">
        <f t="shared" si="301"/>
        <v>0</v>
      </c>
      <c r="R2401" s="193"/>
      <c r="S2401" s="194"/>
      <c r="T2401" s="195">
        <f t="shared" si="302"/>
        <v>0</v>
      </c>
      <c r="U2401" s="195">
        <f t="shared" si="303"/>
        <v>0</v>
      </c>
      <c r="V2401" s="195">
        <f t="shared" si="304"/>
        <v>0</v>
      </c>
      <c r="W2401" s="196" t="e">
        <f t="shared" si="305"/>
        <v>#DIV/0!</v>
      </c>
      <c r="X2401" s="197" t="e">
        <f t="shared" si="306"/>
        <v>#DIV/0!</v>
      </c>
    </row>
    <row r="2402" ht="11.4" hidden="1" customHeight="1" spans="1:24">
      <c r="A2402" s="184" t="s">
        <v>3212</v>
      </c>
      <c r="B2402" s="184" t="s">
        <v>161</v>
      </c>
      <c r="C2402" s="184" t="s">
        <v>2528</v>
      </c>
      <c r="D2402" s="185" t="s">
        <v>704</v>
      </c>
      <c r="E2402" s="186" t="s">
        <v>906</v>
      </c>
      <c r="F2402" s="186" t="s">
        <v>2529</v>
      </c>
      <c r="G2402" s="186" t="s">
        <v>2530</v>
      </c>
      <c r="H2402" s="186" t="s">
        <v>2591</v>
      </c>
      <c r="I2402" s="187" t="s">
        <v>2594</v>
      </c>
      <c r="J2402" s="187" t="s">
        <v>2595</v>
      </c>
      <c r="K2402" s="188"/>
      <c r="L2402" s="188"/>
      <c r="M2402" s="189" t="s">
        <v>793</v>
      </c>
      <c r="N2402" s="190">
        <v>689.3</v>
      </c>
      <c r="O2402" s="190">
        <f t="shared" si="299"/>
        <v>751.34</v>
      </c>
      <c r="P2402" s="191">
        <f t="shared" si="300"/>
        <v>0</v>
      </c>
      <c r="Q2402" s="192">
        <f t="shared" si="301"/>
        <v>0</v>
      </c>
      <c r="R2402" s="193"/>
      <c r="S2402" s="194"/>
      <c r="T2402" s="195">
        <f t="shared" si="302"/>
        <v>0</v>
      </c>
      <c r="U2402" s="195">
        <f t="shared" si="303"/>
        <v>0</v>
      </c>
      <c r="V2402" s="195">
        <f t="shared" si="304"/>
        <v>0</v>
      </c>
      <c r="W2402" s="196" t="e">
        <f t="shared" si="305"/>
        <v>#DIV/0!</v>
      </c>
      <c r="X2402" s="197" t="e">
        <f t="shared" si="306"/>
        <v>#DIV/0!</v>
      </c>
    </row>
    <row r="2403" ht="11.4" hidden="1" customHeight="1" spans="1:24">
      <c r="A2403" s="184" t="s">
        <v>3212</v>
      </c>
      <c r="B2403" s="184" t="s">
        <v>161</v>
      </c>
      <c r="C2403" s="184" t="s">
        <v>2528</v>
      </c>
      <c r="D2403" s="185" t="s">
        <v>704</v>
      </c>
      <c r="E2403" s="186" t="s">
        <v>906</v>
      </c>
      <c r="F2403" s="186" t="s">
        <v>2529</v>
      </c>
      <c r="G2403" s="186" t="s">
        <v>2530</v>
      </c>
      <c r="H2403" s="186" t="s">
        <v>2591</v>
      </c>
      <c r="I2403" s="187" t="s">
        <v>2596</v>
      </c>
      <c r="J2403" s="187" t="s">
        <v>2597</v>
      </c>
      <c r="K2403" s="188"/>
      <c r="L2403" s="188"/>
      <c r="M2403" s="189" t="s">
        <v>989</v>
      </c>
      <c r="N2403" s="190">
        <v>99.97</v>
      </c>
      <c r="O2403" s="190">
        <f t="shared" si="299"/>
        <v>108.97</v>
      </c>
      <c r="P2403" s="191">
        <f t="shared" si="300"/>
        <v>0</v>
      </c>
      <c r="Q2403" s="192">
        <f t="shared" si="301"/>
        <v>0</v>
      </c>
      <c r="R2403" s="193"/>
      <c r="S2403" s="194"/>
      <c r="T2403" s="195">
        <f t="shared" si="302"/>
        <v>0</v>
      </c>
      <c r="U2403" s="195">
        <f t="shared" si="303"/>
        <v>0</v>
      </c>
      <c r="V2403" s="195">
        <f t="shared" si="304"/>
        <v>0</v>
      </c>
      <c r="W2403" s="196" t="e">
        <f t="shared" si="305"/>
        <v>#DIV/0!</v>
      </c>
      <c r="X2403" s="197" t="e">
        <f t="shared" si="306"/>
        <v>#DIV/0!</v>
      </c>
    </row>
    <row r="2404" ht="11.4" hidden="1" customHeight="1" spans="1:24">
      <c r="A2404" s="184" t="s">
        <v>3212</v>
      </c>
      <c r="B2404" s="184" t="s">
        <v>161</v>
      </c>
      <c r="C2404" s="184" t="s">
        <v>2528</v>
      </c>
      <c r="D2404" s="185" t="s">
        <v>704</v>
      </c>
      <c r="E2404" s="186" t="s">
        <v>906</v>
      </c>
      <c r="F2404" s="186" t="s">
        <v>2529</v>
      </c>
      <c r="G2404" s="186" t="s">
        <v>2530</v>
      </c>
      <c r="H2404" s="186" t="s">
        <v>2591</v>
      </c>
      <c r="I2404" s="187" t="s">
        <v>2598</v>
      </c>
      <c r="J2404" s="187" t="s">
        <v>2599</v>
      </c>
      <c r="K2404" s="188"/>
      <c r="L2404" s="188"/>
      <c r="M2404" s="189" t="s">
        <v>989</v>
      </c>
      <c r="N2404" s="190">
        <v>144.14</v>
      </c>
      <c r="O2404" s="190">
        <f t="shared" si="299"/>
        <v>157.11</v>
      </c>
      <c r="P2404" s="191">
        <f t="shared" si="300"/>
        <v>0</v>
      </c>
      <c r="Q2404" s="192">
        <f t="shared" si="301"/>
        <v>0</v>
      </c>
      <c r="R2404" s="193"/>
      <c r="S2404" s="194"/>
      <c r="T2404" s="195">
        <f t="shared" si="302"/>
        <v>0</v>
      </c>
      <c r="U2404" s="195">
        <f t="shared" si="303"/>
        <v>0</v>
      </c>
      <c r="V2404" s="195">
        <f t="shared" si="304"/>
        <v>0</v>
      </c>
      <c r="W2404" s="196" t="e">
        <f t="shared" si="305"/>
        <v>#DIV/0!</v>
      </c>
      <c r="X2404" s="197" t="e">
        <f t="shared" si="306"/>
        <v>#DIV/0!</v>
      </c>
    </row>
    <row r="2405" ht="11.4" hidden="1" customHeight="1" spans="1:24">
      <c r="A2405" s="184" t="s">
        <v>3212</v>
      </c>
      <c r="B2405" s="184" t="s">
        <v>161</v>
      </c>
      <c r="C2405" s="184" t="s">
        <v>2528</v>
      </c>
      <c r="D2405" s="185" t="s">
        <v>704</v>
      </c>
      <c r="E2405" s="186" t="s">
        <v>906</v>
      </c>
      <c r="F2405" s="186" t="s">
        <v>2529</v>
      </c>
      <c r="G2405" s="186" t="s">
        <v>2530</v>
      </c>
      <c r="H2405" s="186" t="s">
        <v>2591</v>
      </c>
      <c r="I2405" s="187" t="s">
        <v>2600</v>
      </c>
      <c r="J2405" s="187" t="s">
        <v>2601</v>
      </c>
      <c r="K2405" s="188"/>
      <c r="L2405" s="188"/>
      <c r="M2405" s="189" t="s">
        <v>989</v>
      </c>
      <c r="N2405" s="190">
        <v>1375.89</v>
      </c>
      <c r="O2405" s="190">
        <f t="shared" si="299"/>
        <v>1499.72</v>
      </c>
      <c r="P2405" s="191">
        <f t="shared" si="300"/>
        <v>0</v>
      </c>
      <c r="Q2405" s="192">
        <f t="shared" si="301"/>
        <v>0</v>
      </c>
      <c r="R2405" s="193"/>
      <c r="S2405" s="194"/>
      <c r="T2405" s="195">
        <f t="shared" si="302"/>
        <v>0</v>
      </c>
      <c r="U2405" s="195">
        <f t="shared" si="303"/>
        <v>0</v>
      </c>
      <c r="V2405" s="195">
        <f t="shared" si="304"/>
        <v>0</v>
      </c>
      <c r="W2405" s="196" t="e">
        <f t="shared" si="305"/>
        <v>#DIV/0!</v>
      </c>
      <c r="X2405" s="197" t="e">
        <f t="shared" si="306"/>
        <v>#DIV/0!</v>
      </c>
    </row>
    <row r="2406" ht="11.4" hidden="1" customHeight="1" spans="1:24">
      <c r="A2406" s="184" t="s">
        <v>3212</v>
      </c>
      <c r="B2406" s="184" t="s">
        <v>161</v>
      </c>
      <c r="C2406" s="184" t="s">
        <v>2528</v>
      </c>
      <c r="D2406" s="185" t="s">
        <v>704</v>
      </c>
      <c r="E2406" s="186" t="s">
        <v>906</v>
      </c>
      <c r="F2406" s="186" t="s">
        <v>2529</v>
      </c>
      <c r="G2406" s="186" t="s">
        <v>2530</v>
      </c>
      <c r="H2406" s="186" t="s">
        <v>2591</v>
      </c>
      <c r="I2406" s="187" t="s">
        <v>2602</v>
      </c>
      <c r="J2406" s="187" t="s">
        <v>2603</v>
      </c>
      <c r="K2406" s="188"/>
      <c r="L2406" s="188"/>
      <c r="M2406" s="189" t="s">
        <v>1018</v>
      </c>
      <c r="N2406" s="190">
        <v>1294.59</v>
      </c>
      <c r="O2406" s="190">
        <f t="shared" si="299"/>
        <v>1411.1</v>
      </c>
      <c r="P2406" s="191">
        <f t="shared" si="300"/>
        <v>0</v>
      </c>
      <c r="Q2406" s="192">
        <f t="shared" si="301"/>
        <v>0</v>
      </c>
      <c r="R2406" s="193"/>
      <c r="S2406" s="194"/>
      <c r="T2406" s="195">
        <f t="shared" si="302"/>
        <v>0</v>
      </c>
      <c r="U2406" s="195">
        <f t="shared" si="303"/>
        <v>0</v>
      </c>
      <c r="V2406" s="195">
        <f t="shared" si="304"/>
        <v>0</v>
      </c>
      <c r="W2406" s="196" t="e">
        <f t="shared" si="305"/>
        <v>#DIV/0!</v>
      </c>
      <c r="X2406" s="197" t="e">
        <f t="shared" si="306"/>
        <v>#DIV/0!</v>
      </c>
    </row>
    <row r="2407" ht="11.4" hidden="1" customHeight="1" spans="1:24">
      <c r="A2407" s="184" t="s">
        <v>3213</v>
      </c>
      <c r="B2407" s="184" t="s">
        <v>164</v>
      </c>
      <c r="C2407" s="184" t="s">
        <v>2605</v>
      </c>
      <c r="D2407" s="185" t="s">
        <v>704</v>
      </c>
      <c r="E2407" s="186" t="s">
        <v>906</v>
      </c>
      <c r="F2407" s="186" t="s">
        <v>2529</v>
      </c>
      <c r="G2407" s="186" t="s">
        <v>2530</v>
      </c>
      <c r="H2407" s="186" t="s">
        <v>2606</v>
      </c>
      <c r="I2407" s="187" t="s">
        <v>2607</v>
      </c>
      <c r="J2407" s="187" t="s">
        <v>2608</v>
      </c>
      <c r="K2407" s="188"/>
      <c r="L2407" s="188"/>
      <c r="M2407" s="189" t="s">
        <v>963</v>
      </c>
      <c r="N2407" s="190">
        <v>517.6</v>
      </c>
      <c r="O2407" s="190">
        <f t="shared" si="299"/>
        <v>564.18</v>
      </c>
      <c r="P2407" s="191">
        <f t="shared" si="300"/>
        <v>0</v>
      </c>
      <c r="Q2407" s="192">
        <f t="shared" si="301"/>
        <v>0</v>
      </c>
      <c r="R2407" s="193"/>
      <c r="S2407" s="194"/>
      <c r="T2407" s="195">
        <f t="shared" si="302"/>
        <v>0</v>
      </c>
      <c r="U2407" s="195">
        <f t="shared" si="303"/>
        <v>0</v>
      </c>
      <c r="V2407" s="195">
        <f t="shared" si="304"/>
        <v>0</v>
      </c>
      <c r="W2407" s="196" t="e">
        <f t="shared" si="305"/>
        <v>#DIV/0!</v>
      </c>
      <c r="X2407" s="197" t="e">
        <f t="shared" si="306"/>
        <v>#DIV/0!</v>
      </c>
    </row>
    <row r="2408" ht="11.4" hidden="1" customHeight="1" spans="1:24">
      <c r="A2408" s="184" t="s">
        <v>3213</v>
      </c>
      <c r="B2408" s="184" t="s">
        <v>164</v>
      </c>
      <c r="C2408" s="184" t="s">
        <v>2605</v>
      </c>
      <c r="D2408" s="185" t="s">
        <v>704</v>
      </c>
      <c r="E2408" s="186" t="s">
        <v>906</v>
      </c>
      <c r="F2408" s="186" t="s">
        <v>2529</v>
      </c>
      <c r="G2408" s="186" t="s">
        <v>2530</v>
      </c>
      <c r="H2408" s="186" t="s">
        <v>2606</v>
      </c>
      <c r="I2408" s="187" t="s">
        <v>2609</v>
      </c>
      <c r="J2408" s="187" t="s">
        <v>2610</v>
      </c>
      <c r="K2408" s="188"/>
      <c r="L2408" s="188"/>
      <c r="M2408" s="189" t="s">
        <v>963</v>
      </c>
      <c r="N2408" s="190">
        <v>624.3</v>
      </c>
      <c r="O2408" s="190">
        <f t="shared" si="299"/>
        <v>680.49</v>
      </c>
      <c r="P2408" s="191">
        <f t="shared" si="300"/>
        <v>0</v>
      </c>
      <c r="Q2408" s="192">
        <f t="shared" si="301"/>
        <v>0</v>
      </c>
      <c r="R2408" s="193"/>
      <c r="S2408" s="194"/>
      <c r="T2408" s="195">
        <f t="shared" si="302"/>
        <v>0</v>
      </c>
      <c r="U2408" s="195">
        <f t="shared" si="303"/>
        <v>0</v>
      </c>
      <c r="V2408" s="195">
        <f t="shared" si="304"/>
        <v>0</v>
      </c>
      <c r="W2408" s="196" t="e">
        <f t="shared" si="305"/>
        <v>#DIV/0!</v>
      </c>
      <c r="X2408" s="197" t="e">
        <f t="shared" si="306"/>
        <v>#DIV/0!</v>
      </c>
    </row>
    <row r="2409" ht="11.4" hidden="1" customHeight="1" spans="1:24">
      <c r="A2409" s="184" t="s">
        <v>3213</v>
      </c>
      <c r="B2409" s="184" t="s">
        <v>164</v>
      </c>
      <c r="C2409" s="184" t="s">
        <v>2605</v>
      </c>
      <c r="D2409" s="185" t="s">
        <v>704</v>
      </c>
      <c r="E2409" s="186" t="s">
        <v>906</v>
      </c>
      <c r="F2409" s="186" t="s">
        <v>2529</v>
      </c>
      <c r="G2409" s="186" t="s">
        <v>2530</v>
      </c>
      <c r="H2409" s="186" t="s">
        <v>2606</v>
      </c>
      <c r="I2409" s="187" t="s">
        <v>2611</v>
      </c>
      <c r="J2409" s="187" t="s">
        <v>2612</v>
      </c>
      <c r="K2409" s="188"/>
      <c r="L2409" s="188"/>
      <c r="M2409" s="189" t="s">
        <v>847</v>
      </c>
      <c r="N2409" s="190">
        <v>219.99</v>
      </c>
      <c r="O2409" s="190">
        <f t="shared" si="299"/>
        <v>239.79</v>
      </c>
      <c r="P2409" s="191">
        <f t="shared" si="300"/>
        <v>0</v>
      </c>
      <c r="Q2409" s="192">
        <f t="shared" si="301"/>
        <v>0</v>
      </c>
      <c r="R2409" s="193"/>
      <c r="S2409" s="194"/>
      <c r="T2409" s="195">
        <f t="shared" si="302"/>
        <v>0</v>
      </c>
      <c r="U2409" s="195">
        <f t="shared" si="303"/>
        <v>0</v>
      </c>
      <c r="V2409" s="195">
        <f t="shared" si="304"/>
        <v>0</v>
      </c>
      <c r="W2409" s="196" t="e">
        <f t="shared" si="305"/>
        <v>#DIV/0!</v>
      </c>
      <c r="X2409" s="197" t="e">
        <f t="shared" si="306"/>
        <v>#DIV/0!</v>
      </c>
    </row>
    <row r="2410" ht="11.4" hidden="1" customHeight="1" spans="1:24">
      <c r="A2410" s="184" t="s">
        <v>3213</v>
      </c>
      <c r="B2410" s="184" t="s">
        <v>164</v>
      </c>
      <c r="C2410" s="184" t="s">
        <v>2605</v>
      </c>
      <c r="D2410" s="185" t="s">
        <v>704</v>
      </c>
      <c r="E2410" s="186" t="s">
        <v>906</v>
      </c>
      <c r="F2410" s="186" t="s">
        <v>2529</v>
      </c>
      <c r="G2410" s="186" t="s">
        <v>2530</v>
      </c>
      <c r="H2410" s="186" t="s">
        <v>2606</v>
      </c>
      <c r="I2410" s="187" t="s">
        <v>2613</v>
      </c>
      <c r="J2410" s="187" t="s">
        <v>2614</v>
      </c>
      <c r="K2410" s="188"/>
      <c r="L2410" s="188"/>
      <c r="M2410" s="189" t="s">
        <v>2308</v>
      </c>
      <c r="N2410" s="190"/>
      <c r="O2410" s="190">
        <f t="shared" si="299"/>
        <v>0</v>
      </c>
      <c r="P2410" s="191">
        <f t="shared" si="300"/>
        <v>0</v>
      </c>
      <c r="Q2410" s="192">
        <f t="shared" si="301"/>
        <v>0</v>
      </c>
      <c r="R2410" s="193"/>
      <c r="S2410" s="194"/>
      <c r="T2410" s="195">
        <f t="shared" si="302"/>
        <v>0</v>
      </c>
      <c r="U2410" s="195">
        <f t="shared" si="303"/>
        <v>0</v>
      </c>
      <c r="V2410" s="195">
        <f t="shared" si="304"/>
        <v>0</v>
      </c>
      <c r="W2410" s="196" t="e">
        <f t="shared" si="305"/>
        <v>#DIV/0!</v>
      </c>
      <c r="X2410" s="197" t="e">
        <f t="shared" si="306"/>
        <v>#DIV/0!</v>
      </c>
    </row>
    <row r="2411" ht="11.4" hidden="1" customHeight="1" spans="1:24">
      <c r="A2411" s="184" t="s">
        <v>3213</v>
      </c>
      <c r="B2411" s="184" t="s">
        <v>164</v>
      </c>
      <c r="C2411" s="184" t="s">
        <v>2605</v>
      </c>
      <c r="D2411" s="185" t="s">
        <v>704</v>
      </c>
      <c r="E2411" s="186" t="s">
        <v>906</v>
      </c>
      <c r="F2411" s="186" t="s">
        <v>2529</v>
      </c>
      <c r="G2411" s="186" t="s">
        <v>2530</v>
      </c>
      <c r="H2411" s="186" t="s">
        <v>2606</v>
      </c>
      <c r="I2411" s="187" t="s">
        <v>2615</v>
      </c>
      <c r="J2411" s="187" t="s">
        <v>2616</v>
      </c>
      <c r="K2411" s="188"/>
      <c r="L2411" s="188"/>
      <c r="M2411" s="189" t="s">
        <v>847</v>
      </c>
      <c r="N2411" s="190">
        <v>560</v>
      </c>
      <c r="O2411" s="190">
        <f t="shared" si="299"/>
        <v>610.4</v>
      </c>
      <c r="P2411" s="191">
        <f t="shared" si="300"/>
        <v>0</v>
      </c>
      <c r="Q2411" s="192">
        <f t="shared" si="301"/>
        <v>0</v>
      </c>
      <c r="R2411" s="193"/>
      <c r="S2411" s="194"/>
      <c r="T2411" s="195">
        <f t="shared" si="302"/>
        <v>0</v>
      </c>
      <c r="U2411" s="195">
        <f t="shared" si="303"/>
        <v>0</v>
      </c>
      <c r="V2411" s="195">
        <f t="shared" si="304"/>
        <v>0</v>
      </c>
      <c r="W2411" s="196" t="e">
        <f t="shared" si="305"/>
        <v>#DIV/0!</v>
      </c>
      <c r="X2411" s="197" t="e">
        <f t="shared" si="306"/>
        <v>#DIV/0!</v>
      </c>
    </row>
    <row r="2412" ht="11.4" hidden="1" customHeight="1" spans="1:24">
      <c r="A2412" s="184" t="s">
        <v>3213</v>
      </c>
      <c r="B2412" s="184" t="s">
        <v>164</v>
      </c>
      <c r="C2412" s="184" t="s">
        <v>2605</v>
      </c>
      <c r="D2412" s="185" t="s">
        <v>704</v>
      </c>
      <c r="E2412" s="186" t="s">
        <v>906</v>
      </c>
      <c r="F2412" s="186" t="s">
        <v>2529</v>
      </c>
      <c r="G2412" s="186" t="s">
        <v>2530</v>
      </c>
      <c r="H2412" s="186" t="s">
        <v>2606</v>
      </c>
      <c r="I2412" s="187" t="s">
        <v>2617</v>
      </c>
      <c r="J2412" s="187" t="s">
        <v>2618</v>
      </c>
      <c r="K2412" s="188"/>
      <c r="L2412" s="188"/>
      <c r="M2412" s="189" t="s">
        <v>2308</v>
      </c>
      <c r="N2412" s="190">
        <v>3580</v>
      </c>
      <c r="O2412" s="190">
        <f t="shared" si="299"/>
        <v>3902.2</v>
      </c>
      <c r="P2412" s="191">
        <f t="shared" si="300"/>
        <v>0</v>
      </c>
      <c r="Q2412" s="192">
        <f t="shared" si="301"/>
        <v>0</v>
      </c>
      <c r="R2412" s="193"/>
      <c r="S2412" s="194"/>
      <c r="T2412" s="195">
        <f t="shared" si="302"/>
        <v>0</v>
      </c>
      <c r="U2412" s="195">
        <f t="shared" si="303"/>
        <v>0</v>
      </c>
      <c r="V2412" s="195">
        <f t="shared" si="304"/>
        <v>0</v>
      </c>
      <c r="W2412" s="196" t="e">
        <f t="shared" si="305"/>
        <v>#DIV/0!</v>
      </c>
      <c r="X2412" s="197" t="e">
        <f t="shared" si="306"/>
        <v>#DIV/0!</v>
      </c>
    </row>
    <row r="2413" ht="11.4" hidden="1" customHeight="1" spans="1:24">
      <c r="A2413" s="184" t="s">
        <v>3212</v>
      </c>
      <c r="B2413" s="184" t="s">
        <v>161</v>
      </c>
      <c r="C2413" s="184" t="s">
        <v>2528</v>
      </c>
      <c r="D2413" s="185" t="s">
        <v>704</v>
      </c>
      <c r="E2413" s="186" t="s">
        <v>906</v>
      </c>
      <c r="F2413" s="186" t="s">
        <v>2529</v>
      </c>
      <c r="G2413" s="186" t="s">
        <v>2530</v>
      </c>
      <c r="H2413" s="186" t="s">
        <v>2619</v>
      </c>
      <c r="I2413" s="187" t="s">
        <v>2620</v>
      </c>
      <c r="J2413" s="187" t="s">
        <v>2621</v>
      </c>
      <c r="K2413" s="188"/>
      <c r="L2413" s="188"/>
      <c r="M2413" s="189" t="s">
        <v>1018</v>
      </c>
      <c r="N2413" s="190">
        <v>40</v>
      </c>
      <c r="O2413" s="190">
        <f t="shared" si="299"/>
        <v>43.6</v>
      </c>
      <c r="P2413" s="191">
        <f t="shared" si="300"/>
        <v>0</v>
      </c>
      <c r="Q2413" s="192">
        <f t="shared" si="301"/>
        <v>0</v>
      </c>
      <c r="R2413" s="193"/>
      <c r="S2413" s="194"/>
      <c r="T2413" s="195">
        <f t="shared" si="302"/>
        <v>0</v>
      </c>
      <c r="U2413" s="195">
        <f t="shared" si="303"/>
        <v>0</v>
      </c>
      <c r="V2413" s="195">
        <f t="shared" si="304"/>
        <v>0</v>
      </c>
      <c r="W2413" s="196" t="e">
        <f t="shared" si="305"/>
        <v>#DIV/0!</v>
      </c>
      <c r="X2413" s="197" t="e">
        <f t="shared" si="306"/>
        <v>#DIV/0!</v>
      </c>
    </row>
    <row r="2414" ht="11.4" hidden="1" customHeight="1" spans="1:24">
      <c r="A2414" s="184" t="s">
        <v>3214</v>
      </c>
      <c r="B2414" s="184" t="s">
        <v>170</v>
      </c>
      <c r="C2414" s="184" t="s">
        <v>2623</v>
      </c>
      <c r="D2414" s="185" t="s">
        <v>704</v>
      </c>
      <c r="E2414" s="186" t="s">
        <v>906</v>
      </c>
      <c r="F2414" s="186" t="s">
        <v>2624</v>
      </c>
      <c r="G2414" s="186" t="s">
        <v>2625</v>
      </c>
      <c r="H2414" s="186" t="s">
        <v>2626</v>
      </c>
      <c r="I2414" s="187" t="s">
        <v>2627</v>
      </c>
      <c r="J2414" s="187" t="s">
        <v>2628</v>
      </c>
      <c r="K2414" s="188"/>
      <c r="L2414" s="188"/>
      <c r="M2414" s="189" t="s">
        <v>847</v>
      </c>
      <c r="N2414" s="190">
        <v>260.72</v>
      </c>
      <c r="O2414" s="190">
        <f t="shared" si="299"/>
        <v>284.18</v>
      </c>
      <c r="P2414" s="191">
        <f t="shared" si="300"/>
        <v>0</v>
      </c>
      <c r="Q2414" s="192">
        <f t="shared" si="301"/>
        <v>0</v>
      </c>
      <c r="R2414" s="193"/>
      <c r="S2414" s="194"/>
      <c r="T2414" s="195">
        <f t="shared" si="302"/>
        <v>0</v>
      </c>
      <c r="U2414" s="195">
        <f t="shared" si="303"/>
        <v>0</v>
      </c>
      <c r="V2414" s="195">
        <f t="shared" si="304"/>
        <v>0</v>
      </c>
      <c r="W2414" s="196" t="e">
        <f t="shared" si="305"/>
        <v>#DIV/0!</v>
      </c>
      <c r="X2414" s="197" t="e">
        <f t="shared" si="306"/>
        <v>#DIV/0!</v>
      </c>
    </row>
    <row r="2415" ht="11.4" hidden="1" customHeight="1" spans="1:24">
      <c r="A2415" s="184" t="s">
        <v>3214</v>
      </c>
      <c r="B2415" s="184" t="s">
        <v>170</v>
      </c>
      <c r="C2415" s="184" t="s">
        <v>2623</v>
      </c>
      <c r="D2415" s="185" t="s">
        <v>704</v>
      </c>
      <c r="E2415" s="186" t="s">
        <v>906</v>
      </c>
      <c r="F2415" s="186" t="s">
        <v>2624</v>
      </c>
      <c r="G2415" s="186" t="s">
        <v>2625</v>
      </c>
      <c r="H2415" s="186" t="s">
        <v>2629</v>
      </c>
      <c r="I2415" s="187" t="s">
        <v>2630</v>
      </c>
      <c r="J2415" s="187" t="s">
        <v>2631</v>
      </c>
      <c r="K2415" s="188"/>
      <c r="L2415" s="188"/>
      <c r="M2415" s="189" t="s">
        <v>793</v>
      </c>
      <c r="N2415" s="190">
        <v>0</v>
      </c>
      <c r="O2415" s="190">
        <f t="shared" si="299"/>
        <v>0</v>
      </c>
      <c r="P2415" s="191">
        <f t="shared" si="300"/>
        <v>0</v>
      </c>
      <c r="Q2415" s="192">
        <f t="shared" si="301"/>
        <v>0</v>
      </c>
      <c r="R2415" s="193"/>
      <c r="S2415" s="194"/>
      <c r="T2415" s="195">
        <f t="shared" si="302"/>
        <v>0</v>
      </c>
      <c r="U2415" s="195">
        <f t="shared" si="303"/>
        <v>0</v>
      </c>
      <c r="V2415" s="195">
        <f t="shared" si="304"/>
        <v>0</v>
      </c>
      <c r="W2415" s="196" t="e">
        <f t="shared" si="305"/>
        <v>#DIV/0!</v>
      </c>
      <c r="X2415" s="197" t="e">
        <f t="shared" si="306"/>
        <v>#DIV/0!</v>
      </c>
    </row>
    <row r="2416" ht="11.4" hidden="1" customHeight="1" spans="1:24">
      <c r="A2416" s="184" t="s">
        <v>3214</v>
      </c>
      <c r="B2416" s="184" t="s">
        <v>170</v>
      </c>
      <c r="C2416" s="184" t="s">
        <v>2623</v>
      </c>
      <c r="D2416" s="185" t="s">
        <v>704</v>
      </c>
      <c r="E2416" s="186" t="s">
        <v>906</v>
      </c>
      <c r="F2416" s="186" t="s">
        <v>2624</v>
      </c>
      <c r="G2416" s="186" t="s">
        <v>2625</v>
      </c>
      <c r="H2416" s="186" t="s">
        <v>2629</v>
      </c>
      <c r="I2416" s="187" t="s">
        <v>2632</v>
      </c>
      <c r="J2416" s="187" t="s">
        <v>2633</v>
      </c>
      <c r="K2416" s="188"/>
      <c r="L2416" s="188"/>
      <c r="M2416" s="189" t="s">
        <v>793</v>
      </c>
      <c r="N2416" s="190">
        <v>1572.2</v>
      </c>
      <c r="O2416" s="190">
        <f t="shared" si="299"/>
        <v>1713.7</v>
      </c>
      <c r="P2416" s="191">
        <f t="shared" si="300"/>
        <v>0</v>
      </c>
      <c r="Q2416" s="192">
        <f t="shared" si="301"/>
        <v>0</v>
      </c>
      <c r="R2416" s="193"/>
      <c r="S2416" s="194"/>
      <c r="T2416" s="195">
        <f t="shared" si="302"/>
        <v>0</v>
      </c>
      <c r="U2416" s="195">
        <f t="shared" si="303"/>
        <v>0</v>
      </c>
      <c r="V2416" s="195">
        <f t="shared" si="304"/>
        <v>0</v>
      </c>
      <c r="W2416" s="196" t="e">
        <f t="shared" si="305"/>
        <v>#DIV/0!</v>
      </c>
      <c r="X2416" s="197" t="e">
        <f t="shared" si="306"/>
        <v>#DIV/0!</v>
      </c>
    </row>
    <row r="2417" ht="11.4" hidden="1" customHeight="1" spans="1:24">
      <c r="A2417" s="184" t="s">
        <v>3214</v>
      </c>
      <c r="B2417" s="184" t="s">
        <v>170</v>
      </c>
      <c r="C2417" s="184" t="s">
        <v>2623</v>
      </c>
      <c r="D2417" s="185" t="s">
        <v>704</v>
      </c>
      <c r="E2417" s="186" t="s">
        <v>906</v>
      </c>
      <c r="F2417" s="186" t="s">
        <v>2624</v>
      </c>
      <c r="G2417" s="186" t="s">
        <v>2625</v>
      </c>
      <c r="H2417" s="186" t="s">
        <v>2634</v>
      </c>
      <c r="I2417" s="187" t="s">
        <v>2635</v>
      </c>
      <c r="J2417" s="187" t="s">
        <v>2636</v>
      </c>
      <c r="K2417" s="188"/>
      <c r="L2417" s="188"/>
      <c r="M2417" s="189" t="s">
        <v>793</v>
      </c>
      <c r="N2417" s="190">
        <v>11764.6</v>
      </c>
      <c r="O2417" s="190">
        <f t="shared" si="299"/>
        <v>12823.41</v>
      </c>
      <c r="P2417" s="191">
        <f t="shared" si="300"/>
        <v>0</v>
      </c>
      <c r="Q2417" s="192">
        <f t="shared" si="301"/>
        <v>0</v>
      </c>
      <c r="R2417" s="193"/>
      <c r="S2417" s="194"/>
      <c r="T2417" s="195">
        <f t="shared" si="302"/>
        <v>0</v>
      </c>
      <c r="U2417" s="195">
        <f t="shared" si="303"/>
        <v>0</v>
      </c>
      <c r="V2417" s="195">
        <f t="shared" si="304"/>
        <v>0</v>
      </c>
      <c r="W2417" s="196" t="e">
        <f t="shared" si="305"/>
        <v>#DIV/0!</v>
      </c>
      <c r="X2417" s="197" t="e">
        <f t="shared" si="306"/>
        <v>#DIV/0!</v>
      </c>
    </row>
    <row r="2418" ht="11.4" hidden="1" customHeight="1" spans="1:24">
      <c r="A2418" s="184" t="s">
        <v>3214</v>
      </c>
      <c r="B2418" s="184" t="s">
        <v>170</v>
      </c>
      <c r="C2418" s="184" t="s">
        <v>2623</v>
      </c>
      <c r="D2418" s="185" t="s">
        <v>704</v>
      </c>
      <c r="E2418" s="186" t="s">
        <v>906</v>
      </c>
      <c r="F2418" s="186" t="s">
        <v>2624</v>
      </c>
      <c r="G2418" s="186" t="s">
        <v>2625</v>
      </c>
      <c r="H2418" s="186" t="s">
        <v>2634</v>
      </c>
      <c r="I2418" s="187" t="s">
        <v>2637</v>
      </c>
      <c r="J2418" s="187" t="s">
        <v>2638</v>
      </c>
      <c r="K2418" s="188"/>
      <c r="L2418" s="188"/>
      <c r="M2418" s="189" t="s">
        <v>1018</v>
      </c>
      <c r="N2418" s="190">
        <v>661.09</v>
      </c>
      <c r="O2418" s="190">
        <f t="shared" si="299"/>
        <v>720.59</v>
      </c>
      <c r="P2418" s="191">
        <f t="shared" si="300"/>
        <v>0</v>
      </c>
      <c r="Q2418" s="192">
        <f t="shared" si="301"/>
        <v>0</v>
      </c>
      <c r="R2418" s="193"/>
      <c r="S2418" s="194"/>
      <c r="T2418" s="195">
        <f t="shared" si="302"/>
        <v>0</v>
      </c>
      <c r="U2418" s="195">
        <f t="shared" si="303"/>
        <v>0</v>
      </c>
      <c r="V2418" s="195">
        <f t="shared" si="304"/>
        <v>0</v>
      </c>
      <c r="W2418" s="196" t="e">
        <f t="shared" si="305"/>
        <v>#DIV/0!</v>
      </c>
      <c r="X2418" s="197" t="e">
        <f t="shared" si="306"/>
        <v>#DIV/0!</v>
      </c>
    </row>
    <row r="2419" ht="11.4" hidden="1" customHeight="1" spans="1:24">
      <c r="A2419" s="184" t="s">
        <v>3214</v>
      </c>
      <c r="B2419" s="184" t="s">
        <v>170</v>
      </c>
      <c r="C2419" s="184" t="s">
        <v>2623</v>
      </c>
      <c r="D2419" s="185" t="s">
        <v>704</v>
      </c>
      <c r="E2419" s="186" t="s">
        <v>906</v>
      </c>
      <c r="F2419" s="186" t="s">
        <v>2624</v>
      </c>
      <c r="G2419" s="186" t="s">
        <v>2625</v>
      </c>
      <c r="H2419" s="186" t="s">
        <v>2634</v>
      </c>
      <c r="I2419" s="187" t="s">
        <v>2639</v>
      </c>
      <c r="J2419" s="187" t="s">
        <v>2640</v>
      </c>
      <c r="K2419" s="188"/>
      <c r="L2419" s="188"/>
      <c r="M2419" s="189" t="s">
        <v>793</v>
      </c>
      <c r="N2419" s="190">
        <v>11489.6</v>
      </c>
      <c r="O2419" s="190">
        <f t="shared" si="299"/>
        <v>12523.66</v>
      </c>
      <c r="P2419" s="191">
        <f t="shared" si="300"/>
        <v>0</v>
      </c>
      <c r="Q2419" s="192">
        <f t="shared" si="301"/>
        <v>0</v>
      </c>
      <c r="R2419" s="193"/>
      <c r="S2419" s="194"/>
      <c r="T2419" s="195">
        <f t="shared" si="302"/>
        <v>0</v>
      </c>
      <c r="U2419" s="195">
        <f t="shared" si="303"/>
        <v>0</v>
      </c>
      <c r="V2419" s="195">
        <f t="shared" si="304"/>
        <v>0</v>
      </c>
      <c r="W2419" s="196" t="e">
        <f t="shared" si="305"/>
        <v>#DIV/0!</v>
      </c>
      <c r="X2419" s="197" t="e">
        <f t="shared" si="306"/>
        <v>#DIV/0!</v>
      </c>
    </row>
    <row r="2420" ht="11.4" hidden="1" customHeight="1" spans="1:24">
      <c r="A2420" s="184" t="s">
        <v>3214</v>
      </c>
      <c r="B2420" s="184" t="s">
        <v>170</v>
      </c>
      <c r="C2420" s="184" t="s">
        <v>2623</v>
      </c>
      <c r="D2420" s="185" t="s">
        <v>704</v>
      </c>
      <c r="E2420" s="186" t="s">
        <v>906</v>
      </c>
      <c r="F2420" s="186" t="s">
        <v>2624</v>
      </c>
      <c r="G2420" s="186" t="s">
        <v>2625</v>
      </c>
      <c r="H2420" s="186" t="s">
        <v>2634</v>
      </c>
      <c r="I2420" s="187" t="s">
        <v>2641</v>
      </c>
      <c r="J2420" s="187" t="s">
        <v>2642</v>
      </c>
      <c r="K2420" s="188"/>
      <c r="L2420" s="188"/>
      <c r="M2420" s="189" t="s">
        <v>793</v>
      </c>
      <c r="N2420" s="190">
        <v>5866.38</v>
      </c>
      <c r="O2420" s="190">
        <f t="shared" si="299"/>
        <v>6394.35</v>
      </c>
      <c r="P2420" s="191">
        <f t="shared" si="300"/>
        <v>0</v>
      </c>
      <c r="Q2420" s="192">
        <f t="shared" si="301"/>
        <v>0</v>
      </c>
      <c r="R2420" s="193"/>
      <c r="S2420" s="194"/>
      <c r="T2420" s="195">
        <f t="shared" si="302"/>
        <v>0</v>
      </c>
      <c r="U2420" s="195">
        <f t="shared" si="303"/>
        <v>0</v>
      </c>
      <c r="V2420" s="195">
        <f t="shared" si="304"/>
        <v>0</v>
      </c>
      <c r="W2420" s="196" t="e">
        <f t="shared" si="305"/>
        <v>#DIV/0!</v>
      </c>
      <c r="X2420" s="197" t="e">
        <f t="shared" si="306"/>
        <v>#DIV/0!</v>
      </c>
    </row>
    <row r="2421" ht="11.4" hidden="1" customHeight="1" spans="1:24">
      <c r="A2421" s="184" t="s">
        <v>3215</v>
      </c>
      <c r="B2421" s="184" t="s">
        <v>188</v>
      </c>
      <c r="C2421" s="184" t="s">
        <v>2644</v>
      </c>
      <c r="D2421" s="185" t="s">
        <v>704</v>
      </c>
      <c r="E2421" s="186" t="s">
        <v>2645</v>
      </c>
      <c r="F2421" s="186" t="s">
        <v>2646</v>
      </c>
      <c r="G2421" s="186" t="s">
        <v>2647</v>
      </c>
      <c r="H2421" s="186" t="s">
        <v>2647</v>
      </c>
      <c r="I2421" s="187" t="s">
        <v>2648</v>
      </c>
      <c r="J2421" s="187" t="s">
        <v>2649</v>
      </c>
      <c r="K2421" s="188"/>
      <c r="L2421" s="188"/>
      <c r="M2421" s="189" t="s">
        <v>847</v>
      </c>
      <c r="N2421" s="190">
        <v>60</v>
      </c>
      <c r="O2421" s="190">
        <f t="shared" si="299"/>
        <v>65.4</v>
      </c>
      <c r="P2421" s="191">
        <f t="shared" si="300"/>
        <v>0</v>
      </c>
      <c r="Q2421" s="192">
        <f t="shared" si="301"/>
        <v>0</v>
      </c>
      <c r="R2421" s="193"/>
      <c r="S2421" s="194"/>
      <c r="T2421" s="195">
        <f t="shared" si="302"/>
        <v>0</v>
      </c>
      <c r="U2421" s="195">
        <f t="shared" si="303"/>
        <v>0</v>
      </c>
      <c r="V2421" s="195">
        <f t="shared" si="304"/>
        <v>0</v>
      </c>
      <c r="W2421" s="196" t="e">
        <f t="shared" si="305"/>
        <v>#DIV/0!</v>
      </c>
      <c r="X2421" s="197" t="e">
        <f t="shared" si="306"/>
        <v>#DIV/0!</v>
      </c>
    </row>
    <row r="2422" ht="11.4" hidden="1" customHeight="1" spans="1:24">
      <c r="A2422" s="184" t="s">
        <v>3215</v>
      </c>
      <c r="B2422" s="184" t="s">
        <v>188</v>
      </c>
      <c r="C2422" s="184" t="s">
        <v>2644</v>
      </c>
      <c r="D2422" s="185" t="s">
        <v>704</v>
      </c>
      <c r="E2422" s="186" t="s">
        <v>2645</v>
      </c>
      <c r="F2422" s="186" t="s">
        <v>2651</v>
      </c>
      <c r="G2422" s="186" t="s">
        <v>2647</v>
      </c>
      <c r="H2422" s="186" t="s">
        <v>2647</v>
      </c>
      <c r="I2422" s="187" t="s">
        <v>2652</v>
      </c>
      <c r="J2422" s="187" t="s">
        <v>2653</v>
      </c>
      <c r="K2422" s="188"/>
      <c r="L2422" s="188"/>
      <c r="M2422" s="189" t="s">
        <v>847</v>
      </c>
      <c r="N2422" s="190">
        <v>438.66</v>
      </c>
      <c r="O2422" s="190">
        <f t="shared" si="299"/>
        <v>478.14</v>
      </c>
      <c r="P2422" s="191">
        <f t="shared" si="300"/>
        <v>0</v>
      </c>
      <c r="Q2422" s="192">
        <f t="shared" si="301"/>
        <v>0</v>
      </c>
      <c r="R2422" s="193"/>
      <c r="S2422" s="194"/>
      <c r="T2422" s="195">
        <f t="shared" si="302"/>
        <v>0</v>
      </c>
      <c r="U2422" s="195">
        <f t="shared" si="303"/>
        <v>0</v>
      </c>
      <c r="V2422" s="195">
        <f t="shared" si="304"/>
        <v>0</v>
      </c>
      <c r="W2422" s="196" t="e">
        <f t="shared" si="305"/>
        <v>#DIV/0!</v>
      </c>
      <c r="X2422" s="197" t="e">
        <f t="shared" si="306"/>
        <v>#DIV/0!</v>
      </c>
    </row>
    <row r="2423" ht="11.4" hidden="1" customHeight="1" spans="1:24">
      <c r="A2423" s="184" t="s">
        <v>3215</v>
      </c>
      <c r="B2423" s="184" t="s">
        <v>188</v>
      </c>
      <c r="C2423" s="184" t="s">
        <v>2644</v>
      </c>
      <c r="D2423" s="185" t="s">
        <v>704</v>
      </c>
      <c r="E2423" s="186" t="s">
        <v>2645</v>
      </c>
      <c r="F2423" s="186" t="s">
        <v>2651</v>
      </c>
      <c r="G2423" s="186" t="s">
        <v>2647</v>
      </c>
      <c r="H2423" s="186" t="s">
        <v>2647</v>
      </c>
      <c r="I2423" s="187" t="s">
        <v>2655</v>
      </c>
      <c r="J2423" s="187" t="s">
        <v>2656</v>
      </c>
      <c r="K2423" s="188"/>
      <c r="L2423" s="188"/>
      <c r="M2423" s="189" t="s">
        <v>963</v>
      </c>
      <c r="N2423" s="190">
        <v>4341.19</v>
      </c>
      <c r="O2423" s="190">
        <f t="shared" si="299"/>
        <v>4731.9</v>
      </c>
      <c r="P2423" s="191">
        <f t="shared" si="300"/>
        <v>0</v>
      </c>
      <c r="Q2423" s="192">
        <f t="shared" si="301"/>
        <v>0</v>
      </c>
      <c r="R2423" s="193"/>
      <c r="S2423" s="194"/>
      <c r="T2423" s="195">
        <f t="shared" si="302"/>
        <v>0</v>
      </c>
      <c r="U2423" s="195">
        <f t="shared" si="303"/>
        <v>0</v>
      </c>
      <c r="V2423" s="195">
        <f t="shared" si="304"/>
        <v>0</v>
      </c>
      <c r="W2423" s="196" t="e">
        <f t="shared" si="305"/>
        <v>#DIV/0!</v>
      </c>
      <c r="X2423" s="197" t="e">
        <f t="shared" si="306"/>
        <v>#DIV/0!</v>
      </c>
    </row>
    <row r="2424" ht="11.4" hidden="1" customHeight="1" spans="1:24">
      <c r="A2424" s="184" t="s">
        <v>3215</v>
      </c>
      <c r="B2424" s="184" t="s">
        <v>188</v>
      </c>
      <c r="C2424" s="184" t="s">
        <v>2644</v>
      </c>
      <c r="D2424" s="185" t="s">
        <v>704</v>
      </c>
      <c r="E2424" s="186" t="s">
        <v>2645</v>
      </c>
      <c r="F2424" s="186" t="s">
        <v>2651</v>
      </c>
      <c r="G2424" s="186" t="s">
        <v>2647</v>
      </c>
      <c r="H2424" s="186" t="s">
        <v>2647</v>
      </c>
      <c r="I2424" s="187" t="s">
        <v>2658</v>
      </c>
      <c r="J2424" s="187" t="s">
        <v>2659</v>
      </c>
      <c r="K2424" s="188"/>
      <c r="L2424" s="188"/>
      <c r="M2424" s="189" t="s">
        <v>963</v>
      </c>
      <c r="N2424" s="190">
        <v>5895.79</v>
      </c>
      <c r="O2424" s="190">
        <f t="shared" si="299"/>
        <v>6426.41</v>
      </c>
      <c r="P2424" s="191">
        <f t="shared" si="300"/>
        <v>0</v>
      </c>
      <c r="Q2424" s="192">
        <f t="shared" si="301"/>
        <v>0</v>
      </c>
      <c r="R2424" s="193"/>
      <c r="S2424" s="194"/>
      <c r="T2424" s="195">
        <f t="shared" si="302"/>
        <v>0</v>
      </c>
      <c r="U2424" s="195">
        <f t="shared" si="303"/>
        <v>0</v>
      </c>
      <c r="V2424" s="195">
        <f t="shared" si="304"/>
        <v>0</v>
      </c>
      <c r="W2424" s="196" t="e">
        <f t="shared" si="305"/>
        <v>#DIV/0!</v>
      </c>
      <c r="X2424" s="197" t="e">
        <f t="shared" si="306"/>
        <v>#DIV/0!</v>
      </c>
    </row>
    <row r="2425" ht="11.4" hidden="1" customHeight="1" spans="1:24">
      <c r="A2425" s="184" t="s">
        <v>3215</v>
      </c>
      <c r="B2425" s="184" t="s">
        <v>188</v>
      </c>
      <c r="C2425" s="184" t="s">
        <v>2644</v>
      </c>
      <c r="D2425" s="185" t="s">
        <v>704</v>
      </c>
      <c r="E2425" s="186" t="s">
        <v>2645</v>
      </c>
      <c r="F2425" s="186" t="s">
        <v>2651</v>
      </c>
      <c r="G2425" s="186" t="s">
        <v>2647</v>
      </c>
      <c r="H2425" s="186" t="s">
        <v>2647</v>
      </c>
      <c r="I2425" s="187" t="s">
        <v>2660</v>
      </c>
      <c r="J2425" s="187" t="s">
        <v>2661</v>
      </c>
      <c r="K2425" s="188"/>
      <c r="L2425" s="188"/>
      <c r="M2425" s="189" t="s">
        <v>963</v>
      </c>
      <c r="N2425" s="190">
        <v>1317.56</v>
      </c>
      <c r="O2425" s="190">
        <f t="shared" si="299"/>
        <v>1436.14</v>
      </c>
      <c r="P2425" s="191">
        <f t="shared" si="300"/>
        <v>0</v>
      </c>
      <c r="Q2425" s="192">
        <f t="shared" si="301"/>
        <v>0</v>
      </c>
      <c r="R2425" s="193"/>
      <c r="S2425" s="194"/>
      <c r="T2425" s="195">
        <f t="shared" si="302"/>
        <v>0</v>
      </c>
      <c r="U2425" s="195">
        <f t="shared" si="303"/>
        <v>0</v>
      </c>
      <c r="V2425" s="195">
        <f t="shared" si="304"/>
        <v>0</v>
      </c>
      <c r="W2425" s="196" t="e">
        <f t="shared" si="305"/>
        <v>#DIV/0!</v>
      </c>
      <c r="X2425" s="197" t="e">
        <f t="shared" si="306"/>
        <v>#DIV/0!</v>
      </c>
    </row>
    <row r="2426" ht="11.4" hidden="1" customHeight="1" spans="1:24">
      <c r="A2426" s="184" t="s">
        <v>3215</v>
      </c>
      <c r="B2426" s="184" t="s">
        <v>188</v>
      </c>
      <c r="C2426" s="184" t="s">
        <v>2644</v>
      </c>
      <c r="D2426" s="185" t="s">
        <v>704</v>
      </c>
      <c r="E2426" s="186" t="s">
        <v>2645</v>
      </c>
      <c r="F2426" s="186" t="s">
        <v>2651</v>
      </c>
      <c r="G2426" s="186" t="s">
        <v>2647</v>
      </c>
      <c r="H2426" s="186" t="s">
        <v>2647</v>
      </c>
      <c r="I2426" s="187" t="s">
        <v>2662</v>
      </c>
      <c r="J2426" s="187" t="s">
        <v>2663</v>
      </c>
      <c r="K2426" s="188"/>
      <c r="L2426" s="188"/>
      <c r="M2426" s="189" t="s">
        <v>963</v>
      </c>
      <c r="N2426" s="190">
        <v>16886.35</v>
      </c>
      <c r="O2426" s="190">
        <f t="shared" si="299"/>
        <v>18406.12</v>
      </c>
      <c r="P2426" s="191">
        <f t="shared" si="300"/>
        <v>0</v>
      </c>
      <c r="Q2426" s="192">
        <f t="shared" si="301"/>
        <v>0</v>
      </c>
      <c r="R2426" s="193"/>
      <c r="S2426" s="194"/>
      <c r="T2426" s="195">
        <f t="shared" si="302"/>
        <v>0</v>
      </c>
      <c r="U2426" s="195">
        <f t="shared" si="303"/>
        <v>0</v>
      </c>
      <c r="V2426" s="195">
        <f t="shared" si="304"/>
        <v>0</v>
      </c>
      <c r="W2426" s="196" t="e">
        <f t="shared" si="305"/>
        <v>#DIV/0!</v>
      </c>
      <c r="X2426" s="197" t="e">
        <f t="shared" si="306"/>
        <v>#DIV/0!</v>
      </c>
    </row>
    <row r="2427" ht="11.4" hidden="1" customHeight="1" spans="1:24">
      <c r="A2427" s="184" t="s">
        <v>3215</v>
      </c>
      <c r="B2427" s="184" t="s">
        <v>188</v>
      </c>
      <c r="C2427" s="184" t="s">
        <v>2644</v>
      </c>
      <c r="D2427" s="185" t="s">
        <v>704</v>
      </c>
      <c r="E2427" s="186" t="s">
        <v>2645</v>
      </c>
      <c r="F2427" s="186" t="s">
        <v>2651</v>
      </c>
      <c r="G2427" s="186" t="s">
        <v>2647</v>
      </c>
      <c r="H2427" s="186" t="s">
        <v>2647</v>
      </c>
      <c r="I2427" s="187" t="s">
        <v>2664</v>
      </c>
      <c r="J2427" s="187" t="s">
        <v>2665</v>
      </c>
      <c r="K2427" s="188"/>
      <c r="L2427" s="188"/>
      <c r="M2427" s="189" t="s">
        <v>963</v>
      </c>
      <c r="N2427" s="190">
        <v>43209.18</v>
      </c>
      <c r="O2427" s="190">
        <f t="shared" si="299"/>
        <v>47098.01</v>
      </c>
      <c r="P2427" s="191">
        <f t="shared" si="300"/>
        <v>0</v>
      </c>
      <c r="Q2427" s="192">
        <f t="shared" si="301"/>
        <v>0</v>
      </c>
      <c r="R2427" s="193"/>
      <c r="S2427" s="194"/>
      <c r="T2427" s="195">
        <f t="shared" si="302"/>
        <v>0</v>
      </c>
      <c r="U2427" s="195">
        <f t="shared" si="303"/>
        <v>0</v>
      </c>
      <c r="V2427" s="195">
        <f t="shared" si="304"/>
        <v>0</v>
      </c>
      <c r="W2427" s="196" t="e">
        <f t="shared" si="305"/>
        <v>#DIV/0!</v>
      </c>
      <c r="X2427" s="197" t="e">
        <f t="shared" si="306"/>
        <v>#DIV/0!</v>
      </c>
    </row>
    <row r="2428" ht="11.4" hidden="1" customHeight="1" spans="1:24">
      <c r="A2428" s="184" t="s">
        <v>3215</v>
      </c>
      <c r="B2428" s="184" t="s">
        <v>188</v>
      </c>
      <c r="C2428" s="184" t="s">
        <v>2644</v>
      </c>
      <c r="D2428" s="185" t="s">
        <v>704</v>
      </c>
      <c r="E2428" s="186" t="s">
        <v>2645</v>
      </c>
      <c r="F2428" s="186" t="s">
        <v>2651</v>
      </c>
      <c r="G2428" s="186" t="s">
        <v>2647</v>
      </c>
      <c r="H2428" s="186" t="s">
        <v>2647</v>
      </c>
      <c r="I2428" s="187" t="s">
        <v>2666</v>
      </c>
      <c r="J2428" s="187" t="s">
        <v>2667</v>
      </c>
      <c r="K2428" s="188"/>
      <c r="L2428" s="188"/>
      <c r="M2428" s="189" t="s">
        <v>963</v>
      </c>
      <c r="N2428" s="190">
        <v>18631.78</v>
      </c>
      <c r="O2428" s="190">
        <f t="shared" si="299"/>
        <v>20308.64</v>
      </c>
      <c r="P2428" s="191">
        <f t="shared" si="300"/>
        <v>0</v>
      </c>
      <c r="Q2428" s="192">
        <f t="shared" si="301"/>
        <v>0</v>
      </c>
      <c r="R2428" s="193"/>
      <c r="S2428" s="194"/>
      <c r="T2428" s="195">
        <f t="shared" si="302"/>
        <v>0</v>
      </c>
      <c r="U2428" s="195">
        <f t="shared" si="303"/>
        <v>0</v>
      </c>
      <c r="V2428" s="195">
        <f t="shared" si="304"/>
        <v>0</v>
      </c>
      <c r="W2428" s="196" t="e">
        <f t="shared" si="305"/>
        <v>#DIV/0!</v>
      </c>
      <c r="X2428" s="197" t="e">
        <f t="shared" si="306"/>
        <v>#DIV/0!</v>
      </c>
    </row>
    <row r="2429" ht="11.4" hidden="1" customHeight="1" spans="1:24">
      <c r="A2429" s="184" t="s">
        <v>3215</v>
      </c>
      <c r="B2429" s="184" t="s">
        <v>188</v>
      </c>
      <c r="C2429" s="184" t="s">
        <v>2644</v>
      </c>
      <c r="D2429" s="185" t="s">
        <v>704</v>
      </c>
      <c r="E2429" s="186" t="s">
        <v>2645</v>
      </c>
      <c r="F2429" s="186" t="s">
        <v>2651</v>
      </c>
      <c r="G2429" s="186" t="s">
        <v>2647</v>
      </c>
      <c r="H2429" s="186" t="s">
        <v>2647</v>
      </c>
      <c r="I2429" s="187" t="s">
        <v>2668</v>
      </c>
      <c r="J2429" s="187" t="s">
        <v>2669</v>
      </c>
      <c r="K2429" s="188"/>
      <c r="L2429" s="188"/>
      <c r="M2429" s="189" t="s">
        <v>963</v>
      </c>
      <c r="N2429" s="190">
        <v>45299.18</v>
      </c>
      <c r="O2429" s="190">
        <f t="shared" si="299"/>
        <v>49376.11</v>
      </c>
      <c r="P2429" s="191">
        <f t="shared" si="300"/>
        <v>0</v>
      </c>
      <c r="Q2429" s="192">
        <f t="shared" si="301"/>
        <v>0</v>
      </c>
      <c r="R2429" s="193"/>
      <c r="S2429" s="194"/>
      <c r="T2429" s="195">
        <f t="shared" si="302"/>
        <v>0</v>
      </c>
      <c r="U2429" s="195">
        <f t="shared" si="303"/>
        <v>0</v>
      </c>
      <c r="V2429" s="195">
        <f t="shared" si="304"/>
        <v>0</v>
      </c>
      <c r="W2429" s="196" t="e">
        <f t="shared" si="305"/>
        <v>#DIV/0!</v>
      </c>
      <c r="X2429" s="197" t="e">
        <f t="shared" si="306"/>
        <v>#DIV/0!</v>
      </c>
    </row>
    <row r="2430" ht="11.4" hidden="1" customHeight="1" spans="1:24">
      <c r="A2430" s="184" t="s">
        <v>3215</v>
      </c>
      <c r="B2430" s="184" t="s">
        <v>188</v>
      </c>
      <c r="C2430" s="184" t="s">
        <v>2644</v>
      </c>
      <c r="D2430" s="185" t="s">
        <v>704</v>
      </c>
      <c r="E2430" s="186" t="s">
        <v>2645</v>
      </c>
      <c r="F2430" s="186" t="s">
        <v>2651</v>
      </c>
      <c r="G2430" s="186" t="s">
        <v>2647</v>
      </c>
      <c r="H2430" s="186" t="s">
        <v>2647</v>
      </c>
      <c r="I2430" s="187" t="s">
        <v>2670</v>
      </c>
      <c r="J2430" s="187" t="s">
        <v>2671</v>
      </c>
      <c r="K2430" s="188"/>
      <c r="L2430" s="188"/>
      <c r="M2430" s="189" t="s">
        <v>963</v>
      </c>
      <c r="N2430" s="190">
        <v>3067.95</v>
      </c>
      <c r="O2430" s="190">
        <f t="shared" si="299"/>
        <v>3344.07</v>
      </c>
      <c r="P2430" s="191">
        <f t="shared" si="300"/>
        <v>0</v>
      </c>
      <c r="Q2430" s="192">
        <f t="shared" si="301"/>
        <v>0</v>
      </c>
      <c r="R2430" s="193"/>
      <c r="S2430" s="194"/>
      <c r="T2430" s="195">
        <f t="shared" si="302"/>
        <v>0</v>
      </c>
      <c r="U2430" s="195">
        <f t="shared" si="303"/>
        <v>0</v>
      </c>
      <c r="V2430" s="195">
        <f t="shared" si="304"/>
        <v>0</v>
      </c>
      <c r="W2430" s="196" t="e">
        <f t="shared" si="305"/>
        <v>#DIV/0!</v>
      </c>
      <c r="X2430" s="197" t="e">
        <f t="shared" si="306"/>
        <v>#DIV/0!</v>
      </c>
    </row>
    <row r="2431" ht="11.4" hidden="1" customHeight="1" spans="1:24">
      <c r="A2431" s="184" t="s">
        <v>3215</v>
      </c>
      <c r="B2431" s="184" t="s">
        <v>188</v>
      </c>
      <c r="C2431" s="184" t="s">
        <v>2644</v>
      </c>
      <c r="D2431" s="185" t="s">
        <v>704</v>
      </c>
      <c r="E2431" s="186" t="s">
        <v>2645</v>
      </c>
      <c r="F2431" s="186" t="s">
        <v>2651</v>
      </c>
      <c r="G2431" s="186" t="s">
        <v>2647</v>
      </c>
      <c r="H2431" s="186" t="s">
        <v>2647</v>
      </c>
      <c r="I2431" s="187" t="s">
        <v>2672</v>
      </c>
      <c r="J2431" s="187" t="s">
        <v>2673</v>
      </c>
      <c r="K2431" s="188"/>
      <c r="L2431" s="188"/>
      <c r="M2431" s="189" t="s">
        <v>963</v>
      </c>
      <c r="N2431" s="190">
        <v>4892.05</v>
      </c>
      <c r="O2431" s="190">
        <f t="shared" si="299"/>
        <v>5332.33</v>
      </c>
      <c r="P2431" s="191">
        <f t="shared" si="300"/>
        <v>0</v>
      </c>
      <c r="Q2431" s="192">
        <f t="shared" si="301"/>
        <v>0</v>
      </c>
      <c r="R2431" s="193"/>
      <c r="S2431" s="194"/>
      <c r="T2431" s="195">
        <f t="shared" si="302"/>
        <v>0</v>
      </c>
      <c r="U2431" s="195">
        <f t="shared" si="303"/>
        <v>0</v>
      </c>
      <c r="V2431" s="195">
        <f t="shared" si="304"/>
        <v>0</v>
      </c>
      <c r="W2431" s="196" t="e">
        <f t="shared" si="305"/>
        <v>#DIV/0!</v>
      </c>
      <c r="X2431" s="197" t="e">
        <f t="shared" si="306"/>
        <v>#DIV/0!</v>
      </c>
    </row>
    <row r="2432" ht="11.4" hidden="1" customHeight="1" spans="1:24">
      <c r="A2432" s="184" t="s">
        <v>3215</v>
      </c>
      <c r="B2432" s="184" t="s">
        <v>188</v>
      </c>
      <c r="C2432" s="184" t="s">
        <v>2644</v>
      </c>
      <c r="D2432" s="185" t="s">
        <v>704</v>
      </c>
      <c r="E2432" s="186" t="s">
        <v>2645</v>
      </c>
      <c r="F2432" s="186" t="s">
        <v>2651</v>
      </c>
      <c r="G2432" s="186" t="s">
        <v>2647</v>
      </c>
      <c r="H2432" s="186" t="s">
        <v>2647</v>
      </c>
      <c r="I2432" s="187" t="s">
        <v>2674</v>
      </c>
      <c r="J2432" s="187" t="s">
        <v>2675</v>
      </c>
      <c r="K2432" s="188"/>
      <c r="L2432" s="188"/>
      <c r="M2432" s="189" t="s">
        <v>963</v>
      </c>
      <c r="N2432" s="190">
        <v>1554.6</v>
      </c>
      <c r="O2432" s="190">
        <f t="shared" si="299"/>
        <v>1694.51</v>
      </c>
      <c r="P2432" s="191">
        <f t="shared" si="300"/>
        <v>0</v>
      </c>
      <c r="Q2432" s="192">
        <f t="shared" si="301"/>
        <v>0</v>
      </c>
      <c r="R2432" s="193"/>
      <c r="S2432" s="194"/>
      <c r="T2432" s="195">
        <f t="shared" si="302"/>
        <v>0</v>
      </c>
      <c r="U2432" s="195">
        <f t="shared" si="303"/>
        <v>0</v>
      </c>
      <c r="V2432" s="195">
        <f t="shared" si="304"/>
        <v>0</v>
      </c>
      <c r="W2432" s="196" t="e">
        <f t="shared" si="305"/>
        <v>#DIV/0!</v>
      </c>
      <c r="X2432" s="197" t="e">
        <f t="shared" si="306"/>
        <v>#DIV/0!</v>
      </c>
    </row>
    <row r="2433" ht="11.4" hidden="1" customHeight="1" spans="1:24">
      <c r="A2433" s="184" t="s">
        <v>3215</v>
      </c>
      <c r="B2433" s="184" t="s">
        <v>188</v>
      </c>
      <c r="C2433" s="184" t="s">
        <v>2644</v>
      </c>
      <c r="D2433" s="185" t="s">
        <v>704</v>
      </c>
      <c r="E2433" s="186" t="s">
        <v>2645</v>
      </c>
      <c r="F2433" s="186" t="s">
        <v>2651</v>
      </c>
      <c r="G2433" s="186" t="s">
        <v>2647</v>
      </c>
      <c r="H2433" s="186" t="s">
        <v>2647</v>
      </c>
      <c r="I2433" s="187" t="s">
        <v>2676</v>
      </c>
      <c r="J2433" s="187" t="s">
        <v>2677</v>
      </c>
      <c r="K2433" s="188"/>
      <c r="L2433" s="188"/>
      <c r="M2433" s="189" t="s">
        <v>963</v>
      </c>
      <c r="N2433" s="190">
        <v>165</v>
      </c>
      <c r="O2433" s="190">
        <f t="shared" si="299"/>
        <v>179.85</v>
      </c>
      <c r="P2433" s="191">
        <f t="shared" si="300"/>
        <v>0</v>
      </c>
      <c r="Q2433" s="192">
        <f t="shared" si="301"/>
        <v>0</v>
      </c>
      <c r="R2433" s="193"/>
      <c r="S2433" s="194"/>
      <c r="T2433" s="195">
        <f t="shared" si="302"/>
        <v>0</v>
      </c>
      <c r="U2433" s="195">
        <f t="shared" si="303"/>
        <v>0</v>
      </c>
      <c r="V2433" s="195">
        <f t="shared" si="304"/>
        <v>0</v>
      </c>
      <c r="W2433" s="196" t="e">
        <f t="shared" si="305"/>
        <v>#DIV/0!</v>
      </c>
      <c r="X2433" s="197" t="e">
        <f t="shared" si="306"/>
        <v>#DIV/0!</v>
      </c>
    </row>
    <row r="2434" ht="11.4" hidden="1" customHeight="1" spans="1:24">
      <c r="A2434" s="184" t="s">
        <v>3215</v>
      </c>
      <c r="B2434" s="184" t="s">
        <v>188</v>
      </c>
      <c r="C2434" s="184" t="s">
        <v>2644</v>
      </c>
      <c r="D2434" s="185" t="s">
        <v>704</v>
      </c>
      <c r="E2434" s="186" t="s">
        <v>2645</v>
      </c>
      <c r="F2434" s="186" t="s">
        <v>2651</v>
      </c>
      <c r="G2434" s="186" t="s">
        <v>2647</v>
      </c>
      <c r="H2434" s="186" t="s">
        <v>2647</v>
      </c>
      <c r="I2434" s="187" t="s">
        <v>2678</v>
      </c>
      <c r="J2434" s="187" t="s">
        <v>2679</v>
      </c>
      <c r="K2434" s="188"/>
      <c r="L2434" s="188"/>
      <c r="M2434" s="189" t="s">
        <v>963</v>
      </c>
      <c r="N2434" s="190">
        <v>648.76</v>
      </c>
      <c r="O2434" s="190">
        <f t="shared" si="299"/>
        <v>707.15</v>
      </c>
      <c r="P2434" s="191">
        <f t="shared" si="300"/>
        <v>0</v>
      </c>
      <c r="Q2434" s="192">
        <f t="shared" si="301"/>
        <v>0</v>
      </c>
      <c r="R2434" s="193"/>
      <c r="S2434" s="194"/>
      <c r="T2434" s="195">
        <f t="shared" si="302"/>
        <v>0</v>
      </c>
      <c r="U2434" s="195">
        <f t="shared" si="303"/>
        <v>0</v>
      </c>
      <c r="V2434" s="195">
        <f t="shared" si="304"/>
        <v>0</v>
      </c>
      <c r="W2434" s="196" t="e">
        <f t="shared" si="305"/>
        <v>#DIV/0!</v>
      </c>
      <c r="X2434" s="197" t="e">
        <f t="shared" si="306"/>
        <v>#DIV/0!</v>
      </c>
    </row>
    <row r="2435" ht="11.4" hidden="1" customHeight="1" spans="1:24">
      <c r="A2435" s="184" t="s">
        <v>3215</v>
      </c>
      <c r="B2435" s="184" t="s">
        <v>188</v>
      </c>
      <c r="C2435" s="184" t="s">
        <v>2644</v>
      </c>
      <c r="D2435" s="185" t="s">
        <v>704</v>
      </c>
      <c r="E2435" s="186" t="s">
        <v>2645</v>
      </c>
      <c r="F2435" s="186" t="s">
        <v>2651</v>
      </c>
      <c r="G2435" s="186" t="s">
        <v>2647</v>
      </c>
      <c r="H2435" s="186" t="s">
        <v>2647</v>
      </c>
      <c r="I2435" s="187" t="s">
        <v>2680</v>
      </c>
      <c r="J2435" s="187" t="s">
        <v>2681</v>
      </c>
      <c r="K2435" s="188"/>
      <c r="L2435" s="188"/>
      <c r="M2435" s="189" t="s">
        <v>1018</v>
      </c>
      <c r="N2435" s="190">
        <v>1369.65</v>
      </c>
      <c r="O2435" s="190">
        <f t="shared" si="299"/>
        <v>1492.92</v>
      </c>
      <c r="P2435" s="191">
        <f t="shared" si="300"/>
        <v>0</v>
      </c>
      <c r="Q2435" s="192">
        <f t="shared" si="301"/>
        <v>0</v>
      </c>
      <c r="R2435" s="193"/>
      <c r="S2435" s="194"/>
      <c r="T2435" s="195">
        <f t="shared" si="302"/>
        <v>0</v>
      </c>
      <c r="U2435" s="195">
        <f t="shared" si="303"/>
        <v>0</v>
      </c>
      <c r="V2435" s="195">
        <f t="shared" si="304"/>
        <v>0</v>
      </c>
      <c r="W2435" s="196" t="e">
        <f t="shared" si="305"/>
        <v>#DIV/0!</v>
      </c>
      <c r="X2435" s="197" t="e">
        <f t="shared" si="306"/>
        <v>#DIV/0!</v>
      </c>
    </row>
    <row r="2436" ht="11.4" hidden="1" customHeight="1" spans="1:24">
      <c r="A2436" s="184" t="s">
        <v>3215</v>
      </c>
      <c r="B2436" s="184" t="s">
        <v>188</v>
      </c>
      <c r="C2436" s="184" t="s">
        <v>2644</v>
      </c>
      <c r="D2436" s="185" t="s">
        <v>704</v>
      </c>
      <c r="E2436" s="186" t="s">
        <v>2645</v>
      </c>
      <c r="F2436" s="186" t="s">
        <v>2651</v>
      </c>
      <c r="G2436" s="186" t="s">
        <v>2647</v>
      </c>
      <c r="H2436" s="186" t="s">
        <v>2647</v>
      </c>
      <c r="I2436" s="187" t="s">
        <v>2682</v>
      </c>
      <c r="J2436" s="187" t="s">
        <v>2683</v>
      </c>
      <c r="K2436" s="188"/>
      <c r="L2436" s="188"/>
      <c r="M2436" s="189" t="s">
        <v>847</v>
      </c>
      <c r="N2436" s="190">
        <v>489.26</v>
      </c>
      <c r="O2436" s="190">
        <f t="shared" si="299"/>
        <v>533.29</v>
      </c>
      <c r="P2436" s="191">
        <f t="shared" si="300"/>
        <v>0</v>
      </c>
      <c r="Q2436" s="192">
        <f t="shared" si="301"/>
        <v>0</v>
      </c>
      <c r="R2436" s="193"/>
      <c r="S2436" s="194"/>
      <c r="T2436" s="195">
        <f t="shared" si="302"/>
        <v>0</v>
      </c>
      <c r="U2436" s="195">
        <f t="shared" si="303"/>
        <v>0</v>
      </c>
      <c r="V2436" s="195">
        <f t="shared" si="304"/>
        <v>0</v>
      </c>
      <c r="W2436" s="196" t="e">
        <f t="shared" si="305"/>
        <v>#DIV/0!</v>
      </c>
      <c r="X2436" s="197" t="e">
        <f t="shared" si="306"/>
        <v>#DIV/0!</v>
      </c>
    </row>
    <row r="2437" ht="11.4" hidden="1" customHeight="1" spans="1:24">
      <c r="A2437" s="184" t="s">
        <v>3215</v>
      </c>
      <c r="B2437" s="184" t="s">
        <v>188</v>
      </c>
      <c r="C2437" s="184" t="s">
        <v>2644</v>
      </c>
      <c r="D2437" s="185" t="s">
        <v>704</v>
      </c>
      <c r="E2437" s="186" t="s">
        <v>2645</v>
      </c>
      <c r="F2437" s="186" t="s">
        <v>2651</v>
      </c>
      <c r="G2437" s="186" t="s">
        <v>2647</v>
      </c>
      <c r="H2437" s="186" t="s">
        <v>2647</v>
      </c>
      <c r="I2437" s="187" t="s">
        <v>2684</v>
      </c>
      <c r="J2437" s="187" t="s">
        <v>2685</v>
      </c>
      <c r="K2437" s="188"/>
      <c r="L2437" s="188"/>
      <c r="M2437" s="189" t="s">
        <v>963</v>
      </c>
      <c r="N2437" s="190">
        <v>1457.26</v>
      </c>
      <c r="O2437" s="190">
        <f t="shared" si="299"/>
        <v>1588.41</v>
      </c>
      <c r="P2437" s="191">
        <f t="shared" si="300"/>
        <v>0</v>
      </c>
      <c r="Q2437" s="192">
        <f t="shared" si="301"/>
        <v>0</v>
      </c>
      <c r="R2437" s="193"/>
      <c r="S2437" s="194"/>
      <c r="T2437" s="195">
        <f t="shared" si="302"/>
        <v>0</v>
      </c>
      <c r="U2437" s="195">
        <f t="shared" si="303"/>
        <v>0</v>
      </c>
      <c r="V2437" s="195">
        <f t="shared" si="304"/>
        <v>0</v>
      </c>
      <c r="W2437" s="196" t="e">
        <f t="shared" si="305"/>
        <v>#DIV/0!</v>
      </c>
      <c r="X2437" s="197" t="e">
        <f t="shared" si="306"/>
        <v>#DIV/0!</v>
      </c>
    </row>
    <row r="2438" ht="11.4" hidden="1" customHeight="1" spans="1:24">
      <c r="A2438" s="184" t="s">
        <v>3215</v>
      </c>
      <c r="B2438" s="184" t="s">
        <v>188</v>
      </c>
      <c r="C2438" s="184" t="s">
        <v>2644</v>
      </c>
      <c r="D2438" s="185" t="s">
        <v>704</v>
      </c>
      <c r="E2438" s="186" t="s">
        <v>2645</v>
      </c>
      <c r="F2438" s="186" t="s">
        <v>2651</v>
      </c>
      <c r="G2438" s="186" t="s">
        <v>2647</v>
      </c>
      <c r="H2438" s="186" t="s">
        <v>2647</v>
      </c>
      <c r="I2438" s="187" t="s">
        <v>2686</v>
      </c>
      <c r="J2438" s="187" t="s">
        <v>2687</v>
      </c>
      <c r="K2438" s="188"/>
      <c r="L2438" s="188"/>
      <c r="M2438" s="189" t="s">
        <v>963</v>
      </c>
      <c r="N2438" s="190">
        <v>489.26</v>
      </c>
      <c r="O2438" s="190">
        <f t="shared" si="299"/>
        <v>533.29</v>
      </c>
      <c r="P2438" s="191">
        <f t="shared" si="300"/>
        <v>0</v>
      </c>
      <c r="Q2438" s="192">
        <f t="shared" si="301"/>
        <v>0</v>
      </c>
      <c r="R2438" s="193"/>
      <c r="S2438" s="194"/>
      <c r="T2438" s="195">
        <f t="shared" si="302"/>
        <v>0</v>
      </c>
      <c r="U2438" s="195">
        <f t="shared" si="303"/>
        <v>0</v>
      </c>
      <c r="V2438" s="195">
        <f t="shared" si="304"/>
        <v>0</v>
      </c>
      <c r="W2438" s="196" t="e">
        <f t="shared" si="305"/>
        <v>#DIV/0!</v>
      </c>
      <c r="X2438" s="197" t="e">
        <f t="shared" si="306"/>
        <v>#DIV/0!</v>
      </c>
    </row>
    <row r="2439" ht="11.4" hidden="1" customHeight="1" spans="1:24">
      <c r="A2439" s="184" t="s">
        <v>3215</v>
      </c>
      <c r="B2439" s="184" t="s">
        <v>188</v>
      </c>
      <c r="C2439" s="184" t="s">
        <v>2644</v>
      </c>
      <c r="D2439" s="185" t="s">
        <v>704</v>
      </c>
      <c r="E2439" s="186" t="s">
        <v>2645</v>
      </c>
      <c r="F2439" s="186" t="s">
        <v>2651</v>
      </c>
      <c r="G2439" s="186" t="s">
        <v>2647</v>
      </c>
      <c r="H2439" s="186" t="s">
        <v>2647</v>
      </c>
      <c r="I2439" s="187" t="s">
        <v>2688</v>
      </c>
      <c r="J2439" s="187" t="s">
        <v>2689</v>
      </c>
      <c r="K2439" s="188"/>
      <c r="L2439" s="188"/>
      <c r="M2439" s="189" t="s">
        <v>963</v>
      </c>
      <c r="N2439" s="190">
        <v>439.49</v>
      </c>
      <c r="O2439" s="190">
        <f t="shared" si="299"/>
        <v>479.04</v>
      </c>
      <c r="P2439" s="191">
        <f t="shared" si="300"/>
        <v>0</v>
      </c>
      <c r="Q2439" s="192">
        <f t="shared" si="301"/>
        <v>0</v>
      </c>
      <c r="R2439" s="193"/>
      <c r="S2439" s="194"/>
      <c r="T2439" s="195">
        <f t="shared" si="302"/>
        <v>0</v>
      </c>
      <c r="U2439" s="195">
        <f t="shared" si="303"/>
        <v>0</v>
      </c>
      <c r="V2439" s="195">
        <f t="shared" si="304"/>
        <v>0</v>
      </c>
      <c r="W2439" s="196" t="e">
        <f t="shared" si="305"/>
        <v>#DIV/0!</v>
      </c>
      <c r="X2439" s="197" t="e">
        <f t="shared" si="306"/>
        <v>#DIV/0!</v>
      </c>
    </row>
    <row r="2440" ht="11.4" hidden="1" customHeight="1" spans="1:24">
      <c r="A2440" s="184" t="s">
        <v>3215</v>
      </c>
      <c r="B2440" s="184" t="s">
        <v>188</v>
      </c>
      <c r="C2440" s="184" t="s">
        <v>2644</v>
      </c>
      <c r="D2440" s="185" t="s">
        <v>704</v>
      </c>
      <c r="E2440" s="186" t="s">
        <v>2645</v>
      </c>
      <c r="F2440" s="186" t="s">
        <v>2651</v>
      </c>
      <c r="G2440" s="186" t="s">
        <v>2647</v>
      </c>
      <c r="H2440" s="186" t="s">
        <v>2647</v>
      </c>
      <c r="I2440" s="187" t="s">
        <v>2690</v>
      </c>
      <c r="J2440" s="187" t="s">
        <v>2691</v>
      </c>
      <c r="K2440" s="188"/>
      <c r="L2440" s="188"/>
      <c r="M2440" s="189" t="s">
        <v>963</v>
      </c>
      <c r="N2440" s="190">
        <v>6462.29</v>
      </c>
      <c r="O2440" s="190">
        <f t="shared" si="299"/>
        <v>7043.9</v>
      </c>
      <c r="P2440" s="191">
        <f t="shared" si="300"/>
        <v>0</v>
      </c>
      <c r="Q2440" s="192">
        <f t="shared" si="301"/>
        <v>0</v>
      </c>
      <c r="R2440" s="193"/>
      <c r="S2440" s="194"/>
      <c r="T2440" s="195">
        <f t="shared" si="302"/>
        <v>0</v>
      </c>
      <c r="U2440" s="195">
        <f t="shared" si="303"/>
        <v>0</v>
      </c>
      <c r="V2440" s="195">
        <f t="shared" si="304"/>
        <v>0</v>
      </c>
      <c r="W2440" s="196" t="e">
        <f t="shared" si="305"/>
        <v>#DIV/0!</v>
      </c>
      <c r="X2440" s="197" t="e">
        <f t="shared" si="306"/>
        <v>#DIV/0!</v>
      </c>
    </row>
    <row r="2441" ht="11.4" hidden="1" customHeight="1" spans="1:24">
      <c r="A2441" s="184" t="s">
        <v>3215</v>
      </c>
      <c r="B2441" s="184" t="s">
        <v>188</v>
      </c>
      <c r="C2441" s="184" t="s">
        <v>2644</v>
      </c>
      <c r="D2441" s="185" t="s">
        <v>704</v>
      </c>
      <c r="E2441" s="186" t="s">
        <v>2645</v>
      </c>
      <c r="F2441" s="186" t="s">
        <v>2651</v>
      </c>
      <c r="G2441" s="186" t="s">
        <v>2647</v>
      </c>
      <c r="H2441" s="186" t="s">
        <v>2647</v>
      </c>
      <c r="I2441" s="187" t="s">
        <v>2692</v>
      </c>
      <c r="J2441" s="187" t="s">
        <v>2693</v>
      </c>
      <c r="K2441" s="188"/>
      <c r="L2441" s="188"/>
      <c r="M2441" s="189" t="s">
        <v>963</v>
      </c>
      <c r="N2441" s="190">
        <v>4737.19</v>
      </c>
      <c r="O2441" s="190">
        <f t="shared" si="299"/>
        <v>5163.54</v>
      </c>
      <c r="P2441" s="191">
        <f t="shared" si="300"/>
        <v>0</v>
      </c>
      <c r="Q2441" s="192">
        <f t="shared" si="301"/>
        <v>0</v>
      </c>
      <c r="R2441" s="193"/>
      <c r="S2441" s="194"/>
      <c r="T2441" s="195">
        <f t="shared" si="302"/>
        <v>0</v>
      </c>
      <c r="U2441" s="195">
        <f t="shared" si="303"/>
        <v>0</v>
      </c>
      <c r="V2441" s="195">
        <f t="shared" si="304"/>
        <v>0</v>
      </c>
      <c r="W2441" s="196" t="e">
        <f t="shared" si="305"/>
        <v>#DIV/0!</v>
      </c>
      <c r="X2441" s="197" t="e">
        <f t="shared" si="306"/>
        <v>#DIV/0!</v>
      </c>
    </row>
    <row r="2442" ht="11.4" hidden="1" customHeight="1" spans="1:24">
      <c r="A2442" s="184" t="s">
        <v>3215</v>
      </c>
      <c r="B2442" s="184" t="s">
        <v>188</v>
      </c>
      <c r="C2442" s="184" t="s">
        <v>2644</v>
      </c>
      <c r="D2442" s="185" t="s">
        <v>704</v>
      </c>
      <c r="E2442" s="186" t="s">
        <v>2645</v>
      </c>
      <c r="F2442" s="186" t="s">
        <v>2651</v>
      </c>
      <c r="G2442" s="186" t="s">
        <v>2647</v>
      </c>
      <c r="H2442" s="186" t="s">
        <v>2647</v>
      </c>
      <c r="I2442" s="187" t="s">
        <v>2694</v>
      </c>
      <c r="J2442" s="187" t="s">
        <v>2695</v>
      </c>
      <c r="K2442" s="188"/>
      <c r="L2442" s="188"/>
      <c r="M2442" s="189" t="s">
        <v>963</v>
      </c>
      <c r="N2442" s="190">
        <v>1591.99</v>
      </c>
      <c r="O2442" s="190">
        <f t="shared" si="299"/>
        <v>1735.27</v>
      </c>
      <c r="P2442" s="191">
        <f t="shared" si="300"/>
        <v>0</v>
      </c>
      <c r="Q2442" s="192">
        <f t="shared" si="301"/>
        <v>0</v>
      </c>
      <c r="R2442" s="193"/>
      <c r="S2442" s="194"/>
      <c r="T2442" s="195">
        <f t="shared" si="302"/>
        <v>0</v>
      </c>
      <c r="U2442" s="195">
        <f t="shared" si="303"/>
        <v>0</v>
      </c>
      <c r="V2442" s="195">
        <f t="shared" si="304"/>
        <v>0</v>
      </c>
      <c r="W2442" s="196" t="e">
        <f t="shared" si="305"/>
        <v>#DIV/0!</v>
      </c>
      <c r="X2442" s="197" t="e">
        <f t="shared" si="306"/>
        <v>#DIV/0!</v>
      </c>
    </row>
    <row r="2443" ht="11.4" hidden="1" customHeight="1" spans="1:24">
      <c r="A2443" s="184" t="s">
        <v>3215</v>
      </c>
      <c r="B2443" s="184" t="s">
        <v>188</v>
      </c>
      <c r="C2443" s="184" t="s">
        <v>2644</v>
      </c>
      <c r="D2443" s="185" t="s">
        <v>704</v>
      </c>
      <c r="E2443" s="186" t="s">
        <v>2645</v>
      </c>
      <c r="F2443" s="186" t="s">
        <v>2651</v>
      </c>
      <c r="G2443" s="186" t="s">
        <v>2647</v>
      </c>
      <c r="H2443" s="186" t="s">
        <v>2647</v>
      </c>
      <c r="I2443" s="187" t="s">
        <v>2696</v>
      </c>
      <c r="J2443" s="187" t="s">
        <v>2697</v>
      </c>
      <c r="K2443" s="188"/>
      <c r="L2443" s="188"/>
      <c r="M2443" s="189" t="s">
        <v>963</v>
      </c>
      <c r="N2443" s="190">
        <v>372.89</v>
      </c>
      <c r="O2443" s="190">
        <f t="shared" si="299"/>
        <v>406.45</v>
      </c>
      <c r="P2443" s="191">
        <f t="shared" si="300"/>
        <v>0</v>
      </c>
      <c r="Q2443" s="192">
        <f t="shared" si="301"/>
        <v>0</v>
      </c>
      <c r="R2443" s="193"/>
      <c r="S2443" s="194"/>
      <c r="T2443" s="195">
        <f t="shared" si="302"/>
        <v>0</v>
      </c>
      <c r="U2443" s="195">
        <f t="shared" si="303"/>
        <v>0</v>
      </c>
      <c r="V2443" s="195">
        <f t="shared" si="304"/>
        <v>0</v>
      </c>
      <c r="W2443" s="196" t="e">
        <f t="shared" si="305"/>
        <v>#DIV/0!</v>
      </c>
      <c r="X2443" s="197" t="e">
        <f t="shared" si="306"/>
        <v>#DIV/0!</v>
      </c>
    </row>
    <row r="2444" ht="11.4" hidden="1" customHeight="1" spans="1:24">
      <c r="A2444" s="184" t="s">
        <v>3215</v>
      </c>
      <c r="B2444" s="184" t="s">
        <v>188</v>
      </c>
      <c r="C2444" s="184" t="s">
        <v>2644</v>
      </c>
      <c r="D2444" s="185" t="s">
        <v>704</v>
      </c>
      <c r="E2444" s="186" t="s">
        <v>2645</v>
      </c>
      <c r="F2444" s="186" t="s">
        <v>2651</v>
      </c>
      <c r="G2444" s="186" t="s">
        <v>2647</v>
      </c>
      <c r="H2444" s="186" t="s">
        <v>2647</v>
      </c>
      <c r="I2444" s="187" t="s">
        <v>2698</v>
      </c>
      <c r="J2444" s="187" t="s">
        <v>2699</v>
      </c>
      <c r="K2444" s="188"/>
      <c r="L2444" s="188"/>
      <c r="M2444" s="189" t="s">
        <v>963</v>
      </c>
      <c r="N2444" s="190">
        <v>549.99</v>
      </c>
      <c r="O2444" s="190">
        <f t="shared" si="299"/>
        <v>599.49</v>
      </c>
      <c r="P2444" s="191">
        <f t="shared" si="300"/>
        <v>0</v>
      </c>
      <c r="Q2444" s="192">
        <f t="shared" si="301"/>
        <v>0</v>
      </c>
      <c r="R2444" s="193"/>
      <c r="S2444" s="194"/>
      <c r="T2444" s="195">
        <f t="shared" si="302"/>
        <v>0</v>
      </c>
      <c r="U2444" s="195">
        <f t="shared" si="303"/>
        <v>0</v>
      </c>
      <c r="V2444" s="195">
        <f t="shared" si="304"/>
        <v>0</v>
      </c>
      <c r="W2444" s="196" t="e">
        <f t="shared" si="305"/>
        <v>#DIV/0!</v>
      </c>
      <c r="X2444" s="197" t="e">
        <f t="shared" si="306"/>
        <v>#DIV/0!</v>
      </c>
    </row>
    <row r="2445" ht="11.4" hidden="1" customHeight="1" spans="1:24">
      <c r="A2445" s="184" t="s">
        <v>3215</v>
      </c>
      <c r="B2445" s="184" t="s">
        <v>188</v>
      </c>
      <c r="C2445" s="184" t="s">
        <v>2644</v>
      </c>
      <c r="D2445" s="185" t="s">
        <v>704</v>
      </c>
      <c r="E2445" s="186" t="s">
        <v>2645</v>
      </c>
      <c r="F2445" s="186" t="s">
        <v>2651</v>
      </c>
      <c r="G2445" s="186" t="s">
        <v>2647</v>
      </c>
      <c r="H2445" s="186" t="s">
        <v>2647</v>
      </c>
      <c r="I2445" s="187" t="s">
        <v>2700</v>
      </c>
      <c r="J2445" s="187" t="s">
        <v>2701</v>
      </c>
      <c r="K2445" s="188"/>
      <c r="L2445" s="188"/>
      <c r="M2445" s="189" t="s">
        <v>963</v>
      </c>
      <c r="N2445" s="190">
        <v>416.89</v>
      </c>
      <c r="O2445" s="190">
        <f t="shared" ref="O2445:O2508" si="307">ROUND(N2445*(1+$F$10),2)</f>
        <v>454.41</v>
      </c>
      <c r="P2445" s="191">
        <f t="shared" ref="P2445:P2508" si="308">ROUND(K2445*N2445,2)</f>
        <v>0</v>
      </c>
      <c r="Q2445" s="192">
        <f t="shared" si="301"/>
        <v>0</v>
      </c>
      <c r="R2445" s="193"/>
      <c r="S2445" s="194"/>
      <c r="T2445" s="195">
        <f t="shared" si="302"/>
        <v>0</v>
      </c>
      <c r="U2445" s="195">
        <f t="shared" si="303"/>
        <v>0</v>
      </c>
      <c r="V2445" s="195">
        <f t="shared" si="304"/>
        <v>0</v>
      </c>
      <c r="W2445" s="196" t="e">
        <f t="shared" si="305"/>
        <v>#DIV/0!</v>
      </c>
      <c r="X2445" s="197" t="e">
        <f t="shared" si="306"/>
        <v>#DIV/0!</v>
      </c>
    </row>
    <row r="2446" ht="11.4" hidden="1" customHeight="1" spans="1:24">
      <c r="A2446" s="184" t="s">
        <v>3215</v>
      </c>
      <c r="B2446" s="184" t="s">
        <v>188</v>
      </c>
      <c r="C2446" s="184" t="s">
        <v>2644</v>
      </c>
      <c r="D2446" s="185" t="s">
        <v>704</v>
      </c>
      <c r="E2446" s="186" t="s">
        <v>2645</v>
      </c>
      <c r="F2446" s="186" t="s">
        <v>2651</v>
      </c>
      <c r="G2446" s="186" t="s">
        <v>2647</v>
      </c>
      <c r="H2446" s="186" t="s">
        <v>2647</v>
      </c>
      <c r="I2446" s="187" t="s">
        <v>2702</v>
      </c>
      <c r="J2446" s="187" t="s">
        <v>2703</v>
      </c>
      <c r="K2446" s="188"/>
      <c r="L2446" s="188"/>
      <c r="M2446" s="189" t="s">
        <v>963</v>
      </c>
      <c r="N2446" s="190">
        <v>598.39</v>
      </c>
      <c r="O2446" s="190">
        <f t="shared" si="307"/>
        <v>652.25</v>
      </c>
      <c r="P2446" s="191">
        <f t="shared" si="308"/>
        <v>0</v>
      </c>
      <c r="Q2446" s="192">
        <f t="shared" ref="Q2446:Q2509" si="309">ROUND(L2446*N2446,2)</f>
        <v>0</v>
      </c>
      <c r="R2446" s="193"/>
      <c r="S2446" s="194"/>
      <c r="T2446" s="195">
        <f t="shared" ref="T2446:T2509" si="310">K2446-L2446</f>
        <v>0</v>
      </c>
      <c r="U2446" s="195">
        <f t="shared" ref="U2446:U2509" si="311">P2446-Q2446</f>
        <v>0</v>
      </c>
      <c r="V2446" s="195">
        <f t="shared" ref="V2446:V2509" si="312">ABS(U2446)</f>
        <v>0</v>
      </c>
      <c r="W2446" s="196" t="e">
        <f t="shared" ref="W2446:W2509" si="313">T2446/L2446</f>
        <v>#DIV/0!</v>
      </c>
      <c r="X2446" s="197" t="e">
        <f t="shared" ref="X2446:X2509" si="314">ABS(W2446)</f>
        <v>#DIV/0!</v>
      </c>
    </row>
    <row r="2447" ht="11.4" hidden="1" customHeight="1" spans="1:24">
      <c r="A2447" s="184" t="s">
        <v>3215</v>
      </c>
      <c r="B2447" s="184" t="s">
        <v>188</v>
      </c>
      <c r="C2447" s="184" t="s">
        <v>2644</v>
      </c>
      <c r="D2447" s="185" t="s">
        <v>704</v>
      </c>
      <c r="E2447" s="186" t="s">
        <v>2645</v>
      </c>
      <c r="F2447" s="186" t="s">
        <v>2651</v>
      </c>
      <c r="G2447" s="186" t="s">
        <v>2647</v>
      </c>
      <c r="H2447" s="186" t="s">
        <v>2647</v>
      </c>
      <c r="I2447" s="187" t="s">
        <v>2704</v>
      </c>
      <c r="J2447" s="187" t="s">
        <v>2705</v>
      </c>
      <c r="K2447" s="188"/>
      <c r="L2447" s="188"/>
      <c r="M2447" s="189" t="s">
        <v>963</v>
      </c>
      <c r="N2447" s="190"/>
      <c r="O2447" s="190">
        <f t="shared" si="307"/>
        <v>0</v>
      </c>
      <c r="P2447" s="191">
        <f t="shared" si="308"/>
        <v>0</v>
      </c>
      <c r="Q2447" s="192">
        <f t="shared" si="309"/>
        <v>0</v>
      </c>
      <c r="R2447" s="193"/>
      <c r="S2447" s="194"/>
      <c r="T2447" s="195">
        <f t="shared" si="310"/>
        <v>0</v>
      </c>
      <c r="U2447" s="195">
        <f t="shared" si="311"/>
        <v>0</v>
      </c>
      <c r="V2447" s="195">
        <f t="shared" si="312"/>
        <v>0</v>
      </c>
      <c r="W2447" s="196" t="e">
        <f t="shared" si="313"/>
        <v>#DIV/0!</v>
      </c>
      <c r="X2447" s="197" t="e">
        <f t="shared" si="314"/>
        <v>#DIV/0!</v>
      </c>
    </row>
    <row r="2448" ht="11.4" hidden="1" customHeight="1" spans="1:24">
      <c r="A2448" s="184" t="s">
        <v>3215</v>
      </c>
      <c r="B2448" s="184" t="s">
        <v>188</v>
      </c>
      <c r="C2448" s="184" t="s">
        <v>2644</v>
      </c>
      <c r="D2448" s="185" t="s">
        <v>704</v>
      </c>
      <c r="E2448" s="186" t="s">
        <v>2645</v>
      </c>
      <c r="F2448" s="186" t="s">
        <v>2651</v>
      </c>
      <c r="G2448" s="186" t="s">
        <v>2647</v>
      </c>
      <c r="H2448" s="186" t="s">
        <v>2647</v>
      </c>
      <c r="I2448" s="187" t="s">
        <v>2706</v>
      </c>
      <c r="J2448" s="187" t="s">
        <v>2707</v>
      </c>
      <c r="K2448" s="188"/>
      <c r="L2448" s="188"/>
      <c r="M2448" s="189" t="s">
        <v>963</v>
      </c>
      <c r="N2448" s="190"/>
      <c r="O2448" s="190">
        <f t="shared" si="307"/>
        <v>0</v>
      </c>
      <c r="P2448" s="191">
        <f t="shared" si="308"/>
        <v>0</v>
      </c>
      <c r="Q2448" s="192">
        <f t="shared" si="309"/>
        <v>0</v>
      </c>
      <c r="R2448" s="193"/>
      <c r="S2448" s="194"/>
      <c r="T2448" s="195">
        <f t="shared" si="310"/>
        <v>0</v>
      </c>
      <c r="U2448" s="195">
        <f t="shared" si="311"/>
        <v>0</v>
      </c>
      <c r="V2448" s="195">
        <f t="shared" si="312"/>
        <v>0</v>
      </c>
      <c r="W2448" s="196" t="e">
        <f t="shared" si="313"/>
        <v>#DIV/0!</v>
      </c>
      <c r="X2448" s="197" t="e">
        <f t="shared" si="314"/>
        <v>#DIV/0!</v>
      </c>
    </row>
    <row r="2449" ht="11.4" hidden="1" customHeight="1" spans="1:24">
      <c r="A2449" s="184" t="s">
        <v>3215</v>
      </c>
      <c r="B2449" s="184" t="s">
        <v>188</v>
      </c>
      <c r="C2449" s="184" t="s">
        <v>2644</v>
      </c>
      <c r="D2449" s="185" t="s">
        <v>704</v>
      </c>
      <c r="E2449" s="186" t="s">
        <v>2645</v>
      </c>
      <c r="F2449" s="186" t="s">
        <v>2651</v>
      </c>
      <c r="G2449" s="186" t="s">
        <v>2647</v>
      </c>
      <c r="H2449" s="186" t="s">
        <v>2647</v>
      </c>
      <c r="I2449" s="187" t="s">
        <v>2708</v>
      </c>
      <c r="J2449" s="187" t="s">
        <v>2709</v>
      </c>
      <c r="K2449" s="188"/>
      <c r="L2449" s="188"/>
      <c r="M2449" s="189" t="s">
        <v>963</v>
      </c>
      <c r="N2449" s="190"/>
      <c r="O2449" s="190">
        <f t="shared" si="307"/>
        <v>0</v>
      </c>
      <c r="P2449" s="191">
        <f t="shared" si="308"/>
        <v>0</v>
      </c>
      <c r="Q2449" s="192">
        <f t="shared" si="309"/>
        <v>0</v>
      </c>
      <c r="R2449" s="193"/>
      <c r="S2449" s="194"/>
      <c r="T2449" s="195">
        <f t="shared" si="310"/>
        <v>0</v>
      </c>
      <c r="U2449" s="195">
        <f t="shared" si="311"/>
        <v>0</v>
      </c>
      <c r="V2449" s="195">
        <f t="shared" si="312"/>
        <v>0</v>
      </c>
      <c r="W2449" s="196" t="e">
        <f t="shared" si="313"/>
        <v>#DIV/0!</v>
      </c>
      <c r="X2449" s="197" t="e">
        <f t="shared" si="314"/>
        <v>#DIV/0!</v>
      </c>
    </row>
    <row r="2450" ht="11.4" hidden="1" customHeight="1" spans="1:24">
      <c r="A2450" s="184" t="s">
        <v>3215</v>
      </c>
      <c r="B2450" s="184" t="s">
        <v>188</v>
      </c>
      <c r="C2450" s="184" t="s">
        <v>2644</v>
      </c>
      <c r="D2450" s="185" t="s">
        <v>704</v>
      </c>
      <c r="E2450" s="186" t="s">
        <v>2645</v>
      </c>
      <c r="F2450" s="186" t="s">
        <v>2651</v>
      </c>
      <c r="G2450" s="186" t="s">
        <v>2647</v>
      </c>
      <c r="H2450" s="186" t="s">
        <v>2647</v>
      </c>
      <c r="I2450" s="187" t="s">
        <v>2710</v>
      </c>
      <c r="J2450" s="187" t="s">
        <v>2711</v>
      </c>
      <c r="K2450" s="188"/>
      <c r="L2450" s="188"/>
      <c r="M2450" s="189" t="s">
        <v>963</v>
      </c>
      <c r="N2450" s="190"/>
      <c r="O2450" s="190">
        <f t="shared" si="307"/>
        <v>0</v>
      </c>
      <c r="P2450" s="191">
        <f t="shared" si="308"/>
        <v>0</v>
      </c>
      <c r="Q2450" s="192">
        <f t="shared" si="309"/>
        <v>0</v>
      </c>
      <c r="R2450" s="193"/>
      <c r="S2450" s="194"/>
      <c r="T2450" s="195">
        <f t="shared" si="310"/>
        <v>0</v>
      </c>
      <c r="U2450" s="195">
        <f t="shared" si="311"/>
        <v>0</v>
      </c>
      <c r="V2450" s="195">
        <f t="shared" si="312"/>
        <v>0</v>
      </c>
      <c r="W2450" s="196" t="e">
        <f t="shared" si="313"/>
        <v>#DIV/0!</v>
      </c>
      <c r="X2450" s="197" t="e">
        <f t="shared" si="314"/>
        <v>#DIV/0!</v>
      </c>
    </row>
    <row r="2451" ht="11.4" hidden="1" customHeight="1" spans="1:24">
      <c r="A2451" s="184" t="s">
        <v>3215</v>
      </c>
      <c r="B2451" s="184" t="s">
        <v>188</v>
      </c>
      <c r="C2451" s="184" t="s">
        <v>2644</v>
      </c>
      <c r="D2451" s="185" t="s">
        <v>704</v>
      </c>
      <c r="E2451" s="186" t="s">
        <v>2645</v>
      </c>
      <c r="F2451" s="186" t="s">
        <v>2651</v>
      </c>
      <c r="G2451" s="186" t="s">
        <v>2647</v>
      </c>
      <c r="H2451" s="186" t="s">
        <v>2647</v>
      </c>
      <c r="I2451" s="187" t="s">
        <v>2712</v>
      </c>
      <c r="J2451" s="187" t="s">
        <v>2713</v>
      </c>
      <c r="K2451" s="188"/>
      <c r="L2451" s="188"/>
      <c r="M2451" s="189" t="s">
        <v>963</v>
      </c>
      <c r="N2451" s="190"/>
      <c r="O2451" s="190">
        <f t="shared" si="307"/>
        <v>0</v>
      </c>
      <c r="P2451" s="191">
        <f t="shared" si="308"/>
        <v>0</v>
      </c>
      <c r="Q2451" s="192">
        <f t="shared" si="309"/>
        <v>0</v>
      </c>
      <c r="R2451" s="193"/>
      <c r="S2451" s="194"/>
      <c r="T2451" s="195">
        <f t="shared" si="310"/>
        <v>0</v>
      </c>
      <c r="U2451" s="195">
        <f t="shared" si="311"/>
        <v>0</v>
      </c>
      <c r="V2451" s="195">
        <f t="shared" si="312"/>
        <v>0</v>
      </c>
      <c r="W2451" s="196" t="e">
        <f t="shared" si="313"/>
        <v>#DIV/0!</v>
      </c>
      <c r="X2451" s="197" t="e">
        <f t="shared" si="314"/>
        <v>#DIV/0!</v>
      </c>
    </row>
    <row r="2452" ht="11.4" hidden="1" customHeight="1" spans="1:24">
      <c r="A2452" s="184" t="s">
        <v>3215</v>
      </c>
      <c r="B2452" s="184" t="s">
        <v>188</v>
      </c>
      <c r="C2452" s="184" t="s">
        <v>2644</v>
      </c>
      <c r="D2452" s="185" t="s">
        <v>704</v>
      </c>
      <c r="E2452" s="186" t="s">
        <v>2645</v>
      </c>
      <c r="F2452" s="186" t="s">
        <v>2651</v>
      </c>
      <c r="G2452" s="186" t="s">
        <v>2647</v>
      </c>
      <c r="H2452" s="186" t="s">
        <v>2647</v>
      </c>
      <c r="I2452" s="187" t="s">
        <v>2714</v>
      </c>
      <c r="J2452" s="187" t="s">
        <v>2715</v>
      </c>
      <c r="K2452" s="188"/>
      <c r="L2452" s="188"/>
      <c r="M2452" s="189" t="s">
        <v>963</v>
      </c>
      <c r="N2452" s="190"/>
      <c r="O2452" s="190">
        <f t="shared" si="307"/>
        <v>0</v>
      </c>
      <c r="P2452" s="191">
        <f t="shared" si="308"/>
        <v>0</v>
      </c>
      <c r="Q2452" s="192">
        <f t="shared" si="309"/>
        <v>0</v>
      </c>
      <c r="R2452" s="193"/>
      <c r="S2452" s="194"/>
      <c r="T2452" s="195">
        <f t="shared" si="310"/>
        <v>0</v>
      </c>
      <c r="U2452" s="195">
        <f t="shared" si="311"/>
        <v>0</v>
      </c>
      <c r="V2452" s="195">
        <f t="shared" si="312"/>
        <v>0</v>
      </c>
      <c r="W2452" s="196" t="e">
        <f t="shared" si="313"/>
        <v>#DIV/0!</v>
      </c>
      <c r="X2452" s="197" t="e">
        <f t="shared" si="314"/>
        <v>#DIV/0!</v>
      </c>
    </row>
    <row r="2453" ht="11.4" hidden="1" customHeight="1" spans="1:24">
      <c r="A2453" s="184" t="s">
        <v>3215</v>
      </c>
      <c r="B2453" s="184" t="s">
        <v>188</v>
      </c>
      <c r="C2453" s="184" t="s">
        <v>2644</v>
      </c>
      <c r="D2453" s="185" t="s">
        <v>704</v>
      </c>
      <c r="E2453" s="186" t="s">
        <v>2645</v>
      </c>
      <c r="F2453" s="186" t="s">
        <v>2651</v>
      </c>
      <c r="G2453" s="186" t="s">
        <v>2647</v>
      </c>
      <c r="H2453" s="186" t="s">
        <v>2647</v>
      </c>
      <c r="I2453" s="187" t="s">
        <v>2716</v>
      </c>
      <c r="J2453" s="187" t="s">
        <v>2717</v>
      </c>
      <c r="K2453" s="188"/>
      <c r="L2453" s="188"/>
      <c r="M2453" s="189" t="s">
        <v>963</v>
      </c>
      <c r="N2453" s="190">
        <v>1575.49</v>
      </c>
      <c r="O2453" s="190">
        <f t="shared" si="307"/>
        <v>1717.28</v>
      </c>
      <c r="P2453" s="191">
        <f t="shared" si="308"/>
        <v>0</v>
      </c>
      <c r="Q2453" s="192">
        <f t="shared" si="309"/>
        <v>0</v>
      </c>
      <c r="R2453" s="193"/>
      <c r="S2453" s="194"/>
      <c r="T2453" s="195">
        <f t="shared" si="310"/>
        <v>0</v>
      </c>
      <c r="U2453" s="195">
        <f t="shared" si="311"/>
        <v>0</v>
      </c>
      <c r="V2453" s="195">
        <f t="shared" si="312"/>
        <v>0</v>
      </c>
      <c r="W2453" s="196" t="e">
        <f t="shared" si="313"/>
        <v>#DIV/0!</v>
      </c>
      <c r="X2453" s="197" t="e">
        <f t="shared" si="314"/>
        <v>#DIV/0!</v>
      </c>
    </row>
    <row r="2454" ht="11.4" hidden="1" customHeight="1" spans="1:24">
      <c r="A2454" s="184" t="s">
        <v>3215</v>
      </c>
      <c r="B2454" s="184" t="s">
        <v>188</v>
      </c>
      <c r="C2454" s="184" t="s">
        <v>2644</v>
      </c>
      <c r="D2454" s="185" t="s">
        <v>704</v>
      </c>
      <c r="E2454" s="186" t="s">
        <v>2645</v>
      </c>
      <c r="F2454" s="186" t="s">
        <v>2651</v>
      </c>
      <c r="G2454" s="186" t="s">
        <v>2647</v>
      </c>
      <c r="H2454" s="186" t="s">
        <v>2647</v>
      </c>
      <c r="I2454" s="187" t="s">
        <v>2718</v>
      </c>
      <c r="J2454" s="187" t="s">
        <v>2719</v>
      </c>
      <c r="K2454" s="188"/>
      <c r="L2454" s="188"/>
      <c r="M2454" s="189" t="s">
        <v>793</v>
      </c>
      <c r="N2454" s="190">
        <v>3038.34</v>
      </c>
      <c r="O2454" s="190">
        <f t="shared" si="307"/>
        <v>3311.79</v>
      </c>
      <c r="P2454" s="191">
        <f t="shared" si="308"/>
        <v>0</v>
      </c>
      <c r="Q2454" s="192">
        <f t="shared" si="309"/>
        <v>0</v>
      </c>
      <c r="R2454" s="193"/>
      <c r="S2454" s="194"/>
      <c r="T2454" s="195">
        <f t="shared" si="310"/>
        <v>0</v>
      </c>
      <c r="U2454" s="195">
        <f t="shared" si="311"/>
        <v>0</v>
      </c>
      <c r="V2454" s="195">
        <f t="shared" si="312"/>
        <v>0</v>
      </c>
      <c r="W2454" s="196" t="e">
        <f t="shared" si="313"/>
        <v>#DIV/0!</v>
      </c>
      <c r="X2454" s="197" t="e">
        <f t="shared" si="314"/>
        <v>#DIV/0!</v>
      </c>
    </row>
    <row r="2455" ht="11.4" hidden="1" customHeight="1" spans="1:24">
      <c r="A2455" s="184" t="s">
        <v>3215</v>
      </c>
      <c r="B2455" s="184" t="s">
        <v>188</v>
      </c>
      <c r="C2455" s="184" t="s">
        <v>2644</v>
      </c>
      <c r="D2455" s="185" t="s">
        <v>704</v>
      </c>
      <c r="E2455" s="186" t="s">
        <v>2645</v>
      </c>
      <c r="F2455" s="186" t="s">
        <v>2651</v>
      </c>
      <c r="G2455" s="186" t="s">
        <v>2647</v>
      </c>
      <c r="H2455" s="186" t="s">
        <v>2647</v>
      </c>
      <c r="I2455" s="187" t="s">
        <v>2720</v>
      </c>
      <c r="J2455" s="187" t="s">
        <v>2721</v>
      </c>
      <c r="K2455" s="188"/>
      <c r="L2455" s="188"/>
      <c r="M2455" s="189" t="s">
        <v>963</v>
      </c>
      <c r="N2455" s="190">
        <v>1575.49</v>
      </c>
      <c r="O2455" s="190">
        <f t="shared" si="307"/>
        <v>1717.28</v>
      </c>
      <c r="P2455" s="191">
        <f t="shared" si="308"/>
        <v>0</v>
      </c>
      <c r="Q2455" s="192">
        <f t="shared" si="309"/>
        <v>0</v>
      </c>
      <c r="R2455" s="193"/>
      <c r="S2455" s="194"/>
      <c r="T2455" s="195">
        <f t="shared" si="310"/>
        <v>0</v>
      </c>
      <c r="U2455" s="195">
        <f t="shared" si="311"/>
        <v>0</v>
      </c>
      <c r="V2455" s="195">
        <f t="shared" si="312"/>
        <v>0</v>
      </c>
      <c r="W2455" s="196" t="e">
        <f t="shared" si="313"/>
        <v>#DIV/0!</v>
      </c>
      <c r="X2455" s="197" t="e">
        <f t="shared" si="314"/>
        <v>#DIV/0!</v>
      </c>
    </row>
    <row r="2456" ht="11.4" hidden="1" customHeight="1" spans="1:24">
      <c r="A2456" s="184" t="s">
        <v>3215</v>
      </c>
      <c r="B2456" s="184" t="s">
        <v>188</v>
      </c>
      <c r="C2456" s="184" t="s">
        <v>2644</v>
      </c>
      <c r="D2456" s="185" t="s">
        <v>704</v>
      </c>
      <c r="E2456" s="186" t="s">
        <v>2645</v>
      </c>
      <c r="F2456" s="186" t="s">
        <v>2651</v>
      </c>
      <c r="G2456" s="186" t="s">
        <v>2647</v>
      </c>
      <c r="H2456" s="186" t="s">
        <v>2647</v>
      </c>
      <c r="I2456" s="187" t="s">
        <v>2722</v>
      </c>
      <c r="J2456" s="187" t="s">
        <v>2723</v>
      </c>
      <c r="K2456" s="188"/>
      <c r="L2456" s="188"/>
      <c r="M2456" s="189" t="s">
        <v>793</v>
      </c>
      <c r="N2456" s="190">
        <v>876.46</v>
      </c>
      <c r="O2456" s="190">
        <f t="shared" si="307"/>
        <v>955.34</v>
      </c>
      <c r="P2456" s="191">
        <f t="shared" si="308"/>
        <v>0</v>
      </c>
      <c r="Q2456" s="192">
        <f t="shared" si="309"/>
        <v>0</v>
      </c>
      <c r="R2456" s="193"/>
      <c r="S2456" s="194"/>
      <c r="T2456" s="195">
        <f t="shared" si="310"/>
        <v>0</v>
      </c>
      <c r="U2456" s="195">
        <f t="shared" si="311"/>
        <v>0</v>
      </c>
      <c r="V2456" s="195">
        <f t="shared" si="312"/>
        <v>0</v>
      </c>
      <c r="W2456" s="196" t="e">
        <f t="shared" si="313"/>
        <v>#DIV/0!</v>
      </c>
      <c r="X2456" s="197" t="e">
        <f t="shared" si="314"/>
        <v>#DIV/0!</v>
      </c>
    </row>
    <row r="2457" ht="11.4" hidden="1" customHeight="1" spans="1:24">
      <c r="A2457" s="184" t="s">
        <v>3215</v>
      </c>
      <c r="B2457" s="184" t="s">
        <v>188</v>
      </c>
      <c r="C2457" s="184" t="s">
        <v>2644</v>
      </c>
      <c r="D2457" s="185" t="s">
        <v>704</v>
      </c>
      <c r="E2457" s="186" t="s">
        <v>2645</v>
      </c>
      <c r="F2457" s="186" t="s">
        <v>2651</v>
      </c>
      <c r="G2457" s="186" t="s">
        <v>2647</v>
      </c>
      <c r="H2457" s="186" t="s">
        <v>2647</v>
      </c>
      <c r="I2457" s="187" t="s">
        <v>2724</v>
      </c>
      <c r="J2457" s="187" t="s">
        <v>2725</v>
      </c>
      <c r="K2457" s="188"/>
      <c r="L2457" s="188"/>
      <c r="M2457" s="189" t="s">
        <v>963</v>
      </c>
      <c r="N2457" s="190">
        <v>372.89</v>
      </c>
      <c r="O2457" s="190">
        <f t="shared" si="307"/>
        <v>406.45</v>
      </c>
      <c r="P2457" s="191">
        <f t="shared" si="308"/>
        <v>0</v>
      </c>
      <c r="Q2457" s="192">
        <f t="shared" si="309"/>
        <v>0</v>
      </c>
      <c r="R2457" s="193"/>
      <c r="S2457" s="194"/>
      <c r="T2457" s="195">
        <f t="shared" si="310"/>
        <v>0</v>
      </c>
      <c r="U2457" s="195">
        <f t="shared" si="311"/>
        <v>0</v>
      </c>
      <c r="V2457" s="195">
        <f t="shared" si="312"/>
        <v>0</v>
      </c>
      <c r="W2457" s="196" t="e">
        <f t="shared" si="313"/>
        <v>#DIV/0!</v>
      </c>
      <c r="X2457" s="197" t="e">
        <f t="shared" si="314"/>
        <v>#DIV/0!</v>
      </c>
    </row>
    <row r="2458" ht="11.4" hidden="1" customHeight="1" spans="1:24">
      <c r="A2458" s="184" t="s">
        <v>3216</v>
      </c>
      <c r="B2458" s="184" t="s">
        <v>351</v>
      </c>
      <c r="C2458" s="184" t="s">
        <v>2727</v>
      </c>
      <c r="D2458" s="185" t="s">
        <v>704</v>
      </c>
      <c r="E2458" s="186" t="s">
        <v>2728</v>
      </c>
      <c r="F2458" s="186" t="s">
        <v>2729</v>
      </c>
      <c r="G2458" s="186" t="s">
        <v>2730</v>
      </c>
      <c r="H2458" s="186" t="s">
        <v>563</v>
      </c>
      <c r="I2458" s="187" t="s">
        <v>2731</v>
      </c>
      <c r="J2458" s="187" t="s">
        <v>563</v>
      </c>
      <c r="K2458" s="188"/>
      <c r="L2458" s="188"/>
      <c r="M2458" s="189" t="s">
        <v>2308</v>
      </c>
      <c r="N2458" s="190">
        <v>2676.15</v>
      </c>
      <c r="O2458" s="190">
        <f t="shared" si="307"/>
        <v>2917</v>
      </c>
      <c r="P2458" s="191">
        <f t="shared" si="308"/>
        <v>0</v>
      </c>
      <c r="Q2458" s="192">
        <f t="shared" si="309"/>
        <v>0</v>
      </c>
      <c r="R2458" s="193"/>
      <c r="S2458" s="194"/>
      <c r="T2458" s="195">
        <f t="shared" si="310"/>
        <v>0</v>
      </c>
      <c r="U2458" s="195">
        <f t="shared" si="311"/>
        <v>0</v>
      </c>
      <c r="V2458" s="195">
        <f t="shared" si="312"/>
        <v>0</v>
      </c>
      <c r="W2458" s="196" t="e">
        <f t="shared" si="313"/>
        <v>#DIV/0!</v>
      </c>
      <c r="X2458" s="197" t="e">
        <f t="shared" si="314"/>
        <v>#DIV/0!</v>
      </c>
    </row>
    <row r="2459" ht="11.4" hidden="1" customHeight="1" spans="1:24">
      <c r="A2459" s="184" t="s">
        <v>3217</v>
      </c>
      <c r="B2459" s="184" t="s">
        <v>355</v>
      </c>
      <c r="C2459" s="184" t="s">
        <v>2733</v>
      </c>
      <c r="D2459" s="185" t="s">
        <v>704</v>
      </c>
      <c r="E2459" s="186" t="s">
        <v>2728</v>
      </c>
      <c r="F2459" s="186" t="s">
        <v>2729</v>
      </c>
      <c r="G2459" s="186" t="s">
        <v>2734</v>
      </c>
      <c r="H2459" s="186" t="s">
        <v>2735</v>
      </c>
      <c r="I2459" s="187" t="s">
        <v>2736</v>
      </c>
      <c r="J2459" s="187" t="s">
        <v>2737</v>
      </c>
      <c r="K2459" s="188"/>
      <c r="L2459" s="188"/>
      <c r="M2459" s="189" t="s">
        <v>2308</v>
      </c>
      <c r="N2459" s="190"/>
      <c r="O2459" s="190">
        <f t="shared" si="307"/>
        <v>0</v>
      </c>
      <c r="P2459" s="191">
        <f t="shared" si="308"/>
        <v>0</v>
      </c>
      <c r="Q2459" s="192">
        <f t="shared" si="309"/>
        <v>0</v>
      </c>
      <c r="R2459" s="193"/>
      <c r="S2459" s="194"/>
      <c r="T2459" s="195">
        <f t="shared" si="310"/>
        <v>0</v>
      </c>
      <c r="U2459" s="195">
        <f t="shared" si="311"/>
        <v>0</v>
      </c>
      <c r="V2459" s="195">
        <f t="shared" si="312"/>
        <v>0</v>
      </c>
      <c r="W2459" s="196" t="e">
        <f t="shared" si="313"/>
        <v>#DIV/0!</v>
      </c>
      <c r="X2459" s="197" t="e">
        <f t="shared" si="314"/>
        <v>#DIV/0!</v>
      </c>
    </row>
    <row r="2460" ht="11.4" hidden="1" customHeight="1" spans="1:24">
      <c r="A2460" s="184" t="s">
        <v>3217</v>
      </c>
      <c r="B2460" s="184" t="s">
        <v>355</v>
      </c>
      <c r="C2460" s="184" t="s">
        <v>2733</v>
      </c>
      <c r="D2460" s="185" t="s">
        <v>704</v>
      </c>
      <c r="E2460" s="186" t="s">
        <v>2728</v>
      </c>
      <c r="F2460" s="186" t="s">
        <v>2729</v>
      </c>
      <c r="G2460" s="186" t="s">
        <v>2734</v>
      </c>
      <c r="H2460" s="186" t="s">
        <v>2735</v>
      </c>
      <c r="I2460" s="187" t="s">
        <v>2738</v>
      </c>
      <c r="J2460" s="187" t="s">
        <v>2739</v>
      </c>
      <c r="K2460" s="188"/>
      <c r="L2460" s="188"/>
      <c r="M2460" s="189" t="s">
        <v>2308</v>
      </c>
      <c r="N2460" s="190">
        <v>939</v>
      </c>
      <c r="O2460" s="190">
        <f t="shared" si="307"/>
        <v>1023.51</v>
      </c>
      <c r="P2460" s="191">
        <f t="shared" si="308"/>
        <v>0</v>
      </c>
      <c r="Q2460" s="192">
        <f t="shared" si="309"/>
        <v>0</v>
      </c>
      <c r="R2460" s="193"/>
      <c r="S2460" s="194"/>
      <c r="T2460" s="195">
        <f t="shared" si="310"/>
        <v>0</v>
      </c>
      <c r="U2460" s="195">
        <f t="shared" si="311"/>
        <v>0</v>
      </c>
      <c r="V2460" s="195">
        <f t="shared" si="312"/>
        <v>0</v>
      </c>
      <c r="W2460" s="196" t="e">
        <f t="shared" si="313"/>
        <v>#DIV/0!</v>
      </c>
      <c r="X2460" s="197" t="e">
        <f t="shared" si="314"/>
        <v>#DIV/0!</v>
      </c>
    </row>
    <row r="2461" ht="11.4" hidden="1" customHeight="1" spans="1:24">
      <c r="A2461" s="184" t="s">
        <v>3218</v>
      </c>
      <c r="B2461" s="184" t="s">
        <v>363</v>
      </c>
      <c r="C2461" s="184" t="s">
        <v>362</v>
      </c>
      <c r="D2461" s="185" t="s">
        <v>704</v>
      </c>
      <c r="E2461" s="186" t="s">
        <v>2728</v>
      </c>
      <c r="F2461" s="186" t="s">
        <v>2729</v>
      </c>
      <c r="G2461" s="186" t="s">
        <v>2734</v>
      </c>
      <c r="H2461" s="186" t="s">
        <v>2735</v>
      </c>
      <c r="I2461" s="187" t="s">
        <v>2741</v>
      </c>
      <c r="J2461" s="187" t="s">
        <v>2742</v>
      </c>
      <c r="K2461" s="188"/>
      <c r="L2461" s="188"/>
      <c r="M2461" s="189" t="s">
        <v>989</v>
      </c>
      <c r="N2461" s="190">
        <v>4889.85</v>
      </c>
      <c r="O2461" s="190">
        <f t="shared" si="307"/>
        <v>5329.94</v>
      </c>
      <c r="P2461" s="191">
        <f t="shared" si="308"/>
        <v>0</v>
      </c>
      <c r="Q2461" s="192">
        <f t="shared" si="309"/>
        <v>0</v>
      </c>
      <c r="R2461" s="193"/>
      <c r="S2461" s="194"/>
      <c r="T2461" s="195">
        <f t="shared" si="310"/>
        <v>0</v>
      </c>
      <c r="U2461" s="195">
        <f t="shared" si="311"/>
        <v>0</v>
      </c>
      <c r="V2461" s="195">
        <f t="shared" si="312"/>
        <v>0</v>
      </c>
      <c r="W2461" s="196" t="e">
        <f t="shared" si="313"/>
        <v>#DIV/0!</v>
      </c>
      <c r="X2461" s="197" t="e">
        <f t="shared" si="314"/>
        <v>#DIV/0!</v>
      </c>
    </row>
    <row r="2462" ht="11.4" hidden="1" customHeight="1" spans="1:24">
      <c r="A2462" s="184" t="s">
        <v>3217</v>
      </c>
      <c r="B2462" s="184" t="s">
        <v>355</v>
      </c>
      <c r="C2462" s="184" t="s">
        <v>2743</v>
      </c>
      <c r="D2462" s="185" t="s">
        <v>704</v>
      </c>
      <c r="E2462" s="186" t="s">
        <v>2728</v>
      </c>
      <c r="F2462" s="186" t="s">
        <v>2729</v>
      </c>
      <c r="G2462" s="186" t="s">
        <v>2734</v>
      </c>
      <c r="H2462" s="186" t="s">
        <v>2735</v>
      </c>
      <c r="I2462" s="187" t="s">
        <v>2744</v>
      </c>
      <c r="J2462" s="187" t="s">
        <v>2745</v>
      </c>
      <c r="K2462" s="188"/>
      <c r="L2462" s="188"/>
      <c r="M2462" s="189" t="s">
        <v>793</v>
      </c>
      <c r="N2462" s="190">
        <v>8944.69</v>
      </c>
      <c r="O2462" s="190">
        <f t="shared" si="307"/>
        <v>9749.71</v>
      </c>
      <c r="P2462" s="191">
        <f t="shared" si="308"/>
        <v>0</v>
      </c>
      <c r="Q2462" s="192">
        <f t="shared" si="309"/>
        <v>0</v>
      </c>
      <c r="R2462" s="193"/>
      <c r="S2462" s="194"/>
      <c r="T2462" s="195">
        <f t="shared" si="310"/>
        <v>0</v>
      </c>
      <c r="U2462" s="195">
        <f t="shared" si="311"/>
        <v>0</v>
      </c>
      <c r="V2462" s="195">
        <f t="shared" si="312"/>
        <v>0</v>
      </c>
      <c r="W2462" s="196" t="e">
        <f t="shared" si="313"/>
        <v>#DIV/0!</v>
      </c>
      <c r="X2462" s="197" t="e">
        <f t="shared" si="314"/>
        <v>#DIV/0!</v>
      </c>
    </row>
    <row r="2463" ht="11.4" hidden="1" customHeight="1" spans="1:24">
      <c r="A2463" s="184" t="s">
        <v>3217</v>
      </c>
      <c r="B2463" s="184" t="s">
        <v>355</v>
      </c>
      <c r="C2463" s="184" t="s">
        <v>2743</v>
      </c>
      <c r="D2463" s="185" t="s">
        <v>704</v>
      </c>
      <c r="E2463" s="186" t="s">
        <v>2728</v>
      </c>
      <c r="F2463" s="186" t="s">
        <v>2729</v>
      </c>
      <c r="G2463" s="186" t="s">
        <v>2734</v>
      </c>
      <c r="H2463" s="186" t="s">
        <v>2735</v>
      </c>
      <c r="I2463" s="187" t="s">
        <v>2746</v>
      </c>
      <c r="J2463" s="187" t="s">
        <v>2747</v>
      </c>
      <c r="K2463" s="188"/>
      <c r="L2463" s="188"/>
      <c r="M2463" s="189" t="s">
        <v>793</v>
      </c>
      <c r="N2463" s="190">
        <v>9276.48</v>
      </c>
      <c r="O2463" s="190">
        <f t="shared" si="307"/>
        <v>10111.36</v>
      </c>
      <c r="P2463" s="191">
        <f t="shared" si="308"/>
        <v>0</v>
      </c>
      <c r="Q2463" s="192">
        <f t="shared" si="309"/>
        <v>0</v>
      </c>
      <c r="R2463" s="193"/>
      <c r="S2463" s="194"/>
      <c r="T2463" s="195">
        <f t="shared" si="310"/>
        <v>0</v>
      </c>
      <c r="U2463" s="195">
        <f t="shared" si="311"/>
        <v>0</v>
      </c>
      <c r="V2463" s="195">
        <f t="shared" si="312"/>
        <v>0</v>
      </c>
      <c r="W2463" s="196" t="e">
        <f t="shared" si="313"/>
        <v>#DIV/0!</v>
      </c>
      <c r="X2463" s="197" t="e">
        <f t="shared" si="314"/>
        <v>#DIV/0!</v>
      </c>
    </row>
    <row r="2464" ht="11.4" hidden="1" customHeight="1" spans="1:24">
      <c r="A2464" s="184" t="s">
        <v>3217</v>
      </c>
      <c r="B2464" s="184" t="s">
        <v>355</v>
      </c>
      <c r="C2464" s="184" t="s">
        <v>2743</v>
      </c>
      <c r="D2464" s="185" t="s">
        <v>704</v>
      </c>
      <c r="E2464" s="186" t="s">
        <v>2728</v>
      </c>
      <c r="F2464" s="186" t="s">
        <v>2729</v>
      </c>
      <c r="G2464" s="186" t="s">
        <v>2734</v>
      </c>
      <c r="H2464" s="186" t="s">
        <v>2735</v>
      </c>
      <c r="I2464" s="187" t="s">
        <v>2748</v>
      </c>
      <c r="J2464" s="187" t="s">
        <v>2749</v>
      </c>
      <c r="K2464" s="188"/>
      <c r="L2464" s="188"/>
      <c r="M2464" s="189" t="s">
        <v>793</v>
      </c>
      <c r="N2464" s="190">
        <v>4264.19</v>
      </c>
      <c r="O2464" s="190">
        <f t="shared" si="307"/>
        <v>4647.97</v>
      </c>
      <c r="P2464" s="191">
        <f t="shared" si="308"/>
        <v>0</v>
      </c>
      <c r="Q2464" s="192">
        <f t="shared" si="309"/>
        <v>0</v>
      </c>
      <c r="R2464" s="193"/>
      <c r="S2464" s="194"/>
      <c r="T2464" s="195">
        <f t="shared" si="310"/>
        <v>0</v>
      </c>
      <c r="U2464" s="195">
        <f t="shared" si="311"/>
        <v>0</v>
      </c>
      <c r="V2464" s="195">
        <f t="shared" si="312"/>
        <v>0</v>
      </c>
      <c r="W2464" s="196" t="e">
        <f t="shared" si="313"/>
        <v>#DIV/0!</v>
      </c>
      <c r="X2464" s="197" t="e">
        <f t="shared" si="314"/>
        <v>#DIV/0!</v>
      </c>
    </row>
    <row r="2465" ht="11.4" hidden="1" customHeight="1" spans="1:24">
      <c r="A2465" s="184" t="s">
        <v>3219</v>
      </c>
      <c r="B2465" s="184" t="s">
        <v>359</v>
      </c>
      <c r="C2465" s="184" t="s">
        <v>358</v>
      </c>
      <c r="D2465" s="185" t="s">
        <v>704</v>
      </c>
      <c r="E2465" s="186" t="s">
        <v>2728</v>
      </c>
      <c r="F2465" s="186" t="s">
        <v>2729</v>
      </c>
      <c r="G2465" s="186" t="s">
        <v>2751</v>
      </c>
      <c r="H2465" s="186" t="s">
        <v>2752</v>
      </c>
      <c r="I2465" s="187" t="s">
        <v>2753</v>
      </c>
      <c r="J2465" s="187" t="s">
        <v>2752</v>
      </c>
      <c r="K2465" s="188"/>
      <c r="L2465" s="188"/>
      <c r="M2465" s="189" t="s">
        <v>989</v>
      </c>
      <c r="N2465" s="190">
        <v>10650.04</v>
      </c>
      <c r="O2465" s="190">
        <f t="shared" si="307"/>
        <v>11608.54</v>
      </c>
      <c r="P2465" s="191">
        <f t="shared" si="308"/>
        <v>0</v>
      </c>
      <c r="Q2465" s="192">
        <f t="shared" si="309"/>
        <v>0</v>
      </c>
      <c r="R2465" s="193"/>
      <c r="S2465" s="194"/>
      <c r="T2465" s="195">
        <f t="shared" si="310"/>
        <v>0</v>
      </c>
      <c r="U2465" s="195">
        <f t="shared" si="311"/>
        <v>0</v>
      </c>
      <c r="V2465" s="195">
        <f t="shared" si="312"/>
        <v>0</v>
      </c>
      <c r="W2465" s="196" t="e">
        <f t="shared" si="313"/>
        <v>#DIV/0!</v>
      </c>
      <c r="X2465" s="197" t="e">
        <f t="shared" si="314"/>
        <v>#DIV/0!</v>
      </c>
    </row>
    <row r="2466" ht="11.4" hidden="1" customHeight="1" spans="1:24">
      <c r="A2466" s="184" t="s">
        <v>3219</v>
      </c>
      <c r="B2466" s="184" t="s">
        <v>359</v>
      </c>
      <c r="C2466" s="184" t="s">
        <v>358</v>
      </c>
      <c r="D2466" s="185" t="s">
        <v>704</v>
      </c>
      <c r="E2466" s="186" t="s">
        <v>2728</v>
      </c>
      <c r="F2466" s="186" t="s">
        <v>2729</v>
      </c>
      <c r="G2466" s="186" t="s">
        <v>2751</v>
      </c>
      <c r="H2466" s="186" t="s">
        <v>2754</v>
      </c>
      <c r="I2466" s="187" t="s">
        <v>2755</v>
      </c>
      <c r="J2466" s="187" t="s">
        <v>2754</v>
      </c>
      <c r="K2466" s="188"/>
      <c r="L2466" s="188"/>
      <c r="M2466" s="189" t="s">
        <v>989</v>
      </c>
      <c r="N2466" s="190">
        <v>29506.31</v>
      </c>
      <c r="O2466" s="190">
        <f t="shared" si="307"/>
        <v>32161.88</v>
      </c>
      <c r="P2466" s="191">
        <f t="shared" si="308"/>
        <v>0</v>
      </c>
      <c r="Q2466" s="192">
        <f t="shared" si="309"/>
        <v>0</v>
      </c>
      <c r="R2466" s="193"/>
      <c r="S2466" s="194"/>
      <c r="T2466" s="195">
        <f t="shared" si="310"/>
        <v>0</v>
      </c>
      <c r="U2466" s="195">
        <f t="shared" si="311"/>
        <v>0</v>
      </c>
      <c r="V2466" s="195">
        <f t="shared" si="312"/>
        <v>0</v>
      </c>
      <c r="W2466" s="196" t="e">
        <f t="shared" si="313"/>
        <v>#DIV/0!</v>
      </c>
      <c r="X2466" s="197" t="e">
        <f t="shared" si="314"/>
        <v>#DIV/0!</v>
      </c>
    </row>
    <row r="2467" ht="11.4" hidden="1" customHeight="1" spans="1:24">
      <c r="A2467" s="184" t="s">
        <v>3219</v>
      </c>
      <c r="B2467" s="184" t="s">
        <v>359</v>
      </c>
      <c r="C2467" s="184" t="s">
        <v>358</v>
      </c>
      <c r="D2467" s="185" t="s">
        <v>704</v>
      </c>
      <c r="E2467" s="186" t="s">
        <v>2728</v>
      </c>
      <c r="F2467" s="186" t="s">
        <v>2729</v>
      </c>
      <c r="G2467" s="186" t="s">
        <v>2751</v>
      </c>
      <c r="H2467" s="186" t="s">
        <v>2756</v>
      </c>
      <c r="I2467" s="187" t="s">
        <v>2757</v>
      </c>
      <c r="J2467" s="187" t="s">
        <v>2756</v>
      </c>
      <c r="K2467" s="188"/>
      <c r="L2467" s="188"/>
      <c r="M2467" s="189" t="s">
        <v>989</v>
      </c>
      <c r="N2467" s="190">
        <v>9009.01</v>
      </c>
      <c r="O2467" s="190">
        <f t="shared" si="307"/>
        <v>9819.82</v>
      </c>
      <c r="P2467" s="191">
        <f t="shared" si="308"/>
        <v>0</v>
      </c>
      <c r="Q2467" s="192">
        <f t="shared" si="309"/>
        <v>0</v>
      </c>
      <c r="R2467" s="193"/>
      <c r="S2467" s="194"/>
      <c r="T2467" s="195">
        <f t="shared" si="310"/>
        <v>0</v>
      </c>
      <c r="U2467" s="195">
        <f t="shared" si="311"/>
        <v>0</v>
      </c>
      <c r="V2467" s="195">
        <f t="shared" si="312"/>
        <v>0</v>
      </c>
      <c r="W2467" s="196" t="e">
        <f t="shared" si="313"/>
        <v>#DIV/0!</v>
      </c>
      <c r="X2467" s="197" t="e">
        <f t="shared" si="314"/>
        <v>#DIV/0!</v>
      </c>
    </row>
    <row r="2468" ht="11.4" hidden="1" customHeight="1" spans="1:24">
      <c r="A2468" s="184" t="s">
        <v>3220</v>
      </c>
      <c r="B2468" s="184" t="s">
        <v>378</v>
      </c>
      <c r="C2468" s="184" t="s">
        <v>573</v>
      </c>
      <c r="D2468" s="185" t="s">
        <v>704</v>
      </c>
      <c r="E2468" s="186" t="s">
        <v>2728</v>
      </c>
      <c r="F2468" s="186" t="s">
        <v>2729</v>
      </c>
      <c r="G2468" s="186" t="s">
        <v>2759</v>
      </c>
      <c r="H2468" s="186" t="s">
        <v>570</v>
      </c>
      <c r="I2468" s="187" t="s">
        <v>2760</v>
      </c>
      <c r="J2468" s="187" t="s">
        <v>2761</v>
      </c>
      <c r="K2468" s="188"/>
      <c r="L2468" s="188"/>
      <c r="M2468" s="189" t="s">
        <v>2308</v>
      </c>
      <c r="N2468" s="190">
        <v>1133.63</v>
      </c>
      <c r="O2468" s="190">
        <f t="shared" si="307"/>
        <v>1235.66</v>
      </c>
      <c r="P2468" s="191">
        <f t="shared" si="308"/>
        <v>0</v>
      </c>
      <c r="Q2468" s="192">
        <f t="shared" si="309"/>
        <v>0</v>
      </c>
      <c r="R2468" s="193"/>
      <c r="S2468" s="194"/>
      <c r="T2468" s="195">
        <f t="shared" si="310"/>
        <v>0</v>
      </c>
      <c r="U2468" s="195">
        <f t="shared" si="311"/>
        <v>0</v>
      </c>
      <c r="V2468" s="195">
        <f t="shared" si="312"/>
        <v>0</v>
      </c>
      <c r="W2468" s="196" t="e">
        <f t="shared" si="313"/>
        <v>#DIV/0!</v>
      </c>
      <c r="X2468" s="197" t="e">
        <f t="shared" si="314"/>
        <v>#DIV/0!</v>
      </c>
    </row>
    <row r="2469" ht="11.4" hidden="1" customHeight="1" spans="1:24">
      <c r="A2469" s="184" t="s">
        <v>3220</v>
      </c>
      <c r="B2469" s="184" t="s">
        <v>378</v>
      </c>
      <c r="C2469" s="184" t="s">
        <v>2763</v>
      </c>
      <c r="D2469" s="185" t="s">
        <v>704</v>
      </c>
      <c r="E2469" s="186" t="s">
        <v>2728</v>
      </c>
      <c r="F2469" s="186" t="s">
        <v>2729</v>
      </c>
      <c r="G2469" s="186" t="s">
        <v>2759</v>
      </c>
      <c r="H2469" s="186" t="s">
        <v>570</v>
      </c>
      <c r="I2469" s="187" t="s">
        <v>2764</v>
      </c>
      <c r="J2469" s="187" t="s">
        <v>2765</v>
      </c>
      <c r="K2469" s="188"/>
      <c r="L2469" s="188"/>
      <c r="M2469" s="189" t="s">
        <v>1018</v>
      </c>
      <c r="N2469" s="190">
        <v>262.5</v>
      </c>
      <c r="O2469" s="190">
        <f t="shared" si="307"/>
        <v>286.13</v>
      </c>
      <c r="P2469" s="191">
        <f t="shared" si="308"/>
        <v>0</v>
      </c>
      <c r="Q2469" s="192">
        <f t="shared" si="309"/>
        <v>0</v>
      </c>
      <c r="R2469" s="193"/>
      <c r="S2469" s="194"/>
      <c r="T2469" s="195">
        <f t="shared" si="310"/>
        <v>0</v>
      </c>
      <c r="U2469" s="195">
        <f t="shared" si="311"/>
        <v>0</v>
      </c>
      <c r="V2469" s="195">
        <f t="shared" si="312"/>
        <v>0</v>
      </c>
      <c r="W2469" s="196" t="e">
        <f t="shared" si="313"/>
        <v>#DIV/0!</v>
      </c>
      <c r="X2469" s="197" t="e">
        <f t="shared" si="314"/>
        <v>#DIV/0!</v>
      </c>
    </row>
    <row r="2470" ht="11.4" hidden="1" customHeight="1" spans="1:24">
      <c r="A2470" s="184" t="s">
        <v>3220</v>
      </c>
      <c r="B2470" s="184" t="s">
        <v>378</v>
      </c>
      <c r="C2470" s="184" t="s">
        <v>2763</v>
      </c>
      <c r="D2470" s="185" t="s">
        <v>704</v>
      </c>
      <c r="E2470" s="186" t="s">
        <v>2728</v>
      </c>
      <c r="F2470" s="186" t="s">
        <v>2729</v>
      </c>
      <c r="G2470" s="186" t="s">
        <v>2759</v>
      </c>
      <c r="H2470" s="186" t="s">
        <v>570</v>
      </c>
      <c r="I2470" s="187" t="s">
        <v>2766</v>
      </c>
      <c r="J2470" s="187" t="s">
        <v>2767</v>
      </c>
      <c r="K2470" s="188"/>
      <c r="L2470" s="188"/>
      <c r="M2470" s="189" t="s">
        <v>1018</v>
      </c>
      <c r="N2470" s="190">
        <v>220.5</v>
      </c>
      <c r="O2470" s="190">
        <f t="shared" si="307"/>
        <v>240.35</v>
      </c>
      <c r="P2470" s="191">
        <f t="shared" si="308"/>
        <v>0</v>
      </c>
      <c r="Q2470" s="192">
        <f t="shared" si="309"/>
        <v>0</v>
      </c>
      <c r="R2470" s="193"/>
      <c r="S2470" s="194"/>
      <c r="T2470" s="195">
        <f t="shared" si="310"/>
        <v>0</v>
      </c>
      <c r="U2470" s="195">
        <f t="shared" si="311"/>
        <v>0</v>
      </c>
      <c r="V2470" s="195">
        <f t="shared" si="312"/>
        <v>0</v>
      </c>
      <c r="W2470" s="196" t="e">
        <f t="shared" si="313"/>
        <v>#DIV/0!</v>
      </c>
      <c r="X2470" s="197" t="e">
        <f t="shared" si="314"/>
        <v>#DIV/0!</v>
      </c>
    </row>
    <row r="2471" ht="11.4" hidden="1" customHeight="1" spans="1:24">
      <c r="A2471" s="184" t="s">
        <v>3221</v>
      </c>
      <c r="B2471" s="184" t="s">
        <v>394</v>
      </c>
      <c r="C2471" s="184" t="s">
        <v>393</v>
      </c>
      <c r="D2471" s="185" t="s">
        <v>704</v>
      </c>
      <c r="E2471" s="186" t="s">
        <v>2728</v>
      </c>
      <c r="F2471" s="186" t="s">
        <v>2769</v>
      </c>
      <c r="G2471" s="186" t="s">
        <v>582</v>
      </c>
      <c r="H2471" s="186" t="s">
        <v>582</v>
      </c>
      <c r="I2471" s="187" t="s">
        <v>2770</v>
      </c>
      <c r="J2471" s="187" t="s">
        <v>576</v>
      </c>
      <c r="K2471" s="188"/>
      <c r="L2471" s="188"/>
      <c r="M2471" s="189" t="s">
        <v>2308</v>
      </c>
      <c r="N2471" s="190">
        <v>402</v>
      </c>
      <c r="O2471" s="190">
        <f t="shared" si="307"/>
        <v>438.18</v>
      </c>
      <c r="P2471" s="191">
        <f t="shared" si="308"/>
        <v>0</v>
      </c>
      <c r="Q2471" s="192">
        <f t="shared" si="309"/>
        <v>0</v>
      </c>
      <c r="R2471" s="193"/>
      <c r="S2471" s="194"/>
      <c r="T2471" s="195">
        <f t="shared" si="310"/>
        <v>0</v>
      </c>
      <c r="U2471" s="195">
        <f t="shared" si="311"/>
        <v>0</v>
      </c>
      <c r="V2471" s="195">
        <f t="shared" si="312"/>
        <v>0</v>
      </c>
      <c r="W2471" s="196" t="e">
        <f t="shared" si="313"/>
        <v>#DIV/0!</v>
      </c>
      <c r="X2471" s="197" t="e">
        <f t="shared" si="314"/>
        <v>#DIV/0!</v>
      </c>
    </row>
    <row r="2472" ht="11.4" hidden="1" customHeight="1" spans="1:24">
      <c r="A2472" s="184" t="s">
        <v>3222</v>
      </c>
      <c r="B2472" s="184" t="s">
        <v>401</v>
      </c>
      <c r="C2472" s="184" t="s">
        <v>400</v>
      </c>
      <c r="D2472" s="185" t="s">
        <v>704</v>
      </c>
      <c r="E2472" s="186" t="s">
        <v>2728</v>
      </c>
      <c r="F2472" s="186" t="s">
        <v>2772</v>
      </c>
      <c r="G2472" s="186" t="s">
        <v>2773</v>
      </c>
      <c r="H2472" s="186" t="s">
        <v>2773</v>
      </c>
      <c r="I2472" s="187" t="s">
        <v>2774</v>
      </c>
      <c r="J2472" s="187" t="s">
        <v>2775</v>
      </c>
      <c r="K2472" s="188"/>
      <c r="L2472" s="188"/>
      <c r="M2472" s="189" t="s">
        <v>2308</v>
      </c>
      <c r="N2472" s="190">
        <v>1413.32</v>
      </c>
      <c r="O2472" s="190">
        <f t="shared" si="307"/>
        <v>1540.52</v>
      </c>
      <c r="P2472" s="191">
        <f t="shared" si="308"/>
        <v>0</v>
      </c>
      <c r="Q2472" s="192">
        <f t="shared" si="309"/>
        <v>0</v>
      </c>
      <c r="R2472" s="193"/>
      <c r="S2472" s="194"/>
      <c r="T2472" s="195">
        <f t="shared" si="310"/>
        <v>0</v>
      </c>
      <c r="U2472" s="195">
        <f t="shared" si="311"/>
        <v>0</v>
      </c>
      <c r="V2472" s="195">
        <f t="shared" si="312"/>
        <v>0</v>
      </c>
      <c r="W2472" s="196" t="e">
        <f t="shared" si="313"/>
        <v>#DIV/0!</v>
      </c>
      <c r="X2472" s="197" t="e">
        <f t="shared" si="314"/>
        <v>#DIV/0!</v>
      </c>
    </row>
    <row r="2473" ht="11.4" hidden="1" customHeight="1" spans="1:24">
      <c r="A2473" s="184" t="s">
        <v>3222</v>
      </c>
      <c r="B2473" s="184" t="s">
        <v>401</v>
      </c>
      <c r="C2473" s="184" t="s">
        <v>400</v>
      </c>
      <c r="D2473" s="185" t="s">
        <v>704</v>
      </c>
      <c r="E2473" s="186" t="s">
        <v>2728</v>
      </c>
      <c r="F2473" s="186" t="s">
        <v>2772</v>
      </c>
      <c r="G2473" s="186" t="s">
        <v>2773</v>
      </c>
      <c r="H2473" s="186" t="s">
        <v>2773</v>
      </c>
      <c r="I2473" s="187" t="s">
        <v>2776</v>
      </c>
      <c r="J2473" s="187" t="s">
        <v>2777</v>
      </c>
      <c r="K2473" s="188"/>
      <c r="L2473" s="188"/>
      <c r="M2473" s="189" t="s">
        <v>2308</v>
      </c>
      <c r="N2473" s="190">
        <v>1413.32</v>
      </c>
      <c r="O2473" s="190">
        <f t="shared" si="307"/>
        <v>1540.52</v>
      </c>
      <c r="P2473" s="191">
        <f t="shared" si="308"/>
        <v>0</v>
      </c>
      <c r="Q2473" s="192">
        <f t="shared" si="309"/>
        <v>0</v>
      </c>
      <c r="R2473" s="193"/>
      <c r="S2473" s="194"/>
      <c r="T2473" s="195">
        <f t="shared" si="310"/>
        <v>0</v>
      </c>
      <c r="U2473" s="195">
        <f t="shared" si="311"/>
        <v>0</v>
      </c>
      <c r="V2473" s="195">
        <f t="shared" si="312"/>
        <v>0</v>
      </c>
      <c r="W2473" s="196" t="e">
        <f t="shared" si="313"/>
        <v>#DIV/0!</v>
      </c>
      <c r="X2473" s="197" t="e">
        <f t="shared" si="314"/>
        <v>#DIV/0!</v>
      </c>
    </row>
    <row r="2474" ht="11.4" hidden="1" customHeight="1" spans="1:24">
      <c r="A2474" s="184" t="s">
        <v>3222</v>
      </c>
      <c r="B2474" s="184" t="s">
        <v>401</v>
      </c>
      <c r="C2474" s="184" t="s">
        <v>400</v>
      </c>
      <c r="D2474" s="185" t="s">
        <v>704</v>
      </c>
      <c r="E2474" s="186" t="s">
        <v>2728</v>
      </c>
      <c r="F2474" s="186" t="s">
        <v>2772</v>
      </c>
      <c r="G2474" s="186" t="s">
        <v>2773</v>
      </c>
      <c r="H2474" s="186" t="s">
        <v>2773</v>
      </c>
      <c r="I2474" s="187" t="s">
        <v>2778</v>
      </c>
      <c r="J2474" s="187" t="s">
        <v>2779</v>
      </c>
      <c r="K2474" s="188"/>
      <c r="L2474" s="188"/>
      <c r="M2474" s="189" t="s">
        <v>2308</v>
      </c>
      <c r="N2474" s="190">
        <v>1600.08</v>
      </c>
      <c r="O2474" s="190">
        <f t="shared" si="307"/>
        <v>1744.09</v>
      </c>
      <c r="P2474" s="191">
        <f t="shared" si="308"/>
        <v>0</v>
      </c>
      <c r="Q2474" s="192">
        <f t="shared" si="309"/>
        <v>0</v>
      </c>
      <c r="R2474" s="193"/>
      <c r="S2474" s="194"/>
      <c r="T2474" s="195">
        <f t="shared" si="310"/>
        <v>0</v>
      </c>
      <c r="U2474" s="195">
        <f t="shared" si="311"/>
        <v>0</v>
      </c>
      <c r="V2474" s="195">
        <f t="shared" si="312"/>
        <v>0</v>
      </c>
      <c r="W2474" s="196" t="e">
        <f t="shared" si="313"/>
        <v>#DIV/0!</v>
      </c>
      <c r="X2474" s="197" t="e">
        <f t="shared" si="314"/>
        <v>#DIV/0!</v>
      </c>
    </row>
    <row r="2475" ht="11.4" hidden="1" customHeight="1" spans="1:24">
      <c r="A2475" s="184" t="s">
        <v>3222</v>
      </c>
      <c r="B2475" s="184" t="s">
        <v>401</v>
      </c>
      <c r="C2475" s="184" t="s">
        <v>400</v>
      </c>
      <c r="D2475" s="185" t="s">
        <v>704</v>
      </c>
      <c r="E2475" s="186" t="s">
        <v>2728</v>
      </c>
      <c r="F2475" s="186" t="s">
        <v>2772</v>
      </c>
      <c r="G2475" s="186" t="s">
        <v>2773</v>
      </c>
      <c r="H2475" s="186" t="s">
        <v>2773</v>
      </c>
      <c r="I2475" s="187" t="s">
        <v>2780</v>
      </c>
      <c r="J2475" s="187" t="s">
        <v>2781</v>
      </c>
      <c r="K2475" s="188"/>
      <c r="L2475" s="188"/>
      <c r="M2475" s="189" t="s">
        <v>963</v>
      </c>
      <c r="N2475" s="190">
        <v>2295.13</v>
      </c>
      <c r="O2475" s="190">
        <f t="shared" si="307"/>
        <v>2501.69</v>
      </c>
      <c r="P2475" s="191">
        <f t="shared" si="308"/>
        <v>0</v>
      </c>
      <c r="Q2475" s="192">
        <f t="shared" si="309"/>
        <v>0</v>
      </c>
      <c r="R2475" s="193"/>
      <c r="S2475" s="194"/>
      <c r="T2475" s="195">
        <f t="shared" si="310"/>
        <v>0</v>
      </c>
      <c r="U2475" s="195">
        <f t="shared" si="311"/>
        <v>0</v>
      </c>
      <c r="V2475" s="195">
        <f t="shared" si="312"/>
        <v>0</v>
      </c>
      <c r="W2475" s="196" t="e">
        <f t="shared" si="313"/>
        <v>#DIV/0!</v>
      </c>
      <c r="X2475" s="197" t="e">
        <f t="shared" si="314"/>
        <v>#DIV/0!</v>
      </c>
    </row>
    <row r="2476" ht="11.4" hidden="1" customHeight="1" spans="1:24">
      <c r="A2476" s="184" t="s">
        <v>3222</v>
      </c>
      <c r="B2476" s="184" t="s">
        <v>401</v>
      </c>
      <c r="C2476" s="184" t="s">
        <v>400</v>
      </c>
      <c r="D2476" s="185" t="s">
        <v>704</v>
      </c>
      <c r="E2476" s="186" t="s">
        <v>2728</v>
      </c>
      <c r="F2476" s="186" t="s">
        <v>2772</v>
      </c>
      <c r="G2476" s="186" t="s">
        <v>2773</v>
      </c>
      <c r="H2476" s="186" t="s">
        <v>2773</v>
      </c>
      <c r="I2476" s="187" t="s">
        <v>2782</v>
      </c>
      <c r="J2476" s="187" t="s">
        <v>2783</v>
      </c>
      <c r="K2476" s="188"/>
      <c r="L2476" s="188"/>
      <c r="M2476" s="189" t="s">
        <v>2308</v>
      </c>
      <c r="N2476" s="190">
        <v>2520</v>
      </c>
      <c r="O2476" s="190">
        <f t="shared" si="307"/>
        <v>2746.8</v>
      </c>
      <c r="P2476" s="191">
        <f t="shared" si="308"/>
        <v>0</v>
      </c>
      <c r="Q2476" s="192">
        <f t="shared" si="309"/>
        <v>0</v>
      </c>
      <c r="R2476" s="193"/>
      <c r="S2476" s="194"/>
      <c r="T2476" s="195">
        <f t="shared" si="310"/>
        <v>0</v>
      </c>
      <c r="U2476" s="195">
        <f t="shared" si="311"/>
        <v>0</v>
      </c>
      <c r="V2476" s="195">
        <f t="shared" si="312"/>
        <v>0</v>
      </c>
      <c r="W2476" s="196" t="e">
        <f t="shared" si="313"/>
        <v>#DIV/0!</v>
      </c>
      <c r="X2476" s="197" t="e">
        <f t="shared" si="314"/>
        <v>#DIV/0!</v>
      </c>
    </row>
    <row r="2477" ht="11.4" hidden="1" customHeight="1" spans="1:24">
      <c r="A2477" s="184" t="s">
        <v>3222</v>
      </c>
      <c r="B2477" s="184" t="s">
        <v>401</v>
      </c>
      <c r="C2477" s="184" t="s">
        <v>400</v>
      </c>
      <c r="D2477" s="185" t="s">
        <v>704</v>
      </c>
      <c r="E2477" s="186" t="s">
        <v>2728</v>
      </c>
      <c r="F2477" s="186" t="s">
        <v>2772</v>
      </c>
      <c r="G2477" s="186" t="s">
        <v>2773</v>
      </c>
      <c r="H2477" s="186" t="s">
        <v>2773</v>
      </c>
      <c r="I2477" s="187" t="s">
        <v>2784</v>
      </c>
      <c r="J2477" s="187" t="s">
        <v>2785</v>
      </c>
      <c r="K2477" s="188"/>
      <c r="L2477" s="188"/>
      <c r="M2477" s="189" t="s">
        <v>2308</v>
      </c>
      <c r="N2477" s="190">
        <v>1417.5</v>
      </c>
      <c r="O2477" s="190">
        <f t="shared" si="307"/>
        <v>1545.08</v>
      </c>
      <c r="P2477" s="191">
        <f t="shared" si="308"/>
        <v>0</v>
      </c>
      <c r="Q2477" s="192">
        <f t="shared" si="309"/>
        <v>0</v>
      </c>
      <c r="R2477" s="193"/>
      <c r="S2477" s="194"/>
      <c r="T2477" s="195">
        <f t="shared" si="310"/>
        <v>0</v>
      </c>
      <c r="U2477" s="195">
        <f t="shared" si="311"/>
        <v>0</v>
      </c>
      <c r="V2477" s="195">
        <f t="shared" si="312"/>
        <v>0</v>
      </c>
      <c r="W2477" s="196" t="e">
        <f t="shared" si="313"/>
        <v>#DIV/0!</v>
      </c>
      <c r="X2477" s="197" t="e">
        <f t="shared" si="314"/>
        <v>#DIV/0!</v>
      </c>
    </row>
    <row r="2478" ht="11.4" hidden="1" customHeight="1" spans="1:24">
      <c r="A2478" s="184" t="s">
        <v>3222</v>
      </c>
      <c r="B2478" s="184" t="s">
        <v>401</v>
      </c>
      <c r="C2478" s="184" t="s">
        <v>400</v>
      </c>
      <c r="D2478" s="185" t="s">
        <v>704</v>
      </c>
      <c r="E2478" s="186" t="s">
        <v>2728</v>
      </c>
      <c r="F2478" s="186" t="s">
        <v>2772</v>
      </c>
      <c r="G2478" s="186" t="s">
        <v>2773</v>
      </c>
      <c r="H2478" s="186" t="s">
        <v>2773</v>
      </c>
      <c r="I2478" s="187" t="s">
        <v>2786</v>
      </c>
      <c r="J2478" s="187" t="s">
        <v>2787</v>
      </c>
      <c r="K2478" s="188"/>
      <c r="L2478" s="188"/>
      <c r="M2478" s="189" t="s">
        <v>2308</v>
      </c>
      <c r="N2478" s="190">
        <v>761.25</v>
      </c>
      <c r="O2478" s="190">
        <f t="shared" si="307"/>
        <v>829.76</v>
      </c>
      <c r="P2478" s="191">
        <f t="shared" si="308"/>
        <v>0</v>
      </c>
      <c r="Q2478" s="192">
        <f t="shared" si="309"/>
        <v>0</v>
      </c>
      <c r="R2478" s="193"/>
      <c r="S2478" s="194"/>
      <c r="T2478" s="195">
        <f t="shared" si="310"/>
        <v>0</v>
      </c>
      <c r="U2478" s="195">
        <f t="shared" si="311"/>
        <v>0</v>
      </c>
      <c r="V2478" s="195">
        <f t="shared" si="312"/>
        <v>0</v>
      </c>
      <c r="W2478" s="196" t="e">
        <f t="shared" si="313"/>
        <v>#DIV/0!</v>
      </c>
      <c r="X2478" s="197" t="e">
        <f t="shared" si="314"/>
        <v>#DIV/0!</v>
      </c>
    </row>
    <row r="2479" ht="11.4" hidden="1" customHeight="1" spans="1:24">
      <c r="A2479" s="184" t="s">
        <v>3222</v>
      </c>
      <c r="B2479" s="184" t="s">
        <v>401</v>
      </c>
      <c r="C2479" s="184" t="s">
        <v>400</v>
      </c>
      <c r="D2479" s="185" t="s">
        <v>704</v>
      </c>
      <c r="E2479" s="186" t="s">
        <v>2728</v>
      </c>
      <c r="F2479" s="186" t="s">
        <v>2772</v>
      </c>
      <c r="G2479" s="186" t="s">
        <v>2788</v>
      </c>
      <c r="H2479" s="186" t="s">
        <v>2788</v>
      </c>
      <c r="I2479" s="187" t="s">
        <v>2789</v>
      </c>
      <c r="J2479" s="187" t="s">
        <v>2790</v>
      </c>
      <c r="K2479" s="188"/>
      <c r="L2479" s="188"/>
      <c r="M2479" s="189" t="s">
        <v>2308</v>
      </c>
      <c r="N2479" s="190">
        <v>670.89</v>
      </c>
      <c r="O2479" s="190">
        <f t="shared" si="307"/>
        <v>731.27</v>
      </c>
      <c r="P2479" s="191">
        <f t="shared" si="308"/>
        <v>0</v>
      </c>
      <c r="Q2479" s="192">
        <f t="shared" si="309"/>
        <v>0</v>
      </c>
      <c r="R2479" s="193"/>
      <c r="S2479" s="194"/>
      <c r="T2479" s="195">
        <f t="shared" si="310"/>
        <v>0</v>
      </c>
      <c r="U2479" s="195">
        <f t="shared" si="311"/>
        <v>0</v>
      </c>
      <c r="V2479" s="195">
        <f t="shared" si="312"/>
        <v>0</v>
      </c>
      <c r="W2479" s="196" t="e">
        <f t="shared" si="313"/>
        <v>#DIV/0!</v>
      </c>
      <c r="X2479" s="197" t="e">
        <f t="shared" si="314"/>
        <v>#DIV/0!</v>
      </c>
    </row>
    <row r="2480" ht="11.4" hidden="1" customHeight="1" spans="1:24">
      <c r="A2480" s="184" t="s">
        <v>3223</v>
      </c>
      <c r="B2480" s="184" t="s">
        <v>405</v>
      </c>
      <c r="C2480" s="184" t="s">
        <v>404</v>
      </c>
      <c r="D2480" s="185" t="s">
        <v>704</v>
      </c>
      <c r="E2480" s="186" t="s">
        <v>2728</v>
      </c>
      <c r="F2480" s="186" t="s">
        <v>2772</v>
      </c>
      <c r="G2480" s="186" t="s">
        <v>2792</v>
      </c>
      <c r="H2480" s="186" t="s">
        <v>578</v>
      </c>
      <c r="I2480" s="187" t="s">
        <v>2793</v>
      </c>
      <c r="J2480" s="187" t="s">
        <v>2794</v>
      </c>
      <c r="K2480" s="188"/>
      <c r="L2480" s="188"/>
      <c r="M2480" s="189" t="s">
        <v>2308</v>
      </c>
      <c r="N2480" s="190">
        <v>7311.91</v>
      </c>
      <c r="O2480" s="190">
        <f t="shared" si="307"/>
        <v>7969.98</v>
      </c>
      <c r="P2480" s="191">
        <f t="shared" si="308"/>
        <v>0</v>
      </c>
      <c r="Q2480" s="192">
        <f t="shared" si="309"/>
        <v>0</v>
      </c>
      <c r="R2480" s="193"/>
      <c r="S2480" s="194"/>
      <c r="T2480" s="195">
        <f t="shared" si="310"/>
        <v>0</v>
      </c>
      <c r="U2480" s="195">
        <f t="shared" si="311"/>
        <v>0</v>
      </c>
      <c r="V2480" s="195">
        <f t="shared" si="312"/>
        <v>0</v>
      </c>
      <c r="W2480" s="196" t="e">
        <f t="shared" si="313"/>
        <v>#DIV/0!</v>
      </c>
      <c r="X2480" s="197" t="e">
        <f t="shared" si="314"/>
        <v>#DIV/0!</v>
      </c>
    </row>
    <row r="2481" ht="11.4" hidden="1" customHeight="1" spans="1:24">
      <c r="A2481" s="184" t="s">
        <v>3223</v>
      </c>
      <c r="B2481" s="184" t="s">
        <v>405</v>
      </c>
      <c r="C2481" s="184" t="s">
        <v>404</v>
      </c>
      <c r="D2481" s="185" t="s">
        <v>704</v>
      </c>
      <c r="E2481" s="186" t="s">
        <v>2728</v>
      </c>
      <c r="F2481" s="186" t="s">
        <v>2772</v>
      </c>
      <c r="G2481" s="186" t="s">
        <v>2792</v>
      </c>
      <c r="H2481" s="186" t="s">
        <v>578</v>
      </c>
      <c r="I2481" s="187" t="s">
        <v>2795</v>
      </c>
      <c r="J2481" s="187" t="s">
        <v>2796</v>
      </c>
      <c r="K2481" s="188"/>
      <c r="L2481" s="188"/>
      <c r="M2481" s="189" t="s">
        <v>2308</v>
      </c>
      <c r="N2481" s="190">
        <v>6891.91</v>
      </c>
      <c r="O2481" s="190">
        <f t="shared" si="307"/>
        <v>7512.18</v>
      </c>
      <c r="P2481" s="191">
        <f t="shared" si="308"/>
        <v>0</v>
      </c>
      <c r="Q2481" s="192">
        <f t="shared" si="309"/>
        <v>0</v>
      </c>
      <c r="R2481" s="193"/>
      <c r="S2481" s="194"/>
      <c r="T2481" s="195">
        <f t="shared" si="310"/>
        <v>0</v>
      </c>
      <c r="U2481" s="195">
        <f t="shared" si="311"/>
        <v>0</v>
      </c>
      <c r="V2481" s="195">
        <f t="shared" si="312"/>
        <v>0</v>
      </c>
      <c r="W2481" s="196" t="e">
        <f t="shared" si="313"/>
        <v>#DIV/0!</v>
      </c>
      <c r="X2481" s="197" t="e">
        <f t="shared" si="314"/>
        <v>#DIV/0!</v>
      </c>
    </row>
    <row r="2482" ht="11.4" hidden="1" customHeight="1" spans="1:24">
      <c r="A2482" s="184" t="s">
        <v>3223</v>
      </c>
      <c r="B2482" s="184" t="s">
        <v>405</v>
      </c>
      <c r="C2482" s="184" t="s">
        <v>404</v>
      </c>
      <c r="D2482" s="185" t="s">
        <v>704</v>
      </c>
      <c r="E2482" s="186" t="s">
        <v>2728</v>
      </c>
      <c r="F2482" s="186" t="s">
        <v>2772</v>
      </c>
      <c r="G2482" s="186" t="s">
        <v>2792</v>
      </c>
      <c r="H2482" s="186" t="s">
        <v>578</v>
      </c>
      <c r="I2482" s="187" t="s">
        <v>2797</v>
      </c>
      <c r="J2482" s="187" t="s">
        <v>2798</v>
      </c>
      <c r="K2482" s="188"/>
      <c r="L2482" s="188"/>
      <c r="M2482" s="189" t="s">
        <v>2308</v>
      </c>
      <c r="N2482" s="190">
        <v>1399.38</v>
      </c>
      <c r="O2482" s="190">
        <f t="shared" si="307"/>
        <v>1525.32</v>
      </c>
      <c r="P2482" s="191">
        <f t="shared" si="308"/>
        <v>0</v>
      </c>
      <c r="Q2482" s="192">
        <f t="shared" si="309"/>
        <v>0</v>
      </c>
      <c r="R2482" s="193"/>
      <c r="S2482" s="194"/>
      <c r="T2482" s="195">
        <f t="shared" si="310"/>
        <v>0</v>
      </c>
      <c r="U2482" s="195">
        <f t="shared" si="311"/>
        <v>0</v>
      </c>
      <c r="V2482" s="195">
        <f t="shared" si="312"/>
        <v>0</v>
      </c>
      <c r="W2482" s="196" t="e">
        <f t="shared" si="313"/>
        <v>#DIV/0!</v>
      </c>
      <c r="X2482" s="197" t="e">
        <f t="shared" si="314"/>
        <v>#DIV/0!</v>
      </c>
    </row>
    <row r="2483" ht="11.4" hidden="1" customHeight="1" spans="1:24">
      <c r="A2483" s="184" t="s">
        <v>3223</v>
      </c>
      <c r="B2483" s="184" t="s">
        <v>405</v>
      </c>
      <c r="C2483" s="184" t="s">
        <v>404</v>
      </c>
      <c r="D2483" s="185" t="s">
        <v>704</v>
      </c>
      <c r="E2483" s="186" t="s">
        <v>2728</v>
      </c>
      <c r="F2483" s="186" t="s">
        <v>2772</v>
      </c>
      <c r="G2483" s="186" t="s">
        <v>2792</v>
      </c>
      <c r="H2483" s="186" t="s">
        <v>578</v>
      </c>
      <c r="I2483" s="187" t="s">
        <v>2799</v>
      </c>
      <c r="J2483" s="187" t="s">
        <v>2800</v>
      </c>
      <c r="K2483" s="188"/>
      <c r="L2483" s="188"/>
      <c r="M2483" s="189" t="s">
        <v>2308</v>
      </c>
      <c r="N2483" s="190">
        <v>7312.31</v>
      </c>
      <c r="O2483" s="190">
        <f t="shared" si="307"/>
        <v>7970.42</v>
      </c>
      <c r="P2483" s="191">
        <f t="shared" si="308"/>
        <v>0</v>
      </c>
      <c r="Q2483" s="192">
        <f t="shared" si="309"/>
        <v>0</v>
      </c>
      <c r="R2483" s="193"/>
      <c r="S2483" s="194"/>
      <c r="T2483" s="195">
        <f t="shared" si="310"/>
        <v>0</v>
      </c>
      <c r="U2483" s="195">
        <f t="shared" si="311"/>
        <v>0</v>
      </c>
      <c r="V2483" s="195">
        <f t="shared" si="312"/>
        <v>0</v>
      </c>
      <c r="W2483" s="196" t="e">
        <f t="shared" si="313"/>
        <v>#DIV/0!</v>
      </c>
      <c r="X2483" s="197" t="e">
        <f t="shared" si="314"/>
        <v>#DIV/0!</v>
      </c>
    </row>
    <row r="2484" ht="11.4" hidden="1" customHeight="1" spans="1:24">
      <c r="A2484" s="184" t="s">
        <v>3223</v>
      </c>
      <c r="B2484" s="184" t="s">
        <v>405</v>
      </c>
      <c r="C2484" s="184" t="s">
        <v>404</v>
      </c>
      <c r="D2484" s="185" t="s">
        <v>704</v>
      </c>
      <c r="E2484" s="186" t="s">
        <v>2728</v>
      </c>
      <c r="F2484" s="186" t="s">
        <v>2772</v>
      </c>
      <c r="G2484" s="186" t="s">
        <v>2792</v>
      </c>
      <c r="H2484" s="186" t="s">
        <v>578</v>
      </c>
      <c r="I2484" s="187" t="s">
        <v>2801</v>
      </c>
      <c r="J2484" s="187" t="s">
        <v>2802</v>
      </c>
      <c r="K2484" s="188"/>
      <c r="L2484" s="188"/>
      <c r="M2484" s="189" t="s">
        <v>2308</v>
      </c>
      <c r="N2484" s="190">
        <v>6892.31</v>
      </c>
      <c r="O2484" s="190">
        <f t="shared" si="307"/>
        <v>7512.62</v>
      </c>
      <c r="P2484" s="191">
        <f t="shared" si="308"/>
        <v>0</v>
      </c>
      <c r="Q2484" s="192">
        <f t="shared" si="309"/>
        <v>0</v>
      </c>
      <c r="R2484" s="193"/>
      <c r="S2484" s="194"/>
      <c r="T2484" s="195">
        <f t="shared" si="310"/>
        <v>0</v>
      </c>
      <c r="U2484" s="195">
        <f t="shared" si="311"/>
        <v>0</v>
      </c>
      <c r="V2484" s="195">
        <f t="shared" si="312"/>
        <v>0</v>
      </c>
      <c r="W2484" s="196" t="e">
        <f t="shared" si="313"/>
        <v>#DIV/0!</v>
      </c>
      <c r="X2484" s="197" t="e">
        <f t="shared" si="314"/>
        <v>#DIV/0!</v>
      </c>
    </row>
    <row r="2485" ht="11.4" hidden="1" customHeight="1" spans="1:24">
      <c r="A2485" s="184" t="s">
        <v>3223</v>
      </c>
      <c r="B2485" s="184" t="s">
        <v>405</v>
      </c>
      <c r="C2485" s="184" t="s">
        <v>404</v>
      </c>
      <c r="D2485" s="185" t="s">
        <v>704</v>
      </c>
      <c r="E2485" s="186" t="s">
        <v>2728</v>
      </c>
      <c r="F2485" s="186" t="s">
        <v>2772</v>
      </c>
      <c r="G2485" s="186" t="s">
        <v>2792</v>
      </c>
      <c r="H2485" s="186" t="s">
        <v>578</v>
      </c>
      <c r="I2485" s="187" t="s">
        <v>2803</v>
      </c>
      <c r="J2485" s="187" t="s">
        <v>2804</v>
      </c>
      <c r="K2485" s="188"/>
      <c r="L2485" s="188"/>
      <c r="M2485" s="189" t="s">
        <v>2308</v>
      </c>
      <c r="N2485" s="190">
        <v>1400</v>
      </c>
      <c r="O2485" s="190">
        <f t="shared" si="307"/>
        <v>1526</v>
      </c>
      <c r="P2485" s="191">
        <f t="shared" si="308"/>
        <v>0</v>
      </c>
      <c r="Q2485" s="192">
        <f t="shared" si="309"/>
        <v>0</v>
      </c>
      <c r="R2485" s="193"/>
      <c r="S2485" s="194"/>
      <c r="T2485" s="195">
        <f t="shared" si="310"/>
        <v>0</v>
      </c>
      <c r="U2485" s="195">
        <f t="shared" si="311"/>
        <v>0</v>
      </c>
      <c r="V2485" s="195">
        <f t="shared" si="312"/>
        <v>0</v>
      </c>
      <c r="W2485" s="196" t="e">
        <f t="shared" si="313"/>
        <v>#DIV/0!</v>
      </c>
      <c r="X2485" s="197" t="e">
        <f t="shared" si="314"/>
        <v>#DIV/0!</v>
      </c>
    </row>
    <row r="2486" ht="11.4" hidden="1" customHeight="1" spans="1:24">
      <c r="A2486" s="184" t="s">
        <v>3224</v>
      </c>
      <c r="B2486" s="184" t="s">
        <v>421</v>
      </c>
      <c r="C2486" s="184" t="s">
        <v>420</v>
      </c>
      <c r="D2486" s="185" t="s">
        <v>704</v>
      </c>
      <c r="E2486" s="186" t="s">
        <v>2728</v>
      </c>
      <c r="F2486" s="186" t="s">
        <v>2772</v>
      </c>
      <c r="G2486" s="186" t="s">
        <v>2806</v>
      </c>
      <c r="H2486" s="186" t="s">
        <v>580</v>
      </c>
      <c r="I2486" s="187" t="s">
        <v>2807</v>
      </c>
      <c r="J2486" s="187" t="s">
        <v>2808</v>
      </c>
      <c r="K2486" s="188"/>
      <c r="L2486" s="188"/>
      <c r="M2486" s="189" t="s">
        <v>2308</v>
      </c>
      <c r="N2486" s="190">
        <v>3437.7</v>
      </c>
      <c r="O2486" s="190">
        <f t="shared" si="307"/>
        <v>3747.09</v>
      </c>
      <c r="P2486" s="191">
        <f t="shared" si="308"/>
        <v>0</v>
      </c>
      <c r="Q2486" s="192">
        <f t="shared" si="309"/>
        <v>0</v>
      </c>
      <c r="R2486" s="193"/>
      <c r="S2486" s="194"/>
      <c r="T2486" s="195">
        <f t="shared" si="310"/>
        <v>0</v>
      </c>
      <c r="U2486" s="195">
        <f t="shared" si="311"/>
        <v>0</v>
      </c>
      <c r="V2486" s="195">
        <f t="shared" si="312"/>
        <v>0</v>
      </c>
      <c r="W2486" s="196" t="e">
        <f t="shared" si="313"/>
        <v>#DIV/0!</v>
      </c>
      <c r="X2486" s="197" t="e">
        <f t="shared" si="314"/>
        <v>#DIV/0!</v>
      </c>
    </row>
    <row r="2487" ht="11.4" hidden="1" customHeight="1" spans="1:24">
      <c r="A2487" s="184" t="s">
        <v>3224</v>
      </c>
      <c r="B2487" s="184" t="s">
        <v>421</v>
      </c>
      <c r="C2487" s="184" t="s">
        <v>420</v>
      </c>
      <c r="D2487" s="185" t="s">
        <v>704</v>
      </c>
      <c r="E2487" s="186" t="s">
        <v>2728</v>
      </c>
      <c r="F2487" s="186" t="s">
        <v>2772</v>
      </c>
      <c r="G2487" s="186" t="s">
        <v>2806</v>
      </c>
      <c r="H2487" s="186" t="s">
        <v>580</v>
      </c>
      <c r="I2487" s="187" t="s">
        <v>2809</v>
      </c>
      <c r="J2487" s="187" t="s">
        <v>2810</v>
      </c>
      <c r="K2487" s="188"/>
      <c r="L2487" s="188"/>
      <c r="M2487" s="189" t="s">
        <v>2308</v>
      </c>
      <c r="N2487" s="190">
        <v>4340.7</v>
      </c>
      <c r="O2487" s="190">
        <f t="shared" si="307"/>
        <v>4731.36</v>
      </c>
      <c r="P2487" s="191">
        <f t="shared" si="308"/>
        <v>0</v>
      </c>
      <c r="Q2487" s="192">
        <f t="shared" si="309"/>
        <v>0</v>
      </c>
      <c r="R2487" s="193"/>
      <c r="S2487" s="194"/>
      <c r="T2487" s="195">
        <f t="shared" si="310"/>
        <v>0</v>
      </c>
      <c r="U2487" s="195">
        <f t="shared" si="311"/>
        <v>0</v>
      </c>
      <c r="V2487" s="195">
        <f t="shared" si="312"/>
        <v>0</v>
      </c>
      <c r="W2487" s="196" t="e">
        <f t="shared" si="313"/>
        <v>#DIV/0!</v>
      </c>
      <c r="X2487" s="197" t="e">
        <f t="shared" si="314"/>
        <v>#DIV/0!</v>
      </c>
    </row>
    <row r="2488" ht="11.4" hidden="1" customHeight="1" spans="1:24">
      <c r="A2488" s="184" t="s">
        <v>3225</v>
      </c>
      <c r="B2488" s="184" t="s">
        <v>425</v>
      </c>
      <c r="C2488" s="184" t="s">
        <v>424</v>
      </c>
      <c r="D2488" s="185" t="s">
        <v>704</v>
      </c>
      <c r="E2488" s="186" t="s">
        <v>2728</v>
      </c>
      <c r="F2488" s="186" t="s">
        <v>2772</v>
      </c>
      <c r="G2488" s="186" t="s">
        <v>2812</v>
      </c>
      <c r="H2488" s="186" t="s">
        <v>2813</v>
      </c>
      <c r="I2488" s="187" t="s">
        <v>2814</v>
      </c>
      <c r="J2488" s="187" t="s">
        <v>2815</v>
      </c>
      <c r="K2488" s="188"/>
      <c r="L2488" s="188"/>
      <c r="M2488" s="189" t="s">
        <v>847</v>
      </c>
      <c r="N2488" s="190">
        <v>298</v>
      </c>
      <c r="O2488" s="190">
        <f t="shared" si="307"/>
        <v>324.82</v>
      </c>
      <c r="P2488" s="191">
        <f t="shared" si="308"/>
        <v>0</v>
      </c>
      <c r="Q2488" s="192">
        <f t="shared" si="309"/>
        <v>0</v>
      </c>
      <c r="R2488" s="193"/>
      <c r="S2488" s="194"/>
      <c r="T2488" s="195">
        <f t="shared" si="310"/>
        <v>0</v>
      </c>
      <c r="U2488" s="195">
        <f t="shared" si="311"/>
        <v>0</v>
      </c>
      <c r="V2488" s="195">
        <f t="shared" si="312"/>
        <v>0</v>
      </c>
      <c r="W2488" s="196" t="e">
        <f t="shared" si="313"/>
        <v>#DIV/0!</v>
      </c>
      <c r="X2488" s="197" t="e">
        <f t="shared" si="314"/>
        <v>#DIV/0!</v>
      </c>
    </row>
    <row r="2489" ht="11.4" hidden="1" customHeight="1" spans="1:24">
      <c r="A2489" s="184" t="s">
        <v>3225</v>
      </c>
      <c r="B2489" s="184" t="s">
        <v>425</v>
      </c>
      <c r="C2489" s="184" t="s">
        <v>424</v>
      </c>
      <c r="D2489" s="185" t="s">
        <v>704</v>
      </c>
      <c r="E2489" s="186" t="s">
        <v>2728</v>
      </c>
      <c r="F2489" s="186" t="s">
        <v>2772</v>
      </c>
      <c r="G2489" s="186" t="s">
        <v>2812</v>
      </c>
      <c r="H2489" s="186" t="s">
        <v>2813</v>
      </c>
      <c r="I2489" s="187" t="s">
        <v>2816</v>
      </c>
      <c r="J2489" s="187" t="s">
        <v>2817</v>
      </c>
      <c r="K2489" s="188"/>
      <c r="L2489" s="188"/>
      <c r="M2489" s="189" t="s">
        <v>2308</v>
      </c>
      <c r="N2489" s="190">
        <v>2330</v>
      </c>
      <c r="O2489" s="190">
        <f t="shared" si="307"/>
        <v>2539.7</v>
      </c>
      <c r="P2489" s="191">
        <f t="shared" si="308"/>
        <v>0</v>
      </c>
      <c r="Q2489" s="192">
        <f t="shared" si="309"/>
        <v>0</v>
      </c>
      <c r="R2489" s="193"/>
      <c r="S2489" s="194"/>
      <c r="T2489" s="195">
        <f t="shared" si="310"/>
        <v>0</v>
      </c>
      <c r="U2489" s="195">
        <f t="shared" si="311"/>
        <v>0</v>
      </c>
      <c r="V2489" s="195">
        <f t="shared" si="312"/>
        <v>0</v>
      </c>
      <c r="W2489" s="196" t="e">
        <f t="shared" si="313"/>
        <v>#DIV/0!</v>
      </c>
      <c r="X2489" s="197" t="e">
        <f t="shared" si="314"/>
        <v>#DIV/0!</v>
      </c>
    </row>
    <row r="2490" ht="11.4" hidden="1" customHeight="1" spans="1:24">
      <c r="A2490" s="184" t="s">
        <v>3226</v>
      </c>
      <c r="B2490" s="184" t="s">
        <v>323</v>
      </c>
      <c r="C2490" s="184" t="s">
        <v>2819</v>
      </c>
      <c r="D2490" s="185" t="s">
        <v>704</v>
      </c>
      <c r="E2490" s="186" t="s">
        <v>2728</v>
      </c>
      <c r="F2490" s="186" t="s">
        <v>2769</v>
      </c>
      <c r="G2490" s="186" t="s">
        <v>582</v>
      </c>
      <c r="H2490" s="186" t="s">
        <v>582</v>
      </c>
      <c r="I2490" s="187" t="s">
        <v>2820</v>
      </c>
      <c r="J2490" s="187" t="s">
        <v>2821</v>
      </c>
      <c r="K2490" s="188"/>
      <c r="L2490" s="188"/>
      <c r="M2490" s="189" t="s">
        <v>2308</v>
      </c>
      <c r="N2490" s="190">
        <v>881</v>
      </c>
      <c r="O2490" s="190">
        <f t="shared" si="307"/>
        <v>960.29</v>
      </c>
      <c r="P2490" s="191">
        <f t="shared" si="308"/>
        <v>0</v>
      </c>
      <c r="Q2490" s="192">
        <f t="shared" si="309"/>
        <v>0</v>
      </c>
      <c r="R2490" s="193"/>
      <c r="S2490" s="194"/>
      <c r="T2490" s="195">
        <f t="shared" si="310"/>
        <v>0</v>
      </c>
      <c r="U2490" s="195">
        <f t="shared" si="311"/>
        <v>0</v>
      </c>
      <c r="V2490" s="195">
        <f t="shared" si="312"/>
        <v>0</v>
      </c>
      <c r="W2490" s="196" t="e">
        <f t="shared" si="313"/>
        <v>#DIV/0!</v>
      </c>
      <c r="X2490" s="197" t="e">
        <f t="shared" si="314"/>
        <v>#DIV/0!</v>
      </c>
    </row>
    <row r="2491" ht="11.4" hidden="1" customHeight="1" spans="1:24">
      <c r="A2491" s="184" t="s">
        <v>3227</v>
      </c>
      <c r="B2491" s="184" t="s">
        <v>430</v>
      </c>
      <c r="C2491" s="184" t="s">
        <v>2823</v>
      </c>
      <c r="D2491" s="185" t="s">
        <v>704</v>
      </c>
      <c r="E2491" s="186" t="s">
        <v>2728</v>
      </c>
      <c r="F2491" s="186" t="s">
        <v>2769</v>
      </c>
      <c r="G2491" s="186" t="s">
        <v>582</v>
      </c>
      <c r="H2491" s="186" t="s">
        <v>582</v>
      </c>
      <c r="I2491" s="187" t="s">
        <v>2824</v>
      </c>
      <c r="J2491" s="187" t="s">
        <v>2825</v>
      </c>
      <c r="K2491" s="188"/>
      <c r="L2491" s="188"/>
      <c r="M2491" s="189" t="s">
        <v>2308</v>
      </c>
      <c r="N2491" s="190">
        <v>258</v>
      </c>
      <c r="O2491" s="190">
        <f t="shared" si="307"/>
        <v>281.22</v>
      </c>
      <c r="P2491" s="191">
        <f t="shared" si="308"/>
        <v>0</v>
      </c>
      <c r="Q2491" s="192">
        <f t="shared" si="309"/>
        <v>0</v>
      </c>
      <c r="R2491" s="193"/>
      <c r="S2491" s="194"/>
      <c r="T2491" s="195">
        <f t="shared" si="310"/>
        <v>0</v>
      </c>
      <c r="U2491" s="195">
        <f t="shared" si="311"/>
        <v>0</v>
      </c>
      <c r="V2491" s="195">
        <f t="shared" si="312"/>
        <v>0</v>
      </c>
      <c r="W2491" s="196" t="e">
        <f t="shared" si="313"/>
        <v>#DIV/0!</v>
      </c>
      <c r="X2491" s="197" t="e">
        <f t="shared" si="314"/>
        <v>#DIV/0!</v>
      </c>
    </row>
    <row r="2492" ht="11.4" hidden="1" customHeight="1" spans="1:24">
      <c r="A2492" s="184" t="s">
        <v>3220</v>
      </c>
      <c r="B2492" s="184" t="s">
        <v>378</v>
      </c>
      <c r="C2492" s="184" t="s">
        <v>2826</v>
      </c>
      <c r="D2492" s="185" t="s">
        <v>704</v>
      </c>
      <c r="E2492" s="186" t="s">
        <v>2728</v>
      </c>
      <c r="F2492" s="186" t="s">
        <v>2769</v>
      </c>
      <c r="G2492" s="186" t="s">
        <v>582</v>
      </c>
      <c r="H2492" s="186" t="s">
        <v>582</v>
      </c>
      <c r="I2492" s="187" t="s">
        <v>2827</v>
      </c>
      <c r="J2492" s="187" t="s">
        <v>2828</v>
      </c>
      <c r="K2492" s="188"/>
      <c r="L2492" s="188"/>
      <c r="M2492" s="189" t="s">
        <v>2308</v>
      </c>
      <c r="N2492" s="190">
        <v>300</v>
      </c>
      <c r="O2492" s="190">
        <f t="shared" si="307"/>
        <v>327</v>
      </c>
      <c r="P2492" s="191">
        <f t="shared" si="308"/>
        <v>0</v>
      </c>
      <c r="Q2492" s="192">
        <f t="shared" si="309"/>
        <v>0</v>
      </c>
      <c r="R2492" s="193"/>
      <c r="S2492" s="194"/>
      <c r="T2492" s="195">
        <f t="shared" si="310"/>
        <v>0</v>
      </c>
      <c r="U2492" s="195">
        <f t="shared" si="311"/>
        <v>0</v>
      </c>
      <c r="V2492" s="195">
        <f t="shared" si="312"/>
        <v>0</v>
      </c>
      <c r="W2492" s="196" t="e">
        <f t="shared" si="313"/>
        <v>#DIV/0!</v>
      </c>
      <c r="X2492" s="197" t="e">
        <f t="shared" si="314"/>
        <v>#DIV/0!</v>
      </c>
    </row>
    <row r="2493" ht="11.4" hidden="1" customHeight="1" spans="1:24">
      <c r="A2493" s="184" t="s">
        <v>3227</v>
      </c>
      <c r="B2493" s="184" t="s">
        <v>430</v>
      </c>
      <c r="C2493" s="184" t="s">
        <v>2823</v>
      </c>
      <c r="D2493" s="185" t="s">
        <v>704</v>
      </c>
      <c r="E2493" s="186" t="s">
        <v>2728</v>
      </c>
      <c r="F2493" s="186" t="s">
        <v>2769</v>
      </c>
      <c r="G2493" s="186" t="s">
        <v>582</v>
      </c>
      <c r="H2493" s="186" t="s">
        <v>582</v>
      </c>
      <c r="I2493" s="187" t="s">
        <v>2829</v>
      </c>
      <c r="J2493" s="187" t="s">
        <v>2830</v>
      </c>
      <c r="K2493" s="188"/>
      <c r="L2493" s="188"/>
      <c r="M2493" s="189" t="s">
        <v>807</v>
      </c>
      <c r="N2493" s="190">
        <v>99.32</v>
      </c>
      <c r="O2493" s="190">
        <f t="shared" si="307"/>
        <v>108.26</v>
      </c>
      <c r="P2493" s="191">
        <f t="shared" si="308"/>
        <v>0</v>
      </c>
      <c r="Q2493" s="192">
        <f t="shared" si="309"/>
        <v>0</v>
      </c>
      <c r="R2493" s="193"/>
      <c r="S2493" s="194"/>
      <c r="T2493" s="195">
        <f t="shared" si="310"/>
        <v>0</v>
      </c>
      <c r="U2493" s="195">
        <f t="shared" si="311"/>
        <v>0</v>
      </c>
      <c r="V2493" s="195">
        <f t="shared" si="312"/>
        <v>0</v>
      </c>
      <c r="W2493" s="196" t="e">
        <f t="shared" si="313"/>
        <v>#DIV/0!</v>
      </c>
      <c r="X2493" s="197" t="e">
        <f t="shared" si="314"/>
        <v>#DIV/0!</v>
      </c>
    </row>
    <row r="2494" ht="11.4" hidden="1" customHeight="1" spans="1:24">
      <c r="A2494" s="184" t="s">
        <v>3227</v>
      </c>
      <c r="B2494" s="184" t="s">
        <v>430</v>
      </c>
      <c r="C2494" s="184" t="s">
        <v>2823</v>
      </c>
      <c r="D2494" s="185" t="s">
        <v>704</v>
      </c>
      <c r="E2494" s="186" t="s">
        <v>2728</v>
      </c>
      <c r="F2494" s="186" t="s">
        <v>2769</v>
      </c>
      <c r="G2494" s="186" t="s">
        <v>582</v>
      </c>
      <c r="H2494" s="186" t="s">
        <v>582</v>
      </c>
      <c r="I2494" s="187" t="s">
        <v>2831</v>
      </c>
      <c r="J2494" s="187" t="s">
        <v>2832</v>
      </c>
      <c r="K2494" s="188"/>
      <c r="L2494" s="188"/>
      <c r="M2494" s="189" t="s">
        <v>807</v>
      </c>
      <c r="N2494" s="190">
        <v>99.32</v>
      </c>
      <c r="O2494" s="190">
        <f t="shared" si="307"/>
        <v>108.26</v>
      </c>
      <c r="P2494" s="191">
        <f t="shared" si="308"/>
        <v>0</v>
      </c>
      <c r="Q2494" s="192">
        <f t="shared" si="309"/>
        <v>0</v>
      </c>
      <c r="R2494" s="193"/>
      <c r="S2494" s="194"/>
      <c r="T2494" s="195">
        <f t="shared" si="310"/>
        <v>0</v>
      </c>
      <c r="U2494" s="195">
        <f t="shared" si="311"/>
        <v>0</v>
      </c>
      <c r="V2494" s="195">
        <f t="shared" si="312"/>
        <v>0</v>
      </c>
      <c r="W2494" s="196" t="e">
        <f t="shared" si="313"/>
        <v>#DIV/0!</v>
      </c>
      <c r="X2494" s="197" t="e">
        <f t="shared" si="314"/>
        <v>#DIV/0!</v>
      </c>
    </row>
    <row r="2495" ht="11.4" hidden="1" customHeight="1" spans="1:24">
      <c r="A2495" s="184" t="s">
        <v>3227</v>
      </c>
      <c r="B2495" s="184" t="s">
        <v>430</v>
      </c>
      <c r="C2495" s="184" t="s">
        <v>2823</v>
      </c>
      <c r="D2495" s="185" t="s">
        <v>704</v>
      </c>
      <c r="E2495" s="186" t="s">
        <v>2728</v>
      </c>
      <c r="F2495" s="186" t="s">
        <v>2769</v>
      </c>
      <c r="G2495" s="186" t="s">
        <v>582</v>
      </c>
      <c r="H2495" s="186" t="s">
        <v>582</v>
      </c>
      <c r="I2495" s="187" t="s">
        <v>2833</v>
      </c>
      <c r="J2495" s="187" t="s">
        <v>2834</v>
      </c>
      <c r="K2495" s="188"/>
      <c r="L2495" s="188"/>
      <c r="M2495" s="189" t="s">
        <v>1018</v>
      </c>
      <c r="N2495" s="190">
        <v>21</v>
      </c>
      <c r="O2495" s="190">
        <f t="shared" si="307"/>
        <v>22.89</v>
      </c>
      <c r="P2495" s="191">
        <f t="shared" si="308"/>
        <v>0</v>
      </c>
      <c r="Q2495" s="192">
        <f t="shared" si="309"/>
        <v>0</v>
      </c>
      <c r="R2495" s="193"/>
      <c r="S2495" s="194"/>
      <c r="T2495" s="195">
        <f t="shared" si="310"/>
        <v>0</v>
      </c>
      <c r="U2495" s="195">
        <f t="shared" si="311"/>
        <v>0</v>
      </c>
      <c r="V2495" s="195">
        <f t="shared" si="312"/>
        <v>0</v>
      </c>
      <c r="W2495" s="196" t="e">
        <f t="shared" si="313"/>
        <v>#DIV/0!</v>
      </c>
      <c r="X2495" s="197" t="e">
        <f t="shared" si="314"/>
        <v>#DIV/0!</v>
      </c>
    </row>
    <row r="2496" ht="11.4" hidden="1" customHeight="1" spans="1:24">
      <c r="A2496" s="184" t="s">
        <v>3228</v>
      </c>
      <c r="B2496" s="184" t="s">
        <v>439</v>
      </c>
      <c r="C2496" s="184" t="s">
        <v>2836</v>
      </c>
      <c r="D2496" s="185" t="s">
        <v>704</v>
      </c>
      <c r="E2496" s="186" t="s">
        <v>2837</v>
      </c>
      <c r="F2496" s="186" t="s">
        <v>2838</v>
      </c>
      <c r="G2496" s="186" t="s">
        <v>583</v>
      </c>
      <c r="H2496" s="186" t="s">
        <v>583</v>
      </c>
      <c r="I2496" s="187" t="s">
        <v>2839</v>
      </c>
      <c r="J2496" s="187" t="s">
        <v>2840</v>
      </c>
      <c r="K2496" s="188"/>
      <c r="L2496" s="188"/>
      <c r="M2496" s="189" t="s">
        <v>793</v>
      </c>
      <c r="N2496" s="190">
        <v>3735</v>
      </c>
      <c r="O2496" s="190">
        <f t="shared" si="307"/>
        <v>4071.15</v>
      </c>
      <c r="P2496" s="191">
        <f t="shared" si="308"/>
        <v>0</v>
      </c>
      <c r="Q2496" s="192">
        <f t="shared" si="309"/>
        <v>0</v>
      </c>
      <c r="R2496" s="193"/>
      <c r="S2496" s="194"/>
      <c r="T2496" s="195">
        <f t="shared" si="310"/>
        <v>0</v>
      </c>
      <c r="U2496" s="195">
        <f t="shared" si="311"/>
        <v>0</v>
      </c>
      <c r="V2496" s="195">
        <f t="shared" si="312"/>
        <v>0</v>
      </c>
      <c r="W2496" s="196" t="e">
        <f t="shared" si="313"/>
        <v>#DIV/0!</v>
      </c>
      <c r="X2496" s="197" t="e">
        <f t="shared" si="314"/>
        <v>#DIV/0!</v>
      </c>
    </row>
    <row r="2497" ht="11.4" hidden="1" customHeight="1" spans="1:24">
      <c r="A2497" s="184" t="s">
        <v>3229</v>
      </c>
      <c r="B2497" s="184" t="s">
        <v>459</v>
      </c>
      <c r="C2497" s="184" t="s">
        <v>2842</v>
      </c>
      <c r="D2497" s="185" t="s">
        <v>704</v>
      </c>
      <c r="E2497" s="186" t="s">
        <v>2843</v>
      </c>
      <c r="F2497" s="186" t="s">
        <v>2844</v>
      </c>
      <c r="G2497" s="186" t="s">
        <v>2845</v>
      </c>
      <c r="H2497" s="186" t="s">
        <v>2845</v>
      </c>
      <c r="I2497" s="187" t="s">
        <v>2846</v>
      </c>
      <c r="J2497" s="187" t="s">
        <v>2847</v>
      </c>
      <c r="K2497" s="188"/>
      <c r="L2497" s="188"/>
      <c r="M2497" s="189" t="s">
        <v>793</v>
      </c>
      <c r="N2497" s="190">
        <v>538.44</v>
      </c>
      <c r="O2497" s="190">
        <f t="shared" si="307"/>
        <v>586.9</v>
      </c>
      <c r="P2497" s="191">
        <f t="shared" si="308"/>
        <v>0</v>
      </c>
      <c r="Q2497" s="192">
        <f t="shared" si="309"/>
        <v>0</v>
      </c>
      <c r="R2497" s="193"/>
      <c r="S2497" s="194"/>
      <c r="T2497" s="195">
        <f t="shared" si="310"/>
        <v>0</v>
      </c>
      <c r="U2497" s="195">
        <f t="shared" si="311"/>
        <v>0</v>
      </c>
      <c r="V2497" s="195">
        <f t="shared" si="312"/>
        <v>0</v>
      </c>
      <c r="W2497" s="196" t="e">
        <f t="shared" si="313"/>
        <v>#DIV/0!</v>
      </c>
      <c r="X2497" s="197" t="e">
        <f t="shared" si="314"/>
        <v>#DIV/0!</v>
      </c>
    </row>
    <row r="2498" ht="11.4" hidden="1" customHeight="1" spans="1:24">
      <c r="A2498" s="184" t="s">
        <v>3229</v>
      </c>
      <c r="B2498" s="184" t="s">
        <v>459</v>
      </c>
      <c r="C2498" s="184" t="s">
        <v>2842</v>
      </c>
      <c r="D2498" s="185" t="s">
        <v>704</v>
      </c>
      <c r="E2498" s="186" t="s">
        <v>2843</v>
      </c>
      <c r="F2498" s="186" t="s">
        <v>2844</v>
      </c>
      <c r="G2498" s="186" t="s">
        <v>2845</v>
      </c>
      <c r="H2498" s="186" t="s">
        <v>2845</v>
      </c>
      <c r="I2498" s="187" t="s">
        <v>2848</v>
      </c>
      <c r="J2498" s="187" t="s">
        <v>2849</v>
      </c>
      <c r="K2498" s="188"/>
      <c r="L2498" s="188"/>
      <c r="M2498" s="189" t="s">
        <v>793</v>
      </c>
      <c r="N2498" s="190">
        <v>200.08</v>
      </c>
      <c r="O2498" s="190">
        <f t="shared" si="307"/>
        <v>218.09</v>
      </c>
      <c r="P2498" s="191">
        <f t="shared" si="308"/>
        <v>0</v>
      </c>
      <c r="Q2498" s="192">
        <f t="shared" si="309"/>
        <v>0</v>
      </c>
      <c r="R2498" s="193"/>
      <c r="S2498" s="194"/>
      <c r="T2498" s="195">
        <f t="shared" si="310"/>
        <v>0</v>
      </c>
      <c r="U2498" s="195">
        <f t="shared" si="311"/>
        <v>0</v>
      </c>
      <c r="V2498" s="195">
        <f t="shared" si="312"/>
        <v>0</v>
      </c>
      <c r="W2498" s="196" t="e">
        <f t="shared" si="313"/>
        <v>#DIV/0!</v>
      </c>
      <c r="X2498" s="197" t="e">
        <f t="shared" si="314"/>
        <v>#DIV/0!</v>
      </c>
    </row>
    <row r="2499" ht="11.4" hidden="1" customHeight="1" spans="1:24">
      <c r="A2499" s="184" t="s">
        <v>3230</v>
      </c>
      <c r="B2499" s="184" t="s">
        <v>457</v>
      </c>
      <c r="C2499" s="184" t="s">
        <v>2851</v>
      </c>
      <c r="D2499" s="185" t="s">
        <v>704</v>
      </c>
      <c r="E2499" s="186" t="s">
        <v>2843</v>
      </c>
      <c r="F2499" s="186" t="s">
        <v>2852</v>
      </c>
      <c r="G2499" s="186" t="s">
        <v>2853</v>
      </c>
      <c r="H2499" s="186" t="s">
        <v>2853</v>
      </c>
      <c r="I2499" s="187" t="s">
        <v>2854</v>
      </c>
      <c r="J2499" s="187" t="s">
        <v>2855</v>
      </c>
      <c r="K2499" s="188"/>
      <c r="L2499" s="188"/>
      <c r="M2499" s="189" t="s">
        <v>793</v>
      </c>
      <c r="N2499" s="190"/>
      <c r="O2499" s="190">
        <f t="shared" si="307"/>
        <v>0</v>
      </c>
      <c r="P2499" s="191">
        <f t="shared" si="308"/>
        <v>0</v>
      </c>
      <c r="Q2499" s="192">
        <f t="shared" si="309"/>
        <v>0</v>
      </c>
      <c r="R2499" s="193"/>
      <c r="S2499" s="194"/>
      <c r="T2499" s="195">
        <f t="shared" si="310"/>
        <v>0</v>
      </c>
      <c r="U2499" s="195">
        <f t="shared" si="311"/>
        <v>0</v>
      </c>
      <c r="V2499" s="195">
        <f t="shared" si="312"/>
        <v>0</v>
      </c>
      <c r="W2499" s="196" t="e">
        <f t="shared" si="313"/>
        <v>#DIV/0!</v>
      </c>
      <c r="X2499" s="197" t="e">
        <f t="shared" si="314"/>
        <v>#DIV/0!</v>
      </c>
    </row>
    <row r="2500" ht="11.4" hidden="1" customHeight="1" spans="1:24">
      <c r="A2500" s="184" t="s">
        <v>3230</v>
      </c>
      <c r="B2500" s="184" t="s">
        <v>457</v>
      </c>
      <c r="C2500" s="184" t="s">
        <v>2851</v>
      </c>
      <c r="D2500" s="185" t="s">
        <v>704</v>
      </c>
      <c r="E2500" s="186" t="s">
        <v>2843</v>
      </c>
      <c r="F2500" s="186" t="s">
        <v>2852</v>
      </c>
      <c r="G2500" s="186" t="s">
        <v>2853</v>
      </c>
      <c r="H2500" s="186" t="s">
        <v>2853</v>
      </c>
      <c r="I2500" s="187" t="s">
        <v>2856</v>
      </c>
      <c r="J2500" s="187" t="s">
        <v>2857</v>
      </c>
      <c r="K2500" s="188"/>
      <c r="L2500" s="188"/>
      <c r="M2500" s="189" t="s">
        <v>1018</v>
      </c>
      <c r="N2500" s="190"/>
      <c r="O2500" s="190">
        <f t="shared" si="307"/>
        <v>0</v>
      </c>
      <c r="P2500" s="191">
        <f t="shared" si="308"/>
        <v>0</v>
      </c>
      <c r="Q2500" s="192">
        <f t="shared" si="309"/>
        <v>0</v>
      </c>
      <c r="R2500" s="193"/>
      <c r="S2500" s="194"/>
      <c r="T2500" s="195">
        <f t="shared" si="310"/>
        <v>0</v>
      </c>
      <c r="U2500" s="195">
        <f t="shared" si="311"/>
        <v>0</v>
      </c>
      <c r="V2500" s="195">
        <f t="shared" si="312"/>
        <v>0</v>
      </c>
      <c r="W2500" s="196" t="e">
        <f t="shared" si="313"/>
        <v>#DIV/0!</v>
      </c>
      <c r="X2500" s="197" t="e">
        <f t="shared" si="314"/>
        <v>#DIV/0!</v>
      </c>
    </row>
    <row r="2501" ht="11.4" hidden="1" customHeight="1" spans="1:24">
      <c r="A2501" s="184" t="s">
        <v>3230</v>
      </c>
      <c r="B2501" s="184" t="s">
        <v>457</v>
      </c>
      <c r="C2501" s="184" t="s">
        <v>2851</v>
      </c>
      <c r="D2501" s="185" t="s">
        <v>704</v>
      </c>
      <c r="E2501" s="186" t="s">
        <v>2843</v>
      </c>
      <c r="F2501" s="186" t="s">
        <v>2852</v>
      </c>
      <c r="G2501" s="186" t="s">
        <v>2853</v>
      </c>
      <c r="H2501" s="186" t="s">
        <v>2853</v>
      </c>
      <c r="I2501" s="187" t="s">
        <v>2858</v>
      </c>
      <c r="J2501" s="187" t="s">
        <v>2859</v>
      </c>
      <c r="K2501" s="188"/>
      <c r="L2501" s="188"/>
      <c r="M2501" s="189" t="s">
        <v>1018</v>
      </c>
      <c r="N2501" s="190"/>
      <c r="O2501" s="190">
        <f t="shared" si="307"/>
        <v>0</v>
      </c>
      <c r="P2501" s="191">
        <f t="shared" si="308"/>
        <v>0</v>
      </c>
      <c r="Q2501" s="192">
        <f t="shared" si="309"/>
        <v>0</v>
      </c>
      <c r="R2501" s="193"/>
      <c r="S2501" s="194"/>
      <c r="T2501" s="195">
        <f t="shared" si="310"/>
        <v>0</v>
      </c>
      <c r="U2501" s="195">
        <f t="shared" si="311"/>
        <v>0</v>
      </c>
      <c r="V2501" s="195">
        <f t="shared" si="312"/>
        <v>0</v>
      </c>
      <c r="W2501" s="196" t="e">
        <f t="shared" si="313"/>
        <v>#DIV/0!</v>
      </c>
      <c r="X2501" s="197" t="e">
        <f t="shared" si="314"/>
        <v>#DIV/0!</v>
      </c>
    </row>
    <row r="2502" ht="11.4" hidden="1" customHeight="1" spans="1:24">
      <c r="A2502" s="184" t="s">
        <v>3230</v>
      </c>
      <c r="B2502" s="184" t="s">
        <v>457</v>
      </c>
      <c r="C2502" s="184" t="s">
        <v>2851</v>
      </c>
      <c r="D2502" s="185" t="s">
        <v>704</v>
      </c>
      <c r="E2502" s="186" t="s">
        <v>2843</v>
      </c>
      <c r="F2502" s="186" t="s">
        <v>2852</v>
      </c>
      <c r="G2502" s="186" t="s">
        <v>2853</v>
      </c>
      <c r="H2502" s="186" t="s">
        <v>2853</v>
      </c>
      <c r="I2502" s="187" t="s">
        <v>2860</v>
      </c>
      <c r="J2502" s="187" t="s">
        <v>2861</v>
      </c>
      <c r="K2502" s="188"/>
      <c r="L2502" s="188"/>
      <c r="M2502" s="189" t="s">
        <v>1018</v>
      </c>
      <c r="N2502" s="190">
        <v>495.5</v>
      </c>
      <c r="O2502" s="190">
        <f t="shared" si="307"/>
        <v>540.1</v>
      </c>
      <c r="P2502" s="191">
        <f t="shared" si="308"/>
        <v>0</v>
      </c>
      <c r="Q2502" s="192">
        <f t="shared" si="309"/>
        <v>0</v>
      </c>
      <c r="R2502" s="193"/>
      <c r="S2502" s="194"/>
      <c r="T2502" s="195">
        <f t="shared" si="310"/>
        <v>0</v>
      </c>
      <c r="U2502" s="195">
        <f t="shared" si="311"/>
        <v>0</v>
      </c>
      <c r="V2502" s="195">
        <f t="shared" si="312"/>
        <v>0</v>
      </c>
      <c r="W2502" s="196" t="e">
        <f t="shared" si="313"/>
        <v>#DIV/0!</v>
      </c>
      <c r="X2502" s="197" t="e">
        <f t="shared" si="314"/>
        <v>#DIV/0!</v>
      </c>
    </row>
    <row r="2503" ht="11.4" hidden="1" customHeight="1" spans="1:24">
      <c r="A2503" s="184" t="s">
        <v>3230</v>
      </c>
      <c r="B2503" s="184" t="s">
        <v>457</v>
      </c>
      <c r="C2503" s="184" t="s">
        <v>2851</v>
      </c>
      <c r="D2503" s="185" t="s">
        <v>704</v>
      </c>
      <c r="E2503" s="186" t="s">
        <v>2843</v>
      </c>
      <c r="F2503" s="186" t="s">
        <v>2852</v>
      </c>
      <c r="G2503" s="186" t="s">
        <v>2853</v>
      </c>
      <c r="H2503" s="186" t="s">
        <v>2853</v>
      </c>
      <c r="I2503" s="187" t="s">
        <v>2862</v>
      </c>
      <c r="J2503" s="187" t="s">
        <v>2863</v>
      </c>
      <c r="K2503" s="188"/>
      <c r="L2503" s="188"/>
      <c r="M2503" s="189" t="s">
        <v>1018</v>
      </c>
      <c r="N2503" s="190">
        <v>553.15</v>
      </c>
      <c r="O2503" s="190">
        <f t="shared" si="307"/>
        <v>602.93</v>
      </c>
      <c r="P2503" s="191">
        <f t="shared" si="308"/>
        <v>0</v>
      </c>
      <c r="Q2503" s="192">
        <f t="shared" si="309"/>
        <v>0</v>
      </c>
      <c r="R2503" s="193"/>
      <c r="S2503" s="194"/>
      <c r="T2503" s="195">
        <f t="shared" si="310"/>
        <v>0</v>
      </c>
      <c r="U2503" s="195">
        <f t="shared" si="311"/>
        <v>0</v>
      </c>
      <c r="V2503" s="195">
        <f t="shared" si="312"/>
        <v>0</v>
      </c>
      <c r="W2503" s="196" t="e">
        <f t="shared" si="313"/>
        <v>#DIV/0!</v>
      </c>
      <c r="X2503" s="197" t="e">
        <f t="shared" si="314"/>
        <v>#DIV/0!</v>
      </c>
    </row>
    <row r="2504" ht="11.4" hidden="1" customHeight="1" spans="1:24">
      <c r="A2504" s="184" t="s">
        <v>3231</v>
      </c>
      <c r="B2504" s="184" t="s">
        <v>461</v>
      </c>
      <c r="C2504" s="184" t="s">
        <v>2865</v>
      </c>
      <c r="D2504" s="185" t="s">
        <v>704</v>
      </c>
      <c r="E2504" s="186" t="s">
        <v>2843</v>
      </c>
      <c r="F2504" s="186" t="s">
        <v>2866</v>
      </c>
      <c r="G2504" s="186" t="s">
        <v>2867</v>
      </c>
      <c r="H2504" s="186" t="s">
        <v>2867</v>
      </c>
      <c r="I2504" s="187" t="s">
        <v>2868</v>
      </c>
      <c r="J2504" s="187" t="s">
        <v>2869</v>
      </c>
      <c r="K2504" s="188"/>
      <c r="L2504" s="188"/>
      <c r="M2504" s="189" t="s">
        <v>793</v>
      </c>
      <c r="N2504" s="190">
        <v>3715</v>
      </c>
      <c r="O2504" s="190">
        <f t="shared" si="307"/>
        <v>4049.35</v>
      </c>
      <c r="P2504" s="191">
        <f t="shared" si="308"/>
        <v>0</v>
      </c>
      <c r="Q2504" s="192">
        <f t="shared" si="309"/>
        <v>0</v>
      </c>
      <c r="R2504" s="193"/>
      <c r="S2504" s="194"/>
      <c r="T2504" s="195">
        <f t="shared" si="310"/>
        <v>0</v>
      </c>
      <c r="U2504" s="195">
        <f t="shared" si="311"/>
        <v>0</v>
      </c>
      <c r="V2504" s="195">
        <f t="shared" si="312"/>
        <v>0</v>
      </c>
      <c r="W2504" s="196" t="e">
        <f t="shared" si="313"/>
        <v>#DIV/0!</v>
      </c>
      <c r="X2504" s="197" t="e">
        <f t="shared" si="314"/>
        <v>#DIV/0!</v>
      </c>
    </row>
    <row r="2505" ht="11.4" hidden="1" customHeight="1" spans="1:24">
      <c r="A2505" s="184" t="s">
        <v>3231</v>
      </c>
      <c r="B2505" s="184" t="s">
        <v>461</v>
      </c>
      <c r="C2505" s="184" t="s">
        <v>2865</v>
      </c>
      <c r="D2505" s="185" t="s">
        <v>704</v>
      </c>
      <c r="E2505" s="186" t="s">
        <v>2843</v>
      </c>
      <c r="F2505" s="186" t="s">
        <v>2866</v>
      </c>
      <c r="G2505" s="186" t="s">
        <v>2867</v>
      </c>
      <c r="H2505" s="186" t="s">
        <v>2867</v>
      </c>
      <c r="I2505" s="187" t="s">
        <v>2870</v>
      </c>
      <c r="J2505" s="187" t="s">
        <v>2871</v>
      </c>
      <c r="K2505" s="188"/>
      <c r="L2505" s="188"/>
      <c r="M2505" s="189" t="s">
        <v>1018</v>
      </c>
      <c r="N2505" s="190">
        <v>395.49</v>
      </c>
      <c r="O2505" s="190">
        <f t="shared" si="307"/>
        <v>431.08</v>
      </c>
      <c r="P2505" s="191">
        <f t="shared" si="308"/>
        <v>0</v>
      </c>
      <c r="Q2505" s="192">
        <f t="shared" si="309"/>
        <v>0</v>
      </c>
      <c r="R2505" s="193"/>
      <c r="S2505" s="194"/>
      <c r="T2505" s="195">
        <f t="shared" si="310"/>
        <v>0</v>
      </c>
      <c r="U2505" s="195">
        <f t="shared" si="311"/>
        <v>0</v>
      </c>
      <c r="V2505" s="195">
        <f t="shared" si="312"/>
        <v>0</v>
      </c>
      <c r="W2505" s="196" t="e">
        <f t="shared" si="313"/>
        <v>#DIV/0!</v>
      </c>
      <c r="X2505" s="197" t="e">
        <f t="shared" si="314"/>
        <v>#DIV/0!</v>
      </c>
    </row>
    <row r="2506" ht="11.4" hidden="1" customHeight="1" spans="1:24">
      <c r="A2506" s="184" t="s">
        <v>3231</v>
      </c>
      <c r="B2506" s="184" t="s">
        <v>461</v>
      </c>
      <c r="C2506" s="184" t="s">
        <v>2865</v>
      </c>
      <c r="D2506" s="185" t="s">
        <v>704</v>
      </c>
      <c r="E2506" s="186" t="s">
        <v>2843</v>
      </c>
      <c r="F2506" s="186" t="s">
        <v>2866</v>
      </c>
      <c r="G2506" s="186" t="s">
        <v>2867</v>
      </c>
      <c r="H2506" s="186" t="s">
        <v>2867</v>
      </c>
      <c r="I2506" s="187" t="s">
        <v>2872</v>
      </c>
      <c r="J2506" s="187" t="s">
        <v>2873</v>
      </c>
      <c r="K2506" s="188"/>
      <c r="L2506" s="188"/>
      <c r="M2506" s="189" t="s">
        <v>807</v>
      </c>
      <c r="N2506" s="190">
        <v>103.83</v>
      </c>
      <c r="O2506" s="190">
        <f t="shared" si="307"/>
        <v>113.17</v>
      </c>
      <c r="P2506" s="191">
        <f t="shared" si="308"/>
        <v>0</v>
      </c>
      <c r="Q2506" s="192">
        <f t="shared" si="309"/>
        <v>0</v>
      </c>
      <c r="R2506" s="193"/>
      <c r="S2506" s="194"/>
      <c r="T2506" s="195">
        <f t="shared" si="310"/>
        <v>0</v>
      </c>
      <c r="U2506" s="195">
        <f t="shared" si="311"/>
        <v>0</v>
      </c>
      <c r="V2506" s="195">
        <f t="shared" si="312"/>
        <v>0</v>
      </c>
      <c r="W2506" s="196" t="e">
        <f t="shared" si="313"/>
        <v>#DIV/0!</v>
      </c>
      <c r="X2506" s="197" t="e">
        <f t="shared" si="314"/>
        <v>#DIV/0!</v>
      </c>
    </row>
    <row r="2507" ht="11.4" hidden="1" customHeight="1" spans="1:24">
      <c r="A2507" s="184" t="s">
        <v>3231</v>
      </c>
      <c r="B2507" s="184" t="s">
        <v>461</v>
      </c>
      <c r="C2507" s="184" t="s">
        <v>2865</v>
      </c>
      <c r="D2507" s="185" t="s">
        <v>704</v>
      </c>
      <c r="E2507" s="186" t="s">
        <v>2843</v>
      </c>
      <c r="F2507" s="186" t="s">
        <v>2866</v>
      </c>
      <c r="G2507" s="186" t="s">
        <v>2867</v>
      </c>
      <c r="H2507" s="186" t="s">
        <v>2867</v>
      </c>
      <c r="I2507" s="187" t="s">
        <v>2874</v>
      </c>
      <c r="J2507" s="187" t="s">
        <v>2875</v>
      </c>
      <c r="K2507" s="188"/>
      <c r="L2507" s="188"/>
      <c r="M2507" s="189" t="s">
        <v>1018</v>
      </c>
      <c r="N2507" s="190">
        <v>24.29</v>
      </c>
      <c r="O2507" s="190">
        <f t="shared" si="307"/>
        <v>26.48</v>
      </c>
      <c r="P2507" s="191">
        <f t="shared" si="308"/>
        <v>0</v>
      </c>
      <c r="Q2507" s="192">
        <f t="shared" si="309"/>
        <v>0</v>
      </c>
      <c r="R2507" s="193"/>
      <c r="S2507" s="194"/>
      <c r="T2507" s="195">
        <f t="shared" si="310"/>
        <v>0</v>
      </c>
      <c r="U2507" s="195">
        <f t="shared" si="311"/>
        <v>0</v>
      </c>
      <c r="V2507" s="195">
        <f t="shared" si="312"/>
        <v>0</v>
      </c>
      <c r="W2507" s="196" t="e">
        <f t="shared" si="313"/>
        <v>#DIV/0!</v>
      </c>
      <c r="X2507" s="197" t="e">
        <f t="shared" si="314"/>
        <v>#DIV/0!</v>
      </c>
    </row>
    <row r="2508" ht="11.4" hidden="1" customHeight="1" spans="1:24">
      <c r="A2508" s="184" t="s">
        <v>3231</v>
      </c>
      <c r="B2508" s="184" t="s">
        <v>461</v>
      </c>
      <c r="C2508" s="184" t="s">
        <v>2865</v>
      </c>
      <c r="D2508" s="185" t="s">
        <v>704</v>
      </c>
      <c r="E2508" s="186" t="s">
        <v>2843</v>
      </c>
      <c r="F2508" s="186" t="s">
        <v>2866</v>
      </c>
      <c r="G2508" s="186" t="s">
        <v>2867</v>
      </c>
      <c r="H2508" s="186" t="s">
        <v>2867</v>
      </c>
      <c r="I2508" s="187" t="s">
        <v>2876</v>
      </c>
      <c r="J2508" s="187" t="s">
        <v>2877</v>
      </c>
      <c r="K2508" s="188"/>
      <c r="L2508" s="188"/>
      <c r="M2508" s="189" t="s">
        <v>793</v>
      </c>
      <c r="N2508" s="190">
        <v>784.55</v>
      </c>
      <c r="O2508" s="190">
        <f t="shared" si="307"/>
        <v>855.16</v>
      </c>
      <c r="P2508" s="191">
        <f t="shared" si="308"/>
        <v>0</v>
      </c>
      <c r="Q2508" s="192">
        <f t="shared" si="309"/>
        <v>0</v>
      </c>
      <c r="R2508" s="193"/>
      <c r="S2508" s="194"/>
      <c r="T2508" s="195">
        <f t="shared" si="310"/>
        <v>0</v>
      </c>
      <c r="U2508" s="195">
        <f t="shared" si="311"/>
        <v>0</v>
      </c>
      <c r="V2508" s="195">
        <f t="shared" si="312"/>
        <v>0</v>
      </c>
      <c r="W2508" s="196" t="e">
        <f t="shared" si="313"/>
        <v>#DIV/0!</v>
      </c>
      <c r="X2508" s="197" t="e">
        <f t="shared" si="314"/>
        <v>#DIV/0!</v>
      </c>
    </row>
    <row r="2509" ht="11.4" hidden="1" customHeight="1" spans="1:24">
      <c r="A2509" s="184" t="s">
        <v>3231</v>
      </c>
      <c r="B2509" s="184" t="s">
        <v>461</v>
      </c>
      <c r="C2509" s="184" t="s">
        <v>2865</v>
      </c>
      <c r="D2509" s="185" t="s">
        <v>704</v>
      </c>
      <c r="E2509" s="186" t="s">
        <v>2843</v>
      </c>
      <c r="F2509" s="186" t="s">
        <v>2866</v>
      </c>
      <c r="G2509" s="186" t="s">
        <v>2867</v>
      </c>
      <c r="H2509" s="186" t="s">
        <v>2867</v>
      </c>
      <c r="I2509" s="187" t="s">
        <v>2878</v>
      </c>
      <c r="J2509" s="187" t="s">
        <v>2879</v>
      </c>
      <c r="K2509" s="188"/>
      <c r="L2509" s="188"/>
      <c r="M2509" s="189" t="s">
        <v>793</v>
      </c>
      <c r="N2509" s="190">
        <v>80.33</v>
      </c>
      <c r="O2509" s="190">
        <f t="shared" ref="O2509:O2539" si="315">ROUND(N2509*(1+$F$10),2)</f>
        <v>87.56</v>
      </c>
      <c r="P2509" s="191">
        <f t="shared" ref="P2509:P2529" si="316">ROUND(K2509*N2509,2)</f>
        <v>0</v>
      </c>
      <c r="Q2509" s="192">
        <f t="shared" si="309"/>
        <v>0</v>
      </c>
      <c r="R2509" s="193"/>
      <c r="S2509" s="194"/>
      <c r="T2509" s="195">
        <f t="shared" si="310"/>
        <v>0</v>
      </c>
      <c r="U2509" s="195">
        <f t="shared" si="311"/>
        <v>0</v>
      </c>
      <c r="V2509" s="195">
        <f t="shared" si="312"/>
        <v>0</v>
      </c>
      <c r="W2509" s="196" t="e">
        <f t="shared" si="313"/>
        <v>#DIV/0!</v>
      </c>
      <c r="X2509" s="197" t="e">
        <f t="shared" si="314"/>
        <v>#DIV/0!</v>
      </c>
    </row>
    <row r="2510" ht="11.4" hidden="1" customHeight="1" spans="1:24">
      <c r="A2510" s="184" t="s">
        <v>3231</v>
      </c>
      <c r="B2510" s="184" t="s">
        <v>461</v>
      </c>
      <c r="C2510" s="184" t="s">
        <v>2865</v>
      </c>
      <c r="D2510" s="185" t="s">
        <v>704</v>
      </c>
      <c r="E2510" s="186" t="s">
        <v>2843</v>
      </c>
      <c r="F2510" s="186" t="s">
        <v>2866</v>
      </c>
      <c r="G2510" s="186" t="s">
        <v>2867</v>
      </c>
      <c r="H2510" s="186" t="s">
        <v>2867</v>
      </c>
      <c r="I2510" s="187" t="s">
        <v>2880</v>
      </c>
      <c r="J2510" s="187" t="s">
        <v>2881</v>
      </c>
      <c r="K2510" s="188"/>
      <c r="L2510" s="188"/>
      <c r="M2510" s="189" t="s">
        <v>1018</v>
      </c>
      <c r="N2510" s="190">
        <v>23.74</v>
      </c>
      <c r="O2510" s="190">
        <f t="shared" si="315"/>
        <v>25.88</v>
      </c>
      <c r="P2510" s="191">
        <f t="shared" si="316"/>
        <v>0</v>
      </c>
      <c r="Q2510" s="192">
        <f t="shared" ref="Q2510:Q2529" si="317">ROUND(L2510*N2510,2)</f>
        <v>0</v>
      </c>
      <c r="R2510" s="193"/>
      <c r="S2510" s="194"/>
      <c r="T2510" s="195">
        <f t="shared" ref="T2510:T2541" si="318">K2510-L2510</f>
        <v>0</v>
      </c>
      <c r="U2510" s="195">
        <f t="shared" ref="U2510:U2524" si="319">P2510-Q2510</f>
        <v>0</v>
      </c>
      <c r="V2510" s="195">
        <f t="shared" ref="V2510:V2523" si="320">ABS(U2510)</f>
        <v>0</v>
      </c>
      <c r="W2510" s="196" t="e">
        <f t="shared" ref="W2510:W2523" si="321">T2510/L2510</f>
        <v>#DIV/0!</v>
      </c>
      <c r="X2510" s="197" t="e">
        <f t="shared" ref="X2510:X2523" si="322">ABS(W2510)</f>
        <v>#DIV/0!</v>
      </c>
    </row>
    <row r="2511" ht="11.4" hidden="1" customHeight="1" spans="1:24">
      <c r="A2511" s="184" t="s">
        <v>3231</v>
      </c>
      <c r="B2511" s="184" t="s">
        <v>461</v>
      </c>
      <c r="C2511" s="184" t="s">
        <v>2865</v>
      </c>
      <c r="D2511" s="185" t="s">
        <v>704</v>
      </c>
      <c r="E2511" s="186" t="s">
        <v>2843</v>
      </c>
      <c r="F2511" s="186" t="s">
        <v>2866</v>
      </c>
      <c r="G2511" s="186" t="s">
        <v>2867</v>
      </c>
      <c r="H2511" s="186" t="s">
        <v>2867</v>
      </c>
      <c r="I2511" s="187" t="s">
        <v>2882</v>
      </c>
      <c r="J2511" s="187" t="s">
        <v>2883</v>
      </c>
      <c r="K2511" s="188"/>
      <c r="L2511" s="188"/>
      <c r="M2511" s="189" t="s">
        <v>1778</v>
      </c>
      <c r="N2511" s="190">
        <v>917</v>
      </c>
      <c r="O2511" s="190">
        <f t="shared" si="315"/>
        <v>999.53</v>
      </c>
      <c r="P2511" s="191">
        <f t="shared" si="316"/>
        <v>0</v>
      </c>
      <c r="Q2511" s="192">
        <f t="shared" si="317"/>
        <v>0</v>
      </c>
      <c r="R2511" s="193"/>
      <c r="S2511" s="194"/>
      <c r="T2511" s="195">
        <f t="shared" si="318"/>
        <v>0</v>
      </c>
      <c r="U2511" s="195">
        <f t="shared" si="319"/>
        <v>0</v>
      </c>
      <c r="V2511" s="195">
        <f t="shared" si="320"/>
        <v>0</v>
      </c>
      <c r="W2511" s="196" t="e">
        <f t="shared" si="321"/>
        <v>#DIV/0!</v>
      </c>
      <c r="X2511" s="197" t="e">
        <f t="shared" si="322"/>
        <v>#DIV/0!</v>
      </c>
    </row>
    <row r="2512" ht="11.4" hidden="1" customHeight="1" spans="1:24">
      <c r="A2512" s="184" t="s">
        <v>3231</v>
      </c>
      <c r="B2512" s="184" t="s">
        <v>461</v>
      </c>
      <c r="C2512" s="184" t="s">
        <v>2865</v>
      </c>
      <c r="D2512" s="185" t="s">
        <v>704</v>
      </c>
      <c r="E2512" s="186" t="s">
        <v>2843</v>
      </c>
      <c r="F2512" s="186" t="s">
        <v>2866</v>
      </c>
      <c r="G2512" s="186" t="s">
        <v>2867</v>
      </c>
      <c r="H2512" s="186" t="s">
        <v>2867</v>
      </c>
      <c r="I2512" s="187" t="s">
        <v>2884</v>
      </c>
      <c r="J2512" s="187" t="s">
        <v>2885</v>
      </c>
      <c r="K2512" s="188"/>
      <c r="L2512" s="188"/>
      <c r="M2512" s="189" t="s">
        <v>793</v>
      </c>
      <c r="N2512" s="190">
        <v>255</v>
      </c>
      <c r="O2512" s="190">
        <f t="shared" si="315"/>
        <v>277.95</v>
      </c>
      <c r="P2512" s="191">
        <f t="shared" si="316"/>
        <v>0</v>
      </c>
      <c r="Q2512" s="192">
        <f t="shared" si="317"/>
        <v>0</v>
      </c>
      <c r="R2512" s="193"/>
      <c r="S2512" s="194"/>
      <c r="T2512" s="195">
        <f t="shared" si="318"/>
        <v>0</v>
      </c>
      <c r="U2512" s="195">
        <f t="shared" si="319"/>
        <v>0</v>
      </c>
      <c r="V2512" s="195">
        <f t="shared" si="320"/>
        <v>0</v>
      </c>
      <c r="W2512" s="196" t="e">
        <f t="shared" si="321"/>
        <v>#DIV/0!</v>
      </c>
      <c r="X2512" s="197" t="e">
        <f t="shared" si="322"/>
        <v>#DIV/0!</v>
      </c>
    </row>
    <row r="2513" ht="11.4" hidden="1" customHeight="1" spans="1:34">
      <c r="A2513" s="184" t="s">
        <v>3231</v>
      </c>
      <c r="B2513" s="184" t="s">
        <v>461</v>
      </c>
      <c r="C2513" s="184" t="s">
        <v>2865</v>
      </c>
      <c r="D2513" s="185" t="s">
        <v>704</v>
      </c>
      <c r="E2513" s="186" t="s">
        <v>2843</v>
      </c>
      <c r="F2513" s="186" t="s">
        <v>2866</v>
      </c>
      <c r="G2513" s="186" t="s">
        <v>2867</v>
      </c>
      <c r="H2513" s="186" t="s">
        <v>2867</v>
      </c>
      <c r="I2513" s="187" t="s">
        <v>2886</v>
      </c>
      <c r="J2513" s="187" t="s">
        <v>2887</v>
      </c>
      <c r="K2513" s="188"/>
      <c r="L2513" s="188"/>
      <c r="M2513" s="189" t="s">
        <v>793</v>
      </c>
      <c r="N2513" s="190">
        <v>255</v>
      </c>
      <c r="O2513" s="190">
        <f t="shared" si="315"/>
        <v>277.95</v>
      </c>
      <c r="P2513" s="191">
        <f t="shared" si="316"/>
        <v>0</v>
      </c>
      <c r="Q2513" s="192">
        <f t="shared" si="317"/>
        <v>0</v>
      </c>
      <c r="R2513" s="193"/>
      <c r="S2513" s="194"/>
      <c r="T2513" s="195">
        <f t="shared" si="318"/>
        <v>0</v>
      </c>
      <c r="U2513" s="195">
        <f t="shared" si="319"/>
        <v>0</v>
      </c>
      <c r="V2513" s="195">
        <f t="shared" si="320"/>
        <v>0</v>
      </c>
      <c r="W2513" s="196" t="e">
        <f t="shared" si="321"/>
        <v>#DIV/0!</v>
      </c>
      <c r="X2513" s="197" t="e">
        <f t="shared" si="322"/>
        <v>#DIV/0!</v>
      </c>
    </row>
    <row r="2514" ht="11.4" hidden="1" customHeight="1" spans="1:34">
      <c r="A2514" s="184" t="s">
        <v>3231</v>
      </c>
      <c r="B2514" s="184" t="s">
        <v>461</v>
      </c>
      <c r="C2514" s="184" t="s">
        <v>2865</v>
      </c>
      <c r="D2514" s="185" t="s">
        <v>704</v>
      </c>
      <c r="E2514" s="186" t="s">
        <v>2843</v>
      </c>
      <c r="F2514" s="186" t="s">
        <v>2866</v>
      </c>
      <c r="G2514" s="186" t="s">
        <v>2867</v>
      </c>
      <c r="H2514" s="186" t="s">
        <v>2867</v>
      </c>
      <c r="I2514" s="187" t="s">
        <v>2888</v>
      </c>
      <c r="J2514" s="187" t="s">
        <v>2889</v>
      </c>
      <c r="K2514" s="188"/>
      <c r="L2514" s="188"/>
      <c r="M2514" s="189" t="s">
        <v>847</v>
      </c>
      <c r="N2514" s="190">
        <v>255</v>
      </c>
      <c r="O2514" s="190">
        <f t="shared" si="315"/>
        <v>277.95</v>
      </c>
      <c r="P2514" s="191">
        <f t="shared" si="316"/>
        <v>0</v>
      </c>
      <c r="Q2514" s="192">
        <f t="shared" si="317"/>
        <v>0</v>
      </c>
      <c r="R2514" s="193"/>
      <c r="S2514" s="194"/>
      <c r="T2514" s="195">
        <f t="shared" si="318"/>
        <v>0</v>
      </c>
      <c r="U2514" s="195">
        <f t="shared" si="319"/>
        <v>0</v>
      </c>
      <c r="V2514" s="195">
        <f t="shared" si="320"/>
        <v>0</v>
      </c>
      <c r="W2514" s="196" t="e">
        <f t="shared" si="321"/>
        <v>#DIV/0!</v>
      </c>
      <c r="X2514" s="197" t="e">
        <f t="shared" si="322"/>
        <v>#DIV/0!</v>
      </c>
    </row>
    <row r="2515" ht="11.4" hidden="1" customHeight="1" spans="1:34">
      <c r="A2515" s="184" t="s">
        <v>3231</v>
      </c>
      <c r="B2515" s="184" t="s">
        <v>461</v>
      </c>
      <c r="C2515" s="184" t="s">
        <v>2865</v>
      </c>
      <c r="D2515" s="185" t="s">
        <v>704</v>
      </c>
      <c r="E2515" s="186" t="s">
        <v>2843</v>
      </c>
      <c r="F2515" s="186" t="s">
        <v>2866</v>
      </c>
      <c r="G2515" s="186" t="s">
        <v>2867</v>
      </c>
      <c r="H2515" s="186" t="s">
        <v>2867</v>
      </c>
      <c r="I2515" s="187" t="s">
        <v>2890</v>
      </c>
      <c r="J2515" s="187" t="s">
        <v>2891</v>
      </c>
      <c r="K2515" s="188"/>
      <c r="L2515" s="188"/>
      <c r="M2515" s="189" t="s">
        <v>1018</v>
      </c>
      <c r="N2515" s="190">
        <v>410.55</v>
      </c>
      <c r="O2515" s="190">
        <f t="shared" si="315"/>
        <v>447.5</v>
      </c>
      <c r="P2515" s="191">
        <f t="shared" si="316"/>
        <v>0</v>
      </c>
      <c r="Q2515" s="192">
        <f t="shared" si="317"/>
        <v>0</v>
      </c>
      <c r="R2515" s="193"/>
      <c r="S2515" s="194"/>
      <c r="T2515" s="195">
        <f t="shared" si="318"/>
        <v>0</v>
      </c>
      <c r="U2515" s="195">
        <f t="shared" si="319"/>
        <v>0</v>
      </c>
      <c r="V2515" s="195">
        <f t="shared" si="320"/>
        <v>0</v>
      </c>
      <c r="W2515" s="196" t="e">
        <f t="shared" si="321"/>
        <v>#DIV/0!</v>
      </c>
      <c r="X2515" s="197" t="e">
        <f t="shared" si="322"/>
        <v>#DIV/0!</v>
      </c>
    </row>
    <row r="2516" ht="11.4" hidden="1" customHeight="1" spans="1:34">
      <c r="A2516" s="184" t="s">
        <v>3231</v>
      </c>
      <c r="B2516" s="184" t="s">
        <v>461</v>
      </c>
      <c r="C2516" s="184" t="s">
        <v>2865</v>
      </c>
      <c r="D2516" s="185" t="s">
        <v>704</v>
      </c>
      <c r="E2516" s="186" t="s">
        <v>2843</v>
      </c>
      <c r="F2516" s="186" t="s">
        <v>2866</v>
      </c>
      <c r="G2516" s="186" t="s">
        <v>2867</v>
      </c>
      <c r="H2516" s="186" t="s">
        <v>2867</v>
      </c>
      <c r="I2516" s="187" t="s">
        <v>2892</v>
      </c>
      <c r="J2516" s="187" t="s">
        <v>2893</v>
      </c>
      <c r="K2516" s="188"/>
      <c r="L2516" s="188"/>
      <c r="M2516" s="189" t="s">
        <v>963</v>
      </c>
      <c r="N2516" s="190">
        <v>1457.26</v>
      </c>
      <c r="O2516" s="190">
        <f t="shared" si="315"/>
        <v>1588.41</v>
      </c>
      <c r="P2516" s="191">
        <f t="shared" si="316"/>
        <v>0</v>
      </c>
      <c r="Q2516" s="192">
        <f t="shared" si="317"/>
        <v>0</v>
      </c>
      <c r="R2516" s="193"/>
      <c r="S2516" s="194"/>
      <c r="T2516" s="195">
        <f t="shared" si="318"/>
        <v>0</v>
      </c>
      <c r="U2516" s="195">
        <f t="shared" si="319"/>
        <v>0</v>
      </c>
      <c r="V2516" s="195">
        <f t="shared" si="320"/>
        <v>0</v>
      </c>
      <c r="W2516" s="196" t="e">
        <f t="shared" si="321"/>
        <v>#DIV/0!</v>
      </c>
      <c r="X2516" s="197" t="e">
        <f t="shared" si="322"/>
        <v>#DIV/0!</v>
      </c>
    </row>
    <row r="2517" ht="11.4" customHeight="1" spans="1:34">
      <c r="A2517" s="184" t="s">
        <v>1605</v>
      </c>
      <c r="B2517" s="184" t="s">
        <v>136</v>
      </c>
      <c r="C2517" s="184" t="s">
        <v>1606</v>
      </c>
      <c r="D2517" s="185" t="s">
        <v>522</v>
      </c>
      <c r="E2517" s="186" t="s">
        <v>906</v>
      </c>
      <c r="F2517" s="186" t="s">
        <v>907</v>
      </c>
      <c r="G2517" s="186" t="s">
        <v>1102</v>
      </c>
      <c r="H2517" s="186" t="s">
        <v>1607</v>
      </c>
      <c r="I2517" s="187" t="s">
        <v>3232</v>
      </c>
      <c r="J2517" s="187" t="s">
        <v>3233</v>
      </c>
      <c r="K2517" s="188"/>
      <c r="L2517" s="188"/>
      <c r="M2517" s="189" t="s">
        <v>989</v>
      </c>
      <c r="N2517" s="190">
        <v>2175.14</v>
      </c>
      <c r="O2517" s="190">
        <f t="shared" si="315"/>
        <v>2370.9</v>
      </c>
      <c r="P2517" s="191">
        <f t="shared" si="316"/>
        <v>0</v>
      </c>
      <c r="Q2517" s="192">
        <f t="shared" si="317"/>
        <v>0</v>
      </c>
      <c r="R2517" s="193"/>
      <c r="S2517" s="194"/>
      <c r="T2517" s="195">
        <f t="shared" si="318"/>
        <v>0</v>
      </c>
      <c r="U2517" s="195">
        <f t="shared" si="319"/>
        <v>0</v>
      </c>
      <c r="V2517" s="195">
        <f t="shared" si="320"/>
        <v>0</v>
      </c>
      <c r="W2517" s="196" t="e">
        <f t="shared" si="321"/>
        <v>#DIV/0!</v>
      </c>
      <c r="X2517" s="197" t="e">
        <f t="shared" si="322"/>
        <v>#DIV/0!</v>
      </c>
      <c r="AG2517" s="219" t="s">
        <v>990</v>
      </c>
    </row>
    <row r="2518" ht="11.4" customHeight="1" spans="1:34">
      <c r="A2518" s="184" t="s">
        <v>2771</v>
      </c>
      <c r="B2518" s="184" t="s">
        <v>401</v>
      </c>
      <c r="C2518" s="184" t="s">
        <v>400</v>
      </c>
      <c r="D2518" s="185" t="s">
        <v>522</v>
      </c>
      <c r="E2518" s="186" t="s">
        <v>2728</v>
      </c>
      <c r="F2518" s="186" t="s">
        <v>2772</v>
      </c>
      <c r="G2518" s="186" t="s">
        <v>2788</v>
      </c>
      <c r="H2518" s="186" t="s">
        <v>2788</v>
      </c>
      <c r="I2518" s="187" t="s">
        <v>3234</v>
      </c>
      <c r="J2518" s="187" t="s">
        <v>3235</v>
      </c>
      <c r="K2518" s="188">
        <v>2</v>
      </c>
      <c r="L2518" s="188">
        <v>2</v>
      </c>
      <c r="M2518" s="189" t="s">
        <v>989</v>
      </c>
      <c r="N2518" s="190">
        <v>2136.75</v>
      </c>
      <c r="O2518" s="190">
        <f t="shared" si="315"/>
        <v>2329.06</v>
      </c>
      <c r="P2518" s="191">
        <f t="shared" si="316"/>
        <v>4273.5</v>
      </c>
      <c r="Q2518" s="192">
        <f t="shared" si="317"/>
        <v>4273.5</v>
      </c>
      <c r="R2518" s="193"/>
      <c r="S2518" s="194"/>
      <c r="T2518" s="195">
        <f t="shared" si="318"/>
        <v>0</v>
      </c>
      <c r="U2518" s="195">
        <f t="shared" si="319"/>
        <v>0</v>
      </c>
      <c r="V2518" s="195">
        <f t="shared" si="320"/>
        <v>0</v>
      </c>
      <c r="W2518" s="196">
        <f t="shared" si="321"/>
        <v>0</v>
      </c>
      <c r="X2518" s="197">
        <f t="shared" si="322"/>
        <v>0</v>
      </c>
      <c r="AG2518" s="219" t="s">
        <v>990</v>
      </c>
    </row>
    <row r="2519" ht="11.4" customHeight="1" spans="1:34">
      <c r="A2519" s="184" t="s">
        <v>2740</v>
      </c>
      <c r="B2519" s="184" t="s">
        <v>363</v>
      </c>
      <c r="C2519" s="184" t="s">
        <v>362</v>
      </c>
      <c r="D2519" s="185" t="s">
        <v>522</v>
      </c>
      <c r="E2519" s="186" t="s">
        <v>2728</v>
      </c>
      <c r="F2519" s="186" t="s">
        <v>2772</v>
      </c>
      <c r="G2519" s="186" t="s">
        <v>3236</v>
      </c>
      <c r="H2519" s="186" t="s">
        <v>1882</v>
      </c>
      <c r="I2519" s="187" t="s">
        <v>3237</v>
      </c>
      <c r="J2519" s="187" t="s">
        <v>3238</v>
      </c>
      <c r="K2519" s="188"/>
      <c r="L2519" s="188"/>
      <c r="M2519" s="189" t="s">
        <v>2308</v>
      </c>
      <c r="N2519" s="190">
        <v>53846.15</v>
      </c>
      <c r="O2519" s="190">
        <f t="shared" si="315"/>
        <v>58692.3</v>
      </c>
      <c r="P2519" s="191">
        <f t="shared" si="316"/>
        <v>0</v>
      </c>
      <c r="Q2519" s="192">
        <f t="shared" si="317"/>
        <v>0</v>
      </c>
      <c r="R2519" s="193"/>
      <c r="S2519" s="194"/>
      <c r="T2519" s="195">
        <f t="shared" si="318"/>
        <v>0</v>
      </c>
      <c r="U2519" s="195">
        <f t="shared" si="319"/>
        <v>0</v>
      </c>
      <c r="V2519" s="195">
        <f t="shared" si="320"/>
        <v>0</v>
      </c>
      <c r="W2519" s="196" t="e">
        <f t="shared" si="321"/>
        <v>#DIV/0!</v>
      </c>
      <c r="X2519" s="197" t="e">
        <f t="shared" si="322"/>
        <v>#DIV/0!</v>
      </c>
      <c r="AH2519" s="219" t="s">
        <v>794</v>
      </c>
    </row>
    <row r="2520" ht="11.4" customHeight="1" spans="1:34">
      <c r="A2520" s="184" t="s">
        <v>2740</v>
      </c>
      <c r="B2520" s="184" t="s">
        <v>363</v>
      </c>
      <c r="C2520" s="184" t="s">
        <v>362</v>
      </c>
      <c r="D2520" s="185" t="s">
        <v>522</v>
      </c>
      <c r="E2520" s="186" t="s">
        <v>2728</v>
      </c>
      <c r="F2520" s="186" t="s">
        <v>2772</v>
      </c>
      <c r="G2520" s="186" t="s">
        <v>3236</v>
      </c>
      <c r="H2520" s="186" t="s">
        <v>1882</v>
      </c>
      <c r="I2520" s="187" t="s">
        <v>3239</v>
      </c>
      <c r="J2520" s="187" t="s">
        <v>3240</v>
      </c>
      <c r="K2520" s="188"/>
      <c r="L2520" s="188"/>
      <c r="M2520" s="189" t="s">
        <v>2308</v>
      </c>
      <c r="N2520" s="190">
        <v>59230.77</v>
      </c>
      <c r="O2520" s="190">
        <f t="shared" si="315"/>
        <v>64561.54</v>
      </c>
      <c r="P2520" s="191">
        <f t="shared" si="316"/>
        <v>0</v>
      </c>
      <c r="Q2520" s="192">
        <f t="shared" si="317"/>
        <v>0</v>
      </c>
      <c r="R2520" s="193"/>
      <c r="S2520" s="194"/>
      <c r="T2520" s="195">
        <f t="shared" si="318"/>
        <v>0</v>
      </c>
      <c r="U2520" s="195">
        <f t="shared" si="319"/>
        <v>0</v>
      </c>
      <c r="V2520" s="195">
        <f t="shared" si="320"/>
        <v>0</v>
      </c>
      <c r="W2520" s="196" t="e">
        <f t="shared" si="321"/>
        <v>#DIV/0!</v>
      </c>
      <c r="X2520" s="197" t="e">
        <f t="shared" si="322"/>
        <v>#DIV/0!</v>
      </c>
      <c r="AH2520" s="219" t="s">
        <v>794</v>
      </c>
    </row>
    <row r="2521" ht="11.4" customHeight="1" spans="1:34">
      <c r="A2521" s="184" t="s">
        <v>2740</v>
      </c>
      <c r="B2521" s="184" t="s">
        <v>363</v>
      </c>
      <c r="C2521" s="184" t="s">
        <v>362</v>
      </c>
      <c r="D2521" s="185" t="s">
        <v>522</v>
      </c>
      <c r="E2521" s="186" t="s">
        <v>2728</v>
      </c>
      <c r="F2521" s="186" t="s">
        <v>2772</v>
      </c>
      <c r="G2521" s="186" t="s">
        <v>3236</v>
      </c>
      <c r="H2521" s="186" t="s">
        <v>1882</v>
      </c>
      <c r="I2521" s="187" t="s">
        <v>3241</v>
      </c>
      <c r="J2521" s="187" t="s">
        <v>3242</v>
      </c>
      <c r="K2521" s="188"/>
      <c r="L2521" s="188"/>
      <c r="M2521" s="189" t="s">
        <v>2308</v>
      </c>
      <c r="N2521" s="190">
        <v>60128.21</v>
      </c>
      <c r="O2521" s="190">
        <f t="shared" si="315"/>
        <v>65539.75</v>
      </c>
      <c r="P2521" s="191">
        <f t="shared" si="316"/>
        <v>0</v>
      </c>
      <c r="Q2521" s="192">
        <f t="shared" si="317"/>
        <v>0</v>
      </c>
      <c r="R2521" s="193"/>
      <c r="S2521" s="194"/>
      <c r="T2521" s="195">
        <f t="shared" si="318"/>
        <v>0</v>
      </c>
      <c r="U2521" s="195">
        <f t="shared" si="319"/>
        <v>0</v>
      </c>
      <c r="V2521" s="195">
        <f t="shared" si="320"/>
        <v>0</v>
      </c>
      <c r="W2521" s="196" t="e">
        <f t="shared" si="321"/>
        <v>#DIV/0!</v>
      </c>
      <c r="X2521" s="197" t="e">
        <f t="shared" si="322"/>
        <v>#DIV/0!</v>
      </c>
      <c r="AH2521" s="219" t="s">
        <v>794</v>
      </c>
    </row>
    <row r="2522" ht="11.4" customHeight="1" spans="1:34">
      <c r="A2522" s="205" t="s">
        <v>1706</v>
      </c>
      <c r="B2522" s="205" t="s">
        <v>125</v>
      </c>
      <c r="C2522" s="205" t="s">
        <v>1101</v>
      </c>
      <c r="D2522" s="206" t="s">
        <v>522</v>
      </c>
      <c r="E2522" s="207" t="s">
        <v>906</v>
      </c>
      <c r="F2522" s="207" t="s">
        <v>907</v>
      </c>
      <c r="G2522" s="207" t="s">
        <v>1102</v>
      </c>
      <c r="H2522" s="207" t="s">
        <v>1720</v>
      </c>
      <c r="I2522" s="208" t="s">
        <v>1258</v>
      </c>
      <c r="J2522" s="209" t="s">
        <v>1259</v>
      </c>
      <c r="K2522" s="188">
        <v>6.92</v>
      </c>
      <c r="L2522" s="188">
        <v>6.97</v>
      </c>
      <c r="M2522" s="189" t="s">
        <v>847</v>
      </c>
      <c r="N2522" s="190">
        <v>236.6</v>
      </c>
      <c r="O2522" s="190">
        <f t="shared" si="315"/>
        <v>257.89</v>
      </c>
      <c r="P2522" s="191">
        <f t="shared" si="316"/>
        <v>1637.27</v>
      </c>
      <c r="Q2522" s="192">
        <f t="shared" si="317"/>
        <v>1649.1</v>
      </c>
      <c r="R2522" s="193"/>
      <c r="S2522" s="194"/>
      <c r="T2522" s="195">
        <f t="shared" si="318"/>
        <v>-0.0499999999999998</v>
      </c>
      <c r="U2522" s="195">
        <f t="shared" si="319"/>
        <v>-11.8299999999999</v>
      </c>
      <c r="V2522" s="195">
        <f t="shared" si="320"/>
        <v>11.8299999999999</v>
      </c>
      <c r="W2522" s="196">
        <f t="shared" si="321"/>
        <v>-0.00717360114777616</v>
      </c>
      <c r="X2522" s="197">
        <f t="shared" si="322"/>
        <v>0.00717360114777616</v>
      </c>
      <c r="AG2522" s="109" t="s">
        <v>865</v>
      </c>
    </row>
    <row r="2523" ht="11.4" customHeight="1" spans="1:34">
      <c r="A2523" s="205" t="s">
        <v>1740</v>
      </c>
      <c r="B2523" s="205" t="s">
        <v>109</v>
      </c>
      <c r="C2523" s="205" t="s">
        <v>1101</v>
      </c>
      <c r="D2523" s="206" t="s">
        <v>522</v>
      </c>
      <c r="E2523" s="207" t="s">
        <v>906</v>
      </c>
      <c r="F2523" s="207" t="s">
        <v>907</v>
      </c>
      <c r="G2523" s="207" t="s">
        <v>1102</v>
      </c>
      <c r="H2523" s="207" t="s">
        <v>1720</v>
      </c>
      <c r="I2523" s="208" t="s">
        <v>1749</v>
      </c>
      <c r="J2523" s="209" t="s">
        <v>1750</v>
      </c>
      <c r="K2523" s="221">
        <v>11.2</v>
      </c>
      <c r="L2523" s="188">
        <v>10.58</v>
      </c>
      <c r="M2523" s="189" t="s">
        <v>847</v>
      </c>
      <c r="N2523" s="190">
        <v>118.11</v>
      </c>
      <c r="O2523" s="190">
        <f t="shared" si="315"/>
        <v>128.74</v>
      </c>
      <c r="P2523" s="191">
        <f t="shared" si="316"/>
        <v>1322.83</v>
      </c>
      <c r="Q2523" s="192">
        <f t="shared" si="317"/>
        <v>1249.6</v>
      </c>
      <c r="R2523" s="193"/>
      <c r="S2523" s="194"/>
      <c r="T2523" s="195">
        <f t="shared" si="318"/>
        <v>0.619999999999999</v>
      </c>
      <c r="U2523" s="195">
        <f t="shared" si="319"/>
        <v>73.23</v>
      </c>
      <c r="V2523" s="195">
        <f t="shared" si="320"/>
        <v>73.23</v>
      </c>
      <c r="W2523" s="196">
        <f t="shared" si="321"/>
        <v>0.0586011342155009</v>
      </c>
      <c r="X2523" s="197">
        <f t="shared" si="322"/>
        <v>0.0586011342155009</v>
      </c>
      <c r="AG2523" s="109" t="s">
        <v>865</v>
      </c>
    </row>
    <row r="2524" ht="11.4" hidden="1" customHeight="1" spans="1:34">
      <c r="A2524" s="205" t="s">
        <v>2901</v>
      </c>
      <c r="B2524" s="205" t="s">
        <v>115</v>
      </c>
      <c r="C2524" s="205" t="s">
        <v>1101</v>
      </c>
      <c r="D2524" s="206" t="s">
        <v>702</v>
      </c>
      <c r="E2524" s="207" t="s">
        <v>2895</v>
      </c>
      <c r="F2524" s="207" t="s">
        <v>2896</v>
      </c>
      <c r="G2524" s="207" t="s">
        <v>2896</v>
      </c>
      <c r="H2524" s="207" t="s">
        <v>2902</v>
      </c>
      <c r="I2524" s="208" t="s">
        <v>1372</v>
      </c>
      <c r="J2524" s="209" t="s">
        <v>1373</v>
      </c>
      <c r="K2524" s="188">
        <v>0.42</v>
      </c>
      <c r="L2524" s="188">
        <v>0.42</v>
      </c>
      <c r="M2524" s="189" t="s">
        <v>847</v>
      </c>
      <c r="N2524" s="190">
        <v>508.7</v>
      </c>
      <c r="O2524" s="190">
        <f t="shared" si="315"/>
        <v>554.48</v>
      </c>
      <c r="P2524" s="191">
        <f t="shared" si="316"/>
        <v>213.65</v>
      </c>
      <c r="Q2524" s="192">
        <f t="shared" si="317"/>
        <v>213.65</v>
      </c>
      <c r="R2524" s="193"/>
      <c r="S2524" s="194"/>
      <c r="T2524" s="195">
        <f t="shared" si="318"/>
        <v>0</v>
      </c>
      <c r="U2524" s="195">
        <f t="shared" si="319"/>
        <v>0</v>
      </c>
      <c r="V2524" s="195">
        <f t="shared" ref="V2524:V2535" si="323">ABS(U2524)</f>
        <v>0</v>
      </c>
      <c r="W2524" s="196">
        <f t="shared" ref="W2524:W2535" si="324">T2524/L2524</f>
        <v>0</v>
      </c>
      <c r="X2524" s="197">
        <f t="shared" ref="X2524:X2535" si="325">ABS(W2524)</f>
        <v>0</v>
      </c>
    </row>
    <row r="2525" ht="11.4" customHeight="1" spans="1:34">
      <c r="A2525" s="205" t="s">
        <v>1173</v>
      </c>
      <c r="B2525" s="205" t="s">
        <v>109</v>
      </c>
      <c r="C2525" s="205" t="s">
        <v>1101</v>
      </c>
      <c r="D2525" s="206" t="s">
        <v>522</v>
      </c>
      <c r="E2525" s="207" t="s">
        <v>906</v>
      </c>
      <c r="F2525" s="207" t="s">
        <v>907</v>
      </c>
      <c r="G2525" s="207" t="s">
        <v>1102</v>
      </c>
      <c r="H2525" s="207" t="s">
        <v>1479</v>
      </c>
      <c r="I2525" s="208" t="s">
        <v>1258</v>
      </c>
      <c r="J2525" s="209" t="s">
        <v>1259</v>
      </c>
      <c r="K2525" s="188">
        <v>0.56</v>
      </c>
      <c r="L2525" s="188">
        <v>0.57</v>
      </c>
      <c r="M2525" s="189" t="s">
        <v>847</v>
      </c>
      <c r="N2525" s="190">
        <v>236.6</v>
      </c>
      <c r="O2525" s="190">
        <f t="shared" si="315"/>
        <v>257.89</v>
      </c>
      <c r="P2525" s="191">
        <f t="shared" si="316"/>
        <v>132.5</v>
      </c>
      <c r="Q2525" s="192">
        <f t="shared" si="317"/>
        <v>134.86</v>
      </c>
      <c r="R2525" s="193"/>
      <c r="S2525" s="194"/>
      <c r="T2525" s="195">
        <f t="shared" si="318"/>
        <v>-0.0099999999999999</v>
      </c>
      <c r="U2525" s="195">
        <f t="shared" ref="U2525:U2535" si="326">P2525-Q2525</f>
        <v>-2.36000000000001</v>
      </c>
      <c r="V2525" s="195">
        <f t="shared" si="323"/>
        <v>2.36000000000001</v>
      </c>
      <c r="W2525" s="196">
        <f t="shared" si="324"/>
        <v>-0.0175438596491226</v>
      </c>
      <c r="X2525" s="197">
        <f t="shared" si="325"/>
        <v>0.0175438596491226</v>
      </c>
      <c r="AG2525" s="109" t="s">
        <v>865</v>
      </c>
    </row>
    <row r="2526" ht="11.4" customHeight="1" spans="1:34">
      <c r="A2526" s="205" t="s">
        <v>2262</v>
      </c>
      <c r="B2526" s="205" t="s">
        <v>149</v>
      </c>
      <c r="C2526" s="205" t="s">
        <v>2263</v>
      </c>
      <c r="D2526" s="206" t="s">
        <v>522</v>
      </c>
      <c r="E2526" s="207" t="s">
        <v>906</v>
      </c>
      <c r="F2526" s="207" t="s">
        <v>907</v>
      </c>
      <c r="G2526" s="207" t="s">
        <v>2264</v>
      </c>
      <c r="H2526" s="207" t="s">
        <v>2265</v>
      </c>
      <c r="I2526" s="208"/>
      <c r="J2526" s="209" t="s">
        <v>3243</v>
      </c>
      <c r="K2526" s="188">
        <v>1</v>
      </c>
      <c r="L2526" s="188">
        <v>1</v>
      </c>
      <c r="M2526" s="189" t="s">
        <v>963</v>
      </c>
      <c r="N2526" s="190">
        <v>183</v>
      </c>
      <c r="O2526" s="190">
        <f t="shared" si="315"/>
        <v>199.47</v>
      </c>
      <c r="P2526" s="191">
        <f t="shared" si="316"/>
        <v>183</v>
      </c>
      <c r="Q2526" s="192">
        <f t="shared" si="317"/>
        <v>183</v>
      </c>
      <c r="R2526" s="193"/>
      <c r="S2526" s="194"/>
      <c r="T2526" s="195">
        <f t="shared" ref="T2526:T2535" si="327">K2526-L2526</f>
        <v>0</v>
      </c>
      <c r="U2526" s="195">
        <f t="shared" si="326"/>
        <v>0</v>
      </c>
      <c r="V2526" s="195">
        <f t="shared" si="323"/>
        <v>0</v>
      </c>
      <c r="W2526" s="196">
        <f t="shared" si="324"/>
        <v>0</v>
      </c>
      <c r="X2526" s="197">
        <f t="shared" si="325"/>
        <v>0</v>
      </c>
      <c r="AG2526" s="219" t="s">
        <v>990</v>
      </c>
    </row>
    <row r="2527" ht="11.4" customHeight="1" spans="1:34">
      <c r="A2527" s="205" t="s">
        <v>1399</v>
      </c>
      <c r="B2527" s="205" t="s">
        <v>117</v>
      </c>
      <c r="C2527" s="205" t="s">
        <v>1101</v>
      </c>
      <c r="D2527" s="206" t="s">
        <v>522</v>
      </c>
      <c r="E2527" s="207" t="s">
        <v>906</v>
      </c>
      <c r="F2527" s="207" t="s">
        <v>907</v>
      </c>
      <c r="G2527" s="207" t="s">
        <v>1102</v>
      </c>
      <c r="H2527" s="207" t="s">
        <v>1425</v>
      </c>
      <c r="I2527" s="208"/>
      <c r="J2527" s="209" t="s">
        <v>3244</v>
      </c>
      <c r="K2527" s="188">
        <v>3.57</v>
      </c>
      <c r="L2527" s="188">
        <v>3.58</v>
      </c>
      <c r="M2527" s="189" t="s">
        <v>3245</v>
      </c>
      <c r="N2527" s="190">
        <v>45.72</v>
      </c>
      <c r="O2527" s="190">
        <f t="shared" si="315"/>
        <v>49.83</v>
      </c>
      <c r="P2527" s="191">
        <f t="shared" si="316"/>
        <v>163.22</v>
      </c>
      <c r="Q2527" s="192">
        <f t="shared" si="317"/>
        <v>163.68</v>
      </c>
      <c r="R2527" s="193"/>
      <c r="S2527" s="194"/>
      <c r="T2527" s="195">
        <f t="shared" si="327"/>
        <v>-0.0100000000000002</v>
      </c>
      <c r="U2527" s="195">
        <f t="shared" si="326"/>
        <v>-0.460000000000008</v>
      </c>
      <c r="V2527" s="195">
        <f t="shared" si="323"/>
        <v>0.460000000000008</v>
      </c>
      <c r="W2527" s="196">
        <f t="shared" si="324"/>
        <v>-0.00279329608938554</v>
      </c>
      <c r="X2527" s="197">
        <f t="shared" si="325"/>
        <v>0.00279329608938554</v>
      </c>
      <c r="AG2527" s="109" t="s">
        <v>865</v>
      </c>
    </row>
    <row r="2528" ht="11.4" customHeight="1" spans="1:34">
      <c r="A2528" s="205" t="s">
        <v>2771</v>
      </c>
      <c r="B2528" s="205" t="s">
        <v>401</v>
      </c>
      <c r="C2528" s="205" t="s">
        <v>400</v>
      </c>
      <c r="D2528" s="206" t="s">
        <v>522</v>
      </c>
      <c r="E2528" s="207" t="s">
        <v>2728</v>
      </c>
      <c r="F2528" s="207" t="s">
        <v>2772</v>
      </c>
      <c r="G2528" s="207" t="s">
        <v>2773</v>
      </c>
      <c r="H2528" s="207" t="s">
        <v>2773</v>
      </c>
      <c r="I2528" s="208" t="s">
        <v>3246</v>
      </c>
      <c r="J2528" s="209" t="s">
        <v>3247</v>
      </c>
      <c r="K2528" s="188">
        <v>3</v>
      </c>
      <c r="L2528" s="188">
        <v>3</v>
      </c>
      <c r="M2528" s="189" t="s">
        <v>963</v>
      </c>
      <c r="N2528" s="190">
        <v>-186.77</v>
      </c>
      <c r="O2528" s="190">
        <f t="shared" si="315"/>
        <v>-203.58</v>
      </c>
      <c r="P2528" s="191">
        <f t="shared" si="316"/>
        <v>-560.31</v>
      </c>
      <c r="Q2528" s="192">
        <f t="shared" si="317"/>
        <v>-560.31</v>
      </c>
      <c r="R2528" s="193"/>
      <c r="S2528" s="194"/>
      <c r="T2528" s="195">
        <f t="shared" si="327"/>
        <v>0</v>
      </c>
      <c r="U2528" s="195">
        <f t="shared" si="326"/>
        <v>0</v>
      </c>
      <c r="V2528" s="195">
        <f t="shared" si="323"/>
        <v>0</v>
      </c>
      <c r="W2528" s="196">
        <f t="shared" si="324"/>
        <v>0</v>
      </c>
      <c r="X2528" s="197">
        <f t="shared" si="325"/>
        <v>0</v>
      </c>
      <c r="AG2528" s="219" t="s">
        <v>3248</v>
      </c>
    </row>
    <row r="2529" ht="11.4" customHeight="1" spans="1:33">
      <c r="A2529" s="205" t="s">
        <v>2262</v>
      </c>
      <c r="B2529" s="205" t="s">
        <v>149</v>
      </c>
      <c r="C2529" s="205" t="s">
        <v>2263</v>
      </c>
      <c r="D2529" s="206" t="s">
        <v>522</v>
      </c>
      <c r="E2529" s="207" t="s">
        <v>906</v>
      </c>
      <c r="F2529" s="207" t="s">
        <v>907</v>
      </c>
      <c r="G2529" s="207" t="s">
        <v>2264</v>
      </c>
      <c r="H2529" s="207" t="s">
        <v>2265</v>
      </c>
      <c r="I2529" s="208"/>
      <c r="J2529" s="209" t="s">
        <v>3249</v>
      </c>
      <c r="K2529" s="221">
        <v>4.1</v>
      </c>
      <c r="L2529" s="188">
        <v>8.83</v>
      </c>
      <c r="M2529" s="189" t="s">
        <v>807</v>
      </c>
      <c r="N2529" s="190">
        <v>52.58</v>
      </c>
      <c r="O2529" s="190">
        <f t="shared" si="315"/>
        <v>57.31</v>
      </c>
      <c r="P2529" s="191">
        <f t="shared" si="316"/>
        <v>215.58</v>
      </c>
      <c r="Q2529" s="192">
        <f t="shared" si="317"/>
        <v>464.28</v>
      </c>
      <c r="R2529" s="193"/>
      <c r="S2529" s="194"/>
      <c r="T2529" s="195">
        <f t="shared" si="327"/>
        <v>-4.73</v>
      </c>
      <c r="U2529" s="195">
        <f t="shared" si="326"/>
        <v>-248.7</v>
      </c>
      <c r="V2529" s="195">
        <f t="shared" si="323"/>
        <v>248.7</v>
      </c>
      <c r="W2529" s="196">
        <f t="shared" si="324"/>
        <v>-0.535673839184598</v>
      </c>
      <c r="X2529" s="197">
        <f t="shared" si="325"/>
        <v>0.535673839184598</v>
      </c>
      <c r="AG2529" s="109" t="s">
        <v>1056</v>
      </c>
    </row>
    <row r="2530" ht="11.4" customHeight="1" spans="1:33">
      <c r="A2530" s="205" t="s">
        <v>1740</v>
      </c>
      <c r="B2530" s="205" t="s">
        <v>109</v>
      </c>
      <c r="C2530" s="205" t="s">
        <v>1101</v>
      </c>
      <c r="D2530" s="206" t="s">
        <v>522</v>
      </c>
      <c r="E2530" s="207" t="s">
        <v>906</v>
      </c>
      <c r="F2530" s="207" t="s">
        <v>907</v>
      </c>
      <c r="G2530" s="207" t="s">
        <v>1102</v>
      </c>
      <c r="H2530" s="207" t="s">
        <v>1741</v>
      </c>
      <c r="I2530" s="208" t="s">
        <v>1139</v>
      </c>
      <c r="J2530" s="209" t="s">
        <v>2898</v>
      </c>
      <c r="K2530" s="221">
        <v>8.32</v>
      </c>
      <c r="L2530" s="188">
        <f>1.74+8.3</f>
        <v>10.04</v>
      </c>
      <c r="M2530" s="189" t="s">
        <v>807</v>
      </c>
      <c r="N2530" s="190">
        <v>41.36</v>
      </c>
      <c r="O2530" s="190">
        <f t="shared" si="315"/>
        <v>45.08</v>
      </c>
      <c r="P2530" s="191"/>
      <c r="Q2530" s="191"/>
      <c r="R2530" s="193"/>
      <c r="S2530" s="210"/>
      <c r="T2530" s="195">
        <f t="shared" si="327"/>
        <v>-1.72</v>
      </c>
      <c r="U2530" s="195">
        <f t="shared" si="326"/>
        <v>0</v>
      </c>
      <c r="V2530" s="195">
        <f t="shared" si="323"/>
        <v>0</v>
      </c>
      <c r="W2530" s="196">
        <f t="shared" si="324"/>
        <v>-0.171314741035856</v>
      </c>
      <c r="X2530" s="197">
        <f t="shared" si="325"/>
        <v>0.171314741035856</v>
      </c>
      <c r="AG2530" s="109" t="s">
        <v>1492</v>
      </c>
    </row>
    <row r="2531" ht="11.4" customHeight="1" spans="1:33">
      <c r="A2531" s="205" t="s">
        <v>1173</v>
      </c>
      <c r="B2531" s="205" t="s">
        <v>113</v>
      </c>
      <c r="C2531" s="205" t="s">
        <v>1101</v>
      </c>
      <c r="D2531" s="206" t="s">
        <v>522</v>
      </c>
      <c r="E2531" s="207" t="s">
        <v>906</v>
      </c>
      <c r="F2531" s="207" t="s">
        <v>907</v>
      </c>
      <c r="G2531" s="207" t="s">
        <v>1102</v>
      </c>
      <c r="H2531" s="207" t="s">
        <v>1174</v>
      </c>
      <c r="I2531" s="208"/>
      <c r="J2531" s="209" t="s">
        <v>3250</v>
      </c>
      <c r="K2531" s="221">
        <v>0</v>
      </c>
      <c r="L2531" s="188">
        <v>0.14</v>
      </c>
      <c r="M2531" s="189" t="s">
        <v>847</v>
      </c>
      <c r="N2531" s="190">
        <v>468.9</v>
      </c>
      <c r="O2531" s="190">
        <f t="shared" si="315"/>
        <v>511.1</v>
      </c>
      <c r="P2531" s="191"/>
      <c r="Q2531" s="191"/>
      <c r="R2531" s="193"/>
      <c r="S2531" s="211"/>
      <c r="T2531" s="195">
        <f t="shared" si="327"/>
        <v>-0.14</v>
      </c>
      <c r="U2531" s="195">
        <f t="shared" si="326"/>
        <v>0</v>
      </c>
      <c r="V2531" s="195">
        <f t="shared" si="323"/>
        <v>0</v>
      </c>
      <c r="W2531" s="196">
        <f t="shared" si="324"/>
        <v>-1</v>
      </c>
      <c r="X2531" s="197">
        <f t="shared" si="325"/>
        <v>1</v>
      </c>
      <c r="AG2531" s="109" t="s">
        <v>865</v>
      </c>
    </row>
    <row r="2532" ht="11.4" hidden="1" customHeight="1" spans="1:33">
      <c r="A2532" s="205"/>
      <c r="B2532" s="205"/>
      <c r="C2532" s="205"/>
      <c r="D2532" s="206"/>
      <c r="E2532" s="207"/>
      <c r="F2532" s="207"/>
      <c r="G2532" s="207"/>
      <c r="H2532" s="207"/>
      <c r="I2532" s="208"/>
      <c r="J2532" s="209"/>
      <c r="K2532" s="188"/>
      <c r="L2532" s="188"/>
      <c r="M2532" s="189"/>
      <c r="N2532" s="190"/>
      <c r="O2532" s="190">
        <f t="shared" si="315"/>
        <v>0</v>
      </c>
      <c r="P2532" s="191"/>
      <c r="Q2532" s="191"/>
      <c r="R2532" s="193"/>
      <c r="S2532" s="211"/>
      <c r="T2532" s="195"/>
      <c r="U2532" s="195"/>
      <c r="V2532" s="195"/>
      <c r="W2532" s="196"/>
      <c r="X2532" s="197"/>
    </row>
    <row r="2533" ht="11.4" hidden="1" customHeight="1" spans="1:33">
      <c r="A2533" s="205"/>
      <c r="B2533" s="205"/>
      <c r="C2533" s="205"/>
      <c r="D2533" s="206"/>
      <c r="E2533" s="207"/>
      <c r="F2533" s="207"/>
      <c r="G2533" s="207"/>
      <c r="H2533" s="207"/>
      <c r="I2533" s="208"/>
      <c r="J2533" s="209"/>
      <c r="K2533" s="188"/>
      <c r="L2533" s="188"/>
      <c r="M2533" s="189"/>
      <c r="N2533" s="190"/>
      <c r="O2533" s="190">
        <f t="shared" si="315"/>
        <v>0</v>
      </c>
      <c r="P2533" s="191"/>
      <c r="Q2533" s="191"/>
      <c r="R2533" s="193"/>
      <c r="S2533" s="211"/>
      <c r="T2533" s="195"/>
      <c r="U2533" s="195"/>
      <c r="V2533" s="195"/>
      <c r="W2533" s="196"/>
      <c r="X2533" s="197"/>
    </row>
    <row r="2534" ht="11.4" hidden="1" customHeight="1" spans="1:33">
      <c r="A2534" s="205"/>
      <c r="B2534" s="205"/>
      <c r="C2534" s="205"/>
      <c r="D2534" s="206"/>
      <c r="E2534" s="207"/>
      <c r="F2534" s="207"/>
      <c r="G2534" s="207"/>
      <c r="H2534" s="207"/>
      <c r="I2534" s="208"/>
      <c r="J2534" s="209"/>
      <c r="K2534" s="188"/>
      <c r="L2534" s="188"/>
      <c r="M2534" s="189"/>
      <c r="N2534" s="190"/>
      <c r="O2534" s="190">
        <f t="shared" si="315"/>
        <v>0</v>
      </c>
      <c r="P2534" s="191"/>
      <c r="Q2534" s="191"/>
      <c r="R2534" s="193"/>
      <c r="S2534" s="211"/>
      <c r="T2534" s="195"/>
      <c r="U2534" s="195"/>
      <c r="V2534" s="195"/>
      <c r="W2534" s="196"/>
      <c r="X2534" s="197"/>
    </row>
    <row r="2535" ht="11.4" hidden="1" customHeight="1" spans="1:33">
      <c r="A2535" s="205"/>
      <c r="B2535" s="205"/>
      <c r="C2535" s="205"/>
      <c r="D2535" s="206"/>
      <c r="E2535" s="207"/>
      <c r="F2535" s="207"/>
      <c r="G2535" s="207"/>
      <c r="H2535" s="207"/>
      <c r="I2535" s="208"/>
      <c r="J2535" s="209"/>
      <c r="K2535" s="188"/>
      <c r="L2535" s="188"/>
      <c r="M2535" s="189"/>
      <c r="N2535" s="190"/>
      <c r="O2535" s="190">
        <f t="shared" si="315"/>
        <v>0</v>
      </c>
      <c r="P2535" s="191"/>
      <c r="Q2535" s="191"/>
      <c r="R2535" s="193"/>
      <c r="S2535" s="211"/>
      <c r="T2535" s="195"/>
      <c r="U2535" s="195"/>
      <c r="V2535" s="195"/>
      <c r="W2535" s="196"/>
      <c r="X2535" s="197"/>
    </row>
    <row r="2536" ht="11.4" hidden="1" customHeight="1" spans="1:33">
      <c r="A2536" s="205"/>
      <c r="B2536" s="205"/>
      <c r="C2536" s="205"/>
      <c r="D2536" s="206"/>
      <c r="E2536" s="207"/>
      <c r="F2536" s="207"/>
      <c r="G2536" s="207"/>
      <c r="H2536" s="207"/>
      <c r="I2536" s="208"/>
      <c r="J2536" s="209"/>
      <c r="K2536" s="188"/>
      <c r="L2536" s="188"/>
      <c r="M2536" s="189"/>
      <c r="N2536" s="190"/>
      <c r="O2536" s="190">
        <f t="shared" si="315"/>
        <v>0</v>
      </c>
      <c r="P2536" s="191"/>
      <c r="Q2536" s="191"/>
      <c r="R2536" s="193"/>
      <c r="S2536" s="211"/>
      <c r="T2536" s="195"/>
      <c r="U2536" s="195"/>
      <c r="V2536" s="195"/>
      <c r="W2536" s="196"/>
      <c r="X2536" s="197"/>
    </row>
    <row r="2537" ht="11.4" hidden="1" customHeight="1" spans="1:33">
      <c r="A2537" s="205"/>
      <c r="B2537" s="205"/>
      <c r="C2537" s="205"/>
      <c r="D2537" s="206"/>
      <c r="E2537" s="207"/>
      <c r="F2537" s="207"/>
      <c r="G2537" s="207"/>
      <c r="H2537" s="207"/>
      <c r="I2537" s="208"/>
      <c r="J2537" s="209"/>
      <c r="K2537" s="188"/>
      <c r="L2537" s="188"/>
      <c r="M2537" s="189"/>
      <c r="N2537" s="190"/>
      <c r="O2537" s="190">
        <f t="shared" si="315"/>
        <v>0</v>
      </c>
      <c r="P2537" s="191"/>
      <c r="Q2537" s="191"/>
      <c r="R2537" s="193"/>
      <c r="S2537" s="211"/>
      <c r="T2537" s="195"/>
      <c r="U2537" s="195"/>
      <c r="V2537" s="195"/>
      <c r="W2537" s="196"/>
      <c r="X2537" s="197"/>
    </row>
    <row r="2538" ht="11.4" hidden="1" customHeight="1" spans="1:33">
      <c r="A2538" s="205"/>
      <c r="B2538" s="205"/>
      <c r="C2538" s="205"/>
      <c r="D2538" s="206"/>
      <c r="E2538" s="207"/>
      <c r="F2538" s="207"/>
      <c r="G2538" s="207"/>
      <c r="H2538" s="207"/>
      <c r="I2538" s="208"/>
      <c r="J2538" s="209"/>
      <c r="K2538" s="188"/>
      <c r="L2538" s="188"/>
      <c r="M2538" s="189"/>
      <c r="N2538" s="190"/>
      <c r="O2538" s="190">
        <f t="shared" si="315"/>
        <v>0</v>
      </c>
      <c r="P2538" s="191"/>
      <c r="Q2538" s="191"/>
      <c r="R2538" s="193"/>
      <c r="S2538" s="211"/>
      <c r="T2538" s="195"/>
      <c r="U2538" s="195"/>
      <c r="V2538" s="195"/>
      <c r="W2538" s="196"/>
      <c r="X2538" s="197"/>
    </row>
    <row r="2539" ht="11.4" hidden="1" customHeight="1" spans="1:33">
      <c r="A2539" s="205"/>
      <c r="B2539" s="205"/>
      <c r="C2539" s="205"/>
      <c r="D2539" s="206"/>
      <c r="E2539" s="207"/>
      <c r="F2539" s="207"/>
      <c r="G2539" s="207"/>
      <c r="H2539" s="207"/>
      <c r="I2539" s="208"/>
      <c r="J2539" s="209"/>
      <c r="K2539" s="188"/>
      <c r="L2539" s="188"/>
      <c r="M2539" s="189"/>
      <c r="N2539" s="190"/>
      <c r="O2539" s="190">
        <f t="shared" si="315"/>
        <v>0</v>
      </c>
      <c r="P2539" s="191"/>
      <c r="Q2539" s="191"/>
      <c r="R2539" s="193"/>
      <c r="S2539" s="211"/>
      <c r="T2539" s="195"/>
      <c r="U2539" s="195"/>
      <c r="V2539" s="195"/>
      <c r="W2539" s="196"/>
      <c r="X2539" s="197"/>
    </row>
    <row r="2540" ht="22.2" hidden="1" customHeight="1" spans="1:33">
      <c r="O2540" s="212" t="s">
        <v>3251</v>
      </c>
      <c r="P2540" s="213">
        <f>SUM(P13:P2529)</f>
        <v>603552.92</v>
      </c>
      <c r="Q2540" s="213">
        <f>SUM(Q13:Q2529)</f>
        <v>592962.58</v>
      </c>
      <c r="R2540" s="214"/>
      <c r="T2540" s="213"/>
      <c r="U2540" s="213"/>
      <c r="V2540" s="213">
        <f>SUM(V13:V2529)</f>
        <v>22875.06</v>
      </c>
      <c r="W2540" s="213"/>
      <c r="X2540" s="213"/>
    </row>
    <row r="2541" ht="22.2" hidden="1" customHeight="1" spans="1:33">
      <c r="O2541" s="215" t="s">
        <v>3252</v>
      </c>
      <c r="P2541" s="215"/>
      <c r="Q2541" s="215"/>
      <c r="R2541" s="216"/>
      <c r="T2541" s="195"/>
      <c r="U2541" s="195"/>
      <c r="V2541" s="195"/>
      <c r="W2541" s="196"/>
      <c r="X2541" s="197"/>
    </row>
    <row r="2542" ht="11.4" customHeight="1"/>
    <row r="2543" ht="11.4" customHeight="1"/>
  </sheetData>
  <sheetProtection autoFilter="0" pivotTables="0"/>
  <autoFilter xmlns:etc="http://www.wps.cn/officeDocument/2017/etCustomData" ref="A12:IR2541" etc:filterBottomFollowUsedRange="0">
    <filterColumn colId="3">
      <filters>
        <filter val="01"/>
      </filters>
    </filterColumn>
    <filterColumn colId="10">
      <colorFilter dxfId="0"/>
      <extLst>
        <colorFilter dxfId="0"/>
        <colorFilter dxfId="1"/>
        <dxfs count="2">
          <dxf>
            <fill>
              <patternFill patternType="none"/>
            </fill>
          </dxf>
          <dxf>
            <fill>
              <patternFill patternType="solid">
                <fgColor rgb="FFFF0000"/>
                <bgColor rgb="FFFF0000"/>
              </patternFill>
            </fill>
          </dxf>
        </dxfs>
      </extLst>
    </filterColumn>
    <extLst/>
  </autoFilter>
  <mergeCells count="11">
    <mergeCell ref="A1:S1"/>
    <mergeCell ref="O2:S2"/>
    <mergeCell ref="P3:S3"/>
    <mergeCell ref="O4:S4"/>
    <mergeCell ref="O5:S5"/>
    <mergeCell ref="O6:S6"/>
    <mergeCell ref="O7:R7"/>
    <mergeCell ref="O8:S8"/>
    <mergeCell ref="O9:S9"/>
    <mergeCell ref="O10:S10"/>
    <mergeCell ref="O2541:R2541"/>
  </mergeCells>
  <conditionalFormatting sqref="R13">
    <cfRule type="cellIs" dxfId="1" priority="4" stopIfTrue="1" operator="between">
      <formula>"Check"</formula>
      <formula>"Check"</formula>
    </cfRule>
  </conditionalFormatting>
  <conditionalFormatting sqref="R14">
    <cfRule type="cellIs" dxfId="1" priority="5" stopIfTrue="1" operator="between">
      <formula>"Check"</formula>
      <formula>"Check"</formula>
    </cfRule>
  </conditionalFormatting>
  <conditionalFormatting sqref="R15">
    <cfRule type="cellIs" dxfId="1" priority="6" stopIfTrue="1" operator="between">
      <formula>"Check"</formula>
      <formula>"Check"</formula>
    </cfRule>
  </conditionalFormatting>
  <conditionalFormatting sqref="R16">
    <cfRule type="cellIs" dxfId="1" priority="7" stopIfTrue="1" operator="between">
      <formula>"Check"</formula>
      <formula>"Check"</formula>
    </cfRule>
  </conditionalFormatting>
  <conditionalFormatting sqref="R17">
    <cfRule type="cellIs" dxfId="1" priority="8" stopIfTrue="1" operator="between">
      <formula>"Check"</formula>
      <formula>"Check"</formula>
    </cfRule>
  </conditionalFormatting>
  <conditionalFormatting sqref="R18">
    <cfRule type="cellIs" dxfId="1" priority="9" stopIfTrue="1" operator="between">
      <formula>"Check"</formula>
      <formula>"Check"</formula>
    </cfRule>
  </conditionalFormatting>
  <conditionalFormatting sqref="R19">
    <cfRule type="cellIs" dxfId="1" priority="10" stopIfTrue="1" operator="between">
      <formula>"Check"</formula>
      <formula>"Check"</formula>
    </cfRule>
  </conditionalFormatting>
  <conditionalFormatting sqref="R20">
    <cfRule type="cellIs" dxfId="1" priority="11" stopIfTrue="1" operator="between">
      <formula>"Check"</formula>
      <formula>"Check"</formula>
    </cfRule>
  </conditionalFormatting>
  <conditionalFormatting sqref="R21">
    <cfRule type="cellIs" dxfId="1" priority="12" stopIfTrue="1" operator="between">
      <formula>"Check"</formula>
      <formula>"Check"</formula>
    </cfRule>
  </conditionalFormatting>
  <conditionalFormatting sqref="R22">
    <cfRule type="cellIs" dxfId="1" priority="13" stopIfTrue="1" operator="between">
      <formula>"Check"</formula>
      <formula>"Check"</formula>
    </cfRule>
  </conditionalFormatting>
  <conditionalFormatting sqref="R23">
    <cfRule type="cellIs" dxfId="1" priority="14" stopIfTrue="1" operator="between">
      <formula>"Check"</formula>
      <formula>"Check"</formula>
    </cfRule>
  </conditionalFormatting>
  <conditionalFormatting sqref="R24">
    <cfRule type="cellIs" dxfId="1" priority="15" stopIfTrue="1" operator="between">
      <formula>"Check"</formula>
      <formula>"Check"</formula>
    </cfRule>
  </conditionalFormatting>
  <conditionalFormatting sqref="R25">
    <cfRule type="cellIs" dxfId="1" priority="16" stopIfTrue="1" operator="between">
      <formula>"Check"</formula>
      <formula>"Check"</formula>
    </cfRule>
  </conditionalFormatting>
  <conditionalFormatting sqref="R26">
    <cfRule type="cellIs" dxfId="1" priority="17" stopIfTrue="1" operator="between">
      <formula>"Check"</formula>
      <formula>"Check"</formula>
    </cfRule>
  </conditionalFormatting>
  <conditionalFormatting sqref="R27">
    <cfRule type="cellIs" dxfId="1" priority="18" stopIfTrue="1" operator="between">
      <formula>"Check"</formula>
      <formula>"Check"</formula>
    </cfRule>
  </conditionalFormatting>
  <conditionalFormatting sqref="R28">
    <cfRule type="cellIs" dxfId="1" priority="19" stopIfTrue="1" operator="between">
      <formula>"Check"</formula>
      <formula>"Check"</formula>
    </cfRule>
  </conditionalFormatting>
  <conditionalFormatting sqref="R29">
    <cfRule type="cellIs" dxfId="1" priority="20" stopIfTrue="1" operator="between">
      <formula>"Check"</formula>
      <formula>"Check"</formula>
    </cfRule>
  </conditionalFormatting>
  <conditionalFormatting sqref="R30">
    <cfRule type="cellIs" dxfId="1" priority="21" stopIfTrue="1" operator="between">
      <formula>"Check"</formula>
      <formula>"Check"</formula>
    </cfRule>
  </conditionalFormatting>
  <conditionalFormatting sqref="R31">
    <cfRule type="cellIs" dxfId="1" priority="22" stopIfTrue="1" operator="between">
      <formula>"Check"</formula>
      <formula>"Check"</formula>
    </cfRule>
  </conditionalFormatting>
  <conditionalFormatting sqref="R32">
    <cfRule type="cellIs" dxfId="1" priority="23" stopIfTrue="1" operator="between">
      <formula>"Check"</formula>
      <formula>"Check"</formula>
    </cfRule>
  </conditionalFormatting>
  <conditionalFormatting sqref="R33">
    <cfRule type="cellIs" dxfId="1" priority="24" stopIfTrue="1" operator="between">
      <formula>"Check"</formula>
      <formula>"Check"</formula>
    </cfRule>
  </conditionalFormatting>
  <conditionalFormatting sqref="R34">
    <cfRule type="cellIs" dxfId="1" priority="25" stopIfTrue="1" operator="between">
      <formula>"Check"</formula>
      <formula>"Check"</formula>
    </cfRule>
  </conditionalFormatting>
  <conditionalFormatting sqref="R35">
    <cfRule type="cellIs" dxfId="1" priority="26" stopIfTrue="1" operator="between">
      <formula>"Check"</formula>
      <formula>"Check"</formula>
    </cfRule>
  </conditionalFormatting>
  <conditionalFormatting sqref="R36">
    <cfRule type="cellIs" dxfId="1" priority="27" stopIfTrue="1" operator="between">
      <formula>"Check"</formula>
      <formula>"Check"</formula>
    </cfRule>
  </conditionalFormatting>
  <conditionalFormatting sqref="R37">
    <cfRule type="cellIs" dxfId="1" priority="28" stopIfTrue="1" operator="between">
      <formula>"Check"</formula>
      <formula>"Check"</formula>
    </cfRule>
  </conditionalFormatting>
  <conditionalFormatting sqref="R38">
    <cfRule type="cellIs" dxfId="1" priority="29" stopIfTrue="1" operator="between">
      <formula>"Check"</formula>
      <formula>"Check"</formula>
    </cfRule>
  </conditionalFormatting>
  <conditionalFormatting sqref="R39">
    <cfRule type="cellIs" dxfId="1" priority="30" stopIfTrue="1" operator="between">
      <formula>"Check"</formula>
      <formula>"Check"</formula>
    </cfRule>
  </conditionalFormatting>
  <conditionalFormatting sqref="R40">
    <cfRule type="cellIs" dxfId="1" priority="31" stopIfTrue="1" operator="between">
      <formula>"Check"</formula>
      <formula>"Check"</formula>
    </cfRule>
  </conditionalFormatting>
  <conditionalFormatting sqref="R41">
    <cfRule type="cellIs" dxfId="1" priority="32" stopIfTrue="1" operator="between">
      <formula>"Check"</formula>
      <formula>"Check"</formula>
    </cfRule>
  </conditionalFormatting>
  <conditionalFormatting sqref="R42">
    <cfRule type="cellIs" dxfId="1" priority="33" stopIfTrue="1" operator="between">
      <formula>"Check"</formula>
      <formula>"Check"</formula>
    </cfRule>
  </conditionalFormatting>
  <conditionalFormatting sqref="R43">
    <cfRule type="cellIs" dxfId="1" priority="34" stopIfTrue="1" operator="between">
      <formula>"Check"</formula>
      <formula>"Check"</formula>
    </cfRule>
  </conditionalFormatting>
  <conditionalFormatting sqref="R44">
    <cfRule type="cellIs" dxfId="1" priority="35" stopIfTrue="1" operator="between">
      <formula>"Check"</formula>
      <formula>"Check"</formula>
    </cfRule>
  </conditionalFormatting>
  <conditionalFormatting sqref="R45">
    <cfRule type="cellIs" dxfId="1" priority="36" stopIfTrue="1" operator="between">
      <formula>"Check"</formula>
      <formula>"Check"</formula>
    </cfRule>
  </conditionalFormatting>
  <conditionalFormatting sqref="R46">
    <cfRule type="cellIs" dxfId="1" priority="37" stopIfTrue="1" operator="between">
      <formula>"Check"</formula>
      <formula>"Check"</formula>
    </cfRule>
  </conditionalFormatting>
  <conditionalFormatting sqref="R47">
    <cfRule type="cellIs" dxfId="1" priority="38" stopIfTrue="1" operator="between">
      <formula>"Check"</formula>
      <formula>"Check"</formula>
    </cfRule>
  </conditionalFormatting>
  <conditionalFormatting sqref="R48">
    <cfRule type="cellIs" dxfId="1" priority="39" stopIfTrue="1" operator="between">
      <formula>"Check"</formula>
      <formula>"Check"</formula>
    </cfRule>
  </conditionalFormatting>
  <conditionalFormatting sqref="R49">
    <cfRule type="cellIs" dxfId="1" priority="40" stopIfTrue="1" operator="between">
      <formula>"Check"</formula>
      <formula>"Check"</formula>
    </cfRule>
  </conditionalFormatting>
  <conditionalFormatting sqref="R50">
    <cfRule type="cellIs" dxfId="1" priority="41" stopIfTrue="1" operator="between">
      <formula>"Check"</formula>
      <formula>"Check"</formula>
    </cfRule>
  </conditionalFormatting>
  <conditionalFormatting sqref="R51">
    <cfRule type="cellIs" dxfId="1" priority="42" stopIfTrue="1" operator="between">
      <formula>"Check"</formula>
      <formula>"Check"</formula>
    </cfRule>
  </conditionalFormatting>
  <conditionalFormatting sqref="R52">
    <cfRule type="cellIs" dxfId="1" priority="43" stopIfTrue="1" operator="between">
      <formula>"Check"</formula>
      <formula>"Check"</formula>
    </cfRule>
  </conditionalFormatting>
  <conditionalFormatting sqref="R53">
    <cfRule type="cellIs" dxfId="1" priority="44" stopIfTrue="1" operator="between">
      <formula>"Check"</formula>
      <formula>"Check"</formula>
    </cfRule>
  </conditionalFormatting>
  <conditionalFormatting sqref="R54">
    <cfRule type="cellIs" dxfId="1" priority="45" stopIfTrue="1" operator="between">
      <formula>"Check"</formula>
      <formula>"Check"</formula>
    </cfRule>
  </conditionalFormatting>
  <conditionalFormatting sqref="R55">
    <cfRule type="cellIs" dxfId="1" priority="46" stopIfTrue="1" operator="between">
      <formula>"Check"</formula>
      <formula>"Check"</formula>
    </cfRule>
  </conditionalFormatting>
  <conditionalFormatting sqref="R56">
    <cfRule type="cellIs" dxfId="1" priority="47" stopIfTrue="1" operator="between">
      <formula>"Check"</formula>
      <formula>"Check"</formula>
    </cfRule>
  </conditionalFormatting>
  <conditionalFormatting sqref="R57">
    <cfRule type="cellIs" dxfId="1" priority="48" stopIfTrue="1" operator="between">
      <formula>"Check"</formula>
      <formula>"Check"</formula>
    </cfRule>
  </conditionalFormatting>
  <conditionalFormatting sqref="R58">
    <cfRule type="cellIs" dxfId="1" priority="49" stopIfTrue="1" operator="between">
      <formula>"Check"</formula>
      <formula>"Check"</formula>
    </cfRule>
  </conditionalFormatting>
  <conditionalFormatting sqref="R59">
    <cfRule type="cellIs" dxfId="1" priority="50" stopIfTrue="1" operator="between">
      <formula>"Check"</formula>
      <formula>"Check"</formula>
    </cfRule>
  </conditionalFormatting>
  <conditionalFormatting sqref="R60">
    <cfRule type="cellIs" dxfId="1" priority="51" stopIfTrue="1" operator="between">
      <formula>"Check"</formula>
      <formula>"Check"</formula>
    </cfRule>
  </conditionalFormatting>
  <conditionalFormatting sqref="R61">
    <cfRule type="cellIs" dxfId="1" priority="52" stopIfTrue="1" operator="between">
      <formula>"Check"</formula>
      <formula>"Check"</formula>
    </cfRule>
  </conditionalFormatting>
  <conditionalFormatting sqref="R62">
    <cfRule type="cellIs" dxfId="1" priority="53" stopIfTrue="1" operator="between">
      <formula>"Check"</formula>
      <formula>"Check"</formula>
    </cfRule>
  </conditionalFormatting>
  <conditionalFormatting sqref="R63">
    <cfRule type="cellIs" dxfId="1" priority="54" stopIfTrue="1" operator="between">
      <formula>"Check"</formula>
      <formula>"Check"</formula>
    </cfRule>
  </conditionalFormatting>
  <conditionalFormatting sqref="R64">
    <cfRule type="cellIs" dxfId="1" priority="55" stopIfTrue="1" operator="between">
      <formula>"Check"</formula>
      <formula>"Check"</formula>
    </cfRule>
  </conditionalFormatting>
  <conditionalFormatting sqref="R65">
    <cfRule type="cellIs" dxfId="1" priority="56" stopIfTrue="1" operator="between">
      <formula>"Check"</formula>
      <formula>"Check"</formula>
    </cfRule>
  </conditionalFormatting>
  <conditionalFormatting sqref="R66">
    <cfRule type="cellIs" dxfId="1" priority="57" stopIfTrue="1" operator="between">
      <formula>"Check"</formula>
      <formula>"Check"</formula>
    </cfRule>
  </conditionalFormatting>
  <conditionalFormatting sqref="R67">
    <cfRule type="cellIs" dxfId="1" priority="58" stopIfTrue="1" operator="between">
      <formula>"Check"</formula>
      <formula>"Check"</formula>
    </cfRule>
  </conditionalFormatting>
  <conditionalFormatting sqref="R68">
    <cfRule type="cellIs" dxfId="1" priority="59" stopIfTrue="1" operator="between">
      <formula>"Check"</formula>
      <formula>"Check"</formula>
    </cfRule>
  </conditionalFormatting>
  <conditionalFormatting sqref="R69">
    <cfRule type="cellIs" dxfId="1" priority="60" stopIfTrue="1" operator="between">
      <formula>"Check"</formula>
      <formula>"Check"</formula>
    </cfRule>
  </conditionalFormatting>
  <conditionalFormatting sqref="R70">
    <cfRule type="cellIs" dxfId="1" priority="61" stopIfTrue="1" operator="between">
      <formula>"Check"</formula>
      <formula>"Check"</formula>
    </cfRule>
  </conditionalFormatting>
  <conditionalFormatting sqref="R71">
    <cfRule type="cellIs" dxfId="1" priority="62" stopIfTrue="1" operator="between">
      <formula>"Check"</formula>
      <formula>"Check"</formula>
    </cfRule>
  </conditionalFormatting>
  <conditionalFormatting sqref="R72">
    <cfRule type="cellIs" dxfId="1" priority="63" stopIfTrue="1" operator="between">
      <formula>"Check"</formula>
      <formula>"Check"</formula>
    </cfRule>
  </conditionalFormatting>
  <conditionalFormatting sqref="R73">
    <cfRule type="cellIs" dxfId="1" priority="64" stopIfTrue="1" operator="between">
      <formula>"Check"</formula>
      <formula>"Check"</formula>
    </cfRule>
  </conditionalFormatting>
  <conditionalFormatting sqref="R74">
    <cfRule type="cellIs" dxfId="1" priority="65" stopIfTrue="1" operator="between">
      <formula>"Check"</formula>
      <formula>"Check"</formula>
    </cfRule>
  </conditionalFormatting>
  <conditionalFormatting sqref="R75">
    <cfRule type="cellIs" dxfId="1" priority="66" stopIfTrue="1" operator="between">
      <formula>"Check"</formula>
      <formula>"Check"</formula>
    </cfRule>
  </conditionalFormatting>
  <conditionalFormatting sqref="R76">
    <cfRule type="cellIs" dxfId="1" priority="67" stopIfTrue="1" operator="between">
      <formula>"Check"</formula>
      <formula>"Check"</formula>
    </cfRule>
  </conditionalFormatting>
  <conditionalFormatting sqref="R77">
    <cfRule type="cellIs" dxfId="1" priority="68" stopIfTrue="1" operator="between">
      <formula>"Check"</formula>
      <formula>"Check"</formula>
    </cfRule>
  </conditionalFormatting>
  <conditionalFormatting sqref="R78">
    <cfRule type="cellIs" dxfId="1" priority="69" stopIfTrue="1" operator="between">
      <formula>"Check"</formula>
      <formula>"Check"</formula>
    </cfRule>
  </conditionalFormatting>
  <conditionalFormatting sqref="R79">
    <cfRule type="cellIs" dxfId="1" priority="70" stopIfTrue="1" operator="between">
      <formula>"Check"</formula>
      <formula>"Check"</formula>
    </cfRule>
  </conditionalFormatting>
  <conditionalFormatting sqref="R80">
    <cfRule type="cellIs" dxfId="1" priority="71" stopIfTrue="1" operator="between">
      <formula>"Check"</formula>
      <formula>"Check"</formula>
    </cfRule>
  </conditionalFormatting>
  <conditionalFormatting sqref="R81">
    <cfRule type="cellIs" dxfId="1" priority="72" stopIfTrue="1" operator="between">
      <formula>"Check"</formula>
      <formula>"Check"</formula>
    </cfRule>
  </conditionalFormatting>
  <conditionalFormatting sqref="R82">
    <cfRule type="cellIs" dxfId="1" priority="73" stopIfTrue="1" operator="between">
      <formula>"Check"</formula>
      <formula>"Check"</formula>
    </cfRule>
  </conditionalFormatting>
  <conditionalFormatting sqref="R83">
    <cfRule type="cellIs" dxfId="1" priority="74" stopIfTrue="1" operator="between">
      <formula>"Check"</formula>
      <formula>"Check"</formula>
    </cfRule>
  </conditionalFormatting>
  <conditionalFormatting sqref="R84">
    <cfRule type="cellIs" dxfId="1" priority="75" stopIfTrue="1" operator="between">
      <formula>"Check"</formula>
      <formula>"Check"</formula>
    </cfRule>
  </conditionalFormatting>
  <conditionalFormatting sqref="R85">
    <cfRule type="cellIs" dxfId="1" priority="76" stopIfTrue="1" operator="between">
      <formula>"Check"</formula>
      <formula>"Check"</formula>
    </cfRule>
  </conditionalFormatting>
  <conditionalFormatting sqref="R86">
    <cfRule type="cellIs" dxfId="1" priority="77" stopIfTrue="1" operator="between">
      <formula>"Check"</formula>
      <formula>"Check"</formula>
    </cfRule>
  </conditionalFormatting>
  <conditionalFormatting sqref="R87">
    <cfRule type="cellIs" dxfId="1" priority="78" stopIfTrue="1" operator="between">
      <formula>"Check"</formula>
      <formula>"Check"</formula>
    </cfRule>
  </conditionalFormatting>
  <conditionalFormatting sqref="R88">
    <cfRule type="cellIs" dxfId="1" priority="79" stopIfTrue="1" operator="between">
      <formula>"Check"</formula>
      <formula>"Check"</formula>
    </cfRule>
  </conditionalFormatting>
  <conditionalFormatting sqref="R89">
    <cfRule type="cellIs" dxfId="1" priority="80" stopIfTrue="1" operator="between">
      <formula>"Check"</formula>
      <formula>"Check"</formula>
    </cfRule>
  </conditionalFormatting>
  <conditionalFormatting sqref="R90">
    <cfRule type="cellIs" dxfId="1" priority="81" stopIfTrue="1" operator="between">
      <formula>"Check"</formula>
      <formula>"Check"</formula>
    </cfRule>
  </conditionalFormatting>
  <conditionalFormatting sqref="R91">
    <cfRule type="cellIs" dxfId="1" priority="82" stopIfTrue="1" operator="between">
      <formula>"Check"</formula>
      <formula>"Check"</formula>
    </cfRule>
  </conditionalFormatting>
  <conditionalFormatting sqref="R92">
    <cfRule type="cellIs" dxfId="1" priority="83" stopIfTrue="1" operator="between">
      <formula>"Check"</formula>
      <formula>"Check"</formula>
    </cfRule>
  </conditionalFormatting>
  <conditionalFormatting sqref="R93">
    <cfRule type="cellIs" dxfId="1" priority="84" stopIfTrue="1" operator="between">
      <formula>"Check"</formula>
      <formula>"Check"</formula>
    </cfRule>
  </conditionalFormatting>
  <conditionalFormatting sqref="R94">
    <cfRule type="cellIs" dxfId="1" priority="85" stopIfTrue="1" operator="between">
      <formula>"Check"</formula>
      <formula>"Check"</formula>
    </cfRule>
  </conditionalFormatting>
  <conditionalFormatting sqref="R95">
    <cfRule type="cellIs" dxfId="1" priority="86" stopIfTrue="1" operator="between">
      <formula>"Check"</formula>
      <formula>"Check"</formula>
    </cfRule>
  </conditionalFormatting>
  <conditionalFormatting sqref="R96">
    <cfRule type="cellIs" dxfId="1" priority="87" stopIfTrue="1" operator="between">
      <formula>"Check"</formula>
      <formula>"Check"</formula>
    </cfRule>
  </conditionalFormatting>
  <conditionalFormatting sqref="R97">
    <cfRule type="cellIs" dxfId="1" priority="88" stopIfTrue="1" operator="between">
      <formula>"Check"</formula>
      <formula>"Check"</formula>
    </cfRule>
  </conditionalFormatting>
  <conditionalFormatting sqref="R98">
    <cfRule type="cellIs" dxfId="1" priority="89" stopIfTrue="1" operator="between">
      <formula>"Check"</formula>
      <formula>"Check"</formula>
    </cfRule>
  </conditionalFormatting>
  <conditionalFormatting sqref="R99">
    <cfRule type="cellIs" dxfId="1" priority="90" stopIfTrue="1" operator="between">
      <formula>"Check"</formula>
      <formula>"Check"</formula>
    </cfRule>
  </conditionalFormatting>
  <conditionalFormatting sqref="R100">
    <cfRule type="cellIs" dxfId="1" priority="91" stopIfTrue="1" operator="between">
      <formula>"Check"</formula>
      <formula>"Check"</formula>
    </cfRule>
  </conditionalFormatting>
  <conditionalFormatting sqref="R101">
    <cfRule type="cellIs" dxfId="1" priority="92" stopIfTrue="1" operator="between">
      <formula>"Check"</formula>
      <formula>"Check"</formula>
    </cfRule>
  </conditionalFormatting>
  <conditionalFormatting sqref="R102">
    <cfRule type="cellIs" dxfId="1" priority="93" stopIfTrue="1" operator="between">
      <formula>"Check"</formula>
      <formula>"Check"</formula>
    </cfRule>
  </conditionalFormatting>
  <conditionalFormatting sqref="R103">
    <cfRule type="cellIs" dxfId="1" priority="94" stopIfTrue="1" operator="between">
      <formula>"Check"</formula>
      <formula>"Check"</formula>
    </cfRule>
  </conditionalFormatting>
  <conditionalFormatting sqref="R104">
    <cfRule type="cellIs" dxfId="1" priority="95" stopIfTrue="1" operator="between">
      <formula>"Check"</formula>
      <formula>"Check"</formula>
    </cfRule>
  </conditionalFormatting>
  <conditionalFormatting sqref="R105">
    <cfRule type="cellIs" dxfId="1" priority="96" stopIfTrue="1" operator="between">
      <formula>"Check"</formula>
      <formula>"Check"</formula>
    </cfRule>
  </conditionalFormatting>
  <conditionalFormatting sqref="R106">
    <cfRule type="cellIs" dxfId="1" priority="97" stopIfTrue="1" operator="between">
      <formula>"Check"</formula>
      <formula>"Check"</formula>
    </cfRule>
  </conditionalFormatting>
  <conditionalFormatting sqref="R107">
    <cfRule type="cellIs" dxfId="1" priority="98" stopIfTrue="1" operator="between">
      <formula>"Check"</formula>
      <formula>"Check"</formula>
    </cfRule>
  </conditionalFormatting>
  <conditionalFormatting sqref="R108">
    <cfRule type="cellIs" dxfId="1" priority="99" stopIfTrue="1" operator="between">
      <formula>"Check"</formula>
      <formula>"Check"</formula>
    </cfRule>
  </conditionalFormatting>
  <conditionalFormatting sqref="R109">
    <cfRule type="cellIs" dxfId="1" priority="100" stopIfTrue="1" operator="between">
      <formula>"Check"</formula>
      <formula>"Check"</formula>
    </cfRule>
  </conditionalFormatting>
  <conditionalFormatting sqref="R110">
    <cfRule type="cellIs" dxfId="1" priority="101" stopIfTrue="1" operator="between">
      <formula>"Check"</formula>
      <formula>"Check"</formula>
    </cfRule>
  </conditionalFormatting>
  <conditionalFormatting sqref="R111">
    <cfRule type="cellIs" dxfId="1" priority="102" stopIfTrue="1" operator="between">
      <formula>"Check"</formula>
      <formula>"Check"</formula>
    </cfRule>
  </conditionalFormatting>
  <conditionalFormatting sqref="R112">
    <cfRule type="cellIs" dxfId="1" priority="103" stopIfTrue="1" operator="between">
      <formula>"Check"</formula>
      <formula>"Check"</formula>
    </cfRule>
  </conditionalFormatting>
  <conditionalFormatting sqref="R113">
    <cfRule type="cellIs" dxfId="1" priority="104" stopIfTrue="1" operator="between">
      <formula>"Check"</formula>
      <formula>"Check"</formula>
    </cfRule>
  </conditionalFormatting>
  <conditionalFormatting sqref="R114">
    <cfRule type="cellIs" dxfId="1" priority="105" stopIfTrue="1" operator="between">
      <formula>"Check"</formula>
      <formula>"Check"</formula>
    </cfRule>
  </conditionalFormatting>
  <conditionalFormatting sqref="R115">
    <cfRule type="cellIs" dxfId="1" priority="106" stopIfTrue="1" operator="between">
      <formula>"Check"</formula>
      <formula>"Check"</formula>
    </cfRule>
  </conditionalFormatting>
  <conditionalFormatting sqref="R116">
    <cfRule type="cellIs" dxfId="1" priority="107" stopIfTrue="1" operator="between">
      <formula>"Check"</formula>
      <formula>"Check"</formula>
    </cfRule>
  </conditionalFormatting>
  <conditionalFormatting sqref="R117">
    <cfRule type="cellIs" dxfId="1" priority="108" stopIfTrue="1" operator="between">
      <formula>"Check"</formula>
      <formula>"Check"</formula>
    </cfRule>
  </conditionalFormatting>
  <conditionalFormatting sqref="R118">
    <cfRule type="cellIs" dxfId="1" priority="109" stopIfTrue="1" operator="between">
      <formula>"Check"</formula>
      <formula>"Check"</formula>
    </cfRule>
  </conditionalFormatting>
  <conditionalFormatting sqref="R119">
    <cfRule type="cellIs" dxfId="1" priority="110" stopIfTrue="1" operator="between">
      <formula>"Check"</formula>
      <formula>"Check"</formula>
    </cfRule>
  </conditionalFormatting>
  <conditionalFormatting sqref="R120">
    <cfRule type="cellIs" dxfId="1" priority="111" stopIfTrue="1" operator="between">
      <formula>"Check"</formula>
      <formula>"Check"</formula>
    </cfRule>
  </conditionalFormatting>
  <conditionalFormatting sqref="R121">
    <cfRule type="cellIs" dxfId="1" priority="112" stopIfTrue="1" operator="between">
      <formula>"Check"</formula>
      <formula>"Check"</formula>
    </cfRule>
  </conditionalFormatting>
  <conditionalFormatting sqref="R122">
    <cfRule type="cellIs" dxfId="1" priority="113" stopIfTrue="1" operator="between">
      <formula>"Check"</formula>
      <formula>"Check"</formula>
    </cfRule>
  </conditionalFormatting>
  <conditionalFormatting sqref="R123">
    <cfRule type="cellIs" dxfId="1" priority="114" stopIfTrue="1" operator="between">
      <formula>"Check"</formula>
      <formula>"Check"</formula>
    </cfRule>
  </conditionalFormatting>
  <conditionalFormatting sqref="R124">
    <cfRule type="cellIs" dxfId="1" priority="115" stopIfTrue="1" operator="between">
      <formula>"Check"</formula>
      <formula>"Check"</formula>
    </cfRule>
  </conditionalFormatting>
  <conditionalFormatting sqref="R125">
    <cfRule type="cellIs" dxfId="1" priority="116" stopIfTrue="1" operator="between">
      <formula>"Check"</formula>
      <formula>"Check"</formula>
    </cfRule>
  </conditionalFormatting>
  <conditionalFormatting sqref="R126">
    <cfRule type="cellIs" dxfId="1" priority="117" stopIfTrue="1" operator="between">
      <formula>"Check"</formula>
      <formula>"Check"</formula>
    </cfRule>
  </conditionalFormatting>
  <conditionalFormatting sqref="R127">
    <cfRule type="cellIs" dxfId="1" priority="118" stopIfTrue="1" operator="between">
      <formula>"Check"</formula>
      <formula>"Check"</formula>
    </cfRule>
  </conditionalFormatting>
  <conditionalFormatting sqref="R128">
    <cfRule type="cellIs" dxfId="1" priority="119" stopIfTrue="1" operator="between">
      <formula>"Check"</formula>
      <formula>"Check"</formula>
    </cfRule>
  </conditionalFormatting>
  <conditionalFormatting sqref="R129">
    <cfRule type="cellIs" dxfId="1" priority="120" stopIfTrue="1" operator="between">
      <formula>"Check"</formula>
      <formula>"Check"</formula>
    </cfRule>
  </conditionalFormatting>
  <conditionalFormatting sqref="R130">
    <cfRule type="cellIs" dxfId="1" priority="121" stopIfTrue="1" operator="between">
      <formula>"Check"</formula>
      <formula>"Check"</formula>
    </cfRule>
  </conditionalFormatting>
  <conditionalFormatting sqref="R131">
    <cfRule type="cellIs" dxfId="1" priority="122" stopIfTrue="1" operator="between">
      <formula>"Check"</formula>
      <formula>"Check"</formula>
    </cfRule>
  </conditionalFormatting>
  <conditionalFormatting sqref="R132">
    <cfRule type="cellIs" dxfId="1" priority="123" stopIfTrue="1" operator="between">
      <formula>"Check"</formula>
      <formula>"Check"</formula>
    </cfRule>
  </conditionalFormatting>
  <conditionalFormatting sqref="R133">
    <cfRule type="cellIs" dxfId="1" priority="124" stopIfTrue="1" operator="between">
      <formula>"Check"</formula>
      <formula>"Check"</formula>
    </cfRule>
  </conditionalFormatting>
  <conditionalFormatting sqref="R134">
    <cfRule type="cellIs" dxfId="1" priority="125" stopIfTrue="1" operator="between">
      <formula>"Check"</formula>
      <formula>"Check"</formula>
    </cfRule>
  </conditionalFormatting>
  <conditionalFormatting sqref="R135">
    <cfRule type="cellIs" dxfId="1" priority="126" stopIfTrue="1" operator="between">
      <formula>"Check"</formula>
      <formula>"Check"</formula>
    </cfRule>
  </conditionalFormatting>
  <conditionalFormatting sqref="R136">
    <cfRule type="cellIs" dxfId="1" priority="127" stopIfTrue="1" operator="between">
      <formula>"Check"</formula>
      <formula>"Check"</formula>
    </cfRule>
  </conditionalFormatting>
  <conditionalFormatting sqref="R137">
    <cfRule type="cellIs" dxfId="1" priority="128" stopIfTrue="1" operator="between">
      <formula>"Check"</formula>
      <formula>"Check"</formula>
    </cfRule>
  </conditionalFormatting>
  <conditionalFormatting sqref="R138">
    <cfRule type="cellIs" dxfId="1" priority="129" stopIfTrue="1" operator="between">
      <formula>"Check"</formula>
      <formula>"Check"</formula>
    </cfRule>
  </conditionalFormatting>
  <conditionalFormatting sqref="R139">
    <cfRule type="cellIs" dxfId="1" priority="130" stopIfTrue="1" operator="between">
      <formula>"Check"</formula>
      <formula>"Check"</formula>
    </cfRule>
  </conditionalFormatting>
  <conditionalFormatting sqref="R140">
    <cfRule type="cellIs" dxfId="1" priority="131" stopIfTrue="1" operator="between">
      <formula>"Check"</formula>
      <formula>"Check"</formula>
    </cfRule>
  </conditionalFormatting>
  <conditionalFormatting sqref="R141">
    <cfRule type="cellIs" dxfId="1" priority="132" stopIfTrue="1" operator="between">
      <formula>"Check"</formula>
      <formula>"Check"</formula>
    </cfRule>
  </conditionalFormatting>
  <conditionalFormatting sqref="R142">
    <cfRule type="cellIs" dxfId="1" priority="133" stopIfTrue="1" operator="between">
      <formula>"Check"</formula>
      <formula>"Check"</formula>
    </cfRule>
  </conditionalFormatting>
  <conditionalFormatting sqref="R143">
    <cfRule type="cellIs" dxfId="1" priority="134" stopIfTrue="1" operator="between">
      <formula>"Check"</formula>
      <formula>"Check"</formula>
    </cfRule>
  </conditionalFormatting>
  <conditionalFormatting sqref="R144">
    <cfRule type="cellIs" dxfId="1" priority="135" stopIfTrue="1" operator="between">
      <formula>"Check"</formula>
      <formula>"Check"</formula>
    </cfRule>
  </conditionalFormatting>
  <conditionalFormatting sqref="R145">
    <cfRule type="cellIs" dxfId="1" priority="136" stopIfTrue="1" operator="between">
      <formula>"Check"</formula>
      <formula>"Check"</formula>
    </cfRule>
  </conditionalFormatting>
  <conditionalFormatting sqref="R146">
    <cfRule type="cellIs" dxfId="1" priority="137" stopIfTrue="1" operator="between">
      <formula>"Check"</formula>
      <formula>"Check"</formula>
    </cfRule>
  </conditionalFormatting>
  <conditionalFormatting sqref="R147">
    <cfRule type="cellIs" dxfId="1" priority="138" stopIfTrue="1" operator="between">
      <formula>"Check"</formula>
      <formula>"Check"</formula>
    </cfRule>
  </conditionalFormatting>
  <conditionalFormatting sqref="R148">
    <cfRule type="cellIs" dxfId="1" priority="139" stopIfTrue="1" operator="between">
      <formula>"Check"</formula>
      <formula>"Check"</formula>
    </cfRule>
  </conditionalFormatting>
  <conditionalFormatting sqref="R149">
    <cfRule type="cellIs" dxfId="1" priority="140" stopIfTrue="1" operator="between">
      <formula>"Check"</formula>
      <formula>"Check"</formula>
    </cfRule>
  </conditionalFormatting>
  <conditionalFormatting sqref="R150">
    <cfRule type="cellIs" dxfId="1" priority="141" stopIfTrue="1" operator="between">
      <formula>"Check"</formula>
      <formula>"Check"</formula>
    </cfRule>
  </conditionalFormatting>
  <conditionalFormatting sqref="R151">
    <cfRule type="cellIs" dxfId="1" priority="142" stopIfTrue="1" operator="between">
      <formula>"Check"</formula>
      <formula>"Check"</formula>
    </cfRule>
  </conditionalFormatting>
  <conditionalFormatting sqref="R152">
    <cfRule type="cellIs" dxfId="1" priority="143" stopIfTrue="1" operator="between">
      <formula>"Check"</formula>
      <formula>"Check"</formula>
    </cfRule>
  </conditionalFormatting>
  <conditionalFormatting sqref="R153">
    <cfRule type="cellIs" dxfId="1" priority="144" stopIfTrue="1" operator="between">
      <formula>"Check"</formula>
      <formula>"Check"</formula>
    </cfRule>
  </conditionalFormatting>
  <conditionalFormatting sqref="R154">
    <cfRule type="cellIs" dxfId="1" priority="145" stopIfTrue="1" operator="between">
      <formula>"Check"</formula>
      <formula>"Check"</formula>
    </cfRule>
  </conditionalFormatting>
  <conditionalFormatting sqref="R155">
    <cfRule type="cellIs" dxfId="1" priority="146" stopIfTrue="1" operator="between">
      <formula>"Check"</formula>
      <formula>"Check"</formula>
    </cfRule>
  </conditionalFormatting>
  <conditionalFormatting sqref="R156">
    <cfRule type="cellIs" dxfId="1" priority="147" stopIfTrue="1" operator="between">
      <formula>"Check"</formula>
      <formula>"Check"</formula>
    </cfRule>
  </conditionalFormatting>
  <conditionalFormatting sqref="R157">
    <cfRule type="cellIs" dxfId="1" priority="148" stopIfTrue="1" operator="between">
      <formula>"Check"</formula>
      <formula>"Check"</formula>
    </cfRule>
  </conditionalFormatting>
  <conditionalFormatting sqref="R158">
    <cfRule type="cellIs" dxfId="1" priority="149" stopIfTrue="1" operator="between">
      <formula>"Check"</formula>
      <formula>"Check"</formula>
    </cfRule>
  </conditionalFormatting>
  <conditionalFormatting sqref="R159">
    <cfRule type="cellIs" dxfId="1" priority="150" stopIfTrue="1" operator="between">
      <formula>"Check"</formula>
      <formula>"Check"</formula>
    </cfRule>
  </conditionalFormatting>
  <conditionalFormatting sqref="R160">
    <cfRule type="cellIs" dxfId="1" priority="151" stopIfTrue="1" operator="between">
      <formula>"Check"</formula>
      <formula>"Check"</formula>
    </cfRule>
  </conditionalFormatting>
  <conditionalFormatting sqref="R161">
    <cfRule type="cellIs" dxfId="1" priority="152" stopIfTrue="1" operator="between">
      <formula>"Check"</formula>
      <formula>"Check"</formula>
    </cfRule>
  </conditionalFormatting>
  <conditionalFormatting sqref="R162">
    <cfRule type="cellIs" dxfId="1" priority="153" stopIfTrue="1" operator="between">
      <formula>"Check"</formula>
      <formula>"Check"</formula>
    </cfRule>
  </conditionalFormatting>
  <conditionalFormatting sqref="R163">
    <cfRule type="cellIs" dxfId="1" priority="154" stopIfTrue="1" operator="between">
      <formula>"Check"</formula>
      <formula>"Check"</formula>
    </cfRule>
  </conditionalFormatting>
  <conditionalFormatting sqref="R164">
    <cfRule type="cellIs" dxfId="1" priority="155" stopIfTrue="1" operator="between">
      <formula>"Check"</formula>
      <formula>"Check"</formula>
    </cfRule>
  </conditionalFormatting>
  <conditionalFormatting sqref="R165">
    <cfRule type="cellIs" dxfId="1" priority="156" stopIfTrue="1" operator="between">
      <formula>"Check"</formula>
      <formula>"Check"</formula>
    </cfRule>
  </conditionalFormatting>
  <conditionalFormatting sqref="R166">
    <cfRule type="cellIs" dxfId="1" priority="157" stopIfTrue="1" operator="between">
      <formula>"Check"</formula>
      <formula>"Check"</formula>
    </cfRule>
  </conditionalFormatting>
  <conditionalFormatting sqref="R167">
    <cfRule type="cellIs" dxfId="1" priority="158" stopIfTrue="1" operator="between">
      <formula>"Check"</formula>
      <formula>"Check"</formula>
    </cfRule>
  </conditionalFormatting>
  <conditionalFormatting sqref="R168">
    <cfRule type="cellIs" dxfId="1" priority="159" stopIfTrue="1" operator="between">
      <formula>"Check"</formula>
      <formula>"Check"</formula>
    </cfRule>
  </conditionalFormatting>
  <conditionalFormatting sqref="R169">
    <cfRule type="cellIs" dxfId="1" priority="160" stopIfTrue="1" operator="between">
      <formula>"Check"</formula>
      <formula>"Check"</formula>
    </cfRule>
  </conditionalFormatting>
  <conditionalFormatting sqref="R170">
    <cfRule type="cellIs" dxfId="1" priority="161" stopIfTrue="1" operator="between">
      <formula>"Check"</formula>
      <formula>"Check"</formula>
    </cfRule>
  </conditionalFormatting>
  <conditionalFormatting sqref="R171">
    <cfRule type="cellIs" dxfId="1" priority="162" stopIfTrue="1" operator="between">
      <formula>"Check"</formula>
      <formula>"Check"</formula>
    </cfRule>
  </conditionalFormatting>
  <conditionalFormatting sqref="R172">
    <cfRule type="cellIs" dxfId="1" priority="163" stopIfTrue="1" operator="between">
      <formula>"Check"</formula>
      <formula>"Check"</formula>
    </cfRule>
  </conditionalFormatting>
  <conditionalFormatting sqref="R173">
    <cfRule type="cellIs" dxfId="1" priority="164" stopIfTrue="1" operator="between">
      <formula>"Check"</formula>
      <formula>"Check"</formula>
    </cfRule>
  </conditionalFormatting>
  <conditionalFormatting sqref="R174">
    <cfRule type="cellIs" dxfId="1" priority="165" stopIfTrue="1" operator="between">
      <formula>"Check"</formula>
      <formula>"Check"</formula>
    </cfRule>
  </conditionalFormatting>
  <conditionalFormatting sqref="R175">
    <cfRule type="cellIs" dxfId="1" priority="166" stopIfTrue="1" operator="between">
      <formula>"Check"</formula>
      <formula>"Check"</formula>
    </cfRule>
  </conditionalFormatting>
  <conditionalFormatting sqref="R176">
    <cfRule type="cellIs" dxfId="1" priority="167" stopIfTrue="1" operator="between">
      <formula>"Check"</formula>
      <formula>"Check"</formula>
    </cfRule>
  </conditionalFormatting>
  <conditionalFormatting sqref="R177">
    <cfRule type="cellIs" dxfId="1" priority="168" stopIfTrue="1" operator="between">
      <formula>"Check"</formula>
      <formula>"Check"</formula>
    </cfRule>
  </conditionalFormatting>
  <conditionalFormatting sqref="R178">
    <cfRule type="cellIs" dxfId="1" priority="169" stopIfTrue="1" operator="between">
      <formula>"Check"</formula>
      <formula>"Check"</formula>
    </cfRule>
  </conditionalFormatting>
  <conditionalFormatting sqref="R179">
    <cfRule type="cellIs" dxfId="1" priority="170" stopIfTrue="1" operator="between">
      <formula>"Check"</formula>
      <formula>"Check"</formula>
    </cfRule>
  </conditionalFormatting>
  <conditionalFormatting sqref="R180">
    <cfRule type="cellIs" dxfId="1" priority="171" stopIfTrue="1" operator="between">
      <formula>"Check"</formula>
      <formula>"Check"</formula>
    </cfRule>
  </conditionalFormatting>
  <conditionalFormatting sqref="R181">
    <cfRule type="cellIs" dxfId="1" priority="172" stopIfTrue="1" operator="between">
      <formula>"Check"</formula>
      <formula>"Check"</formula>
    </cfRule>
  </conditionalFormatting>
  <conditionalFormatting sqref="R182">
    <cfRule type="cellIs" dxfId="1" priority="173" stopIfTrue="1" operator="between">
      <formula>"Check"</formula>
      <formula>"Check"</formula>
    </cfRule>
  </conditionalFormatting>
  <conditionalFormatting sqref="R183">
    <cfRule type="cellIs" dxfId="1" priority="174" stopIfTrue="1" operator="between">
      <formula>"Check"</formula>
      <formula>"Check"</formula>
    </cfRule>
  </conditionalFormatting>
  <conditionalFormatting sqref="R184">
    <cfRule type="cellIs" dxfId="1" priority="175" stopIfTrue="1" operator="between">
      <formula>"Check"</formula>
      <formula>"Check"</formula>
    </cfRule>
  </conditionalFormatting>
  <conditionalFormatting sqref="R185">
    <cfRule type="cellIs" dxfId="1" priority="176" stopIfTrue="1" operator="between">
      <formula>"Check"</formula>
      <formula>"Check"</formula>
    </cfRule>
  </conditionalFormatting>
  <conditionalFormatting sqref="R186">
    <cfRule type="cellIs" dxfId="1" priority="177" stopIfTrue="1" operator="between">
      <formula>"Check"</formula>
      <formula>"Check"</formula>
    </cfRule>
  </conditionalFormatting>
  <conditionalFormatting sqref="R187">
    <cfRule type="cellIs" dxfId="1" priority="178" stopIfTrue="1" operator="between">
      <formula>"Check"</formula>
      <formula>"Check"</formula>
    </cfRule>
  </conditionalFormatting>
  <conditionalFormatting sqref="R188">
    <cfRule type="cellIs" dxfId="1" priority="179" stopIfTrue="1" operator="between">
      <formula>"Check"</formula>
      <formula>"Check"</formula>
    </cfRule>
  </conditionalFormatting>
  <conditionalFormatting sqref="R189">
    <cfRule type="cellIs" dxfId="1" priority="180" stopIfTrue="1" operator="between">
      <formula>"Check"</formula>
      <formula>"Check"</formula>
    </cfRule>
  </conditionalFormatting>
  <conditionalFormatting sqref="R190">
    <cfRule type="cellIs" dxfId="1" priority="181" stopIfTrue="1" operator="between">
      <formula>"Check"</formula>
      <formula>"Check"</formula>
    </cfRule>
  </conditionalFormatting>
  <conditionalFormatting sqref="R191">
    <cfRule type="cellIs" dxfId="1" priority="182" stopIfTrue="1" operator="between">
      <formula>"Check"</formula>
      <formula>"Check"</formula>
    </cfRule>
  </conditionalFormatting>
  <conditionalFormatting sqref="R192">
    <cfRule type="cellIs" dxfId="1" priority="183" stopIfTrue="1" operator="between">
      <formula>"Check"</formula>
      <formula>"Check"</formula>
    </cfRule>
  </conditionalFormatting>
  <conditionalFormatting sqref="R193">
    <cfRule type="cellIs" dxfId="1" priority="184" stopIfTrue="1" operator="between">
      <formula>"Check"</formula>
      <formula>"Check"</formula>
    </cfRule>
  </conditionalFormatting>
  <conditionalFormatting sqref="R194">
    <cfRule type="cellIs" dxfId="1" priority="185" stopIfTrue="1" operator="between">
      <formula>"Check"</formula>
      <formula>"Check"</formula>
    </cfRule>
  </conditionalFormatting>
  <conditionalFormatting sqref="R195">
    <cfRule type="cellIs" dxfId="1" priority="186" stopIfTrue="1" operator="between">
      <formula>"Check"</formula>
      <formula>"Check"</formula>
    </cfRule>
  </conditionalFormatting>
  <conditionalFormatting sqref="R196">
    <cfRule type="cellIs" dxfId="1" priority="187" stopIfTrue="1" operator="between">
      <formula>"Check"</formula>
      <formula>"Check"</formula>
    </cfRule>
  </conditionalFormatting>
  <conditionalFormatting sqref="R197">
    <cfRule type="cellIs" dxfId="1" priority="188" stopIfTrue="1" operator="between">
      <formula>"Check"</formula>
      <formula>"Check"</formula>
    </cfRule>
  </conditionalFormatting>
  <conditionalFormatting sqref="R198">
    <cfRule type="cellIs" dxfId="1" priority="189" stopIfTrue="1" operator="between">
      <formula>"Check"</formula>
      <formula>"Check"</formula>
    </cfRule>
  </conditionalFormatting>
  <conditionalFormatting sqref="R199">
    <cfRule type="cellIs" dxfId="1" priority="190" stopIfTrue="1" operator="between">
      <formula>"Check"</formula>
      <formula>"Check"</formula>
    </cfRule>
  </conditionalFormatting>
  <conditionalFormatting sqref="R200">
    <cfRule type="cellIs" dxfId="1" priority="191" stopIfTrue="1" operator="between">
      <formula>"Check"</formula>
      <formula>"Check"</formula>
    </cfRule>
  </conditionalFormatting>
  <conditionalFormatting sqref="R201">
    <cfRule type="cellIs" dxfId="1" priority="192" stopIfTrue="1" operator="between">
      <formula>"Check"</formula>
      <formula>"Check"</formula>
    </cfRule>
  </conditionalFormatting>
  <conditionalFormatting sqref="R202">
    <cfRule type="cellIs" dxfId="1" priority="193" stopIfTrue="1" operator="between">
      <formula>"Check"</formula>
      <formula>"Check"</formula>
    </cfRule>
  </conditionalFormatting>
  <conditionalFormatting sqref="R203">
    <cfRule type="cellIs" dxfId="1" priority="194" stopIfTrue="1" operator="between">
      <formula>"Check"</formula>
      <formula>"Check"</formula>
    </cfRule>
  </conditionalFormatting>
  <conditionalFormatting sqref="R204">
    <cfRule type="cellIs" dxfId="1" priority="195" stopIfTrue="1" operator="between">
      <formula>"Check"</formula>
      <formula>"Check"</formula>
    </cfRule>
  </conditionalFormatting>
  <conditionalFormatting sqref="R205">
    <cfRule type="cellIs" dxfId="1" priority="196" stopIfTrue="1" operator="between">
      <formula>"Check"</formula>
      <formula>"Check"</formula>
    </cfRule>
  </conditionalFormatting>
  <conditionalFormatting sqref="R206">
    <cfRule type="cellIs" dxfId="1" priority="197" stopIfTrue="1" operator="between">
      <formula>"Check"</formula>
      <formula>"Check"</formula>
    </cfRule>
  </conditionalFormatting>
  <conditionalFormatting sqref="R207">
    <cfRule type="cellIs" dxfId="1" priority="198" stopIfTrue="1" operator="between">
      <formula>"Check"</formula>
      <formula>"Check"</formula>
    </cfRule>
  </conditionalFormatting>
  <conditionalFormatting sqref="R208">
    <cfRule type="cellIs" dxfId="1" priority="199" stopIfTrue="1" operator="between">
      <formula>"Check"</formula>
      <formula>"Check"</formula>
    </cfRule>
  </conditionalFormatting>
  <conditionalFormatting sqref="R209">
    <cfRule type="cellIs" dxfId="1" priority="200" stopIfTrue="1" operator="between">
      <formula>"Check"</formula>
      <formula>"Check"</formula>
    </cfRule>
  </conditionalFormatting>
  <conditionalFormatting sqref="R210">
    <cfRule type="cellIs" dxfId="1" priority="201" stopIfTrue="1" operator="between">
      <formula>"Check"</formula>
      <formula>"Check"</formula>
    </cfRule>
  </conditionalFormatting>
  <conditionalFormatting sqref="R211">
    <cfRule type="cellIs" dxfId="1" priority="202" stopIfTrue="1" operator="between">
      <formula>"Check"</formula>
      <formula>"Check"</formula>
    </cfRule>
  </conditionalFormatting>
  <conditionalFormatting sqref="R212">
    <cfRule type="cellIs" dxfId="1" priority="203" stopIfTrue="1" operator="between">
      <formula>"Check"</formula>
      <formula>"Check"</formula>
    </cfRule>
  </conditionalFormatting>
  <conditionalFormatting sqref="R213">
    <cfRule type="cellIs" dxfId="1" priority="204" stopIfTrue="1" operator="between">
      <formula>"Check"</formula>
      <formula>"Check"</formula>
    </cfRule>
  </conditionalFormatting>
  <conditionalFormatting sqref="R214">
    <cfRule type="cellIs" dxfId="1" priority="205" stopIfTrue="1" operator="between">
      <formula>"Check"</formula>
      <formula>"Check"</formula>
    </cfRule>
  </conditionalFormatting>
  <conditionalFormatting sqref="R215">
    <cfRule type="cellIs" dxfId="1" priority="206" stopIfTrue="1" operator="between">
      <formula>"Check"</formula>
      <formula>"Check"</formula>
    </cfRule>
  </conditionalFormatting>
  <conditionalFormatting sqref="R216">
    <cfRule type="cellIs" dxfId="1" priority="207" stopIfTrue="1" operator="between">
      <formula>"Check"</formula>
      <formula>"Check"</formula>
    </cfRule>
  </conditionalFormatting>
  <conditionalFormatting sqref="R217">
    <cfRule type="cellIs" dxfId="1" priority="208" stopIfTrue="1" operator="between">
      <formula>"Check"</formula>
      <formula>"Check"</formula>
    </cfRule>
  </conditionalFormatting>
  <conditionalFormatting sqref="R218">
    <cfRule type="cellIs" dxfId="1" priority="209" stopIfTrue="1" operator="between">
      <formula>"Check"</formula>
      <formula>"Check"</formula>
    </cfRule>
  </conditionalFormatting>
  <conditionalFormatting sqref="R219">
    <cfRule type="cellIs" dxfId="1" priority="210" stopIfTrue="1" operator="between">
      <formula>"Check"</formula>
      <formula>"Check"</formula>
    </cfRule>
  </conditionalFormatting>
  <conditionalFormatting sqref="R220">
    <cfRule type="cellIs" dxfId="1" priority="211" stopIfTrue="1" operator="between">
      <formula>"Check"</formula>
      <formula>"Check"</formula>
    </cfRule>
  </conditionalFormatting>
  <conditionalFormatting sqref="R221">
    <cfRule type="cellIs" dxfId="1" priority="212" stopIfTrue="1" operator="between">
      <formula>"Check"</formula>
      <formula>"Check"</formula>
    </cfRule>
  </conditionalFormatting>
  <conditionalFormatting sqref="R222">
    <cfRule type="cellIs" dxfId="1" priority="213" stopIfTrue="1" operator="between">
      <formula>"Check"</formula>
      <formula>"Check"</formula>
    </cfRule>
  </conditionalFormatting>
  <conditionalFormatting sqref="R223">
    <cfRule type="cellIs" dxfId="1" priority="214" stopIfTrue="1" operator="between">
      <formula>"Check"</formula>
      <formula>"Check"</formula>
    </cfRule>
  </conditionalFormatting>
  <conditionalFormatting sqref="R224">
    <cfRule type="cellIs" dxfId="1" priority="215" stopIfTrue="1" operator="between">
      <formula>"Check"</formula>
      <formula>"Check"</formula>
    </cfRule>
  </conditionalFormatting>
  <conditionalFormatting sqref="R225">
    <cfRule type="cellIs" dxfId="1" priority="216" stopIfTrue="1" operator="between">
      <formula>"Check"</formula>
      <formula>"Check"</formula>
    </cfRule>
  </conditionalFormatting>
  <conditionalFormatting sqref="R226">
    <cfRule type="cellIs" dxfId="1" priority="217" stopIfTrue="1" operator="between">
      <formula>"Check"</formula>
      <formula>"Check"</formula>
    </cfRule>
  </conditionalFormatting>
  <conditionalFormatting sqref="R227">
    <cfRule type="cellIs" dxfId="1" priority="218" stopIfTrue="1" operator="between">
      <formula>"Check"</formula>
      <formula>"Check"</formula>
    </cfRule>
  </conditionalFormatting>
  <conditionalFormatting sqref="R228">
    <cfRule type="cellIs" dxfId="1" priority="219" stopIfTrue="1" operator="between">
      <formula>"Check"</formula>
      <formula>"Check"</formula>
    </cfRule>
  </conditionalFormatting>
  <conditionalFormatting sqref="R229">
    <cfRule type="cellIs" dxfId="1" priority="220" stopIfTrue="1" operator="between">
      <formula>"Check"</formula>
      <formula>"Check"</formula>
    </cfRule>
  </conditionalFormatting>
  <conditionalFormatting sqref="R230">
    <cfRule type="cellIs" dxfId="1" priority="221" stopIfTrue="1" operator="between">
      <formula>"Check"</formula>
      <formula>"Check"</formula>
    </cfRule>
  </conditionalFormatting>
  <conditionalFormatting sqref="R231">
    <cfRule type="cellIs" dxfId="1" priority="222" stopIfTrue="1" operator="between">
      <formula>"Check"</formula>
      <formula>"Check"</formula>
    </cfRule>
  </conditionalFormatting>
  <conditionalFormatting sqref="R232">
    <cfRule type="cellIs" dxfId="1" priority="223" stopIfTrue="1" operator="between">
      <formula>"Check"</formula>
      <formula>"Check"</formula>
    </cfRule>
  </conditionalFormatting>
  <conditionalFormatting sqref="R233">
    <cfRule type="cellIs" dxfId="1" priority="224" stopIfTrue="1" operator="between">
      <formula>"Check"</formula>
      <formula>"Check"</formula>
    </cfRule>
  </conditionalFormatting>
  <conditionalFormatting sqref="R234">
    <cfRule type="cellIs" dxfId="1" priority="225" stopIfTrue="1" operator="between">
      <formula>"Check"</formula>
      <formula>"Check"</formula>
    </cfRule>
  </conditionalFormatting>
  <conditionalFormatting sqref="R235">
    <cfRule type="cellIs" dxfId="1" priority="226" stopIfTrue="1" operator="between">
      <formula>"Check"</formula>
      <formula>"Check"</formula>
    </cfRule>
  </conditionalFormatting>
  <conditionalFormatting sqref="R236">
    <cfRule type="cellIs" dxfId="1" priority="227" stopIfTrue="1" operator="between">
      <formula>"Check"</formula>
      <formula>"Check"</formula>
    </cfRule>
  </conditionalFormatting>
  <conditionalFormatting sqref="R237">
    <cfRule type="cellIs" dxfId="1" priority="228" stopIfTrue="1" operator="between">
      <formula>"Check"</formula>
      <formula>"Check"</formula>
    </cfRule>
  </conditionalFormatting>
  <conditionalFormatting sqref="R238">
    <cfRule type="cellIs" dxfId="1" priority="229" stopIfTrue="1" operator="between">
      <formula>"Check"</formula>
      <formula>"Check"</formula>
    </cfRule>
  </conditionalFormatting>
  <conditionalFormatting sqref="R239">
    <cfRule type="cellIs" dxfId="1" priority="230" stopIfTrue="1" operator="between">
      <formula>"Check"</formula>
      <formula>"Check"</formula>
    </cfRule>
  </conditionalFormatting>
  <conditionalFormatting sqref="R240">
    <cfRule type="cellIs" dxfId="1" priority="231" stopIfTrue="1" operator="between">
      <formula>"Check"</formula>
      <formula>"Check"</formula>
    </cfRule>
  </conditionalFormatting>
  <conditionalFormatting sqref="R241">
    <cfRule type="cellIs" dxfId="1" priority="232" stopIfTrue="1" operator="between">
      <formula>"Check"</formula>
      <formula>"Check"</formula>
    </cfRule>
  </conditionalFormatting>
  <conditionalFormatting sqref="R242">
    <cfRule type="cellIs" dxfId="1" priority="233" stopIfTrue="1" operator="between">
      <formula>"Check"</formula>
      <formula>"Check"</formula>
    </cfRule>
  </conditionalFormatting>
  <conditionalFormatting sqref="R243">
    <cfRule type="cellIs" dxfId="1" priority="234" stopIfTrue="1" operator="between">
      <formula>"Check"</formula>
      <formula>"Check"</formula>
    </cfRule>
  </conditionalFormatting>
  <conditionalFormatting sqref="R244">
    <cfRule type="cellIs" dxfId="1" priority="235" stopIfTrue="1" operator="between">
      <formula>"Check"</formula>
      <formula>"Check"</formula>
    </cfRule>
  </conditionalFormatting>
  <conditionalFormatting sqref="R245">
    <cfRule type="cellIs" dxfId="1" priority="236" stopIfTrue="1" operator="between">
      <formula>"Check"</formula>
      <formula>"Check"</formula>
    </cfRule>
  </conditionalFormatting>
  <conditionalFormatting sqref="R246">
    <cfRule type="cellIs" dxfId="1" priority="237" stopIfTrue="1" operator="between">
      <formula>"Check"</formula>
      <formula>"Check"</formula>
    </cfRule>
  </conditionalFormatting>
  <conditionalFormatting sqref="R247">
    <cfRule type="cellIs" dxfId="1" priority="238" stopIfTrue="1" operator="between">
      <formula>"Check"</formula>
      <formula>"Check"</formula>
    </cfRule>
  </conditionalFormatting>
  <conditionalFormatting sqref="R248">
    <cfRule type="cellIs" dxfId="1" priority="239" stopIfTrue="1" operator="between">
      <formula>"Check"</formula>
      <formula>"Check"</formula>
    </cfRule>
  </conditionalFormatting>
  <conditionalFormatting sqref="R249">
    <cfRule type="cellIs" dxfId="1" priority="240" stopIfTrue="1" operator="between">
      <formula>"Check"</formula>
      <formula>"Check"</formula>
    </cfRule>
  </conditionalFormatting>
  <conditionalFormatting sqref="R250">
    <cfRule type="cellIs" dxfId="1" priority="241" stopIfTrue="1" operator="between">
      <formula>"Check"</formula>
      <formula>"Check"</formula>
    </cfRule>
  </conditionalFormatting>
  <conditionalFormatting sqref="R251">
    <cfRule type="cellIs" dxfId="1" priority="242" stopIfTrue="1" operator="between">
      <formula>"Check"</formula>
      <formula>"Check"</formula>
    </cfRule>
  </conditionalFormatting>
  <conditionalFormatting sqref="R252">
    <cfRule type="cellIs" dxfId="1" priority="243" stopIfTrue="1" operator="between">
      <formula>"Check"</formula>
      <formula>"Check"</formula>
    </cfRule>
  </conditionalFormatting>
  <conditionalFormatting sqref="R253">
    <cfRule type="cellIs" dxfId="1" priority="244" stopIfTrue="1" operator="between">
      <formula>"Check"</formula>
      <formula>"Check"</formula>
    </cfRule>
  </conditionalFormatting>
  <conditionalFormatting sqref="R254">
    <cfRule type="cellIs" dxfId="1" priority="245" stopIfTrue="1" operator="between">
      <formula>"Check"</formula>
      <formula>"Check"</formula>
    </cfRule>
  </conditionalFormatting>
  <conditionalFormatting sqref="R255">
    <cfRule type="cellIs" dxfId="1" priority="246" stopIfTrue="1" operator="between">
      <formula>"Check"</formula>
      <formula>"Check"</formula>
    </cfRule>
  </conditionalFormatting>
  <conditionalFormatting sqref="R256">
    <cfRule type="cellIs" dxfId="1" priority="247" stopIfTrue="1" operator="between">
      <formula>"Check"</formula>
      <formula>"Check"</formula>
    </cfRule>
  </conditionalFormatting>
  <conditionalFormatting sqref="R257">
    <cfRule type="cellIs" dxfId="1" priority="248" stopIfTrue="1" operator="between">
      <formula>"Check"</formula>
      <formula>"Check"</formula>
    </cfRule>
  </conditionalFormatting>
  <conditionalFormatting sqref="R258">
    <cfRule type="cellIs" dxfId="1" priority="249" stopIfTrue="1" operator="between">
      <formula>"Check"</formula>
      <formula>"Check"</formula>
    </cfRule>
  </conditionalFormatting>
  <conditionalFormatting sqref="R259">
    <cfRule type="cellIs" dxfId="1" priority="250" stopIfTrue="1" operator="between">
      <formula>"Check"</formula>
      <formula>"Check"</formula>
    </cfRule>
  </conditionalFormatting>
  <conditionalFormatting sqref="R260">
    <cfRule type="cellIs" dxfId="1" priority="251" stopIfTrue="1" operator="between">
      <formula>"Check"</formula>
      <formula>"Check"</formula>
    </cfRule>
  </conditionalFormatting>
  <conditionalFormatting sqref="R261">
    <cfRule type="cellIs" dxfId="1" priority="252" stopIfTrue="1" operator="between">
      <formula>"Check"</formula>
      <formula>"Check"</formula>
    </cfRule>
  </conditionalFormatting>
  <conditionalFormatting sqref="R262">
    <cfRule type="cellIs" dxfId="1" priority="253" stopIfTrue="1" operator="between">
      <formula>"Check"</formula>
      <formula>"Check"</formula>
    </cfRule>
  </conditionalFormatting>
  <conditionalFormatting sqref="R263">
    <cfRule type="cellIs" dxfId="1" priority="254" stopIfTrue="1" operator="between">
      <formula>"Check"</formula>
      <formula>"Check"</formula>
    </cfRule>
  </conditionalFormatting>
  <conditionalFormatting sqref="R264">
    <cfRule type="cellIs" dxfId="1" priority="255" stopIfTrue="1" operator="between">
      <formula>"Check"</formula>
      <formula>"Check"</formula>
    </cfRule>
  </conditionalFormatting>
  <conditionalFormatting sqref="R265">
    <cfRule type="cellIs" dxfId="1" priority="256" stopIfTrue="1" operator="between">
      <formula>"Check"</formula>
      <formula>"Check"</formula>
    </cfRule>
  </conditionalFormatting>
  <conditionalFormatting sqref="R266">
    <cfRule type="cellIs" dxfId="1" priority="257" stopIfTrue="1" operator="between">
      <formula>"Check"</formula>
      <formula>"Check"</formula>
    </cfRule>
  </conditionalFormatting>
  <conditionalFormatting sqref="R267">
    <cfRule type="cellIs" dxfId="1" priority="258" stopIfTrue="1" operator="between">
      <formula>"Check"</formula>
      <formula>"Check"</formula>
    </cfRule>
  </conditionalFormatting>
  <conditionalFormatting sqref="R268">
    <cfRule type="cellIs" dxfId="1" priority="259" stopIfTrue="1" operator="between">
      <formula>"Check"</formula>
      <formula>"Check"</formula>
    </cfRule>
  </conditionalFormatting>
  <conditionalFormatting sqref="R269">
    <cfRule type="cellIs" dxfId="1" priority="260" stopIfTrue="1" operator="between">
      <formula>"Check"</formula>
      <formula>"Check"</formula>
    </cfRule>
  </conditionalFormatting>
  <conditionalFormatting sqref="R270">
    <cfRule type="cellIs" dxfId="1" priority="261" stopIfTrue="1" operator="between">
      <formula>"Check"</formula>
      <formula>"Check"</formula>
    </cfRule>
  </conditionalFormatting>
  <conditionalFormatting sqref="R271">
    <cfRule type="cellIs" dxfId="1" priority="262" stopIfTrue="1" operator="between">
      <formula>"Check"</formula>
      <formula>"Check"</formula>
    </cfRule>
  </conditionalFormatting>
  <conditionalFormatting sqref="R272">
    <cfRule type="cellIs" dxfId="1" priority="263" stopIfTrue="1" operator="between">
      <formula>"Check"</formula>
      <formula>"Check"</formula>
    </cfRule>
  </conditionalFormatting>
  <conditionalFormatting sqref="R273">
    <cfRule type="cellIs" dxfId="1" priority="264" stopIfTrue="1" operator="between">
      <formula>"Check"</formula>
      <formula>"Check"</formula>
    </cfRule>
  </conditionalFormatting>
  <conditionalFormatting sqref="R274">
    <cfRule type="cellIs" dxfId="1" priority="265" stopIfTrue="1" operator="between">
      <formula>"Check"</formula>
      <formula>"Check"</formula>
    </cfRule>
  </conditionalFormatting>
  <conditionalFormatting sqref="R275">
    <cfRule type="cellIs" dxfId="1" priority="266" stopIfTrue="1" operator="between">
      <formula>"Check"</formula>
      <formula>"Check"</formula>
    </cfRule>
  </conditionalFormatting>
  <conditionalFormatting sqref="R276">
    <cfRule type="cellIs" dxfId="1" priority="267" stopIfTrue="1" operator="between">
      <formula>"Check"</formula>
      <formula>"Check"</formula>
    </cfRule>
  </conditionalFormatting>
  <conditionalFormatting sqref="R277">
    <cfRule type="cellIs" dxfId="1" priority="268" stopIfTrue="1" operator="between">
      <formula>"Check"</formula>
      <formula>"Check"</formula>
    </cfRule>
  </conditionalFormatting>
  <conditionalFormatting sqref="R278">
    <cfRule type="cellIs" dxfId="1" priority="269" stopIfTrue="1" operator="between">
      <formula>"Check"</formula>
      <formula>"Check"</formula>
    </cfRule>
  </conditionalFormatting>
  <conditionalFormatting sqref="R279">
    <cfRule type="cellIs" dxfId="1" priority="270" stopIfTrue="1" operator="between">
      <formula>"Check"</formula>
      <formula>"Check"</formula>
    </cfRule>
  </conditionalFormatting>
  <conditionalFormatting sqref="R280">
    <cfRule type="cellIs" dxfId="1" priority="271" stopIfTrue="1" operator="between">
      <formula>"Check"</formula>
      <formula>"Check"</formula>
    </cfRule>
  </conditionalFormatting>
  <conditionalFormatting sqref="R281">
    <cfRule type="cellIs" dxfId="1" priority="272" stopIfTrue="1" operator="between">
      <formula>"Check"</formula>
      <formula>"Check"</formula>
    </cfRule>
  </conditionalFormatting>
  <conditionalFormatting sqref="R282">
    <cfRule type="cellIs" dxfId="1" priority="273" stopIfTrue="1" operator="between">
      <formula>"Check"</formula>
      <formula>"Check"</formula>
    </cfRule>
  </conditionalFormatting>
  <conditionalFormatting sqref="R283">
    <cfRule type="cellIs" dxfId="1" priority="274" stopIfTrue="1" operator="between">
      <formula>"Check"</formula>
      <formula>"Check"</formula>
    </cfRule>
  </conditionalFormatting>
  <conditionalFormatting sqref="R284">
    <cfRule type="cellIs" dxfId="1" priority="275" stopIfTrue="1" operator="between">
      <formula>"Check"</formula>
      <formula>"Check"</formula>
    </cfRule>
  </conditionalFormatting>
  <conditionalFormatting sqref="R285">
    <cfRule type="cellIs" dxfId="1" priority="276" stopIfTrue="1" operator="between">
      <formula>"Check"</formula>
      <formula>"Check"</formula>
    </cfRule>
  </conditionalFormatting>
  <conditionalFormatting sqref="R286">
    <cfRule type="cellIs" dxfId="1" priority="277" stopIfTrue="1" operator="between">
      <formula>"Check"</formula>
      <formula>"Check"</formula>
    </cfRule>
  </conditionalFormatting>
  <conditionalFormatting sqref="R287">
    <cfRule type="cellIs" dxfId="1" priority="278" stopIfTrue="1" operator="between">
      <formula>"Check"</formula>
      <formula>"Check"</formula>
    </cfRule>
  </conditionalFormatting>
  <conditionalFormatting sqref="R288">
    <cfRule type="cellIs" dxfId="1" priority="279" stopIfTrue="1" operator="between">
      <formula>"Check"</formula>
      <formula>"Check"</formula>
    </cfRule>
  </conditionalFormatting>
  <conditionalFormatting sqref="R289">
    <cfRule type="cellIs" dxfId="1" priority="280" stopIfTrue="1" operator="between">
      <formula>"Check"</formula>
      <formula>"Check"</formula>
    </cfRule>
  </conditionalFormatting>
  <conditionalFormatting sqref="R290">
    <cfRule type="cellIs" dxfId="1" priority="281" stopIfTrue="1" operator="between">
      <formula>"Check"</formula>
      <formula>"Check"</formula>
    </cfRule>
  </conditionalFormatting>
  <conditionalFormatting sqref="R291">
    <cfRule type="cellIs" dxfId="1" priority="282" stopIfTrue="1" operator="between">
      <formula>"Check"</formula>
      <formula>"Check"</formula>
    </cfRule>
  </conditionalFormatting>
  <conditionalFormatting sqref="R292">
    <cfRule type="cellIs" dxfId="1" priority="283" stopIfTrue="1" operator="between">
      <formula>"Check"</formula>
      <formula>"Check"</formula>
    </cfRule>
  </conditionalFormatting>
  <conditionalFormatting sqref="R293">
    <cfRule type="cellIs" dxfId="1" priority="284" stopIfTrue="1" operator="between">
      <formula>"Check"</formula>
      <formula>"Check"</formula>
    </cfRule>
  </conditionalFormatting>
  <conditionalFormatting sqref="R294">
    <cfRule type="cellIs" dxfId="1" priority="285" stopIfTrue="1" operator="between">
      <formula>"Check"</formula>
      <formula>"Check"</formula>
    </cfRule>
  </conditionalFormatting>
  <conditionalFormatting sqref="R295">
    <cfRule type="cellIs" dxfId="1" priority="286" stopIfTrue="1" operator="between">
      <formula>"Check"</formula>
      <formula>"Check"</formula>
    </cfRule>
  </conditionalFormatting>
  <conditionalFormatting sqref="R296">
    <cfRule type="cellIs" dxfId="1" priority="287" stopIfTrue="1" operator="between">
      <formula>"Check"</formula>
      <formula>"Check"</formula>
    </cfRule>
  </conditionalFormatting>
  <conditionalFormatting sqref="R297">
    <cfRule type="cellIs" dxfId="1" priority="288" stopIfTrue="1" operator="between">
      <formula>"Check"</formula>
      <formula>"Check"</formula>
    </cfRule>
  </conditionalFormatting>
  <conditionalFormatting sqref="R298">
    <cfRule type="cellIs" dxfId="1" priority="289" stopIfTrue="1" operator="between">
      <formula>"Check"</formula>
      <formula>"Check"</formula>
    </cfRule>
  </conditionalFormatting>
  <conditionalFormatting sqref="R299">
    <cfRule type="cellIs" dxfId="1" priority="290" stopIfTrue="1" operator="between">
      <formula>"Check"</formula>
      <formula>"Check"</formula>
    </cfRule>
  </conditionalFormatting>
  <conditionalFormatting sqref="R300">
    <cfRule type="cellIs" dxfId="1" priority="291" stopIfTrue="1" operator="between">
      <formula>"Check"</formula>
      <formula>"Check"</formula>
    </cfRule>
  </conditionalFormatting>
  <conditionalFormatting sqref="R301">
    <cfRule type="cellIs" dxfId="1" priority="292" stopIfTrue="1" operator="between">
      <formula>"Check"</formula>
      <formula>"Check"</formula>
    </cfRule>
  </conditionalFormatting>
  <conditionalFormatting sqref="R302">
    <cfRule type="cellIs" dxfId="1" priority="293" stopIfTrue="1" operator="between">
      <formula>"Check"</formula>
      <formula>"Check"</formula>
    </cfRule>
  </conditionalFormatting>
  <conditionalFormatting sqref="R303">
    <cfRule type="cellIs" dxfId="1" priority="294" stopIfTrue="1" operator="between">
      <formula>"Check"</formula>
      <formula>"Check"</formula>
    </cfRule>
  </conditionalFormatting>
  <conditionalFormatting sqref="R304">
    <cfRule type="cellIs" dxfId="1" priority="295" stopIfTrue="1" operator="between">
      <formula>"Check"</formula>
      <formula>"Check"</formula>
    </cfRule>
  </conditionalFormatting>
  <conditionalFormatting sqref="R305">
    <cfRule type="cellIs" dxfId="1" priority="296" stopIfTrue="1" operator="between">
      <formula>"Check"</formula>
      <formula>"Check"</formula>
    </cfRule>
  </conditionalFormatting>
  <conditionalFormatting sqref="R306">
    <cfRule type="cellIs" dxfId="1" priority="297" stopIfTrue="1" operator="between">
      <formula>"Check"</formula>
      <formula>"Check"</formula>
    </cfRule>
  </conditionalFormatting>
  <conditionalFormatting sqref="R307">
    <cfRule type="cellIs" dxfId="1" priority="298" stopIfTrue="1" operator="between">
      <formula>"Check"</formula>
      <formula>"Check"</formula>
    </cfRule>
  </conditionalFormatting>
  <conditionalFormatting sqref="R308">
    <cfRule type="cellIs" dxfId="1" priority="299" stopIfTrue="1" operator="between">
      <formula>"Check"</formula>
      <formula>"Check"</formula>
    </cfRule>
  </conditionalFormatting>
  <conditionalFormatting sqref="R309">
    <cfRule type="cellIs" dxfId="1" priority="300" stopIfTrue="1" operator="between">
      <formula>"Check"</formula>
      <formula>"Check"</formula>
    </cfRule>
  </conditionalFormatting>
  <conditionalFormatting sqref="R310">
    <cfRule type="cellIs" dxfId="1" priority="301" stopIfTrue="1" operator="between">
      <formula>"Check"</formula>
      <formula>"Check"</formula>
    </cfRule>
  </conditionalFormatting>
  <conditionalFormatting sqref="R311">
    <cfRule type="cellIs" dxfId="1" priority="302" stopIfTrue="1" operator="between">
      <formula>"Check"</formula>
      <formula>"Check"</formula>
    </cfRule>
  </conditionalFormatting>
  <conditionalFormatting sqref="R312">
    <cfRule type="cellIs" dxfId="1" priority="303" stopIfTrue="1" operator="between">
      <formula>"Check"</formula>
      <formula>"Check"</formula>
    </cfRule>
  </conditionalFormatting>
  <conditionalFormatting sqref="R313">
    <cfRule type="cellIs" dxfId="1" priority="304" stopIfTrue="1" operator="between">
      <formula>"Check"</formula>
      <formula>"Check"</formula>
    </cfRule>
  </conditionalFormatting>
  <conditionalFormatting sqref="R314">
    <cfRule type="cellIs" dxfId="1" priority="305" stopIfTrue="1" operator="between">
      <formula>"Check"</formula>
      <formula>"Check"</formula>
    </cfRule>
  </conditionalFormatting>
  <conditionalFormatting sqref="R315">
    <cfRule type="cellIs" dxfId="1" priority="306" stopIfTrue="1" operator="between">
      <formula>"Check"</formula>
      <formula>"Check"</formula>
    </cfRule>
  </conditionalFormatting>
  <conditionalFormatting sqref="R316">
    <cfRule type="cellIs" dxfId="1" priority="307" stopIfTrue="1" operator="between">
      <formula>"Check"</formula>
      <formula>"Check"</formula>
    </cfRule>
  </conditionalFormatting>
  <conditionalFormatting sqref="R317">
    <cfRule type="cellIs" dxfId="1" priority="308" stopIfTrue="1" operator="between">
      <formula>"Check"</formula>
      <formula>"Check"</formula>
    </cfRule>
  </conditionalFormatting>
  <conditionalFormatting sqref="R318">
    <cfRule type="cellIs" dxfId="1" priority="309" stopIfTrue="1" operator="between">
      <formula>"Check"</formula>
      <formula>"Check"</formula>
    </cfRule>
  </conditionalFormatting>
  <conditionalFormatting sqref="R319">
    <cfRule type="cellIs" dxfId="1" priority="310" stopIfTrue="1" operator="between">
      <formula>"Check"</formula>
      <formula>"Check"</formula>
    </cfRule>
  </conditionalFormatting>
  <conditionalFormatting sqref="R320">
    <cfRule type="cellIs" dxfId="1" priority="311" stopIfTrue="1" operator="between">
      <formula>"Check"</formula>
      <formula>"Check"</formula>
    </cfRule>
  </conditionalFormatting>
  <conditionalFormatting sqref="R321">
    <cfRule type="cellIs" dxfId="1" priority="312" stopIfTrue="1" operator="between">
      <formula>"Check"</formula>
      <formula>"Check"</formula>
    </cfRule>
  </conditionalFormatting>
  <conditionalFormatting sqref="R322">
    <cfRule type="cellIs" dxfId="1" priority="313" stopIfTrue="1" operator="between">
      <formula>"Check"</formula>
      <formula>"Check"</formula>
    </cfRule>
  </conditionalFormatting>
  <conditionalFormatting sqref="R323">
    <cfRule type="cellIs" dxfId="1" priority="314" stopIfTrue="1" operator="between">
      <formula>"Check"</formula>
      <formula>"Check"</formula>
    </cfRule>
  </conditionalFormatting>
  <conditionalFormatting sqref="R324">
    <cfRule type="cellIs" dxfId="1" priority="315" stopIfTrue="1" operator="between">
      <formula>"Check"</formula>
      <formula>"Check"</formula>
    </cfRule>
  </conditionalFormatting>
  <conditionalFormatting sqref="R325">
    <cfRule type="cellIs" dxfId="1" priority="316" stopIfTrue="1" operator="between">
      <formula>"Check"</formula>
      <formula>"Check"</formula>
    </cfRule>
  </conditionalFormatting>
  <conditionalFormatting sqref="R326">
    <cfRule type="cellIs" dxfId="1" priority="317" stopIfTrue="1" operator="between">
      <formula>"Check"</formula>
      <formula>"Check"</formula>
    </cfRule>
  </conditionalFormatting>
  <conditionalFormatting sqref="R327">
    <cfRule type="cellIs" dxfId="1" priority="318" stopIfTrue="1" operator="between">
      <formula>"Check"</formula>
      <formula>"Check"</formula>
    </cfRule>
  </conditionalFormatting>
  <conditionalFormatting sqref="R328">
    <cfRule type="cellIs" dxfId="1" priority="319" stopIfTrue="1" operator="between">
      <formula>"Check"</formula>
      <formula>"Check"</formula>
    </cfRule>
  </conditionalFormatting>
  <conditionalFormatting sqref="R329">
    <cfRule type="cellIs" dxfId="1" priority="320" stopIfTrue="1" operator="between">
      <formula>"Check"</formula>
      <formula>"Check"</formula>
    </cfRule>
  </conditionalFormatting>
  <conditionalFormatting sqref="R330">
    <cfRule type="cellIs" dxfId="1" priority="321" stopIfTrue="1" operator="between">
      <formula>"Check"</formula>
      <formula>"Check"</formula>
    </cfRule>
  </conditionalFormatting>
  <conditionalFormatting sqref="R331">
    <cfRule type="cellIs" dxfId="1" priority="322" stopIfTrue="1" operator="between">
      <formula>"Check"</formula>
      <formula>"Check"</formula>
    </cfRule>
  </conditionalFormatting>
  <conditionalFormatting sqref="R332">
    <cfRule type="cellIs" dxfId="1" priority="323" stopIfTrue="1" operator="between">
      <formula>"Check"</formula>
      <formula>"Check"</formula>
    </cfRule>
  </conditionalFormatting>
  <conditionalFormatting sqref="R333">
    <cfRule type="cellIs" dxfId="1" priority="324" stopIfTrue="1" operator="between">
      <formula>"Check"</formula>
      <formula>"Check"</formula>
    </cfRule>
  </conditionalFormatting>
  <conditionalFormatting sqref="R334">
    <cfRule type="cellIs" dxfId="1" priority="325" stopIfTrue="1" operator="between">
      <formula>"Check"</formula>
      <formula>"Check"</formula>
    </cfRule>
  </conditionalFormatting>
  <conditionalFormatting sqref="R335">
    <cfRule type="cellIs" dxfId="1" priority="326" stopIfTrue="1" operator="between">
      <formula>"Check"</formula>
      <formula>"Check"</formula>
    </cfRule>
  </conditionalFormatting>
  <conditionalFormatting sqref="R336">
    <cfRule type="cellIs" dxfId="1" priority="327" stopIfTrue="1" operator="between">
      <formula>"Check"</formula>
      <formula>"Check"</formula>
    </cfRule>
  </conditionalFormatting>
  <conditionalFormatting sqref="R337">
    <cfRule type="cellIs" dxfId="1" priority="328" stopIfTrue="1" operator="between">
      <formula>"Check"</formula>
      <formula>"Check"</formula>
    </cfRule>
  </conditionalFormatting>
  <conditionalFormatting sqref="R338">
    <cfRule type="cellIs" dxfId="1" priority="329" stopIfTrue="1" operator="between">
      <formula>"Check"</formula>
      <formula>"Check"</formula>
    </cfRule>
  </conditionalFormatting>
  <conditionalFormatting sqref="R339">
    <cfRule type="cellIs" dxfId="1" priority="330" stopIfTrue="1" operator="between">
      <formula>"Check"</formula>
      <formula>"Check"</formula>
    </cfRule>
  </conditionalFormatting>
  <conditionalFormatting sqref="R340">
    <cfRule type="cellIs" dxfId="1" priority="331" stopIfTrue="1" operator="between">
      <formula>"Check"</formula>
      <formula>"Check"</formula>
    </cfRule>
  </conditionalFormatting>
  <conditionalFormatting sqref="R341">
    <cfRule type="cellIs" dxfId="1" priority="332" stopIfTrue="1" operator="between">
      <formula>"Check"</formula>
      <formula>"Check"</formula>
    </cfRule>
  </conditionalFormatting>
  <conditionalFormatting sqref="R342">
    <cfRule type="cellIs" dxfId="1" priority="333" stopIfTrue="1" operator="between">
      <formula>"Check"</formula>
      <formula>"Check"</formula>
    </cfRule>
  </conditionalFormatting>
  <conditionalFormatting sqref="R343">
    <cfRule type="cellIs" dxfId="1" priority="334" stopIfTrue="1" operator="between">
      <formula>"Check"</formula>
      <formula>"Check"</formula>
    </cfRule>
  </conditionalFormatting>
  <conditionalFormatting sqref="R344">
    <cfRule type="cellIs" dxfId="1" priority="335" stopIfTrue="1" operator="between">
      <formula>"Check"</formula>
      <formula>"Check"</formula>
    </cfRule>
  </conditionalFormatting>
  <conditionalFormatting sqref="R345">
    <cfRule type="cellIs" dxfId="1" priority="336" stopIfTrue="1" operator="between">
      <formula>"Check"</formula>
      <formula>"Check"</formula>
    </cfRule>
  </conditionalFormatting>
  <conditionalFormatting sqref="R346">
    <cfRule type="cellIs" dxfId="1" priority="337" stopIfTrue="1" operator="between">
      <formula>"Check"</formula>
      <formula>"Check"</formula>
    </cfRule>
  </conditionalFormatting>
  <conditionalFormatting sqref="R347">
    <cfRule type="cellIs" dxfId="1" priority="338" stopIfTrue="1" operator="between">
      <formula>"Check"</formula>
      <formula>"Check"</formula>
    </cfRule>
  </conditionalFormatting>
  <conditionalFormatting sqref="R348">
    <cfRule type="cellIs" dxfId="1" priority="339" stopIfTrue="1" operator="between">
      <formula>"Check"</formula>
      <formula>"Check"</formula>
    </cfRule>
  </conditionalFormatting>
  <conditionalFormatting sqref="R349">
    <cfRule type="cellIs" dxfId="1" priority="340" stopIfTrue="1" operator="between">
      <formula>"Check"</formula>
      <formula>"Check"</formula>
    </cfRule>
  </conditionalFormatting>
  <conditionalFormatting sqref="R350">
    <cfRule type="cellIs" dxfId="1" priority="341" stopIfTrue="1" operator="between">
      <formula>"Check"</formula>
      <formula>"Check"</formula>
    </cfRule>
  </conditionalFormatting>
  <conditionalFormatting sqref="R351">
    <cfRule type="cellIs" dxfId="1" priority="342" stopIfTrue="1" operator="between">
      <formula>"Check"</formula>
      <formula>"Check"</formula>
    </cfRule>
  </conditionalFormatting>
  <conditionalFormatting sqref="R352">
    <cfRule type="cellIs" dxfId="1" priority="343" stopIfTrue="1" operator="between">
      <formula>"Check"</formula>
      <formula>"Check"</formula>
    </cfRule>
  </conditionalFormatting>
  <conditionalFormatting sqref="R353">
    <cfRule type="cellIs" dxfId="1" priority="344" stopIfTrue="1" operator="between">
      <formula>"Check"</formula>
      <formula>"Check"</formula>
    </cfRule>
  </conditionalFormatting>
  <conditionalFormatting sqref="R354">
    <cfRule type="cellIs" dxfId="1" priority="345" stopIfTrue="1" operator="between">
      <formula>"Check"</formula>
      <formula>"Check"</formula>
    </cfRule>
  </conditionalFormatting>
  <conditionalFormatting sqref="R355">
    <cfRule type="cellIs" dxfId="1" priority="346" stopIfTrue="1" operator="between">
      <formula>"Check"</formula>
      <formula>"Check"</formula>
    </cfRule>
  </conditionalFormatting>
  <conditionalFormatting sqref="R356">
    <cfRule type="cellIs" dxfId="1" priority="347" stopIfTrue="1" operator="between">
      <formula>"Check"</formula>
      <formula>"Check"</formula>
    </cfRule>
  </conditionalFormatting>
  <conditionalFormatting sqref="R357">
    <cfRule type="cellIs" dxfId="1" priority="348" stopIfTrue="1" operator="between">
      <formula>"Check"</formula>
      <formula>"Check"</formula>
    </cfRule>
  </conditionalFormatting>
  <conditionalFormatting sqref="R358">
    <cfRule type="cellIs" dxfId="1" priority="349" stopIfTrue="1" operator="between">
      <formula>"Check"</formula>
      <formula>"Check"</formula>
    </cfRule>
  </conditionalFormatting>
  <conditionalFormatting sqref="R359">
    <cfRule type="cellIs" dxfId="1" priority="350" stopIfTrue="1" operator="between">
      <formula>"Check"</formula>
      <formula>"Check"</formula>
    </cfRule>
  </conditionalFormatting>
  <conditionalFormatting sqref="R360">
    <cfRule type="cellIs" dxfId="1" priority="351" stopIfTrue="1" operator="between">
      <formula>"Check"</formula>
      <formula>"Check"</formula>
    </cfRule>
  </conditionalFormatting>
  <conditionalFormatting sqref="R361">
    <cfRule type="cellIs" dxfId="1" priority="352" stopIfTrue="1" operator="between">
      <formula>"Check"</formula>
      <formula>"Check"</formula>
    </cfRule>
  </conditionalFormatting>
  <conditionalFormatting sqref="R362">
    <cfRule type="cellIs" dxfId="1" priority="353" stopIfTrue="1" operator="between">
      <formula>"Check"</formula>
      <formula>"Check"</formula>
    </cfRule>
  </conditionalFormatting>
  <conditionalFormatting sqref="R363">
    <cfRule type="cellIs" dxfId="1" priority="354" stopIfTrue="1" operator="between">
      <formula>"Check"</formula>
      <formula>"Check"</formula>
    </cfRule>
  </conditionalFormatting>
  <conditionalFormatting sqref="R364">
    <cfRule type="cellIs" dxfId="1" priority="355" stopIfTrue="1" operator="between">
      <formula>"Check"</formula>
      <formula>"Check"</formula>
    </cfRule>
  </conditionalFormatting>
  <conditionalFormatting sqref="R365">
    <cfRule type="cellIs" dxfId="1" priority="356" stopIfTrue="1" operator="between">
      <formula>"Check"</formula>
      <formula>"Check"</formula>
    </cfRule>
  </conditionalFormatting>
  <conditionalFormatting sqref="R366">
    <cfRule type="cellIs" dxfId="1" priority="357" stopIfTrue="1" operator="between">
      <formula>"Check"</formula>
      <formula>"Check"</formula>
    </cfRule>
  </conditionalFormatting>
  <conditionalFormatting sqref="R367">
    <cfRule type="cellIs" dxfId="1" priority="358" stopIfTrue="1" operator="between">
      <formula>"Check"</formula>
      <formula>"Check"</formula>
    </cfRule>
  </conditionalFormatting>
  <conditionalFormatting sqref="R368">
    <cfRule type="cellIs" dxfId="1" priority="359" stopIfTrue="1" operator="between">
      <formula>"Check"</formula>
      <formula>"Check"</formula>
    </cfRule>
  </conditionalFormatting>
  <conditionalFormatting sqref="R369">
    <cfRule type="cellIs" dxfId="1" priority="360" stopIfTrue="1" operator="between">
      <formula>"Check"</formula>
      <formula>"Check"</formula>
    </cfRule>
  </conditionalFormatting>
  <conditionalFormatting sqref="R370">
    <cfRule type="cellIs" dxfId="1" priority="361" stopIfTrue="1" operator="between">
      <formula>"Check"</formula>
      <formula>"Check"</formula>
    </cfRule>
  </conditionalFormatting>
  <conditionalFormatting sqref="R371">
    <cfRule type="cellIs" dxfId="1" priority="362" stopIfTrue="1" operator="between">
      <formula>"Check"</formula>
      <formula>"Check"</formula>
    </cfRule>
  </conditionalFormatting>
  <conditionalFormatting sqref="R372">
    <cfRule type="cellIs" dxfId="1" priority="363" stopIfTrue="1" operator="between">
      <formula>"Check"</formula>
      <formula>"Check"</formula>
    </cfRule>
  </conditionalFormatting>
  <conditionalFormatting sqref="R373">
    <cfRule type="cellIs" dxfId="1" priority="364" stopIfTrue="1" operator="between">
      <formula>"Check"</formula>
      <formula>"Check"</formula>
    </cfRule>
  </conditionalFormatting>
  <conditionalFormatting sqref="R374">
    <cfRule type="cellIs" dxfId="1" priority="365" stopIfTrue="1" operator="between">
      <formula>"Check"</formula>
      <formula>"Check"</formula>
    </cfRule>
  </conditionalFormatting>
  <conditionalFormatting sqref="R375">
    <cfRule type="cellIs" dxfId="1" priority="366" stopIfTrue="1" operator="between">
      <formula>"Check"</formula>
      <formula>"Check"</formula>
    </cfRule>
  </conditionalFormatting>
  <conditionalFormatting sqref="R376">
    <cfRule type="cellIs" dxfId="1" priority="367" stopIfTrue="1" operator="between">
      <formula>"Check"</formula>
      <formula>"Check"</formula>
    </cfRule>
  </conditionalFormatting>
  <conditionalFormatting sqref="R377">
    <cfRule type="cellIs" dxfId="1" priority="368" stopIfTrue="1" operator="between">
      <formula>"Check"</formula>
      <formula>"Check"</formula>
    </cfRule>
  </conditionalFormatting>
  <conditionalFormatting sqref="R378">
    <cfRule type="cellIs" dxfId="1" priority="369" stopIfTrue="1" operator="between">
      <formula>"Check"</formula>
      <formula>"Check"</formula>
    </cfRule>
  </conditionalFormatting>
  <conditionalFormatting sqref="R379">
    <cfRule type="cellIs" dxfId="1" priority="370" stopIfTrue="1" operator="between">
      <formula>"Check"</formula>
      <formula>"Check"</formula>
    </cfRule>
  </conditionalFormatting>
  <conditionalFormatting sqref="R380">
    <cfRule type="cellIs" dxfId="1" priority="371" stopIfTrue="1" operator="between">
      <formula>"Check"</formula>
      <formula>"Check"</formula>
    </cfRule>
  </conditionalFormatting>
  <conditionalFormatting sqref="R381">
    <cfRule type="cellIs" dxfId="1" priority="372" stopIfTrue="1" operator="between">
      <formula>"Check"</formula>
      <formula>"Check"</formula>
    </cfRule>
  </conditionalFormatting>
  <conditionalFormatting sqref="R382">
    <cfRule type="cellIs" dxfId="1" priority="373" stopIfTrue="1" operator="between">
      <formula>"Check"</formula>
      <formula>"Check"</formula>
    </cfRule>
  </conditionalFormatting>
  <conditionalFormatting sqref="R383">
    <cfRule type="cellIs" dxfId="1" priority="374" stopIfTrue="1" operator="between">
      <formula>"Check"</formula>
      <formula>"Check"</formula>
    </cfRule>
  </conditionalFormatting>
  <conditionalFormatting sqref="R384">
    <cfRule type="cellIs" dxfId="1" priority="375" stopIfTrue="1" operator="between">
      <formula>"Check"</formula>
      <formula>"Check"</formula>
    </cfRule>
  </conditionalFormatting>
  <conditionalFormatting sqref="R385">
    <cfRule type="cellIs" dxfId="1" priority="376" stopIfTrue="1" operator="between">
      <formula>"Check"</formula>
      <formula>"Check"</formula>
    </cfRule>
  </conditionalFormatting>
  <conditionalFormatting sqref="R386">
    <cfRule type="cellIs" dxfId="1" priority="377" stopIfTrue="1" operator="between">
      <formula>"Check"</formula>
      <formula>"Check"</formula>
    </cfRule>
  </conditionalFormatting>
  <conditionalFormatting sqref="R387">
    <cfRule type="cellIs" dxfId="1" priority="378" stopIfTrue="1" operator="between">
      <formula>"Check"</formula>
      <formula>"Check"</formula>
    </cfRule>
  </conditionalFormatting>
  <conditionalFormatting sqref="R388">
    <cfRule type="cellIs" dxfId="1" priority="379" stopIfTrue="1" operator="between">
      <formula>"Check"</formula>
      <formula>"Check"</formula>
    </cfRule>
  </conditionalFormatting>
  <conditionalFormatting sqref="R389">
    <cfRule type="cellIs" dxfId="1" priority="380" stopIfTrue="1" operator="between">
      <formula>"Check"</formula>
      <formula>"Check"</formula>
    </cfRule>
  </conditionalFormatting>
  <conditionalFormatting sqref="R390">
    <cfRule type="cellIs" dxfId="1" priority="381" stopIfTrue="1" operator="between">
      <formula>"Check"</formula>
      <formula>"Check"</formula>
    </cfRule>
  </conditionalFormatting>
  <conditionalFormatting sqref="R391">
    <cfRule type="cellIs" dxfId="1" priority="382" stopIfTrue="1" operator="between">
      <formula>"Check"</formula>
      <formula>"Check"</formula>
    </cfRule>
  </conditionalFormatting>
  <conditionalFormatting sqref="R392">
    <cfRule type="cellIs" dxfId="1" priority="383" stopIfTrue="1" operator="between">
      <formula>"Check"</formula>
      <formula>"Check"</formula>
    </cfRule>
  </conditionalFormatting>
  <conditionalFormatting sqref="R393">
    <cfRule type="cellIs" dxfId="1" priority="384" stopIfTrue="1" operator="between">
      <formula>"Check"</formula>
      <formula>"Check"</formula>
    </cfRule>
  </conditionalFormatting>
  <conditionalFormatting sqref="R394">
    <cfRule type="cellIs" dxfId="1" priority="385" stopIfTrue="1" operator="between">
      <formula>"Check"</formula>
      <formula>"Check"</formula>
    </cfRule>
  </conditionalFormatting>
  <conditionalFormatting sqref="R395">
    <cfRule type="cellIs" dxfId="1" priority="386" stopIfTrue="1" operator="between">
      <formula>"Check"</formula>
      <formula>"Check"</formula>
    </cfRule>
  </conditionalFormatting>
  <conditionalFormatting sqref="R396">
    <cfRule type="cellIs" dxfId="1" priority="387" stopIfTrue="1" operator="between">
      <formula>"Check"</formula>
      <formula>"Check"</formula>
    </cfRule>
  </conditionalFormatting>
  <conditionalFormatting sqref="R397">
    <cfRule type="cellIs" dxfId="1" priority="388" stopIfTrue="1" operator="between">
      <formula>"Check"</formula>
      <formula>"Check"</formula>
    </cfRule>
  </conditionalFormatting>
  <conditionalFormatting sqref="R398">
    <cfRule type="cellIs" dxfId="1" priority="389" stopIfTrue="1" operator="between">
      <formula>"Check"</formula>
      <formula>"Check"</formula>
    </cfRule>
  </conditionalFormatting>
  <conditionalFormatting sqref="R399">
    <cfRule type="cellIs" dxfId="1" priority="390" stopIfTrue="1" operator="between">
      <formula>"Check"</formula>
      <formula>"Check"</formula>
    </cfRule>
  </conditionalFormatting>
  <conditionalFormatting sqref="R400">
    <cfRule type="cellIs" dxfId="1" priority="391" stopIfTrue="1" operator="between">
      <formula>"Check"</formula>
      <formula>"Check"</formula>
    </cfRule>
  </conditionalFormatting>
  <conditionalFormatting sqref="R401">
    <cfRule type="cellIs" dxfId="1" priority="392" stopIfTrue="1" operator="between">
      <formula>"Check"</formula>
      <formula>"Check"</formula>
    </cfRule>
  </conditionalFormatting>
  <conditionalFormatting sqref="R402">
    <cfRule type="cellIs" dxfId="1" priority="393" stopIfTrue="1" operator="between">
      <formula>"Check"</formula>
      <formula>"Check"</formula>
    </cfRule>
  </conditionalFormatting>
  <conditionalFormatting sqref="R403">
    <cfRule type="cellIs" dxfId="1" priority="394" stopIfTrue="1" operator="between">
      <formula>"Check"</formula>
      <formula>"Check"</formula>
    </cfRule>
  </conditionalFormatting>
  <conditionalFormatting sqref="R404">
    <cfRule type="cellIs" dxfId="1" priority="395" stopIfTrue="1" operator="between">
      <formula>"Check"</formula>
      <formula>"Check"</formula>
    </cfRule>
  </conditionalFormatting>
  <conditionalFormatting sqref="R405">
    <cfRule type="cellIs" dxfId="1" priority="396" stopIfTrue="1" operator="between">
      <formula>"Check"</formula>
      <formula>"Check"</formula>
    </cfRule>
  </conditionalFormatting>
  <conditionalFormatting sqref="R406">
    <cfRule type="cellIs" dxfId="1" priority="397" stopIfTrue="1" operator="between">
      <formula>"Check"</formula>
      <formula>"Check"</formula>
    </cfRule>
  </conditionalFormatting>
  <conditionalFormatting sqref="R407">
    <cfRule type="cellIs" dxfId="1" priority="398" stopIfTrue="1" operator="between">
      <formula>"Check"</formula>
      <formula>"Check"</formula>
    </cfRule>
  </conditionalFormatting>
  <conditionalFormatting sqref="R408">
    <cfRule type="cellIs" dxfId="1" priority="399" stopIfTrue="1" operator="between">
      <formula>"Check"</formula>
      <formula>"Check"</formula>
    </cfRule>
  </conditionalFormatting>
  <conditionalFormatting sqref="R409">
    <cfRule type="cellIs" dxfId="1" priority="400" stopIfTrue="1" operator="between">
      <formula>"Check"</formula>
      <formula>"Check"</formula>
    </cfRule>
  </conditionalFormatting>
  <conditionalFormatting sqref="R410">
    <cfRule type="cellIs" dxfId="1" priority="401" stopIfTrue="1" operator="between">
      <formula>"Check"</formula>
      <formula>"Check"</formula>
    </cfRule>
  </conditionalFormatting>
  <conditionalFormatting sqref="R411">
    <cfRule type="cellIs" dxfId="1" priority="402" stopIfTrue="1" operator="between">
      <formula>"Check"</formula>
      <formula>"Check"</formula>
    </cfRule>
  </conditionalFormatting>
  <conditionalFormatting sqref="R412">
    <cfRule type="cellIs" dxfId="1" priority="403" stopIfTrue="1" operator="between">
      <formula>"Check"</formula>
      <formula>"Check"</formula>
    </cfRule>
  </conditionalFormatting>
  <conditionalFormatting sqref="R413">
    <cfRule type="cellIs" dxfId="1" priority="404" stopIfTrue="1" operator="between">
      <formula>"Check"</formula>
      <formula>"Check"</formula>
    </cfRule>
  </conditionalFormatting>
  <conditionalFormatting sqref="R414">
    <cfRule type="cellIs" dxfId="1" priority="405" stopIfTrue="1" operator="between">
      <formula>"Check"</formula>
      <formula>"Check"</formula>
    </cfRule>
  </conditionalFormatting>
  <conditionalFormatting sqref="R415">
    <cfRule type="cellIs" dxfId="1" priority="406" stopIfTrue="1" operator="between">
      <formula>"Check"</formula>
      <formula>"Check"</formula>
    </cfRule>
  </conditionalFormatting>
  <conditionalFormatting sqref="R416">
    <cfRule type="cellIs" dxfId="1" priority="407" stopIfTrue="1" operator="between">
      <formula>"Check"</formula>
      <formula>"Check"</formula>
    </cfRule>
  </conditionalFormatting>
  <conditionalFormatting sqref="R417">
    <cfRule type="cellIs" dxfId="1" priority="408" stopIfTrue="1" operator="between">
      <formula>"Check"</formula>
      <formula>"Check"</formula>
    </cfRule>
  </conditionalFormatting>
  <conditionalFormatting sqref="R418">
    <cfRule type="cellIs" dxfId="1" priority="409" stopIfTrue="1" operator="between">
      <formula>"Check"</formula>
      <formula>"Check"</formula>
    </cfRule>
  </conditionalFormatting>
  <conditionalFormatting sqref="R419">
    <cfRule type="cellIs" dxfId="1" priority="410" stopIfTrue="1" operator="between">
      <formula>"Check"</formula>
      <formula>"Check"</formula>
    </cfRule>
  </conditionalFormatting>
  <conditionalFormatting sqref="R420">
    <cfRule type="cellIs" dxfId="1" priority="411" stopIfTrue="1" operator="between">
      <formula>"Check"</formula>
      <formula>"Check"</formula>
    </cfRule>
  </conditionalFormatting>
  <conditionalFormatting sqref="R421">
    <cfRule type="cellIs" dxfId="1" priority="412" stopIfTrue="1" operator="between">
      <formula>"Check"</formula>
      <formula>"Check"</formula>
    </cfRule>
  </conditionalFormatting>
  <conditionalFormatting sqref="R422">
    <cfRule type="cellIs" dxfId="1" priority="413" stopIfTrue="1" operator="between">
      <formula>"Check"</formula>
      <formula>"Check"</formula>
    </cfRule>
  </conditionalFormatting>
  <conditionalFormatting sqref="R423">
    <cfRule type="cellIs" dxfId="1" priority="414" stopIfTrue="1" operator="between">
      <formula>"Check"</formula>
      <formula>"Check"</formula>
    </cfRule>
  </conditionalFormatting>
  <conditionalFormatting sqref="R424">
    <cfRule type="cellIs" dxfId="1" priority="415" stopIfTrue="1" operator="between">
      <formula>"Check"</formula>
      <formula>"Check"</formula>
    </cfRule>
  </conditionalFormatting>
  <conditionalFormatting sqref="R425">
    <cfRule type="cellIs" dxfId="1" priority="416" stopIfTrue="1" operator="between">
      <formula>"Check"</formula>
      <formula>"Check"</formula>
    </cfRule>
  </conditionalFormatting>
  <conditionalFormatting sqref="R426">
    <cfRule type="cellIs" dxfId="1" priority="417" stopIfTrue="1" operator="between">
      <formula>"Check"</formula>
      <formula>"Check"</formula>
    </cfRule>
  </conditionalFormatting>
  <conditionalFormatting sqref="R427">
    <cfRule type="cellIs" dxfId="1" priority="418" stopIfTrue="1" operator="between">
      <formula>"Check"</formula>
      <formula>"Check"</formula>
    </cfRule>
  </conditionalFormatting>
  <conditionalFormatting sqref="R428">
    <cfRule type="cellIs" dxfId="1" priority="419" stopIfTrue="1" operator="between">
      <formula>"Check"</formula>
      <formula>"Check"</formula>
    </cfRule>
  </conditionalFormatting>
  <conditionalFormatting sqref="R429">
    <cfRule type="cellIs" dxfId="1" priority="420" stopIfTrue="1" operator="between">
      <formula>"Check"</formula>
      <formula>"Check"</formula>
    </cfRule>
  </conditionalFormatting>
  <conditionalFormatting sqref="R430">
    <cfRule type="cellIs" dxfId="1" priority="421" stopIfTrue="1" operator="between">
      <formula>"Check"</formula>
      <formula>"Check"</formula>
    </cfRule>
  </conditionalFormatting>
  <conditionalFormatting sqref="R431">
    <cfRule type="cellIs" dxfId="1" priority="422" stopIfTrue="1" operator="between">
      <formula>"Check"</formula>
      <formula>"Check"</formula>
    </cfRule>
  </conditionalFormatting>
  <conditionalFormatting sqref="R432">
    <cfRule type="cellIs" dxfId="1" priority="423" stopIfTrue="1" operator="between">
      <formula>"Check"</formula>
      <formula>"Check"</formula>
    </cfRule>
  </conditionalFormatting>
  <conditionalFormatting sqref="R433">
    <cfRule type="cellIs" dxfId="1" priority="424" stopIfTrue="1" operator="between">
      <formula>"Check"</formula>
      <formula>"Check"</formula>
    </cfRule>
  </conditionalFormatting>
  <conditionalFormatting sqref="R434">
    <cfRule type="cellIs" dxfId="1" priority="425" stopIfTrue="1" operator="between">
      <formula>"Check"</formula>
      <formula>"Check"</formula>
    </cfRule>
  </conditionalFormatting>
  <conditionalFormatting sqref="R435">
    <cfRule type="cellIs" dxfId="1" priority="426" stopIfTrue="1" operator="between">
      <formula>"Check"</formula>
      <formula>"Check"</formula>
    </cfRule>
  </conditionalFormatting>
  <conditionalFormatting sqref="R436">
    <cfRule type="cellIs" dxfId="1" priority="427" stopIfTrue="1" operator="between">
      <formula>"Check"</formula>
      <formula>"Check"</formula>
    </cfRule>
  </conditionalFormatting>
  <conditionalFormatting sqref="R437">
    <cfRule type="cellIs" dxfId="1" priority="428" stopIfTrue="1" operator="between">
      <formula>"Check"</formula>
      <formula>"Check"</formula>
    </cfRule>
  </conditionalFormatting>
  <conditionalFormatting sqref="R438">
    <cfRule type="cellIs" dxfId="1" priority="429" stopIfTrue="1" operator="between">
      <formula>"Check"</formula>
      <formula>"Check"</formula>
    </cfRule>
  </conditionalFormatting>
  <conditionalFormatting sqref="R439">
    <cfRule type="cellIs" dxfId="1" priority="430" stopIfTrue="1" operator="between">
      <formula>"Check"</formula>
      <formula>"Check"</formula>
    </cfRule>
  </conditionalFormatting>
  <conditionalFormatting sqref="R440">
    <cfRule type="cellIs" dxfId="1" priority="431" stopIfTrue="1" operator="between">
      <formula>"Check"</formula>
      <formula>"Check"</formula>
    </cfRule>
  </conditionalFormatting>
  <conditionalFormatting sqref="R441">
    <cfRule type="cellIs" dxfId="1" priority="432" stopIfTrue="1" operator="between">
      <formula>"Check"</formula>
      <formula>"Check"</formula>
    </cfRule>
  </conditionalFormatting>
  <conditionalFormatting sqref="R442">
    <cfRule type="cellIs" dxfId="1" priority="433" stopIfTrue="1" operator="between">
      <formula>"Check"</formula>
      <formula>"Check"</formula>
    </cfRule>
  </conditionalFormatting>
  <conditionalFormatting sqref="R443">
    <cfRule type="cellIs" dxfId="1" priority="434" stopIfTrue="1" operator="between">
      <formula>"Check"</formula>
      <formula>"Check"</formula>
    </cfRule>
  </conditionalFormatting>
  <conditionalFormatting sqref="R444">
    <cfRule type="cellIs" dxfId="1" priority="435" stopIfTrue="1" operator="between">
      <formula>"Check"</formula>
      <formula>"Check"</formula>
    </cfRule>
  </conditionalFormatting>
  <conditionalFormatting sqref="R445">
    <cfRule type="cellIs" dxfId="1" priority="436" stopIfTrue="1" operator="between">
      <formula>"Check"</formula>
      <formula>"Check"</formula>
    </cfRule>
  </conditionalFormatting>
  <conditionalFormatting sqref="R446">
    <cfRule type="cellIs" dxfId="1" priority="437" stopIfTrue="1" operator="between">
      <formula>"Check"</formula>
      <formula>"Check"</formula>
    </cfRule>
  </conditionalFormatting>
  <conditionalFormatting sqref="R447">
    <cfRule type="cellIs" dxfId="1" priority="438" stopIfTrue="1" operator="between">
      <formula>"Check"</formula>
      <formula>"Check"</formula>
    </cfRule>
  </conditionalFormatting>
  <conditionalFormatting sqref="R448">
    <cfRule type="cellIs" dxfId="1" priority="439" stopIfTrue="1" operator="between">
      <formula>"Check"</formula>
      <formula>"Check"</formula>
    </cfRule>
  </conditionalFormatting>
  <conditionalFormatting sqref="R449">
    <cfRule type="cellIs" dxfId="1" priority="440" stopIfTrue="1" operator="between">
      <formula>"Check"</formula>
      <formula>"Check"</formula>
    </cfRule>
  </conditionalFormatting>
  <conditionalFormatting sqref="R450">
    <cfRule type="cellIs" dxfId="1" priority="441" stopIfTrue="1" operator="between">
      <formula>"Check"</formula>
      <formula>"Check"</formula>
    </cfRule>
  </conditionalFormatting>
  <conditionalFormatting sqref="R451">
    <cfRule type="cellIs" dxfId="1" priority="442" stopIfTrue="1" operator="between">
      <formula>"Check"</formula>
      <formula>"Check"</formula>
    </cfRule>
  </conditionalFormatting>
  <conditionalFormatting sqref="R452">
    <cfRule type="cellIs" dxfId="1" priority="443" stopIfTrue="1" operator="between">
      <formula>"Check"</formula>
      <formula>"Check"</formula>
    </cfRule>
  </conditionalFormatting>
  <conditionalFormatting sqref="R453">
    <cfRule type="cellIs" dxfId="1" priority="444" stopIfTrue="1" operator="between">
      <formula>"Check"</formula>
      <formula>"Check"</formula>
    </cfRule>
  </conditionalFormatting>
  <conditionalFormatting sqref="R454">
    <cfRule type="cellIs" dxfId="1" priority="445" stopIfTrue="1" operator="between">
      <formula>"Check"</formula>
      <formula>"Check"</formula>
    </cfRule>
  </conditionalFormatting>
  <conditionalFormatting sqref="R455">
    <cfRule type="cellIs" dxfId="1" priority="446" stopIfTrue="1" operator="between">
      <formula>"Check"</formula>
      <formula>"Check"</formula>
    </cfRule>
  </conditionalFormatting>
  <conditionalFormatting sqref="R456">
    <cfRule type="cellIs" dxfId="1" priority="447" stopIfTrue="1" operator="between">
      <formula>"Check"</formula>
      <formula>"Check"</formula>
    </cfRule>
  </conditionalFormatting>
  <conditionalFormatting sqref="R457">
    <cfRule type="cellIs" dxfId="1" priority="448" stopIfTrue="1" operator="between">
      <formula>"Check"</formula>
      <formula>"Check"</formula>
    </cfRule>
  </conditionalFormatting>
  <conditionalFormatting sqref="R458">
    <cfRule type="cellIs" dxfId="1" priority="449" stopIfTrue="1" operator="between">
      <formula>"Check"</formula>
      <formula>"Check"</formula>
    </cfRule>
  </conditionalFormatting>
  <conditionalFormatting sqref="R459">
    <cfRule type="cellIs" dxfId="1" priority="450" stopIfTrue="1" operator="between">
      <formula>"Check"</formula>
      <formula>"Check"</formula>
    </cfRule>
  </conditionalFormatting>
  <conditionalFormatting sqref="R460">
    <cfRule type="cellIs" dxfId="1" priority="451" stopIfTrue="1" operator="between">
      <formula>"Check"</formula>
      <formula>"Check"</formula>
    </cfRule>
  </conditionalFormatting>
  <conditionalFormatting sqref="R461">
    <cfRule type="cellIs" dxfId="1" priority="452" stopIfTrue="1" operator="between">
      <formula>"Check"</formula>
      <formula>"Check"</formula>
    </cfRule>
  </conditionalFormatting>
  <conditionalFormatting sqref="R462">
    <cfRule type="cellIs" dxfId="1" priority="453" stopIfTrue="1" operator="between">
      <formula>"Check"</formula>
      <formula>"Check"</formula>
    </cfRule>
  </conditionalFormatting>
  <conditionalFormatting sqref="R463">
    <cfRule type="cellIs" dxfId="1" priority="454" stopIfTrue="1" operator="between">
      <formula>"Check"</formula>
      <formula>"Check"</formula>
    </cfRule>
  </conditionalFormatting>
  <conditionalFormatting sqref="R464">
    <cfRule type="cellIs" dxfId="1" priority="455" stopIfTrue="1" operator="between">
      <formula>"Check"</formula>
      <formula>"Check"</formula>
    </cfRule>
  </conditionalFormatting>
  <conditionalFormatting sqref="R465">
    <cfRule type="cellIs" dxfId="1" priority="456" stopIfTrue="1" operator="between">
      <formula>"Check"</formula>
      <formula>"Check"</formula>
    </cfRule>
  </conditionalFormatting>
  <conditionalFormatting sqref="R466">
    <cfRule type="cellIs" dxfId="1" priority="457" stopIfTrue="1" operator="between">
      <formula>"Check"</formula>
      <formula>"Check"</formula>
    </cfRule>
  </conditionalFormatting>
  <conditionalFormatting sqref="R467">
    <cfRule type="cellIs" dxfId="1" priority="458" stopIfTrue="1" operator="between">
      <formula>"Check"</formula>
      <formula>"Check"</formula>
    </cfRule>
  </conditionalFormatting>
  <conditionalFormatting sqref="R468">
    <cfRule type="cellIs" dxfId="1" priority="459" stopIfTrue="1" operator="between">
      <formula>"Check"</formula>
      <formula>"Check"</formula>
    </cfRule>
  </conditionalFormatting>
  <conditionalFormatting sqref="R469">
    <cfRule type="cellIs" dxfId="1" priority="460" stopIfTrue="1" operator="between">
      <formula>"Check"</formula>
      <formula>"Check"</formula>
    </cfRule>
  </conditionalFormatting>
  <conditionalFormatting sqref="R470">
    <cfRule type="cellIs" dxfId="1" priority="461" stopIfTrue="1" operator="between">
      <formula>"Check"</formula>
      <formula>"Check"</formula>
    </cfRule>
  </conditionalFormatting>
  <conditionalFormatting sqref="R471">
    <cfRule type="cellIs" dxfId="1" priority="462" stopIfTrue="1" operator="between">
      <formula>"Check"</formula>
      <formula>"Check"</formula>
    </cfRule>
  </conditionalFormatting>
  <conditionalFormatting sqref="R472">
    <cfRule type="cellIs" dxfId="1" priority="463" stopIfTrue="1" operator="between">
      <formula>"Check"</formula>
      <formula>"Check"</formula>
    </cfRule>
  </conditionalFormatting>
  <conditionalFormatting sqref="R473">
    <cfRule type="cellIs" dxfId="1" priority="464" stopIfTrue="1" operator="between">
      <formula>"Check"</formula>
      <formula>"Check"</formula>
    </cfRule>
  </conditionalFormatting>
  <conditionalFormatting sqref="R474">
    <cfRule type="cellIs" dxfId="1" priority="465" stopIfTrue="1" operator="between">
      <formula>"Check"</formula>
      <formula>"Check"</formula>
    </cfRule>
  </conditionalFormatting>
  <conditionalFormatting sqref="R475">
    <cfRule type="cellIs" dxfId="1" priority="466" stopIfTrue="1" operator="between">
      <formula>"Check"</formula>
      <formula>"Check"</formula>
    </cfRule>
  </conditionalFormatting>
  <conditionalFormatting sqref="R476">
    <cfRule type="cellIs" dxfId="1" priority="467" stopIfTrue="1" operator="between">
      <formula>"Check"</formula>
      <formula>"Check"</formula>
    </cfRule>
  </conditionalFormatting>
  <conditionalFormatting sqref="R477">
    <cfRule type="cellIs" dxfId="1" priority="468" stopIfTrue="1" operator="between">
      <formula>"Check"</formula>
      <formula>"Check"</formula>
    </cfRule>
  </conditionalFormatting>
  <conditionalFormatting sqref="R478">
    <cfRule type="cellIs" dxfId="1" priority="469" stopIfTrue="1" operator="between">
      <formula>"Check"</formula>
      <formula>"Check"</formula>
    </cfRule>
  </conditionalFormatting>
  <conditionalFormatting sqref="R479">
    <cfRule type="cellIs" dxfId="1" priority="470" stopIfTrue="1" operator="between">
      <formula>"Check"</formula>
      <formula>"Check"</formula>
    </cfRule>
  </conditionalFormatting>
  <conditionalFormatting sqref="R480">
    <cfRule type="cellIs" dxfId="1" priority="471" stopIfTrue="1" operator="between">
      <formula>"Check"</formula>
      <formula>"Check"</formula>
    </cfRule>
  </conditionalFormatting>
  <conditionalFormatting sqref="R481">
    <cfRule type="cellIs" dxfId="1" priority="472" stopIfTrue="1" operator="between">
      <formula>"Check"</formula>
      <formula>"Check"</formula>
    </cfRule>
  </conditionalFormatting>
  <conditionalFormatting sqref="R482">
    <cfRule type="cellIs" dxfId="1" priority="473" stopIfTrue="1" operator="between">
      <formula>"Check"</formula>
      <formula>"Check"</formula>
    </cfRule>
  </conditionalFormatting>
  <conditionalFormatting sqref="R483">
    <cfRule type="cellIs" dxfId="1" priority="474" stopIfTrue="1" operator="between">
      <formula>"Check"</formula>
      <formula>"Check"</formula>
    </cfRule>
  </conditionalFormatting>
  <conditionalFormatting sqref="R484">
    <cfRule type="cellIs" dxfId="1" priority="475" stopIfTrue="1" operator="between">
      <formula>"Check"</formula>
      <formula>"Check"</formula>
    </cfRule>
  </conditionalFormatting>
  <conditionalFormatting sqref="R485">
    <cfRule type="cellIs" dxfId="1" priority="476" stopIfTrue="1" operator="between">
      <formula>"Check"</formula>
      <formula>"Check"</formula>
    </cfRule>
  </conditionalFormatting>
  <conditionalFormatting sqref="R486">
    <cfRule type="cellIs" dxfId="1" priority="477" stopIfTrue="1" operator="between">
      <formula>"Check"</formula>
      <formula>"Check"</formula>
    </cfRule>
  </conditionalFormatting>
  <conditionalFormatting sqref="R487">
    <cfRule type="cellIs" dxfId="1" priority="478" stopIfTrue="1" operator="between">
      <formula>"Check"</formula>
      <formula>"Check"</formula>
    </cfRule>
  </conditionalFormatting>
  <conditionalFormatting sqref="R488">
    <cfRule type="cellIs" dxfId="1" priority="479" stopIfTrue="1" operator="between">
      <formula>"Check"</formula>
      <formula>"Check"</formula>
    </cfRule>
  </conditionalFormatting>
  <conditionalFormatting sqref="R489">
    <cfRule type="cellIs" dxfId="1" priority="480" stopIfTrue="1" operator="between">
      <formula>"Check"</formula>
      <formula>"Check"</formula>
    </cfRule>
  </conditionalFormatting>
  <conditionalFormatting sqref="R490">
    <cfRule type="cellIs" dxfId="1" priority="481" stopIfTrue="1" operator="between">
      <formula>"Check"</formula>
      <formula>"Check"</formula>
    </cfRule>
  </conditionalFormatting>
  <conditionalFormatting sqref="R491">
    <cfRule type="cellIs" dxfId="1" priority="482" stopIfTrue="1" operator="between">
      <formula>"Check"</formula>
      <formula>"Check"</formula>
    </cfRule>
  </conditionalFormatting>
  <conditionalFormatting sqref="R492">
    <cfRule type="cellIs" dxfId="1" priority="483" stopIfTrue="1" operator="between">
      <formula>"Check"</formula>
      <formula>"Check"</formula>
    </cfRule>
  </conditionalFormatting>
  <conditionalFormatting sqref="R493">
    <cfRule type="cellIs" dxfId="1" priority="484" stopIfTrue="1" operator="between">
      <formula>"Check"</formula>
      <formula>"Check"</formula>
    </cfRule>
  </conditionalFormatting>
  <conditionalFormatting sqref="R494">
    <cfRule type="cellIs" dxfId="1" priority="485" stopIfTrue="1" operator="between">
      <formula>"Check"</formula>
      <formula>"Check"</formula>
    </cfRule>
  </conditionalFormatting>
  <conditionalFormatting sqref="R495">
    <cfRule type="cellIs" dxfId="1" priority="486" stopIfTrue="1" operator="between">
      <formula>"Check"</formula>
      <formula>"Check"</formula>
    </cfRule>
  </conditionalFormatting>
  <conditionalFormatting sqref="R496">
    <cfRule type="cellIs" dxfId="1" priority="487" stopIfTrue="1" operator="between">
      <formula>"Check"</formula>
      <formula>"Check"</formula>
    </cfRule>
  </conditionalFormatting>
  <conditionalFormatting sqref="R497">
    <cfRule type="cellIs" dxfId="1" priority="488" stopIfTrue="1" operator="between">
      <formula>"Check"</formula>
      <formula>"Check"</formula>
    </cfRule>
  </conditionalFormatting>
  <conditionalFormatting sqref="R498">
    <cfRule type="cellIs" dxfId="1" priority="489" stopIfTrue="1" operator="between">
      <formula>"Check"</formula>
      <formula>"Check"</formula>
    </cfRule>
  </conditionalFormatting>
  <conditionalFormatting sqref="R499">
    <cfRule type="cellIs" dxfId="1" priority="490" stopIfTrue="1" operator="between">
      <formula>"Check"</formula>
      <formula>"Check"</formula>
    </cfRule>
  </conditionalFormatting>
  <conditionalFormatting sqref="R500">
    <cfRule type="cellIs" dxfId="1" priority="491" stopIfTrue="1" operator="between">
      <formula>"Check"</formula>
      <formula>"Check"</formula>
    </cfRule>
  </conditionalFormatting>
  <conditionalFormatting sqref="R501">
    <cfRule type="cellIs" dxfId="1" priority="492" stopIfTrue="1" operator="between">
      <formula>"Check"</formula>
      <formula>"Check"</formula>
    </cfRule>
  </conditionalFormatting>
  <conditionalFormatting sqref="R502">
    <cfRule type="cellIs" dxfId="1" priority="493" stopIfTrue="1" operator="between">
      <formula>"Check"</formula>
      <formula>"Check"</formula>
    </cfRule>
  </conditionalFormatting>
  <conditionalFormatting sqref="R503">
    <cfRule type="cellIs" dxfId="1" priority="494" stopIfTrue="1" operator="between">
      <formula>"Check"</formula>
      <formula>"Check"</formula>
    </cfRule>
  </conditionalFormatting>
  <conditionalFormatting sqref="R504">
    <cfRule type="cellIs" dxfId="1" priority="495" stopIfTrue="1" operator="between">
      <formula>"Check"</formula>
      <formula>"Check"</formula>
    </cfRule>
  </conditionalFormatting>
  <conditionalFormatting sqref="R505">
    <cfRule type="cellIs" dxfId="1" priority="496" stopIfTrue="1" operator="between">
      <formula>"Check"</formula>
      <formula>"Check"</formula>
    </cfRule>
  </conditionalFormatting>
  <conditionalFormatting sqref="R506">
    <cfRule type="cellIs" dxfId="1" priority="497" stopIfTrue="1" operator="between">
      <formula>"Check"</formula>
      <formula>"Check"</formula>
    </cfRule>
  </conditionalFormatting>
  <conditionalFormatting sqref="R507">
    <cfRule type="cellIs" dxfId="1" priority="498" stopIfTrue="1" operator="between">
      <formula>"Check"</formula>
      <formula>"Check"</formula>
    </cfRule>
  </conditionalFormatting>
  <conditionalFormatting sqref="R508">
    <cfRule type="cellIs" dxfId="1" priority="499" stopIfTrue="1" operator="between">
      <formula>"Check"</formula>
      <formula>"Check"</formula>
    </cfRule>
  </conditionalFormatting>
  <conditionalFormatting sqref="R509">
    <cfRule type="cellIs" dxfId="1" priority="500" stopIfTrue="1" operator="between">
      <formula>"Check"</formula>
      <formula>"Check"</formula>
    </cfRule>
  </conditionalFormatting>
  <conditionalFormatting sqref="R510">
    <cfRule type="cellIs" dxfId="1" priority="501" stopIfTrue="1" operator="between">
      <formula>"Check"</formula>
      <formula>"Check"</formula>
    </cfRule>
  </conditionalFormatting>
  <conditionalFormatting sqref="R511">
    <cfRule type="cellIs" dxfId="1" priority="502" stopIfTrue="1" operator="between">
      <formula>"Check"</formula>
      <formula>"Check"</formula>
    </cfRule>
  </conditionalFormatting>
  <conditionalFormatting sqref="R512">
    <cfRule type="cellIs" dxfId="1" priority="503" stopIfTrue="1" operator="between">
      <formula>"Check"</formula>
      <formula>"Check"</formula>
    </cfRule>
  </conditionalFormatting>
  <conditionalFormatting sqref="R513">
    <cfRule type="cellIs" dxfId="1" priority="504" stopIfTrue="1" operator="between">
      <formula>"Check"</formula>
      <formula>"Check"</formula>
    </cfRule>
  </conditionalFormatting>
  <conditionalFormatting sqref="R514">
    <cfRule type="cellIs" dxfId="1" priority="505" stopIfTrue="1" operator="between">
      <formula>"Check"</formula>
      <formula>"Check"</formula>
    </cfRule>
  </conditionalFormatting>
  <conditionalFormatting sqref="R515">
    <cfRule type="cellIs" dxfId="1" priority="506" stopIfTrue="1" operator="between">
      <formula>"Check"</formula>
      <formula>"Check"</formula>
    </cfRule>
  </conditionalFormatting>
  <conditionalFormatting sqref="R516">
    <cfRule type="cellIs" dxfId="1" priority="507" stopIfTrue="1" operator="between">
      <formula>"Check"</formula>
      <formula>"Check"</formula>
    </cfRule>
  </conditionalFormatting>
  <conditionalFormatting sqref="R517">
    <cfRule type="cellIs" dxfId="1" priority="508" stopIfTrue="1" operator="between">
      <formula>"Check"</formula>
      <formula>"Check"</formula>
    </cfRule>
  </conditionalFormatting>
  <conditionalFormatting sqref="R518">
    <cfRule type="cellIs" dxfId="1" priority="509" stopIfTrue="1" operator="between">
      <formula>"Check"</formula>
      <formula>"Check"</formula>
    </cfRule>
  </conditionalFormatting>
  <conditionalFormatting sqref="R519">
    <cfRule type="cellIs" dxfId="1" priority="510" stopIfTrue="1" operator="between">
      <formula>"Check"</formula>
      <formula>"Check"</formula>
    </cfRule>
  </conditionalFormatting>
  <conditionalFormatting sqref="R520">
    <cfRule type="cellIs" dxfId="1" priority="511" stopIfTrue="1" operator="between">
      <formula>"Check"</formula>
      <formula>"Check"</formula>
    </cfRule>
  </conditionalFormatting>
  <conditionalFormatting sqref="R521">
    <cfRule type="cellIs" dxfId="1" priority="512" stopIfTrue="1" operator="between">
      <formula>"Check"</formula>
      <formula>"Check"</formula>
    </cfRule>
  </conditionalFormatting>
  <conditionalFormatting sqref="R522">
    <cfRule type="cellIs" dxfId="1" priority="513" stopIfTrue="1" operator="between">
      <formula>"Check"</formula>
      <formula>"Check"</formula>
    </cfRule>
  </conditionalFormatting>
  <conditionalFormatting sqref="R523">
    <cfRule type="cellIs" dxfId="1" priority="514" stopIfTrue="1" operator="between">
      <formula>"Check"</formula>
      <formula>"Check"</formula>
    </cfRule>
  </conditionalFormatting>
  <conditionalFormatting sqref="R524">
    <cfRule type="cellIs" dxfId="1" priority="515" stopIfTrue="1" operator="between">
      <formula>"Check"</formula>
      <formula>"Check"</formula>
    </cfRule>
  </conditionalFormatting>
  <conditionalFormatting sqref="R525">
    <cfRule type="cellIs" dxfId="1" priority="516" stopIfTrue="1" operator="between">
      <formula>"Check"</formula>
      <formula>"Check"</formula>
    </cfRule>
  </conditionalFormatting>
  <conditionalFormatting sqref="R526">
    <cfRule type="cellIs" dxfId="1" priority="517" stopIfTrue="1" operator="between">
      <formula>"Check"</formula>
      <formula>"Check"</formula>
    </cfRule>
  </conditionalFormatting>
  <conditionalFormatting sqref="R527">
    <cfRule type="cellIs" dxfId="1" priority="518" stopIfTrue="1" operator="between">
      <formula>"Check"</formula>
      <formula>"Check"</formula>
    </cfRule>
  </conditionalFormatting>
  <conditionalFormatting sqref="R528">
    <cfRule type="cellIs" dxfId="1" priority="519" stopIfTrue="1" operator="between">
      <formula>"Check"</formula>
      <formula>"Check"</formula>
    </cfRule>
  </conditionalFormatting>
  <conditionalFormatting sqref="R529">
    <cfRule type="cellIs" dxfId="1" priority="520" stopIfTrue="1" operator="between">
      <formula>"Check"</formula>
      <formula>"Check"</formula>
    </cfRule>
  </conditionalFormatting>
  <conditionalFormatting sqref="R530">
    <cfRule type="cellIs" dxfId="1" priority="521" stopIfTrue="1" operator="between">
      <formula>"Check"</formula>
      <formula>"Check"</formula>
    </cfRule>
  </conditionalFormatting>
  <conditionalFormatting sqref="R531">
    <cfRule type="cellIs" dxfId="1" priority="522" stopIfTrue="1" operator="between">
      <formula>"Check"</formula>
      <formula>"Check"</formula>
    </cfRule>
  </conditionalFormatting>
  <conditionalFormatting sqref="R532">
    <cfRule type="cellIs" dxfId="1" priority="523" stopIfTrue="1" operator="between">
      <formula>"Check"</formula>
      <formula>"Check"</formula>
    </cfRule>
  </conditionalFormatting>
  <conditionalFormatting sqref="R533">
    <cfRule type="cellIs" dxfId="1" priority="524" stopIfTrue="1" operator="between">
      <formula>"Check"</formula>
      <formula>"Check"</formula>
    </cfRule>
  </conditionalFormatting>
  <conditionalFormatting sqref="R534">
    <cfRule type="cellIs" dxfId="1" priority="525" stopIfTrue="1" operator="between">
      <formula>"Check"</formula>
      <formula>"Check"</formula>
    </cfRule>
  </conditionalFormatting>
  <conditionalFormatting sqref="R535">
    <cfRule type="cellIs" dxfId="1" priority="526" stopIfTrue="1" operator="between">
      <formula>"Check"</formula>
      <formula>"Check"</formula>
    </cfRule>
  </conditionalFormatting>
  <conditionalFormatting sqref="R536">
    <cfRule type="cellIs" dxfId="1" priority="527" stopIfTrue="1" operator="between">
      <formula>"Check"</formula>
      <formula>"Check"</formula>
    </cfRule>
  </conditionalFormatting>
  <conditionalFormatting sqref="R537">
    <cfRule type="cellIs" dxfId="1" priority="528" stopIfTrue="1" operator="between">
      <formula>"Check"</formula>
      <formula>"Check"</formula>
    </cfRule>
  </conditionalFormatting>
  <conditionalFormatting sqref="R538">
    <cfRule type="cellIs" dxfId="1" priority="529" stopIfTrue="1" operator="between">
      <formula>"Check"</formula>
      <formula>"Check"</formula>
    </cfRule>
  </conditionalFormatting>
  <conditionalFormatting sqref="R539">
    <cfRule type="cellIs" dxfId="1" priority="530" stopIfTrue="1" operator="between">
      <formula>"Check"</formula>
      <formula>"Check"</formula>
    </cfRule>
  </conditionalFormatting>
  <conditionalFormatting sqref="R540">
    <cfRule type="cellIs" dxfId="1" priority="531" stopIfTrue="1" operator="between">
      <formula>"Check"</formula>
      <formula>"Check"</formula>
    </cfRule>
  </conditionalFormatting>
  <conditionalFormatting sqref="R541">
    <cfRule type="cellIs" dxfId="1" priority="532" stopIfTrue="1" operator="between">
      <formula>"Check"</formula>
      <formula>"Check"</formula>
    </cfRule>
  </conditionalFormatting>
  <conditionalFormatting sqref="R542">
    <cfRule type="cellIs" dxfId="1" priority="533" stopIfTrue="1" operator="between">
      <formula>"Check"</formula>
      <formula>"Check"</formula>
    </cfRule>
  </conditionalFormatting>
  <conditionalFormatting sqref="R543">
    <cfRule type="cellIs" dxfId="1" priority="534" stopIfTrue="1" operator="between">
      <formula>"Check"</formula>
      <formula>"Check"</formula>
    </cfRule>
  </conditionalFormatting>
  <conditionalFormatting sqref="R544">
    <cfRule type="cellIs" dxfId="1" priority="535" stopIfTrue="1" operator="between">
      <formula>"Check"</formula>
      <formula>"Check"</formula>
    </cfRule>
  </conditionalFormatting>
  <conditionalFormatting sqref="R545">
    <cfRule type="cellIs" dxfId="1" priority="536" stopIfTrue="1" operator="between">
      <formula>"Check"</formula>
      <formula>"Check"</formula>
    </cfRule>
  </conditionalFormatting>
  <conditionalFormatting sqref="R546">
    <cfRule type="cellIs" dxfId="1" priority="537" stopIfTrue="1" operator="between">
      <formula>"Check"</formula>
      <formula>"Check"</formula>
    </cfRule>
  </conditionalFormatting>
  <conditionalFormatting sqref="R547">
    <cfRule type="cellIs" dxfId="1" priority="538" stopIfTrue="1" operator="between">
      <formula>"Check"</formula>
      <formula>"Check"</formula>
    </cfRule>
  </conditionalFormatting>
  <conditionalFormatting sqref="R548">
    <cfRule type="cellIs" dxfId="1" priority="539" stopIfTrue="1" operator="between">
      <formula>"Check"</formula>
      <formula>"Check"</formula>
    </cfRule>
  </conditionalFormatting>
  <conditionalFormatting sqref="R549">
    <cfRule type="cellIs" dxfId="1" priority="540" stopIfTrue="1" operator="between">
      <formula>"Check"</formula>
      <formula>"Check"</formula>
    </cfRule>
  </conditionalFormatting>
  <conditionalFormatting sqref="R550">
    <cfRule type="cellIs" dxfId="1" priority="541" stopIfTrue="1" operator="between">
      <formula>"Check"</formula>
      <formula>"Check"</formula>
    </cfRule>
  </conditionalFormatting>
  <conditionalFormatting sqref="R551">
    <cfRule type="cellIs" dxfId="1" priority="542" stopIfTrue="1" operator="between">
      <formula>"Check"</formula>
      <formula>"Check"</formula>
    </cfRule>
  </conditionalFormatting>
  <conditionalFormatting sqref="R552">
    <cfRule type="cellIs" dxfId="1" priority="543" stopIfTrue="1" operator="between">
      <formula>"Check"</formula>
      <formula>"Check"</formula>
    </cfRule>
  </conditionalFormatting>
  <conditionalFormatting sqref="R553">
    <cfRule type="cellIs" dxfId="1" priority="544" stopIfTrue="1" operator="between">
      <formula>"Check"</formula>
      <formula>"Check"</formula>
    </cfRule>
  </conditionalFormatting>
  <conditionalFormatting sqref="R554">
    <cfRule type="cellIs" dxfId="1" priority="545" stopIfTrue="1" operator="between">
      <formula>"Check"</formula>
      <formula>"Check"</formula>
    </cfRule>
  </conditionalFormatting>
  <conditionalFormatting sqref="R555">
    <cfRule type="cellIs" dxfId="1" priority="546" stopIfTrue="1" operator="between">
      <formula>"Check"</formula>
      <formula>"Check"</formula>
    </cfRule>
  </conditionalFormatting>
  <conditionalFormatting sqref="R556">
    <cfRule type="cellIs" dxfId="1" priority="547" stopIfTrue="1" operator="between">
      <formula>"Check"</formula>
      <formula>"Check"</formula>
    </cfRule>
  </conditionalFormatting>
  <conditionalFormatting sqref="R557">
    <cfRule type="cellIs" dxfId="1" priority="548" stopIfTrue="1" operator="between">
      <formula>"Check"</formula>
      <formula>"Check"</formula>
    </cfRule>
  </conditionalFormatting>
  <conditionalFormatting sqref="R558">
    <cfRule type="cellIs" dxfId="1" priority="549" stopIfTrue="1" operator="between">
      <formula>"Check"</formula>
      <formula>"Check"</formula>
    </cfRule>
  </conditionalFormatting>
  <conditionalFormatting sqref="R559">
    <cfRule type="cellIs" dxfId="1" priority="550" stopIfTrue="1" operator="between">
      <formula>"Check"</formula>
      <formula>"Check"</formula>
    </cfRule>
  </conditionalFormatting>
  <conditionalFormatting sqref="R560">
    <cfRule type="cellIs" dxfId="1" priority="551" stopIfTrue="1" operator="between">
      <formula>"Check"</formula>
      <formula>"Check"</formula>
    </cfRule>
  </conditionalFormatting>
  <conditionalFormatting sqref="R561">
    <cfRule type="cellIs" dxfId="1" priority="552" stopIfTrue="1" operator="between">
      <formula>"Check"</formula>
      <formula>"Check"</formula>
    </cfRule>
  </conditionalFormatting>
  <conditionalFormatting sqref="R562">
    <cfRule type="cellIs" dxfId="1" priority="553" stopIfTrue="1" operator="between">
      <formula>"Check"</formula>
      <formula>"Check"</formula>
    </cfRule>
  </conditionalFormatting>
  <conditionalFormatting sqref="R563">
    <cfRule type="cellIs" dxfId="1" priority="554" stopIfTrue="1" operator="between">
      <formula>"Check"</formula>
      <formula>"Check"</formula>
    </cfRule>
  </conditionalFormatting>
  <conditionalFormatting sqref="R564">
    <cfRule type="cellIs" dxfId="1" priority="555" stopIfTrue="1" operator="between">
      <formula>"Check"</formula>
      <formula>"Check"</formula>
    </cfRule>
  </conditionalFormatting>
  <conditionalFormatting sqref="R565">
    <cfRule type="cellIs" dxfId="1" priority="556" stopIfTrue="1" operator="between">
      <formula>"Check"</formula>
      <formula>"Check"</formula>
    </cfRule>
  </conditionalFormatting>
  <conditionalFormatting sqref="R566">
    <cfRule type="cellIs" dxfId="1" priority="557" stopIfTrue="1" operator="between">
      <formula>"Check"</formula>
      <formula>"Check"</formula>
    </cfRule>
  </conditionalFormatting>
  <conditionalFormatting sqref="R567">
    <cfRule type="cellIs" dxfId="1" priority="558" stopIfTrue="1" operator="between">
      <formula>"Check"</formula>
      <formula>"Check"</formula>
    </cfRule>
  </conditionalFormatting>
  <conditionalFormatting sqref="R568">
    <cfRule type="cellIs" dxfId="1" priority="559" stopIfTrue="1" operator="between">
      <formula>"Check"</formula>
      <formula>"Check"</formula>
    </cfRule>
  </conditionalFormatting>
  <conditionalFormatting sqref="R569">
    <cfRule type="cellIs" dxfId="1" priority="560" stopIfTrue="1" operator="between">
      <formula>"Check"</formula>
      <formula>"Check"</formula>
    </cfRule>
  </conditionalFormatting>
  <conditionalFormatting sqref="R570">
    <cfRule type="cellIs" dxfId="1" priority="561" stopIfTrue="1" operator="between">
      <formula>"Check"</formula>
      <formula>"Check"</formula>
    </cfRule>
  </conditionalFormatting>
  <conditionalFormatting sqref="R571">
    <cfRule type="cellIs" dxfId="1" priority="562" stopIfTrue="1" operator="between">
      <formula>"Check"</formula>
      <formula>"Check"</formula>
    </cfRule>
  </conditionalFormatting>
  <conditionalFormatting sqref="R572">
    <cfRule type="cellIs" dxfId="1" priority="563" stopIfTrue="1" operator="between">
      <formula>"Check"</formula>
      <formula>"Check"</formula>
    </cfRule>
  </conditionalFormatting>
  <conditionalFormatting sqref="R573">
    <cfRule type="cellIs" dxfId="1" priority="564" stopIfTrue="1" operator="between">
      <formula>"Check"</formula>
      <formula>"Check"</formula>
    </cfRule>
  </conditionalFormatting>
  <conditionalFormatting sqref="R574">
    <cfRule type="cellIs" dxfId="1" priority="565" stopIfTrue="1" operator="between">
      <formula>"Check"</formula>
      <formula>"Check"</formula>
    </cfRule>
  </conditionalFormatting>
  <conditionalFormatting sqref="R575">
    <cfRule type="cellIs" dxfId="1" priority="566" stopIfTrue="1" operator="between">
      <formula>"Check"</formula>
      <formula>"Check"</formula>
    </cfRule>
  </conditionalFormatting>
  <conditionalFormatting sqref="R576">
    <cfRule type="cellIs" dxfId="1" priority="567" stopIfTrue="1" operator="between">
      <formula>"Check"</formula>
      <formula>"Check"</formula>
    </cfRule>
  </conditionalFormatting>
  <conditionalFormatting sqref="R577">
    <cfRule type="cellIs" dxfId="1" priority="568" stopIfTrue="1" operator="between">
      <formula>"Check"</formula>
      <formula>"Check"</formula>
    </cfRule>
  </conditionalFormatting>
  <conditionalFormatting sqref="R578">
    <cfRule type="cellIs" dxfId="1" priority="569" stopIfTrue="1" operator="between">
      <formula>"Check"</formula>
      <formula>"Check"</formula>
    </cfRule>
  </conditionalFormatting>
  <conditionalFormatting sqref="R579">
    <cfRule type="cellIs" dxfId="1" priority="570" stopIfTrue="1" operator="between">
      <formula>"Check"</formula>
      <formula>"Check"</formula>
    </cfRule>
  </conditionalFormatting>
  <conditionalFormatting sqref="R580">
    <cfRule type="cellIs" dxfId="1" priority="571" stopIfTrue="1" operator="between">
      <formula>"Check"</formula>
      <formula>"Check"</formula>
    </cfRule>
  </conditionalFormatting>
  <conditionalFormatting sqref="R581">
    <cfRule type="cellIs" dxfId="1" priority="572" stopIfTrue="1" operator="between">
      <formula>"Check"</formula>
      <formula>"Check"</formula>
    </cfRule>
  </conditionalFormatting>
  <conditionalFormatting sqref="R582">
    <cfRule type="cellIs" dxfId="1" priority="573" stopIfTrue="1" operator="between">
      <formula>"Check"</formula>
      <formula>"Check"</formula>
    </cfRule>
  </conditionalFormatting>
  <conditionalFormatting sqref="R583">
    <cfRule type="cellIs" dxfId="1" priority="574" stopIfTrue="1" operator="between">
      <formula>"Check"</formula>
      <formula>"Check"</formula>
    </cfRule>
  </conditionalFormatting>
  <conditionalFormatting sqref="R584">
    <cfRule type="cellIs" dxfId="1" priority="575" stopIfTrue="1" operator="between">
      <formula>"Check"</formula>
      <formula>"Check"</formula>
    </cfRule>
  </conditionalFormatting>
  <conditionalFormatting sqref="R585">
    <cfRule type="cellIs" dxfId="1" priority="576" stopIfTrue="1" operator="between">
      <formula>"Check"</formula>
      <formula>"Check"</formula>
    </cfRule>
  </conditionalFormatting>
  <conditionalFormatting sqref="R586">
    <cfRule type="cellIs" dxfId="1" priority="577" stopIfTrue="1" operator="between">
      <formula>"Check"</formula>
      <formula>"Check"</formula>
    </cfRule>
  </conditionalFormatting>
  <conditionalFormatting sqref="R587">
    <cfRule type="cellIs" dxfId="1" priority="578" stopIfTrue="1" operator="between">
      <formula>"Check"</formula>
      <formula>"Check"</formula>
    </cfRule>
  </conditionalFormatting>
  <conditionalFormatting sqref="R588">
    <cfRule type="cellIs" dxfId="1" priority="579" stopIfTrue="1" operator="between">
      <formula>"Check"</formula>
      <formula>"Check"</formula>
    </cfRule>
  </conditionalFormatting>
  <conditionalFormatting sqref="R589">
    <cfRule type="cellIs" dxfId="1" priority="580" stopIfTrue="1" operator="between">
      <formula>"Check"</formula>
      <formula>"Check"</formula>
    </cfRule>
  </conditionalFormatting>
  <conditionalFormatting sqref="R590">
    <cfRule type="cellIs" dxfId="1" priority="581" stopIfTrue="1" operator="between">
      <formula>"Check"</formula>
      <formula>"Check"</formula>
    </cfRule>
  </conditionalFormatting>
  <conditionalFormatting sqref="R591">
    <cfRule type="cellIs" dxfId="1" priority="582" stopIfTrue="1" operator="between">
      <formula>"Check"</formula>
      <formula>"Check"</formula>
    </cfRule>
  </conditionalFormatting>
  <conditionalFormatting sqref="R592">
    <cfRule type="cellIs" dxfId="1" priority="583" stopIfTrue="1" operator="between">
      <formula>"Check"</formula>
      <formula>"Check"</formula>
    </cfRule>
  </conditionalFormatting>
  <conditionalFormatting sqref="R593">
    <cfRule type="cellIs" dxfId="1" priority="584" stopIfTrue="1" operator="between">
      <formula>"Check"</formula>
      <formula>"Check"</formula>
    </cfRule>
  </conditionalFormatting>
  <conditionalFormatting sqref="R594">
    <cfRule type="cellIs" dxfId="1" priority="585" stopIfTrue="1" operator="between">
      <formula>"Check"</formula>
      <formula>"Check"</formula>
    </cfRule>
  </conditionalFormatting>
  <conditionalFormatting sqref="R595">
    <cfRule type="cellIs" dxfId="1" priority="586" stopIfTrue="1" operator="between">
      <formula>"Check"</formula>
      <formula>"Check"</formula>
    </cfRule>
  </conditionalFormatting>
  <conditionalFormatting sqref="R596">
    <cfRule type="cellIs" dxfId="1" priority="587" stopIfTrue="1" operator="between">
      <formula>"Check"</formula>
      <formula>"Check"</formula>
    </cfRule>
  </conditionalFormatting>
  <conditionalFormatting sqref="R597">
    <cfRule type="cellIs" dxfId="1" priority="588" stopIfTrue="1" operator="between">
      <formula>"Check"</formula>
      <formula>"Check"</formula>
    </cfRule>
  </conditionalFormatting>
  <conditionalFormatting sqref="R598">
    <cfRule type="cellIs" dxfId="1" priority="589" stopIfTrue="1" operator="between">
      <formula>"Check"</formula>
      <formula>"Check"</formula>
    </cfRule>
  </conditionalFormatting>
  <conditionalFormatting sqref="R599">
    <cfRule type="cellIs" dxfId="1" priority="590" stopIfTrue="1" operator="between">
      <formula>"Check"</formula>
      <formula>"Check"</formula>
    </cfRule>
  </conditionalFormatting>
  <conditionalFormatting sqref="R600">
    <cfRule type="cellIs" dxfId="1" priority="591" stopIfTrue="1" operator="between">
      <formula>"Check"</formula>
      <formula>"Check"</formula>
    </cfRule>
  </conditionalFormatting>
  <conditionalFormatting sqref="R601">
    <cfRule type="cellIs" dxfId="1" priority="592" stopIfTrue="1" operator="between">
      <formula>"Check"</formula>
      <formula>"Check"</formula>
    </cfRule>
  </conditionalFormatting>
  <conditionalFormatting sqref="R602">
    <cfRule type="cellIs" dxfId="1" priority="593" stopIfTrue="1" operator="between">
      <formula>"Check"</formula>
      <formula>"Check"</formula>
    </cfRule>
  </conditionalFormatting>
  <conditionalFormatting sqref="R603">
    <cfRule type="cellIs" dxfId="1" priority="594" stopIfTrue="1" operator="between">
      <formula>"Check"</formula>
      <formula>"Check"</formula>
    </cfRule>
  </conditionalFormatting>
  <conditionalFormatting sqref="R604">
    <cfRule type="cellIs" dxfId="1" priority="595" stopIfTrue="1" operator="between">
      <formula>"Check"</formula>
      <formula>"Check"</formula>
    </cfRule>
  </conditionalFormatting>
  <conditionalFormatting sqref="R605">
    <cfRule type="cellIs" dxfId="1" priority="596" stopIfTrue="1" operator="between">
      <formula>"Check"</formula>
      <formula>"Check"</formula>
    </cfRule>
  </conditionalFormatting>
  <conditionalFormatting sqref="R606">
    <cfRule type="cellIs" dxfId="1" priority="597" stopIfTrue="1" operator="between">
      <formula>"Check"</formula>
      <formula>"Check"</formula>
    </cfRule>
  </conditionalFormatting>
  <conditionalFormatting sqref="R607">
    <cfRule type="cellIs" dxfId="1" priority="598" stopIfTrue="1" operator="between">
      <formula>"Check"</formula>
      <formula>"Check"</formula>
    </cfRule>
  </conditionalFormatting>
  <conditionalFormatting sqref="R608">
    <cfRule type="cellIs" dxfId="1" priority="599" stopIfTrue="1" operator="between">
      <formula>"Check"</formula>
      <formula>"Check"</formula>
    </cfRule>
  </conditionalFormatting>
  <conditionalFormatting sqref="R609">
    <cfRule type="cellIs" dxfId="1" priority="600" stopIfTrue="1" operator="between">
      <formula>"Check"</formula>
      <formula>"Check"</formula>
    </cfRule>
  </conditionalFormatting>
  <conditionalFormatting sqref="R610">
    <cfRule type="cellIs" dxfId="1" priority="601" stopIfTrue="1" operator="between">
      <formula>"Check"</formula>
      <formula>"Check"</formula>
    </cfRule>
  </conditionalFormatting>
  <conditionalFormatting sqref="R611">
    <cfRule type="cellIs" dxfId="1" priority="602" stopIfTrue="1" operator="between">
      <formula>"Check"</formula>
      <formula>"Check"</formula>
    </cfRule>
  </conditionalFormatting>
  <conditionalFormatting sqref="R612">
    <cfRule type="cellIs" dxfId="1" priority="603" stopIfTrue="1" operator="between">
      <formula>"Check"</formula>
      <formula>"Check"</formula>
    </cfRule>
  </conditionalFormatting>
  <conditionalFormatting sqref="R613">
    <cfRule type="cellIs" dxfId="1" priority="604" stopIfTrue="1" operator="between">
      <formula>"Check"</formula>
      <formula>"Check"</formula>
    </cfRule>
  </conditionalFormatting>
  <conditionalFormatting sqref="R614">
    <cfRule type="cellIs" dxfId="1" priority="605" stopIfTrue="1" operator="between">
      <formula>"Check"</formula>
      <formula>"Check"</formula>
    </cfRule>
  </conditionalFormatting>
  <conditionalFormatting sqref="R615">
    <cfRule type="cellIs" dxfId="1" priority="606" stopIfTrue="1" operator="between">
      <formula>"Check"</formula>
      <formula>"Check"</formula>
    </cfRule>
  </conditionalFormatting>
  <conditionalFormatting sqref="R616">
    <cfRule type="cellIs" dxfId="1" priority="607" stopIfTrue="1" operator="between">
      <formula>"Check"</formula>
      <formula>"Check"</formula>
    </cfRule>
  </conditionalFormatting>
  <conditionalFormatting sqref="R617">
    <cfRule type="cellIs" dxfId="1" priority="608" stopIfTrue="1" operator="between">
      <formula>"Check"</formula>
      <formula>"Check"</formula>
    </cfRule>
  </conditionalFormatting>
  <conditionalFormatting sqref="R618">
    <cfRule type="cellIs" dxfId="1" priority="609" stopIfTrue="1" operator="between">
      <formula>"Check"</formula>
      <formula>"Check"</formula>
    </cfRule>
  </conditionalFormatting>
  <conditionalFormatting sqref="R619">
    <cfRule type="cellIs" dxfId="1" priority="610" stopIfTrue="1" operator="between">
      <formula>"Check"</formula>
      <formula>"Check"</formula>
    </cfRule>
  </conditionalFormatting>
  <conditionalFormatting sqref="R620">
    <cfRule type="cellIs" dxfId="1" priority="611" stopIfTrue="1" operator="between">
      <formula>"Check"</formula>
      <formula>"Check"</formula>
    </cfRule>
  </conditionalFormatting>
  <conditionalFormatting sqref="R621">
    <cfRule type="cellIs" dxfId="1" priority="612" stopIfTrue="1" operator="between">
      <formula>"Check"</formula>
      <formula>"Check"</formula>
    </cfRule>
  </conditionalFormatting>
  <conditionalFormatting sqref="R622">
    <cfRule type="cellIs" dxfId="1" priority="613" stopIfTrue="1" operator="between">
      <formula>"Check"</formula>
      <formula>"Check"</formula>
    </cfRule>
  </conditionalFormatting>
  <conditionalFormatting sqref="R623">
    <cfRule type="cellIs" dxfId="1" priority="614" stopIfTrue="1" operator="between">
      <formula>"Check"</formula>
      <formula>"Check"</formula>
    </cfRule>
  </conditionalFormatting>
  <conditionalFormatting sqref="R624">
    <cfRule type="cellIs" dxfId="1" priority="615" stopIfTrue="1" operator="between">
      <formula>"Check"</formula>
      <formula>"Check"</formula>
    </cfRule>
  </conditionalFormatting>
  <conditionalFormatting sqref="R625">
    <cfRule type="cellIs" dxfId="1" priority="616" stopIfTrue="1" operator="between">
      <formula>"Check"</formula>
      <formula>"Check"</formula>
    </cfRule>
  </conditionalFormatting>
  <conditionalFormatting sqref="R626">
    <cfRule type="cellIs" dxfId="1" priority="617" stopIfTrue="1" operator="between">
      <formula>"Check"</formula>
      <formula>"Check"</formula>
    </cfRule>
  </conditionalFormatting>
  <conditionalFormatting sqref="R627">
    <cfRule type="cellIs" dxfId="1" priority="618" stopIfTrue="1" operator="between">
      <formula>"Check"</formula>
      <formula>"Check"</formula>
    </cfRule>
  </conditionalFormatting>
  <conditionalFormatting sqref="R628">
    <cfRule type="cellIs" dxfId="1" priority="619" stopIfTrue="1" operator="between">
      <formula>"Check"</formula>
      <formula>"Check"</formula>
    </cfRule>
  </conditionalFormatting>
  <conditionalFormatting sqref="R629">
    <cfRule type="cellIs" dxfId="1" priority="620" stopIfTrue="1" operator="between">
      <formula>"Check"</formula>
      <formula>"Check"</formula>
    </cfRule>
  </conditionalFormatting>
  <conditionalFormatting sqref="R630">
    <cfRule type="cellIs" dxfId="1" priority="621" stopIfTrue="1" operator="between">
      <formula>"Check"</formula>
      <formula>"Check"</formula>
    </cfRule>
  </conditionalFormatting>
  <conditionalFormatting sqref="R631">
    <cfRule type="cellIs" dxfId="1" priority="622" stopIfTrue="1" operator="between">
      <formula>"Check"</formula>
      <formula>"Check"</formula>
    </cfRule>
  </conditionalFormatting>
  <conditionalFormatting sqref="R632">
    <cfRule type="cellIs" dxfId="1" priority="623" stopIfTrue="1" operator="between">
      <formula>"Check"</formula>
      <formula>"Check"</formula>
    </cfRule>
  </conditionalFormatting>
  <conditionalFormatting sqref="R633">
    <cfRule type="cellIs" dxfId="1" priority="624" stopIfTrue="1" operator="between">
      <formula>"Check"</formula>
      <formula>"Check"</formula>
    </cfRule>
  </conditionalFormatting>
  <conditionalFormatting sqref="R634">
    <cfRule type="cellIs" dxfId="1" priority="625" stopIfTrue="1" operator="between">
      <formula>"Check"</formula>
      <formula>"Check"</formula>
    </cfRule>
  </conditionalFormatting>
  <conditionalFormatting sqref="R635">
    <cfRule type="cellIs" dxfId="1" priority="626" stopIfTrue="1" operator="between">
      <formula>"Check"</formula>
      <formula>"Check"</formula>
    </cfRule>
  </conditionalFormatting>
  <conditionalFormatting sqref="R636">
    <cfRule type="cellIs" dxfId="1" priority="627" stopIfTrue="1" operator="between">
      <formula>"Check"</formula>
      <formula>"Check"</formula>
    </cfRule>
  </conditionalFormatting>
  <conditionalFormatting sqref="R637">
    <cfRule type="cellIs" dxfId="1" priority="628" stopIfTrue="1" operator="between">
      <formula>"Check"</formula>
      <formula>"Check"</formula>
    </cfRule>
  </conditionalFormatting>
  <conditionalFormatting sqref="R638">
    <cfRule type="cellIs" dxfId="1" priority="629" stopIfTrue="1" operator="between">
      <formula>"Check"</formula>
      <formula>"Check"</formula>
    </cfRule>
  </conditionalFormatting>
  <conditionalFormatting sqref="R639">
    <cfRule type="cellIs" dxfId="1" priority="630" stopIfTrue="1" operator="between">
      <formula>"Check"</formula>
      <formula>"Check"</formula>
    </cfRule>
  </conditionalFormatting>
  <conditionalFormatting sqref="R640">
    <cfRule type="cellIs" dxfId="1" priority="631" stopIfTrue="1" operator="between">
      <formula>"Check"</formula>
      <formula>"Check"</formula>
    </cfRule>
  </conditionalFormatting>
  <conditionalFormatting sqref="R641">
    <cfRule type="cellIs" dxfId="1" priority="632" stopIfTrue="1" operator="between">
      <formula>"Check"</formula>
      <formula>"Check"</formula>
    </cfRule>
  </conditionalFormatting>
  <conditionalFormatting sqref="R642">
    <cfRule type="cellIs" dxfId="1" priority="633" stopIfTrue="1" operator="between">
      <formula>"Check"</formula>
      <formula>"Check"</formula>
    </cfRule>
  </conditionalFormatting>
  <conditionalFormatting sqref="R643">
    <cfRule type="cellIs" dxfId="1" priority="634" stopIfTrue="1" operator="between">
      <formula>"Check"</formula>
      <formula>"Check"</formula>
    </cfRule>
  </conditionalFormatting>
  <conditionalFormatting sqref="R644">
    <cfRule type="cellIs" dxfId="1" priority="635" stopIfTrue="1" operator="between">
      <formula>"Check"</formula>
      <formula>"Check"</formula>
    </cfRule>
  </conditionalFormatting>
  <conditionalFormatting sqref="R645">
    <cfRule type="cellIs" dxfId="1" priority="636" stopIfTrue="1" operator="between">
      <formula>"Check"</formula>
      <formula>"Check"</formula>
    </cfRule>
  </conditionalFormatting>
  <conditionalFormatting sqref="R646">
    <cfRule type="cellIs" dxfId="1" priority="637" stopIfTrue="1" operator="between">
      <formula>"Check"</formula>
      <formula>"Check"</formula>
    </cfRule>
  </conditionalFormatting>
  <conditionalFormatting sqref="R647">
    <cfRule type="cellIs" dxfId="1" priority="638" stopIfTrue="1" operator="between">
      <formula>"Check"</formula>
      <formula>"Check"</formula>
    </cfRule>
  </conditionalFormatting>
  <conditionalFormatting sqref="R648">
    <cfRule type="cellIs" dxfId="1" priority="639" stopIfTrue="1" operator="between">
      <formula>"Check"</formula>
      <formula>"Check"</formula>
    </cfRule>
  </conditionalFormatting>
  <conditionalFormatting sqref="R649">
    <cfRule type="cellIs" dxfId="1" priority="640" stopIfTrue="1" operator="between">
      <formula>"Check"</formula>
      <formula>"Check"</formula>
    </cfRule>
  </conditionalFormatting>
  <conditionalFormatting sqref="R650">
    <cfRule type="cellIs" dxfId="1" priority="641" stopIfTrue="1" operator="between">
      <formula>"Check"</formula>
      <formula>"Check"</formula>
    </cfRule>
  </conditionalFormatting>
  <conditionalFormatting sqref="R651">
    <cfRule type="cellIs" dxfId="1" priority="642" stopIfTrue="1" operator="between">
      <formula>"Check"</formula>
      <formula>"Check"</formula>
    </cfRule>
  </conditionalFormatting>
  <conditionalFormatting sqref="R652">
    <cfRule type="cellIs" dxfId="1" priority="643" stopIfTrue="1" operator="between">
      <formula>"Check"</formula>
      <formula>"Check"</formula>
    </cfRule>
  </conditionalFormatting>
  <conditionalFormatting sqref="R653">
    <cfRule type="cellIs" dxfId="1" priority="644" stopIfTrue="1" operator="between">
      <formula>"Check"</formula>
      <formula>"Check"</formula>
    </cfRule>
  </conditionalFormatting>
  <conditionalFormatting sqref="R654">
    <cfRule type="cellIs" dxfId="1" priority="645" stopIfTrue="1" operator="between">
      <formula>"Check"</formula>
      <formula>"Check"</formula>
    </cfRule>
  </conditionalFormatting>
  <conditionalFormatting sqref="R655">
    <cfRule type="cellIs" dxfId="1" priority="646" stopIfTrue="1" operator="between">
      <formula>"Check"</formula>
      <formula>"Check"</formula>
    </cfRule>
  </conditionalFormatting>
  <conditionalFormatting sqref="R656">
    <cfRule type="cellIs" dxfId="1" priority="647" stopIfTrue="1" operator="between">
      <formula>"Check"</formula>
      <formula>"Check"</formula>
    </cfRule>
  </conditionalFormatting>
  <conditionalFormatting sqref="R657">
    <cfRule type="cellIs" dxfId="1" priority="648" stopIfTrue="1" operator="between">
      <formula>"Check"</formula>
      <formula>"Check"</formula>
    </cfRule>
  </conditionalFormatting>
  <conditionalFormatting sqref="R658">
    <cfRule type="cellIs" dxfId="1" priority="649" stopIfTrue="1" operator="between">
      <formula>"Check"</formula>
      <formula>"Check"</formula>
    </cfRule>
  </conditionalFormatting>
  <conditionalFormatting sqref="R659">
    <cfRule type="cellIs" dxfId="1" priority="650" stopIfTrue="1" operator="between">
      <formula>"Check"</formula>
      <formula>"Check"</formula>
    </cfRule>
  </conditionalFormatting>
  <conditionalFormatting sqref="R660">
    <cfRule type="cellIs" dxfId="1" priority="651" stopIfTrue="1" operator="between">
      <formula>"Check"</formula>
      <formula>"Check"</formula>
    </cfRule>
  </conditionalFormatting>
  <conditionalFormatting sqref="R661">
    <cfRule type="cellIs" dxfId="1" priority="652" stopIfTrue="1" operator="between">
      <formula>"Check"</formula>
      <formula>"Check"</formula>
    </cfRule>
  </conditionalFormatting>
  <conditionalFormatting sqref="R662">
    <cfRule type="cellIs" dxfId="1" priority="653" stopIfTrue="1" operator="between">
      <formula>"Check"</formula>
      <formula>"Check"</formula>
    </cfRule>
  </conditionalFormatting>
  <conditionalFormatting sqref="R663">
    <cfRule type="cellIs" dxfId="1" priority="654" stopIfTrue="1" operator="between">
      <formula>"Check"</formula>
      <formula>"Check"</formula>
    </cfRule>
  </conditionalFormatting>
  <conditionalFormatting sqref="R664">
    <cfRule type="cellIs" dxfId="1" priority="655" stopIfTrue="1" operator="between">
      <formula>"Check"</formula>
      <formula>"Check"</formula>
    </cfRule>
  </conditionalFormatting>
  <conditionalFormatting sqref="R665">
    <cfRule type="cellIs" dxfId="1" priority="656" stopIfTrue="1" operator="between">
      <formula>"Check"</formula>
      <formula>"Check"</formula>
    </cfRule>
  </conditionalFormatting>
  <conditionalFormatting sqref="R666">
    <cfRule type="cellIs" dxfId="1" priority="657" stopIfTrue="1" operator="between">
      <formula>"Check"</formula>
      <formula>"Check"</formula>
    </cfRule>
  </conditionalFormatting>
  <conditionalFormatting sqref="R667">
    <cfRule type="cellIs" dxfId="1" priority="658" stopIfTrue="1" operator="between">
      <formula>"Check"</formula>
      <formula>"Check"</formula>
    </cfRule>
  </conditionalFormatting>
  <conditionalFormatting sqref="R668">
    <cfRule type="cellIs" dxfId="1" priority="659" stopIfTrue="1" operator="between">
      <formula>"Check"</formula>
      <formula>"Check"</formula>
    </cfRule>
  </conditionalFormatting>
  <conditionalFormatting sqref="R669">
    <cfRule type="cellIs" dxfId="1" priority="660" stopIfTrue="1" operator="between">
      <formula>"Check"</formula>
      <formula>"Check"</formula>
    </cfRule>
  </conditionalFormatting>
  <conditionalFormatting sqref="R670">
    <cfRule type="cellIs" dxfId="1" priority="661" stopIfTrue="1" operator="between">
      <formula>"Check"</formula>
      <formula>"Check"</formula>
    </cfRule>
  </conditionalFormatting>
  <conditionalFormatting sqref="R671">
    <cfRule type="cellIs" dxfId="1" priority="662" stopIfTrue="1" operator="between">
      <formula>"Check"</formula>
      <formula>"Check"</formula>
    </cfRule>
  </conditionalFormatting>
  <conditionalFormatting sqref="R672">
    <cfRule type="cellIs" dxfId="1" priority="663" stopIfTrue="1" operator="between">
      <formula>"Check"</formula>
      <formula>"Check"</formula>
    </cfRule>
  </conditionalFormatting>
  <conditionalFormatting sqref="R673">
    <cfRule type="cellIs" dxfId="1" priority="664" stopIfTrue="1" operator="between">
      <formula>"Check"</formula>
      <formula>"Check"</formula>
    </cfRule>
  </conditionalFormatting>
  <conditionalFormatting sqref="R674">
    <cfRule type="cellIs" dxfId="1" priority="665" stopIfTrue="1" operator="between">
      <formula>"Check"</formula>
      <formula>"Check"</formula>
    </cfRule>
  </conditionalFormatting>
  <conditionalFormatting sqref="R675">
    <cfRule type="cellIs" dxfId="1" priority="666" stopIfTrue="1" operator="between">
      <formula>"Check"</formula>
      <formula>"Check"</formula>
    </cfRule>
  </conditionalFormatting>
  <conditionalFormatting sqref="R676">
    <cfRule type="cellIs" dxfId="1" priority="667" stopIfTrue="1" operator="between">
      <formula>"Check"</formula>
      <formula>"Check"</formula>
    </cfRule>
  </conditionalFormatting>
  <conditionalFormatting sqref="R677">
    <cfRule type="cellIs" dxfId="1" priority="668" stopIfTrue="1" operator="between">
      <formula>"Check"</formula>
      <formula>"Check"</formula>
    </cfRule>
  </conditionalFormatting>
  <conditionalFormatting sqref="R678">
    <cfRule type="cellIs" dxfId="1" priority="669" stopIfTrue="1" operator="between">
      <formula>"Check"</formula>
      <formula>"Check"</formula>
    </cfRule>
  </conditionalFormatting>
  <conditionalFormatting sqref="R679">
    <cfRule type="cellIs" dxfId="1" priority="670" stopIfTrue="1" operator="between">
      <formula>"Check"</formula>
      <formula>"Check"</formula>
    </cfRule>
  </conditionalFormatting>
  <conditionalFormatting sqref="R680">
    <cfRule type="cellIs" dxfId="1" priority="671" stopIfTrue="1" operator="between">
      <formula>"Check"</formula>
      <formula>"Check"</formula>
    </cfRule>
  </conditionalFormatting>
  <conditionalFormatting sqref="R681">
    <cfRule type="cellIs" dxfId="1" priority="672" stopIfTrue="1" operator="between">
      <formula>"Check"</formula>
      <formula>"Check"</formula>
    </cfRule>
  </conditionalFormatting>
  <conditionalFormatting sqref="R682">
    <cfRule type="cellIs" dxfId="1" priority="673" stopIfTrue="1" operator="between">
      <formula>"Check"</formula>
      <formula>"Check"</formula>
    </cfRule>
  </conditionalFormatting>
  <conditionalFormatting sqref="R683">
    <cfRule type="cellIs" dxfId="1" priority="674" stopIfTrue="1" operator="between">
      <formula>"Check"</formula>
      <formula>"Check"</formula>
    </cfRule>
  </conditionalFormatting>
  <conditionalFormatting sqref="R684">
    <cfRule type="cellIs" dxfId="1" priority="675" stopIfTrue="1" operator="between">
      <formula>"Check"</formula>
      <formula>"Check"</formula>
    </cfRule>
  </conditionalFormatting>
  <conditionalFormatting sqref="R685">
    <cfRule type="cellIs" dxfId="1" priority="676" stopIfTrue="1" operator="between">
      <formula>"Check"</formula>
      <formula>"Check"</formula>
    </cfRule>
  </conditionalFormatting>
  <conditionalFormatting sqref="R686">
    <cfRule type="cellIs" dxfId="1" priority="677" stopIfTrue="1" operator="between">
      <formula>"Check"</formula>
      <formula>"Check"</formula>
    </cfRule>
  </conditionalFormatting>
  <conditionalFormatting sqref="R687">
    <cfRule type="cellIs" dxfId="1" priority="678" stopIfTrue="1" operator="between">
      <formula>"Check"</formula>
      <formula>"Check"</formula>
    </cfRule>
  </conditionalFormatting>
  <conditionalFormatting sqref="R688">
    <cfRule type="cellIs" dxfId="1" priority="679" stopIfTrue="1" operator="between">
      <formula>"Check"</formula>
      <formula>"Check"</formula>
    </cfRule>
  </conditionalFormatting>
  <conditionalFormatting sqref="R689">
    <cfRule type="cellIs" dxfId="1" priority="680" stopIfTrue="1" operator="between">
      <formula>"Check"</formula>
      <formula>"Check"</formula>
    </cfRule>
  </conditionalFormatting>
  <conditionalFormatting sqref="R690">
    <cfRule type="cellIs" dxfId="1" priority="681" stopIfTrue="1" operator="between">
      <formula>"Check"</formula>
      <formula>"Check"</formula>
    </cfRule>
  </conditionalFormatting>
  <conditionalFormatting sqref="R691">
    <cfRule type="cellIs" dxfId="1" priority="682" stopIfTrue="1" operator="between">
      <formula>"Check"</formula>
      <formula>"Check"</formula>
    </cfRule>
  </conditionalFormatting>
  <conditionalFormatting sqref="R692">
    <cfRule type="cellIs" dxfId="1" priority="683" stopIfTrue="1" operator="between">
      <formula>"Check"</formula>
      <formula>"Check"</formula>
    </cfRule>
  </conditionalFormatting>
  <conditionalFormatting sqref="R693">
    <cfRule type="cellIs" dxfId="1" priority="684" stopIfTrue="1" operator="between">
      <formula>"Check"</formula>
      <formula>"Check"</formula>
    </cfRule>
  </conditionalFormatting>
  <conditionalFormatting sqref="R694">
    <cfRule type="cellIs" dxfId="1" priority="685" stopIfTrue="1" operator="between">
      <formula>"Check"</formula>
      <formula>"Check"</formula>
    </cfRule>
  </conditionalFormatting>
  <conditionalFormatting sqref="R695">
    <cfRule type="cellIs" dxfId="1" priority="686" stopIfTrue="1" operator="between">
      <formula>"Check"</formula>
      <formula>"Check"</formula>
    </cfRule>
  </conditionalFormatting>
  <conditionalFormatting sqref="R696">
    <cfRule type="cellIs" dxfId="1" priority="687" stopIfTrue="1" operator="between">
      <formula>"Check"</formula>
      <formula>"Check"</formula>
    </cfRule>
  </conditionalFormatting>
  <conditionalFormatting sqref="R697">
    <cfRule type="cellIs" dxfId="1" priority="688" stopIfTrue="1" operator="between">
      <formula>"Check"</formula>
      <formula>"Check"</formula>
    </cfRule>
  </conditionalFormatting>
  <conditionalFormatting sqref="R698">
    <cfRule type="cellIs" dxfId="1" priority="689" stopIfTrue="1" operator="between">
      <formula>"Check"</formula>
      <formula>"Check"</formula>
    </cfRule>
  </conditionalFormatting>
  <conditionalFormatting sqref="R699">
    <cfRule type="cellIs" dxfId="1" priority="690" stopIfTrue="1" operator="between">
      <formula>"Check"</formula>
      <formula>"Check"</formula>
    </cfRule>
  </conditionalFormatting>
  <conditionalFormatting sqref="R700">
    <cfRule type="cellIs" dxfId="1" priority="691" stopIfTrue="1" operator="between">
      <formula>"Check"</formula>
      <formula>"Check"</formula>
    </cfRule>
  </conditionalFormatting>
  <conditionalFormatting sqref="R701">
    <cfRule type="cellIs" dxfId="1" priority="692" stopIfTrue="1" operator="between">
      <formula>"Check"</formula>
      <formula>"Check"</formula>
    </cfRule>
  </conditionalFormatting>
  <conditionalFormatting sqref="R702">
    <cfRule type="cellIs" dxfId="1" priority="693" stopIfTrue="1" operator="between">
      <formula>"Check"</formula>
      <formula>"Check"</formula>
    </cfRule>
  </conditionalFormatting>
  <conditionalFormatting sqref="R703">
    <cfRule type="cellIs" dxfId="1" priority="694" stopIfTrue="1" operator="between">
      <formula>"Check"</formula>
      <formula>"Check"</formula>
    </cfRule>
  </conditionalFormatting>
  <conditionalFormatting sqref="R704">
    <cfRule type="cellIs" dxfId="1" priority="695" stopIfTrue="1" operator="between">
      <formula>"Check"</formula>
      <formula>"Check"</formula>
    </cfRule>
  </conditionalFormatting>
  <conditionalFormatting sqref="R705">
    <cfRule type="cellIs" dxfId="1" priority="696" stopIfTrue="1" operator="between">
      <formula>"Check"</formula>
      <formula>"Check"</formula>
    </cfRule>
  </conditionalFormatting>
  <conditionalFormatting sqref="R706">
    <cfRule type="cellIs" dxfId="1" priority="697" stopIfTrue="1" operator="between">
      <formula>"Check"</formula>
      <formula>"Check"</formula>
    </cfRule>
  </conditionalFormatting>
  <conditionalFormatting sqref="R707">
    <cfRule type="cellIs" dxfId="1" priority="698" stopIfTrue="1" operator="between">
      <formula>"Check"</formula>
      <formula>"Check"</formula>
    </cfRule>
  </conditionalFormatting>
  <conditionalFormatting sqref="R708">
    <cfRule type="cellIs" dxfId="1" priority="699" stopIfTrue="1" operator="between">
      <formula>"Check"</formula>
      <formula>"Check"</formula>
    </cfRule>
  </conditionalFormatting>
  <conditionalFormatting sqref="R709">
    <cfRule type="cellIs" dxfId="1" priority="700" stopIfTrue="1" operator="between">
      <formula>"Check"</formula>
      <formula>"Check"</formula>
    </cfRule>
  </conditionalFormatting>
  <conditionalFormatting sqref="R710">
    <cfRule type="cellIs" dxfId="1" priority="701" stopIfTrue="1" operator="between">
      <formula>"Check"</formula>
      <formula>"Check"</formula>
    </cfRule>
  </conditionalFormatting>
  <conditionalFormatting sqref="R711">
    <cfRule type="cellIs" dxfId="1" priority="702" stopIfTrue="1" operator="between">
      <formula>"Check"</formula>
      <formula>"Check"</formula>
    </cfRule>
  </conditionalFormatting>
  <conditionalFormatting sqref="R712">
    <cfRule type="cellIs" dxfId="1" priority="703" stopIfTrue="1" operator="between">
      <formula>"Check"</formula>
      <formula>"Check"</formula>
    </cfRule>
  </conditionalFormatting>
  <conditionalFormatting sqref="R713">
    <cfRule type="cellIs" dxfId="1" priority="704" stopIfTrue="1" operator="between">
      <formula>"Check"</formula>
      <formula>"Check"</formula>
    </cfRule>
  </conditionalFormatting>
  <conditionalFormatting sqref="R714">
    <cfRule type="cellIs" dxfId="1" priority="705" stopIfTrue="1" operator="between">
      <formula>"Check"</formula>
      <formula>"Check"</formula>
    </cfRule>
  </conditionalFormatting>
  <conditionalFormatting sqref="R715">
    <cfRule type="cellIs" dxfId="1" priority="706" stopIfTrue="1" operator="between">
      <formula>"Check"</formula>
      <formula>"Check"</formula>
    </cfRule>
  </conditionalFormatting>
  <conditionalFormatting sqref="R716">
    <cfRule type="cellIs" dxfId="1" priority="707" stopIfTrue="1" operator="between">
      <formula>"Check"</formula>
      <formula>"Check"</formula>
    </cfRule>
  </conditionalFormatting>
  <conditionalFormatting sqref="R717">
    <cfRule type="cellIs" dxfId="1" priority="708" stopIfTrue="1" operator="between">
      <formula>"Check"</formula>
      <formula>"Check"</formula>
    </cfRule>
  </conditionalFormatting>
  <conditionalFormatting sqref="R718">
    <cfRule type="cellIs" dxfId="1" priority="709" stopIfTrue="1" operator="between">
      <formula>"Check"</formula>
      <formula>"Check"</formula>
    </cfRule>
  </conditionalFormatting>
  <conditionalFormatting sqref="R719">
    <cfRule type="cellIs" dxfId="1" priority="710" stopIfTrue="1" operator="between">
      <formula>"Check"</formula>
      <formula>"Check"</formula>
    </cfRule>
  </conditionalFormatting>
  <conditionalFormatting sqref="R720">
    <cfRule type="cellIs" dxfId="1" priority="711" stopIfTrue="1" operator="between">
      <formula>"Check"</formula>
      <formula>"Check"</formula>
    </cfRule>
  </conditionalFormatting>
  <conditionalFormatting sqref="R721">
    <cfRule type="cellIs" dxfId="1" priority="712" stopIfTrue="1" operator="between">
      <formula>"Check"</formula>
      <formula>"Check"</formula>
    </cfRule>
  </conditionalFormatting>
  <conditionalFormatting sqref="R722">
    <cfRule type="cellIs" dxfId="1" priority="713" stopIfTrue="1" operator="between">
      <formula>"Check"</formula>
      <formula>"Check"</formula>
    </cfRule>
  </conditionalFormatting>
  <conditionalFormatting sqref="R723">
    <cfRule type="cellIs" dxfId="1" priority="714" stopIfTrue="1" operator="between">
      <formula>"Check"</formula>
      <formula>"Check"</formula>
    </cfRule>
  </conditionalFormatting>
  <conditionalFormatting sqref="R724">
    <cfRule type="cellIs" dxfId="1" priority="715" stopIfTrue="1" operator="between">
      <formula>"Check"</formula>
      <formula>"Check"</formula>
    </cfRule>
  </conditionalFormatting>
  <conditionalFormatting sqref="R725">
    <cfRule type="cellIs" dxfId="1" priority="716" stopIfTrue="1" operator="between">
      <formula>"Check"</formula>
      <formula>"Check"</formula>
    </cfRule>
  </conditionalFormatting>
  <conditionalFormatting sqref="R726">
    <cfRule type="cellIs" dxfId="1" priority="717" stopIfTrue="1" operator="between">
      <formula>"Check"</formula>
      <formula>"Check"</formula>
    </cfRule>
  </conditionalFormatting>
  <conditionalFormatting sqref="R727">
    <cfRule type="cellIs" dxfId="1" priority="718" stopIfTrue="1" operator="between">
      <formula>"Check"</formula>
      <formula>"Check"</formula>
    </cfRule>
  </conditionalFormatting>
  <conditionalFormatting sqref="R728">
    <cfRule type="cellIs" dxfId="1" priority="719" stopIfTrue="1" operator="between">
      <formula>"Check"</formula>
      <formula>"Check"</formula>
    </cfRule>
  </conditionalFormatting>
  <conditionalFormatting sqref="R729">
    <cfRule type="cellIs" dxfId="1" priority="720" stopIfTrue="1" operator="between">
      <formula>"Check"</formula>
      <formula>"Check"</formula>
    </cfRule>
  </conditionalFormatting>
  <conditionalFormatting sqref="R730">
    <cfRule type="cellIs" dxfId="1" priority="721" stopIfTrue="1" operator="between">
      <formula>"Check"</formula>
      <formula>"Check"</formula>
    </cfRule>
  </conditionalFormatting>
  <conditionalFormatting sqref="R731">
    <cfRule type="cellIs" dxfId="1" priority="722" stopIfTrue="1" operator="between">
      <formula>"Check"</formula>
      <formula>"Check"</formula>
    </cfRule>
  </conditionalFormatting>
  <conditionalFormatting sqref="R732">
    <cfRule type="cellIs" dxfId="1" priority="723" stopIfTrue="1" operator="between">
      <formula>"Check"</formula>
      <formula>"Check"</formula>
    </cfRule>
  </conditionalFormatting>
  <conditionalFormatting sqref="R733">
    <cfRule type="cellIs" dxfId="1" priority="724" stopIfTrue="1" operator="between">
      <formula>"Check"</formula>
      <formula>"Check"</formula>
    </cfRule>
  </conditionalFormatting>
  <conditionalFormatting sqref="R734">
    <cfRule type="cellIs" dxfId="1" priority="725" stopIfTrue="1" operator="between">
      <formula>"Check"</formula>
      <formula>"Check"</formula>
    </cfRule>
  </conditionalFormatting>
  <conditionalFormatting sqref="R735">
    <cfRule type="cellIs" dxfId="1" priority="726" stopIfTrue="1" operator="between">
      <formula>"Check"</formula>
      <formula>"Check"</formula>
    </cfRule>
  </conditionalFormatting>
  <conditionalFormatting sqref="R736">
    <cfRule type="cellIs" dxfId="1" priority="727" stopIfTrue="1" operator="between">
      <formula>"Check"</formula>
      <formula>"Check"</formula>
    </cfRule>
  </conditionalFormatting>
  <conditionalFormatting sqref="R737">
    <cfRule type="cellIs" dxfId="1" priority="728" stopIfTrue="1" operator="between">
      <formula>"Check"</formula>
      <formula>"Check"</formula>
    </cfRule>
  </conditionalFormatting>
  <conditionalFormatting sqref="R738">
    <cfRule type="cellIs" dxfId="1" priority="729" stopIfTrue="1" operator="between">
      <formula>"Check"</formula>
      <formula>"Check"</formula>
    </cfRule>
  </conditionalFormatting>
  <conditionalFormatting sqref="R739">
    <cfRule type="cellIs" dxfId="1" priority="730" stopIfTrue="1" operator="between">
      <formula>"Check"</formula>
      <formula>"Check"</formula>
    </cfRule>
  </conditionalFormatting>
  <conditionalFormatting sqref="R740">
    <cfRule type="cellIs" dxfId="1" priority="731" stopIfTrue="1" operator="between">
      <formula>"Check"</formula>
      <formula>"Check"</formula>
    </cfRule>
  </conditionalFormatting>
  <conditionalFormatting sqref="R741">
    <cfRule type="cellIs" dxfId="1" priority="732" stopIfTrue="1" operator="between">
      <formula>"Check"</formula>
      <formula>"Check"</formula>
    </cfRule>
  </conditionalFormatting>
  <conditionalFormatting sqref="R742">
    <cfRule type="cellIs" dxfId="1" priority="733" stopIfTrue="1" operator="between">
      <formula>"Check"</formula>
      <formula>"Check"</formula>
    </cfRule>
  </conditionalFormatting>
  <conditionalFormatting sqref="R743">
    <cfRule type="cellIs" dxfId="1" priority="734" stopIfTrue="1" operator="between">
      <formula>"Check"</formula>
      <formula>"Check"</formula>
    </cfRule>
  </conditionalFormatting>
  <conditionalFormatting sqref="R744">
    <cfRule type="cellIs" dxfId="1" priority="735" stopIfTrue="1" operator="between">
      <formula>"Check"</formula>
      <formula>"Check"</formula>
    </cfRule>
  </conditionalFormatting>
  <conditionalFormatting sqref="R745">
    <cfRule type="cellIs" dxfId="1" priority="736" stopIfTrue="1" operator="between">
      <formula>"Check"</formula>
      <formula>"Check"</formula>
    </cfRule>
  </conditionalFormatting>
  <conditionalFormatting sqref="R746">
    <cfRule type="cellIs" dxfId="1" priority="737" stopIfTrue="1" operator="between">
      <formula>"Check"</formula>
      <formula>"Check"</formula>
    </cfRule>
  </conditionalFormatting>
  <conditionalFormatting sqref="R747">
    <cfRule type="cellIs" dxfId="1" priority="738" stopIfTrue="1" operator="between">
      <formula>"Check"</formula>
      <formula>"Check"</formula>
    </cfRule>
  </conditionalFormatting>
  <conditionalFormatting sqref="R748">
    <cfRule type="cellIs" dxfId="1" priority="739" stopIfTrue="1" operator="between">
      <formula>"Check"</formula>
      <formula>"Check"</formula>
    </cfRule>
  </conditionalFormatting>
  <conditionalFormatting sqref="R749">
    <cfRule type="cellIs" dxfId="1" priority="740" stopIfTrue="1" operator="between">
      <formula>"Check"</formula>
      <formula>"Check"</formula>
    </cfRule>
  </conditionalFormatting>
  <conditionalFormatting sqref="R750">
    <cfRule type="cellIs" dxfId="1" priority="741" stopIfTrue="1" operator="between">
      <formula>"Check"</formula>
      <formula>"Check"</formula>
    </cfRule>
  </conditionalFormatting>
  <conditionalFormatting sqref="R751">
    <cfRule type="cellIs" dxfId="1" priority="742" stopIfTrue="1" operator="between">
      <formula>"Check"</formula>
      <formula>"Check"</formula>
    </cfRule>
  </conditionalFormatting>
  <conditionalFormatting sqref="R752">
    <cfRule type="cellIs" dxfId="1" priority="743" stopIfTrue="1" operator="between">
      <formula>"Check"</formula>
      <formula>"Check"</formula>
    </cfRule>
  </conditionalFormatting>
  <conditionalFormatting sqref="R753">
    <cfRule type="cellIs" dxfId="1" priority="744" stopIfTrue="1" operator="between">
      <formula>"Check"</formula>
      <formula>"Check"</formula>
    </cfRule>
  </conditionalFormatting>
  <conditionalFormatting sqref="R754">
    <cfRule type="cellIs" dxfId="1" priority="745" stopIfTrue="1" operator="between">
      <formula>"Check"</formula>
      <formula>"Check"</formula>
    </cfRule>
  </conditionalFormatting>
  <conditionalFormatting sqref="R755">
    <cfRule type="cellIs" dxfId="1" priority="746" stopIfTrue="1" operator="between">
      <formula>"Check"</formula>
      <formula>"Check"</formula>
    </cfRule>
  </conditionalFormatting>
  <conditionalFormatting sqref="R756">
    <cfRule type="cellIs" dxfId="1" priority="747" stopIfTrue="1" operator="between">
      <formula>"Check"</formula>
      <formula>"Check"</formula>
    </cfRule>
  </conditionalFormatting>
  <conditionalFormatting sqref="R757">
    <cfRule type="cellIs" dxfId="1" priority="748" stopIfTrue="1" operator="between">
      <formula>"Check"</formula>
      <formula>"Check"</formula>
    </cfRule>
  </conditionalFormatting>
  <conditionalFormatting sqref="R758">
    <cfRule type="cellIs" dxfId="1" priority="749" stopIfTrue="1" operator="between">
      <formula>"Check"</formula>
      <formula>"Check"</formula>
    </cfRule>
  </conditionalFormatting>
  <conditionalFormatting sqref="R759">
    <cfRule type="cellIs" dxfId="1" priority="750" stopIfTrue="1" operator="between">
      <formula>"Check"</formula>
      <formula>"Check"</formula>
    </cfRule>
  </conditionalFormatting>
  <conditionalFormatting sqref="R760">
    <cfRule type="cellIs" dxfId="1" priority="751" stopIfTrue="1" operator="between">
      <formula>"Check"</formula>
      <formula>"Check"</formula>
    </cfRule>
  </conditionalFormatting>
  <conditionalFormatting sqref="R761">
    <cfRule type="cellIs" dxfId="1" priority="752" stopIfTrue="1" operator="between">
      <formula>"Check"</formula>
      <formula>"Check"</formula>
    </cfRule>
  </conditionalFormatting>
  <conditionalFormatting sqref="R762">
    <cfRule type="cellIs" dxfId="1" priority="753" stopIfTrue="1" operator="between">
      <formula>"Check"</formula>
      <formula>"Check"</formula>
    </cfRule>
  </conditionalFormatting>
  <conditionalFormatting sqref="R763">
    <cfRule type="cellIs" dxfId="1" priority="754" stopIfTrue="1" operator="between">
      <formula>"Check"</formula>
      <formula>"Check"</formula>
    </cfRule>
  </conditionalFormatting>
  <conditionalFormatting sqref="R764">
    <cfRule type="cellIs" dxfId="1" priority="755" stopIfTrue="1" operator="between">
      <formula>"Check"</formula>
      <formula>"Check"</formula>
    </cfRule>
  </conditionalFormatting>
  <conditionalFormatting sqref="R765">
    <cfRule type="cellIs" dxfId="1" priority="756" stopIfTrue="1" operator="between">
      <formula>"Check"</formula>
      <formula>"Check"</formula>
    </cfRule>
  </conditionalFormatting>
  <conditionalFormatting sqref="R766">
    <cfRule type="cellIs" dxfId="1" priority="757" stopIfTrue="1" operator="between">
      <formula>"Check"</formula>
      <formula>"Check"</formula>
    </cfRule>
  </conditionalFormatting>
  <conditionalFormatting sqref="R767">
    <cfRule type="cellIs" dxfId="1" priority="758" stopIfTrue="1" operator="between">
      <formula>"Check"</formula>
      <formula>"Check"</formula>
    </cfRule>
  </conditionalFormatting>
  <conditionalFormatting sqref="R768">
    <cfRule type="cellIs" dxfId="1" priority="759" stopIfTrue="1" operator="between">
      <formula>"Check"</formula>
      <formula>"Check"</formula>
    </cfRule>
  </conditionalFormatting>
  <conditionalFormatting sqref="R769">
    <cfRule type="cellIs" dxfId="1" priority="760" stopIfTrue="1" operator="between">
      <formula>"Check"</formula>
      <formula>"Check"</formula>
    </cfRule>
  </conditionalFormatting>
  <conditionalFormatting sqref="R770">
    <cfRule type="cellIs" dxfId="1" priority="761" stopIfTrue="1" operator="between">
      <formula>"Check"</formula>
      <formula>"Check"</formula>
    </cfRule>
  </conditionalFormatting>
  <conditionalFormatting sqref="R771">
    <cfRule type="cellIs" dxfId="1" priority="762" stopIfTrue="1" operator="between">
      <formula>"Check"</formula>
      <formula>"Check"</formula>
    </cfRule>
  </conditionalFormatting>
  <conditionalFormatting sqref="R772">
    <cfRule type="cellIs" dxfId="1" priority="763" stopIfTrue="1" operator="between">
      <formula>"Check"</formula>
      <formula>"Check"</formula>
    </cfRule>
  </conditionalFormatting>
  <conditionalFormatting sqref="R773">
    <cfRule type="cellIs" dxfId="1" priority="764" stopIfTrue="1" operator="between">
      <formula>"Check"</formula>
      <formula>"Check"</formula>
    </cfRule>
  </conditionalFormatting>
  <conditionalFormatting sqref="R774">
    <cfRule type="cellIs" dxfId="1" priority="765" stopIfTrue="1" operator="between">
      <formula>"Check"</formula>
      <formula>"Check"</formula>
    </cfRule>
  </conditionalFormatting>
  <conditionalFormatting sqref="R775">
    <cfRule type="cellIs" dxfId="1" priority="766" stopIfTrue="1" operator="between">
      <formula>"Check"</formula>
      <formula>"Check"</formula>
    </cfRule>
  </conditionalFormatting>
  <conditionalFormatting sqref="R776">
    <cfRule type="cellIs" dxfId="1" priority="767" stopIfTrue="1" operator="between">
      <formula>"Check"</formula>
      <formula>"Check"</formula>
    </cfRule>
  </conditionalFormatting>
  <conditionalFormatting sqref="R777">
    <cfRule type="cellIs" dxfId="1" priority="768" stopIfTrue="1" operator="between">
      <formula>"Check"</formula>
      <formula>"Check"</formula>
    </cfRule>
  </conditionalFormatting>
  <conditionalFormatting sqref="R778">
    <cfRule type="cellIs" dxfId="1" priority="769" stopIfTrue="1" operator="between">
      <formula>"Check"</formula>
      <formula>"Check"</formula>
    </cfRule>
  </conditionalFormatting>
  <conditionalFormatting sqref="R779">
    <cfRule type="cellIs" dxfId="1" priority="770" stopIfTrue="1" operator="between">
      <formula>"Check"</formula>
      <formula>"Check"</formula>
    </cfRule>
  </conditionalFormatting>
  <conditionalFormatting sqref="R780">
    <cfRule type="cellIs" dxfId="1" priority="771" stopIfTrue="1" operator="between">
      <formula>"Check"</formula>
      <formula>"Check"</formula>
    </cfRule>
  </conditionalFormatting>
  <conditionalFormatting sqref="R781">
    <cfRule type="cellIs" dxfId="1" priority="772" stopIfTrue="1" operator="between">
      <formula>"Check"</formula>
      <formula>"Check"</formula>
    </cfRule>
  </conditionalFormatting>
  <conditionalFormatting sqref="R782">
    <cfRule type="cellIs" dxfId="1" priority="773" stopIfTrue="1" operator="between">
      <formula>"Check"</formula>
      <formula>"Check"</formula>
    </cfRule>
  </conditionalFormatting>
  <conditionalFormatting sqref="R783">
    <cfRule type="cellIs" dxfId="1" priority="774" stopIfTrue="1" operator="between">
      <formula>"Check"</formula>
      <formula>"Check"</formula>
    </cfRule>
  </conditionalFormatting>
  <conditionalFormatting sqref="R784">
    <cfRule type="cellIs" dxfId="1" priority="775" stopIfTrue="1" operator="between">
      <formula>"Check"</formula>
      <formula>"Check"</formula>
    </cfRule>
  </conditionalFormatting>
  <conditionalFormatting sqref="R785">
    <cfRule type="cellIs" dxfId="1" priority="776" stopIfTrue="1" operator="between">
      <formula>"Check"</formula>
      <formula>"Check"</formula>
    </cfRule>
  </conditionalFormatting>
  <conditionalFormatting sqref="R786">
    <cfRule type="cellIs" dxfId="1" priority="777" stopIfTrue="1" operator="between">
      <formula>"Check"</formula>
      <formula>"Check"</formula>
    </cfRule>
  </conditionalFormatting>
  <conditionalFormatting sqref="R787">
    <cfRule type="cellIs" dxfId="1" priority="778" stopIfTrue="1" operator="between">
      <formula>"Check"</formula>
      <formula>"Check"</formula>
    </cfRule>
  </conditionalFormatting>
  <conditionalFormatting sqref="R788">
    <cfRule type="cellIs" dxfId="1" priority="779" stopIfTrue="1" operator="between">
      <formula>"Check"</formula>
      <formula>"Check"</formula>
    </cfRule>
  </conditionalFormatting>
  <conditionalFormatting sqref="R789">
    <cfRule type="cellIs" dxfId="1" priority="780" stopIfTrue="1" operator="between">
      <formula>"Check"</formula>
      <formula>"Check"</formula>
    </cfRule>
  </conditionalFormatting>
  <conditionalFormatting sqref="R790">
    <cfRule type="cellIs" dxfId="1" priority="781" stopIfTrue="1" operator="between">
      <formula>"Check"</formula>
      <formula>"Check"</formula>
    </cfRule>
  </conditionalFormatting>
  <conditionalFormatting sqref="R791">
    <cfRule type="cellIs" dxfId="1" priority="782" stopIfTrue="1" operator="between">
      <formula>"Check"</formula>
      <formula>"Check"</formula>
    </cfRule>
  </conditionalFormatting>
  <conditionalFormatting sqref="R792">
    <cfRule type="cellIs" dxfId="1" priority="783" stopIfTrue="1" operator="between">
      <formula>"Check"</formula>
      <formula>"Check"</formula>
    </cfRule>
  </conditionalFormatting>
  <conditionalFormatting sqref="R793">
    <cfRule type="cellIs" dxfId="1" priority="784" stopIfTrue="1" operator="between">
      <formula>"Check"</formula>
      <formula>"Check"</formula>
    </cfRule>
  </conditionalFormatting>
  <conditionalFormatting sqref="R794">
    <cfRule type="cellIs" dxfId="1" priority="785" stopIfTrue="1" operator="between">
      <formula>"Check"</formula>
      <formula>"Check"</formula>
    </cfRule>
  </conditionalFormatting>
  <conditionalFormatting sqref="R795">
    <cfRule type="cellIs" dxfId="1" priority="786" stopIfTrue="1" operator="between">
      <formula>"Check"</formula>
      <formula>"Check"</formula>
    </cfRule>
  </conditionalFormatting>
  <conditionalFormatting sqref="R796">
    <cfRule type="cellIs" dxfId="1" priority="787" stopIfTrue="1" operator="between">
      <formula>"Check"</formula>
      <formula>"Check"</formula>
    </cfRule>
  </conditionalFormatting>
  <conditionalFormatting sqref="R797">
    <cfRule type="cellIs" dxfId="1" priority="788" stopIfTrue="1" operator="between">
      <formula>"Check"</formula>
      <formula>"Check"</formula>
    </cfRule>
  </conditionalFormatting>
  <conditionalFormatting sqref="R798">
    <cfRule type="cellIs" dxfId="1" priority="789" stopIfTrue="1" operator="between">
      <formula>"Check"</formula>
      <formula>"Check"</formula>
    </cfRule>
  </conditionalFormatting>
  <conditionalFormatting sqref="R799">
    <cfRule type="cellIs" dxfId="1" priority="790" stopIfTrue="1" operator="between">
      <formula>"Check"</formula>
      <formula>"Check"</formula>
    </cfRule>
  </conditionalFormatting>
  <conditionalFormatting sqref="R800">
    <cfRule type="cellIs" dxfId="1" priority="791" stopIfTrue="1" operator="between">
      <formula>"Check"</formula>
      <formula>"Check"</formula>
    </cfRule>
  </conditionalFormatting>
  <conditionalFormatting sqref="R801">
    <cfRule type="cellIs" dxfId="1" priority="792" stopIfTrue="1" operator="between">
      <formula>"Check"</formula>
      <formula>"Check"</formula>
    </cfRule>
  </conditionalFormatting>
  <conditionalFormatting sqref="R802">
    <cfRule type="cellIs" dxfId="1" priority="793" stopIfTrue="1" operator="between">
      <formula>"Check"</formula>
      <formula>"Check"</formula>
    </cfRule>
  </conditionalFormatting>
  <conditionalFormatting sqref="R803">
    <cfRule type="cellIs" dxfId="1" priority="794" stopIfTrue="1" operator="between">
      <formula>"Check"</formula>
      <formula>"Check"</formula>
    </cfRule>
  </conditionalFormatting>
  <conditionalFormatting sqref="R804">
    <cfRule type="cellIs" dxfId="1" priority="795" stopIfTrue="1" operator="between">
      <formula>"Check"</formula>
      <formula>"Check"</formula>
    </cfRule>
  </conditionalFormatting>
  <conditionalFormatting sqref="R805">
    <cfRule type="cellIs" dxfId="1" priority="796" stopIfTrue="1" operator="between">
      <formula>"Check"</formula>
      <formula>"Check"</formula>
    </cfRule>
  </conditionalFormatting>
  <conditionalFormatting sqref="R806">
    <cfRule type="cellIs" dxfId="1" priority="797" stopIfTrue="1" operator="between">
      <formula>"Check"</formula>
      <formula>"Check"</formula>
    </cfRule>
  </conditionalFormatting>
  <conditionalFormatting sqref="R807">
    <cfRule type="cellIs" dxfId="1" priority="798" stopIfTrue="1" operator="between">
      <formula>"Check"</formula>
      <formula>"Check"</formula>
    </cfRule>
  </conditionalFormatting>
  <conditionalFormatting sqref="R808">
    <cfRule type="cellIs" dxfId="1" priority="799" stopIfTrue="1" operator="between">
      <formula>"Check"</formula>
      <formula>"Check"</formula>
    </cfRule>
  </conditionalFormatting>
  <conditionalFormatting sqref="R809">
    <cfRule type="cellIs" dxfId="1" priority="800" stopIfTrue="1" operator="between">
      <formula>"Check"</formula>
      <formula>"Check"</formula>
    </cfRule>
  </conditionalFormatting>
  <conditionalFormatting sqref="R810">
    <cfRule type="cellIs" dxfId="1" priority="801" stopIfTrue="1" operator="between">
      <formula>"Check"</formula>
      <formula>"Check"</formula>
    </cfRule>
  </conditionalFormatting>
  <conditionalFormatting sqref="R811">
    <cfRule type="cellIs" dxfId="1" priority="802" stopIfTrue="1" operator="between">
      <formula>"Check"</formula>
      <formula>"Check"</formula>
    </cfRule>
  </conditionalFormatting>
  <conditionalFormatting sqref="R812">
    <cfRule type="cellIs" dxfId="1" priority="803" stopIfTrue="1" operator="between">
      <formula>"Check"</formula>
      <formula>"Check"</formula>
    </cfRule>
  </conditionalFormatting>
  <conditionalFormatting sqref="R813">
    <cfRule type="cellIs" dxfId="1" priority="804" stopIfTrue="1" operator="between">
      <formula>"Check"</formula>
      <formula>"Check"</formula>
    </cfRule>
  </conditionalFormatting>
  <conditionalFormatting sqref="R814">
    <cfRule type="cellIs" dxfId="1" priority="805" stopIfTrue="1" operator="between">
      <formula>"Check"</formula>
      <formula>"Check"</formula>
    </cfRule>
  </conditionalFormatting>
  <conditionalFormatting sqref="R815">
    <cfRule type="cellIs" dxfId="1" priority="806" stopIfTrue="1" operator="between">
      <formula>"Check"</formula>
      <formula>"Check"</formula>
    </cfRule>
  </conditionalFormatting>
  <conditionalFormatting sqref="R816">
    <cfRule type="cellIs" dxfId="1" priority="807" stopIfTrue="1" operator="between">
      <formula>"Check"</formula>
      <formula>"Check"</formula>
    </cfRule>
  </conditionalFormatting>
  <conditionalFormatting sqref="R817">
    <cfRule type="cellIs" dxfId="1" priority="808" stopIfTrue="1" operator="between">
      <formula>"Check"</formula>
      <formula>"Check"</formula>
    </cfRule>
  </conditionalFormatting>
  <conditionalFormatting sqref="R818">
    <cfRule type="cellIs" dxfId="1" priority="809" stopIfTrue="1" operator="between">
      <formula>"Check"</formula>
      <formula>"Check"</formula>
    </cfRule>
  </conditionalFormatting>
  <conditionalFormatting sqref="R819">
    <cfRule type="cellIs" dxfId="1" priority="810" stopIfTrue="1" operator="between">
      <formula>"Check"</formula>
      <formula>"Check"</formula>
    </cfRule>
  </conditionalFormatting>
  <conditionalFormatting sqref="R820">
    <cfRule type="cellIs" dxfId="1" priority="811" stopIfTrue="1" operator="between">
      <formula>"Check"</formula>
      <formula>"Check"</formula>
    </cfRule>
  </conditionalFormatting>
  <conditionalFormatting sqref="R821">
    <cfRule type="cellIs" dxfId="1" priority="812" stopIfTrue="1" operator="between">
      <formula>"Check"</formula>
      <formula>"Check"</formula>
    </cfRule>
  </conditionalFormatting>
  <conditionalFormatting sqref="R822">
    <cfRule type="cellIs" dxfId="1" priority="813" stopIfTrue="1" operator="between">
      <formula>"Check"</formula>
      <formula>"Check"</formula>
    </cfRule>
  </conditionalFormatting>
  <conditionalFormatting sqref="R823">
    <cfRule type="cellIs" dxfId="1" priority="814" stopIfTrue="1" operator="between">
      <formula>"Check"</formula>
      <formula>"Check"</formula>
    </cfRule>
  </conditionalFormatting>
  <conditionalFormatting sqref="R824">
    <cfRule type="cellIs" dxfId="1" priority="815" stopIfTrue="1" operator="between">
      <formula>"Check"</formula>
      <formula>"Check"</formula>
    </cfRule>
  </conditionalFormatting>
  <conditionalFormatting sqref="R825">
    <cfRule type="cellIs" dxfId="1" priority="816" stopIfTrue="1" operator="between">
      <formula>"Check"</formula>
      <formula>"Check"</formula>
    </cfRule>
  </conditionalFormatting>
  <conditionalFormatting sqref="R826">
    <cfRule type="cellIs" dxfId="1" priority="817" stopIfTrue="1" operator="between">
      <formula>"Check"</formula>
      <formula>"Check"</formula>
    </cfRule>
  </conditionalFormatting>
  <conditionalFormatting sqref="R827">
    <cfRule type="cellIs" dxfId="1" priority="818" stopIfTrue="1" operator="between">
      <formula>"Check"</formula>
      <formula>"Check"</formula>
    </cfRule>
  </conditionalFormatting>
  <conditionalFormatting sqref="R828">
    <cfRule type="cellIs" dxfId="1" priority="819" stopIfTrue="1" operator="between">
      <formula>"Check"</formula>
      <formula>"Check"</formula>
    </cfRule>
  </conditionalFormatting>
  <conditionalFormatting sqref="R829">
    <cfRule type="cellIs" dxfId="1" priority="820" stopIfTrue="1" operator="between">
      <formula>"Check"</formula>
      <formula>"Check"</formula>
    </cfRule>
  </conditionalFormatting>
  <conditionalFormatting sqref="R830">
    <cfRule type="cellIs" dxfId="1" priority="821" stopIfTrue="1" operator="between">
      <formula>"Check"</formula>
      <formula>"Check"</formula>
    </cfRule>
  </conditionalFormatting>
  <conditionalFormatting sqref="R831">
    <cfRule type="cellIs" dxfId="1" priority="822" stopIfTrue="1" operator="between">
      <formula>"Check"</formula>
      <formula>"Check"</formula>
    </cfRule>
  </conditionalFormatting>
  <conditionalFormatting sqref="R832">
    <cfRule type="cellIs" dxfId="1" priority="823" stopIfTrue="1" operator="between">
      <formula>"Check"</formula>
      <formula>"Check"</formula>
    </cfRule>
  </conditionalFormatting>
  <conditionalFormatting sqref="R833">
    <cfRule type="cellIs" dxfId="1" priority="824" stopIfTrue="1" operator="between">
      <formula>"Check"</formula>
      <formula>"Check"</formula>
    </cfRule>
  </conditionalFormatting>
  <conditionalFormatting sqref="R834">
    <cfRule type="cellIs" dxfId="1" priority="825" stopIfTrue="1" operator="between">
      <formula>"Check"</formula>
      <formula>"Check"</formula>
    </cfRule>
  </conditionalFormatting>
  <conditionalFormatting sqref="R835">
    <cfRule type="cellIs" dxfId="1" priority="826" stopIfTrue="1" operator="between">
      <formula>"Check"</formula>
      <formula>"Check"</formula>
    </cfRule>
  </conditionalFormatting>
  <conditionalFormatting sqref="R836">
    <cfRule type="cellIs" dxfId="1" priority="827" stopIfTrue="1" operator="between">
      <formula>"Check"</formula>
      <formula>"Check"</formula>
    </cfRule>
  </conditionalFormatting>
  <conditionalFormatting sqref="R837">
    <cfRule type="cellIs" dxfId="1" priority="828" stopIfTrue="1" operator="between">
      <formula>"Check"</formula>
      <formula>"Check"</formula>
    </cfRule>
  </conditionalFormatting>
  <conditionalFormatting sqref="R838">
    <cfRule type="cellIs" dxfId="1" priority="829" stopIfTrue="1" operator="between">
      <formula>"Check"</formula>
      <formula>"Check"</formula>
    </cfRule>
  </conditionalFormatting>
  <conditionalFormatting sqref="R839">
    <cfRule type="cellIs" dxfId="1" priority="830" stopIfTrue="1" operator="between">
      <formula>"Check"</formula>
      <formula>"Check"</formula>
    </cfRule>
  </conditionalFormatting>
  <conditionalFormatting sqref="R840">
    <cfRule type="cellIs" dxfId="1" priority="831" stopIfTrue="1" operator="between">
      <formula>"Check"</formula>
      <formula>"Check"</formula>
    </cfRule>
  </conditionalFormatting>
  <conditionalFormatting sqref="R841">
    <cfRule type="cellIs" dxfId="1" priority="832" stopIfTrue="1" operator="between">
      <formula>"Check"</formula>
      <formula>"Check"</formula>
    </cfRule>
  </conditionalFormatting>
  <conditionalFormatting sqref="R842">
    <cfRule type="cellIs" dxfId="1" priority="833" stopIfTrue="1" operator="between">
      <formula>"Check"</formula>
      <formula>"Check"</formula>
    </cfRule>
  </conditionalFormatting>
  <conditionalFormatting sqref="R843">
    <cfRule type="cellIs" dxfId="1" priority="834" stopIfTrue="1" operator="between">
      <formula>"Check"</formula>
      <formula>"Check"</formula>
    </cfRule>
  </conditionalFormatting>
  <conditionalFormatting sqref="R844">
    <cfRule type="cellIs" dxfId="1" priority="835" stopIfTrue="1" operator="between">
      <formula>"Check"</formula>
      <formula>"Check"</formula>
    </cfRule>
  </conditionalFormatting>
  <conditionalFormatting sqref="R845">
    <cfRule type="cellIs" dxfId="1" priority="836" stopIfTrue="1" operator="between">
      <formula>"Check"</formula>
      <formula>"Check"</formula>
    </cfRule>
  </conditionalFormatting>
  <conditionalFormatting sqref="R846">
    <cfRule type="cellIs" dxfId="1" priority="837" stopIfTrue="1" operator="between">
      <formula>"Check"</formula>
      <formula>"Check"</formula>
    </cfRule>
  </conditionalFormatting>
  <conditionalFormatting sqref="R847">
    <cfRule type="cellIs" dxfId="1" priority="838" stopIfTrue="1" operator="between">
      <formula>"Check"</formula>
      <formula>"Check"</formula>
    </cfRule>
  </conditionalFormatting>
  <conditionalFormatting sqref="R848">
    <cfRule type="cellIs" dxfId="1" priority="839" stopIfTrue="1" operator="between">
      <formula>"Check"</formula>
      <formula>"Check"</formula>
    </cfRule>
  </conditionalFormatting>
  <conditionalFormatting sqref="R849">
    <cfRule type="cellIs" dxfId="1" priority="840" stopIfTrue="1" operator="between">
      <formula>"Check"</formula>
      <formula>"Check"</formula>
    </cfRule>
  </conditionalFormatting>
  <conditionalFormatting sqref="R850">
    <cfRule type="cellIs" dxfId="1" priority="841" stopIfTrue="1" operator="between">
      <formula>"Check"</formula>
      <formula>"Check"</formula>
    </cfRule>
  </conditionalFormatting>
  <conditionalFormatting sqref="R851">
    <cfRule type="cellIs" dxfId="1" priority="842" stopIfTrue="1" operator="between">
      <formula>"Check"</formula>
      <formula>"Check"</formula>
    </cfRule>
  </conditionalFormatting>
  <conditionalFormatting sqref="R852">
    <cfRule type="cellIs" dxfId="1" priority="843" stopIfTrue="1" operator="between">
      <formula>"Check"</formula>
      <formula>"Check"</formula>
    </cfRule>
  </conditionalFormatting>
  <conditionalFormatting sqref="R853">
    <cfRule type="cellIs" dxfId="1" priority="844" stopIfTrue="1" operator="between">
      <formula>"Check"</formula>
      <formula>"Check"</formula>
    </cfRule>
  </conditionalFormatting>
  <conditionalFormatting sqref="R854">
    <cfRule type="cellIs" dxfId="1" priority="845" stopIfTrue="1" operator="between">
      <formula>"Check"</formula>
      <formula>"Check"</formula>
    </cfRule>
  </conditionalFormatting>
  <conditionalFormatting sqref="R855">
    <cfRule type="cellIs" dxfId="1" priority="846" stopIfTrue="1" operator="between">
      <formula>"Check"</formula>
      <formula>"Check"</formula>
    </cfRule>
  </conditionalFormatting>
  <conditionalFormatting sqref="R856">
    <cfRule type="cellIs" dxfId="1" priority="847" stopIfTrue="1" operator="between">
      <formula>"Check"</formula>
      <formula>"Check"</formula>
    </cfRule>
  </conditionalFormatting>
  <conditionalFormatting sqref="R857">
    <cfRule type="cellIs" dxfId="1" priority="848" stopIfTrue="1" operator="between">
      <formula>"Check"</formula>
      <formula>"Check"</formula>
    </cfRule>
  </conditionalFormatting>
  <conditionalFormatting sqref="R858">
    <cfRule type="cellIs" dxfId="1" priority="849" stopIfTrue="1" operator="between">
      <formula>"Check"</formula>
      <formula>"Check"</formula>
    </cfRule>
  </conditionalFormatting>
  <conditionalFormatting sqref="R859">
    <cfRule type="cellIs" dxfId="1" priority="850" stopIfTrue="1" operator="between">
      <formula>"Check"</formula>
      <formula>"Check"</formula>
    </cfRule>
  </conditionalFormatting>
  <conditionalFormatting sqref="R860">
    <cfRule type="cellIs" dxfId="1" priority="851" stopIfTrue="1" operator="between">
      <formula>"Check"</formula>
      <formula>"Check"</formula>
    </cfRule>
  </conditionalFormatting>
  <conditionalFormatting sqref="R861">
    <cfRule type="cellIs" dxfId="1" priority="852" stopIfTrue="1" operator="between">
      <formula>"Check"</formula>
      <formula>"Check"</formula>
    </cfRule>
  </conditionalFormatting>
  <conditionalFormatting sqref="R862">
    <cfRule type="cellIs" dxfId="1" priority="853" stopIfTrue="1" operator="between">
      <formula>"Check"</formula>
      <formula>"Check"</formula>
    </cfRule>
  </conditionalFormatting>
  <conditionalFormatting sqref="R863">
    <cfRule type="cellIs" dxfId="1" priority="854" stopIfTrue="1" operator="between">
      <formula>"Check"</formula>
      <formula>"Check"</formula>
    </cfRule>
  </conditionalFormatting>
  <conditionalFormatting sqref="R864">
    <cfRule type="cellIs" dxfId="1" priority="855" stopIfTrue="1" operator="between">
      <formula>"Check"</formula>
      <formula>"Check"</formula>
    </cfRule>
  </conditionalFormatting>
  <conditionalFormatting sqref="R865">
    <cfRule type="cellIs" dxfId="1" priority="856" stopIfTrue="1" operator="between">
      <formula>"Check"</formula>
      <formula>"Check"</formula>
    </cfRule>
  </conditionalFormatting>
  <conditionalFormatting sqref="R866">
    <cfRule type="cellIs" dxfId="1" priority="857" stopIfTrue="1" operator="between">
      <formula>"Check"</formula>
      <formula>"Check"</formula>
    </cfRule>
  </conditionalFormatting>
  <conditionalFormatting sqref="R867">
    <cfRule type="cellIs" dxfId="1" priority="858" stopIfTrue="1" operator="between">
      <formula>"Check"</formula>
      <formula>"Check"</formula>
    </cfRule>
  </conditionalFormatting>
  <conditionalFormatting sqref="R868">
    <cfRule type="cellIs" dxfId="1" priority="859" stopIfTrue="1" operator="between">
      <formula>"Check"</formula>
      <formula>"Check"</formula>
    </cfRule>
  </conditionalFormatting>
  <conditionalFormatting sqref="R869">
    <cfRule type="cellIs" dxfId="1" priority="860" stopIfTrue="1" operator="between">
      <formula>"Check"</formula>
      <formula>"Check"</formula>
    </cfRule>
  </conditionalFormatting>
  <conditionalFormatting sqref="R870">
    <cfRule type="cellIs" dxfId="1" priority="861" stopIfTrue="1" operator="between">
      <formula>"Check"</formula>
      <formula>"Check"</formula>
    </cfRule>
  </conditionalFormatting>
  <conditionalFormatting sqref="R871">
    <cfRule type="cellIs" dxfId="1" priority="862" stopIfTrue="1" operator="between">
      <formula>"Check"</formula>
      <formula>"Check"</formula>
    </cfRule>
  </conditionalFormatting>
  <conditionalFormatting sqref="R872">
    <cfRule type="cellIs" dxfId="1" priority="863" stopIfTrue="1" operator="between">
      <formula>"Check"</formula>
      <formula>"Check"</formula>
    </cfRule>
  </conditionalFormatting>
  <conditionalFormatting sqref="R873">
    <cfRule type="cellIs" dxfId="1" priority="864" stopIfTrue="1" operator="between">
      <formula>"Check"</formula>
      <formula>"Check"</formula>
    </cfRule>
  </conditionalFormatting>
  <conditionalFormatting sqref="R874">
    <cfRule type="cellIs" dxfId="1" priority="865" stopIfTrue="1" operator="between">
      <formula>"Check"</formula>
      <formula>"Check"</formula>
    </cfRule>
  </conditionalFormatting>
  <conditionalFormatting sqref="R875">
    <cfRule type="cellIs" dxfId="1" priority="866" stopIfTrue="1" operator="between">
      <formula>"Check"</formula>
      <formula>"Check"</formula>
    </cfRule>
  </conditionalFormatting>
  <conditionalFormatting sqref="R876">
    <cfRule type="cellIs" dxfId="1" priority="867" stopIfTrue="1" operator="between">
      <formula>"Check"</formula>
      <formula>"Check"</formula>
    </cfRule>
  </conditionalFormatting>
  <conditionalFormatting sqref="R877">
    <cfRule type="cellIs" dxfId="1" priority="868" stopIfTrue="1" operator="between">
      <formula>"Check"</formula>
      <formula>"Check"</formula>
    </cfRule>
  </conditionalFormatting>
  <conditionalFormatting sqref="R878">
    <cfRule type="cellIs" dxfId="1" priority="869" stopIfTrue="1" operator="between">
      <formula>"Check"</formula>
      <formula>"Check"</formula>
    </cfRule>
  </conditionalFormatting>
  <conditionalFormatting sqref="R879">
    <cfRule type="cellIs" dxfId="1" priority="870" stopIfTrue="1" operator="between">
      <formula>"Check"</formula>
      <formula>"Check"</formula>
    </cfRule>
  </conditionalFormatting>
  <conditionalFormatting sqref="R880">
    <cfRule type="cellIs" dxfId="1" priority="871" stopIfTrue="1" operator="between">
      <formula>"Check"</formula>
      <formula>"Check"</formula>
    </cfRule>
  </conditionalFormatting>
  <conditionalFormatting sqref="R881">
    <cfRule type="cellIs" dxfId="1" priority="872" stopIfTrue="1" operator="between">
      <formula>"Check"</formula>
      <formula>"Check"</formula>
    </cfRule>
  </conditionalFormatting>
  <conditionalFormatting sqref="R882">
    <cfRule type="cellIs" dxfId="1" priority="873" stopIfTrue="1" operator="between">
      <formula>"Check"</formula>
      <formula>"Check"</formula>
    </cfRule>
  </conditionalFormatting>
  <conditionalFormatting sqref="R883">
    <cfRule type="cellIs" dxfId="1" priority="874" stopIfTrue="1" operator="between">
      <formula>"Check"</formula>
      <formula>"Check"</formula>
    </cfRule>
  </conditionalFormatting>
  <conditionalFormatting sqref="R884">
    <cfRule type="cellIs" dxfId="1" priority="875" stopIfTrue="1" operator="between">
      <formula>"Check"</formula>
      <formula>"Check"</formula>
    </cfRule>
  </conditionalFormatting>
  <conditionalFormatting sqref="R885">
    <cfRule type="cellIs" dxfId="1" priority="876" stopIfTrue="1" operator="between">
      <formula>"Check"</formula>
      <formula>"Check"</formula>
    </cfRule>
  </conditionalFormatting>
  <conditionalFormatting sqref="R886">
    <cfRule type="cellIs" dxfId="1" priority="877" stopIfTrue="1" operator="between">
      <formula>"Check"</formula>
      <formula>"Check"</formula>
    </cfRule>
  </conditionalFormatting>
  <conditionalFormatting sqref="R887">
    <cfRule type="cellIs" dxfId="1" priority="878" stopIfTrue="1" operator="between">
      <formula>"Check"</formula>
      <formula>"Check"</formula>
    </cfRule>
  </conditionalFormatting>
  <conditionalFormatting sqref="R888">
    <cfRule type="cellIs" dxfId="1" priority="879" stopIfTrue="1" operator="between">
      <formula>"Check"</formula>
      <formula>"Check"</formula>
    </cfRule>
  </conditionalFormatting>
  <conditionalFormatting sqref="R889">
    <cfRule type="cellIs" dxfId="1" priority="880" stopIfTrue="1" operator="between">
      <formula>"Check"</formula>
      <formula>"Check"</formula>
    </cfRule>
  </conditionalFormatting>
  <conditionalFormatting sqref="R890">
    <cfRule type="cellIs" dxfId="1" priority="881" stopIfTrue="1" operator="between">
      <formula>"Check"</formula>
      <formula>"Check"</formula>
    </cfRule>
  </conditionalFormatting>
  <conditionalFormatting sqref="R891">
    <cfRule type="cellIs" dxfId="1" priority="882" stopIfTrue="1" operator="between">
      <formula>"Check"</formula>
      <formula>"Check"</formula>
    </cfRule>
  </conditionalFormatting>
  <conditionalFormatting sqref="R892">
    <cfRule type="cellIs" dxfId="1" priority="883" stopIfTrue="1" operator="between">
      <formula>"Check"</formula>
      <formula>"Check"</formula>
    </cfRule>
  </conditionalFormatting>
  <conditionalFormatting sqref="R893">
    <cfRule type="cellIs" dxfId="1" priority="884" stopIfTrue="1" operator="between">
      <formula>"Check"</formula>
      <formula>"Check"</formula>
    </cfRule>
  </conditionalFormatting>
  <conditionalFormatting sqref="R894">
    <cfRule type="cellIs" dxfId="1" priority="885" stopIfTrue="1" operator="between">
      <formula>"Check"</formula>
      <formula>"Check"</formula>
    </cfRule>
  </conditionalFormatting>
  <conditionalFormatting sqref="R895">
    <cfRule type="cellIs" dxfId="1" priority="886" stopIfTrue="1" operator="between">
      <formula>"Check"</formula>
      <formula>"Check"</formula>
    </cfRule>
  </conditionalFormatting>
  <conditionalFormatting sqref="R896">
    <cfRule type="cellIs" dxfId="1" priority="887" stopIfTrue="1" operator="between">
      <formula>"Check"</formula>
      <formula>"Check"</formula>
    </cfRule>
  </conditionalFormatting>
  <conditionalFormatting sqref="R897">
    <cfRule type="cellIs" dxfId="1" priority="888" stopIfTrue="1" operator="between">
      <formula>"Check"</formula>
      <formula>"Check"</formula>
    </cfRule>
  </conditionalFormatting>
  <conditionalFormatting sqref="R898">
    <cfRule type="cellIs" dxfId="1" priority="889" stopIfTrue="1" operator="between">
      <formula>"Check"</formula>
      <formula>"Check"</formula>
    </cfRule>
  </conditionalFormatting>
  <conditionalFormatting sqref="R899">
    <cfRule type="cellIs" dxfId="1" priority="890" stopIfTrue="1" operator="between">
      <formula>"Check"</formula>
      <formula>"Check"</formula>
    </cfRule>
  </conditionalFormatting>
  <conditionalFormatting sqref="R900">
    <cfRule type="cellIs" dxfId="1" priority="891" stopIfTrue="1" operator="between">
      <formula>"Check"</formula>
      <formula>"Check"</formula>
    </cfRule>
  </conditionalFormatting>
  <conditionalFormatting sqref="R901">
    <cfRule type="cellIs" dxfId="1" priority="892" stopIfTrue="1" operator="between">
      <formula>"Check"</formula>
      <formula>"Check"</formula>
    </cfRule>
  </conditionalFormatting>
  <conditionalFormatting sqref="R902">
    <cfRule type="cellIs" dxfId="1" priority="893" stopIfTrue="1" operator="between">
      <formula>"Check"</formula>
      <formula>"Check"</formula>
    </cfRule>
  </conditionalFormatting>
  <conditionalFormatting sqref="R903">
    <cfRule type="cellIs" dxfId="1" priority="894" stopIfTrue="1" operator="between">
      <formula>"Check"</formula>
      <formula>"Check"</formula>
    </cfRule>
  </conditionalFormatting>
  <conditionalFormatting sqref="R904">
    <cfRule type="cellIs" dxfId="1" priority="895" stopIfTrue="1" operator="between">
      <formula>"Check"</formula>
      <formula>"Check"</formula>
    </cfRule>
  </conditionalFormatting>
  <conditionalFormatting sqref="R905">
    <cfRule type="cellIs" dxfId="1" priority="896" stopIfTrue="1" operator="between">
      <formula>"Check"</formula>
      <formula>"Check"</formula>
    </cfRule>
  </conditionalFormatting>
  <conditionalFormatting sqref="R906">
    <cfRule type="cellIs" dxfId="1" priority="897" stopIfTrue="1" operator="between">
      <formula>"Check"</formula>
      <formula>"Check"</formula>
    </cfRule>
  </conditionalFormatting>
  <conditionalFormatting sqref="R907">
    <cfRule type="cellIs" dxfId="1" priority="898" stopIfTrue="1" operator="between">
      <formula>"Check"</formula>
      <formula>"Check"</formula>
    </cfRule>
  </conditionalFormatting>
  <conditionalFormatting sqref="R908">
    <cfRule type="cellIs" dxfId="1" priority="899" stopIfTrue="1" operator="between">
      <formula>"Check"</formula>
      <formula>"Check"</formula>
    </cfRule>
  </conditionalFormatting>
  <conditionalFormatting sqref="R909">
    <cfRule type="cellIs" dxfId="1" priority="900" stopIfTrue="1" operator="between">
      <formula>"Check"</formula>
      <formula>"Check"</formula>
    </cfRule>
  </conditionalFormatting>
  <conditionalFormatting sqref="R910">
    <cfRule type="cellIs" dxfId="1" priority="901" stopIfTrue="1" operator="between">
      <formula>"Check"</formula>
      <formula>"Check"</formula>
    </cfRule>
  </conditionalFormatting>
  <conditionalFormatting sqref="R911">
    <cfRule type="cellIs" dxfId="1" priority="902" stopIfTrue="1" operator="between">
      <formula>"Check"</formula>
      <formula>"Check"</formula>
    </cfRule>
  </conditionalFormatting>
  <conditionalFormatting sqref="R912">
    <cfRule type="cellIs" dxfId="1" priority="903" stopIfTrue="1" operator="between">
      <formula>"Check"</formula>
      <formula>"Check"</formula>
    </cfRule>
  </conditionalFormatting>
  <conditionalFormatting sqref="R913">
    <cfRule type="cellIs" dxfId="1" priority="904" stopIfTrue="1" operator="between">
      <formula>"Check"</formula>
      <formula>"Check"</formula>
    </cfRule>
  </conditionalFormatting>
  <conditionalFormatting sqref="R914">
    <cfRule type="cellIs" dxfId="1" priority="905" stopIfTrue="1" operator="between">
      <formula>"Check"</formula>
      <formula>"Check"</formula>
    </cfRule>
  </conditionalFormatting>
  <conditionalFormatting sqref="R915">
    <cfRule type="cellIs" dxfId="1" priority="906" stopIfTrue="1" operator="between">
      <formula>"Check"</formula>
      <formula>"Check"</formula>
    </cfRule>
  </conditionalFormatting>
  <conditionalFormatting sqref="R916">
    <cfRule type="cellIs" dxfId="1" priority="907" stopIfTrue="1" operator="between">
      <formula>"Check"</formula>
      <formula>"Check"</formula>
    </cfRule>
  </conditionalFormatting>
  <conditionalFormatting sqref="R917">
    <cfRule type="cellIs" dxfId="1" priority="908" stopIfTrue="1" operator="between">
      <formula>"Check"</formula>
      <formula>"Check"</formula>
    </cfRule>
  </conditionalFormatting>
  <conditionalFormatting sqref="R918">
    <cfRule type="cellIs" dxfId="1" priority="909" stopIfTrue="1" operator="between">
      <formula>"Check"</formula>
      <formula>"Check"</formula>
    </cfRule>
  </conditionalFormatting>
  <conditionalFormatting sqref="R919">
    <cfRule type="cellIs" dxfId="1" priority="910" stopIfTrue="1" operator="between">
      <formula>"Check"</formula>
      <formula>"Check"</formula>
    </cfRule>
  </conditionalFormatting>
  <conditionalFormatting sqref="R920">
    <cfRule type="cellIs" dxfId="1" priority="911" stopIfTrue="1" operator="between">
      <formula>"Check"</formula>
      <formula>"Check"</formula>
    </cfRule>
  </conditionalFormatting>
  <conditionalFormatting sqref="R921">
    <cfRule type="cellIs" dxfId="1" priority="912" stopIfTrue="1" operator="between">
      <formula>"Check"</formula>
      <formula>"Check"</formula>
    </cfRule>
  </conditionalFormatting>
  <conditionalFormatting sqref="R922">
    <cfRule type="cellIs" dxfId="1" priority="913" stopIfTrue="1" operator="between">
      <formula>"Check"</formula>
      <formula>"Check"</formula>
    </cfRule>
  </conditionalFormatting>
  <conditionalFormatting sqref="R923">
    <cfRule type="cellIs" dxfId="1" priority="914" stopIfTrue="1" operator="between">
      <formula>"Check"</formula>
      <formula>"Check"</formula>
    </cfRule>
  </conditionalFormatting>
  <conditionalFormatting sqref="R924">
    <cfRule type="cellIs" dxfId="1" priority="915" stopIfTrue="1" operator="between">
      <formula>"Check"</formula>
      <formula>"Check"</formula>
    </cfRule>
  </conditionalFormatting>
  <conditionalFormatting sqref="R925">
    <cfRule type="cellIs" dxfId="1" priority="916" stopIfTrue="1" operator="between">
      <formula>"Check"</formula>
      <formula>"Check"</formula>
    </cfRule>
  </conditionalFormatting>
  <conditionalFormatting sqref="R926">
    <cfRule type="cellIs" dxfId="1" priority="917" stopIfTrue="1" operator="between">
      <formula>"Check"</formula>
      <formula>"Check"</formula>
    </cfRule>
  </conditionalFormatting>
  <conditionalFormatting sqref="R927">
    <cfRule type="cellIs" dxfId="1" priority="918" stopIfTrue="1" operator="between">
      <formula>"Check"</formula>
      <formula>"Check"</formula>
    </cfRule>
  </conditionalFormatting>
  <conditionalFormatting sqref="R928">
    <cfRule type="cellIs" dxfId="1" priority="919" stopIfTrue="1" operator="between">
      <formula>"Check"</formula>
      <formula>"Check"</formula>
    </cfRule>
  </conditionalFormatting>
  <conditionalFormatting sqref="R929">
    <cfRule type="cellIs" dxfId="1" priority="920" stopIfTrue="1" operator="between">
      <formula>"Check"</formula>
      <formula>"Check"</formula>
    </cfRule>
  </conditionalFormatting>
  <conditionalFormatting sqref="R930">
    <cfRule type="cellIs" dxfId="1" priority="921" stopIfTrue="1" operator="between">
      <formula>"Check"</formula>
      <formula>"Check"</formula>
    </cfRule>
  </conditionalFormatting>
  <conditionalFormatting sqref="R931">
    <cfRule type="cellIs" dxfId="1" priority="922" stopIfTrue="1" operator="between">
      <formula>"Check"</formula>
      <formula>"Check"</formula>
    </cfRule>
  </conditionalFormatting>
  <conditionalFormatting sqref="R932">
    <cfRule type="cellIs" dxfId="1" priority="923" stopIfTrue="1" operator="between">
      <formula>"Check"</formula>
      <formula>"Check"</formula>
    </cfRule>
  </conditionalFormatting>
  <conditionalFormatting sqref="R933">
    <cfRule type="cellIs" dxfId="1" priority="924" stopIfTrue="1" operator="between">
      <formula>"Check"</formula>
      <formula>"Check"</formula>
    </cfRule>
  </conditionalFormatting>
  <conditionalFormatting sqref="R934">
    <cfRule type="cellIs" dxfId="1" priority="925" stopIfTrue="1" operator="between">
      <formula>"Check"</formula>
      <formula>"Check"</formula>
    </cfRule>
  </conditionalFormatting>
  <conditionalFormatting sqref="R935">
    <cfRule type="cellIs" dxfId="1" priority="926" stopIfTrue="1" operator="between">
      <formula>"Check"</formula>
      <formula>"Check"</formula>
    </cfRule>
  </conditionalFormatting>
  <conditionalFormatting sqref="R936">
    <cfRule type="cellIs" dxfId="1" priority="927" stopIfTrue="1" operator="between">
      <formula>"Check"</formula>
      <formula>"Check"</formula>
    </cfRule>
  </conditionalFormatting>
  <conditionalFormatting sqref="R937">
    <cfRule type="cellIs" dxfId="1" priority="928" stopIfTrue="1" operator="between">
      <formula>"Check"</formula>
      <formula>"Check"</formula>
    </cfRule>
  </conditionalFormatting>
  <conditionalFormatting sqref="R938">
    <cfRule type="cellIs" dxfId="1" priority="929" stopIfTrue="1" operator="between">
      <formula>"Check"</formula>
      <formula>"Check"</formula>
    </cfRule>
  </conditionalFormatting>
  <conditionalFormatting sqref="R939">
    <cfRule type="cellIs" dxfId="1" priority="930" stopIfTrue="1" operator="between">
      <formula>"Check"</formula>
      <formula>"Check"</formula>
    </cfRule>
  </conditionalFormatting>
  <conditionalFormatting sqref="R940">
    <cfRule type="cellIs" dxfId="1" priority="931" stopIfTrue="1" operator="between">
      <formula>"Check"</formula>
      <formula>"Check"</formula>
    </cfRule>
  </conditionalFormatting>
  <conditionalFormatting sqref="R941">
    <cfRule type="cellIs" dxfId="1" priority="932" stopIfTrue="1" operator="between">
      <formula>"Check"</formula>
      <formula>"Check"</formula>
    </cfRule>
  </conditionalFormatting>
  <conditionalFormatting sqref="R942">
    <cfRule type="cellIs" dxfId="1" priority="933" stopIfTrue="1" operator="between">
      <formula>"Check"</formula>
      <formula>"Check"</formula>
    </cfRule>
  </conditionalFormatting>
  <conditionalFormatting sqref="R943">
    <cfRule type="cellIs" dxfId="1" priority="934" stopIfTrue="1" operator="between">
      <formula>"Check"</formula>
      <formula>"Check"</formula>
    </cfRule>
  </conditionalFormatting>
  <conditionalFormatting sqref="R944">
    <cfRule type="cellIs" dxfId="1" priority="935" stopIfTrue="1" operator="between">
      <formula>"Check"</formula>
      <formula>"Check"</formula>
    </cfRule>
  </conditionalFormatting>
  <conditionalFormatting sqref="R945">
    <cfRule type="cellIs" dxfId="1" priority="936" stopIfTrue="1" operator="between">
      <formula>"Check"</formula>
      <formula>"Check"</formula>
    </cfRule>
  </conditionalFormatting>
  <conditionalFormatting sqref="R946">
    <cfRule type="cellIs" dxfId="1" priority="937" stopIfTrue="1" operator="between">
      <formula>"Check"</formula>
      <formula>"Check"</formula>
    </cfRule>
  </conditionalFormatting>
  <conditionalFormatting sqref="R947">
    <cfRule type="cellIs" dxfId="1" priority="938" stopIfTrue="1" operator="between">
      <formula>"Check"</formula>
      <formula>"Check"</formula>
    </cfRule>
  </conditionalFormatting>
  <conditionalFormatting sqref="R948">
    <cfRule type="cellIs" dxfId="1" priority="939" stopIfTrue="1" operator="between">
      <formula>"Check"</formula>
      <formula>"Check"</formula>
    </cfRule>
  </conditionalFormatting>
  <conditionalFormatting sqref="R949">
    <cfRule type="cellIs" dxfId="1" priority="940" stopIfTrue="1" operator="between">
      <formula>"Check"</formula>
      <formula>"Check"</formula>
    </cfRule>
  </conditionalFormatting>
  <conditionalFormatting sqref="R950">
    <cfRule type="cellIs" dxfId="1" priority="941" stopIfTrue="1" operator="between">
      <formula>"Check"</formula>
      <formula>"Check"</formula>
    </cfRule>
  </conditionalFormatting>
  <conditionalFormatting sqref="R951">
    <cfRule type="cellIs" dxfId="1" priority="942" stopIfTrue="1" operator="between">
      <formula>"Check"</formula>
      <formula>"Check"</formula>
    </cfRule>
  </conditionalFormatting>
  <conditionalFormatting sqref="R952">
    <cfRule type="cellIs" dxfId="1" priority="943" stopIfTrue="1" operator="between">
      <formula>"Check"</formula>
      <formula>"Check"</formula>
    </cfRule>
  </conditionalFormatting>
  <conditionalFormatting sqref="R953">
    <cfRule type="cellIs" dxfId="1" priority="944" stopIfTrue="1" operator="between">
      <formula>"Check"</formula>
      <formula>"Check"</formula>
    </cfRule>
  </conditionalFormatting>
  <conditionalFormatting sqref="R954">
    <cfRule type="cellIs" dxfId="1" priority="945" stopIfTrue="1" operator="between">
      <formula>"Check"</formula>
      <formula>"Check"</formula>
    </cfRule>
  </conditionalFormatting>
  <conditionalFormatting sqref="R955">
    <cfRule type="cellIs" dxfId="1" priority="946" stopIfTrue="1" operator="between">
      <formula>"Check"</formula>
      <formula>"Check"</formula>
    </cfRule>
  </conditionalFormatting>
  <conditionalFormatting sqref="R956">
    <cfRule type="cellIs" dxfId="1" priority="947" stopIfTrue="1" operator="between">
      <formula>"Check"</formula>
      <formula>"Check"</formula>
    </cfRule>
  </conditionalFormatting>
  <conditionalFormatting sqref="R957">
    <cfRule type="cellIs" dxfId="1" priority="948" stopIfTrue="1" operator="between">
      <formula>"Check"</formula>
      <formula>"Check"</formula>
    </cfRule>
  </conditionalFormatting>
  <conditionalFormatting sqref="R958">
    <cfRule type="cellIs" dxfId="1" priority="949" stopIfTrue="1" operator="between">
      <formula>"Check"</formula>
      <formula>"Check"</formula>
    </cfRule>
  </conditionalFormatting>
  <conditionalFormatting sqref="R959">
    <cfRule type="cellIs" dxfId="1" priority="950" stopIfTrue="1" operator="between">
      <formula>"Check"</formula>
      <formula>"Check"</formula>
    </cfRule>
  </conditionalFormatting>
  <conditionalFormatting sqref="R960">
    <cfRule type="cellIs" dxfId="1" priority="951" stopIfTrue="1" operator="between">
      <formula>"Check"</formula>
      <formula>"Check"</formula>
    </cfRule>
  </conditionalFormatting>
  <conditionalFormatting sqref="R961">
    <cfRule type="cellIs" dxfId="1" priority="952" stopIfTrue="1" operator="between">
      <formula>"Check"</formula>
      <formula>"Check"</formula>
    </cfRule>
  </conditionalFormatting>
  <conditionalFormatting sqref="R962">
    <cfRule type="cellIs" dxfId="1" priority="953" stopIfTrue="1" operator="between">
      <formula>"Check"</formula>
      <formula>"Check"</formula>
    </cfRule>
  </conditionalFormatting>
  <conditionalFormatting sqref="R963">
    <cfRule type="cellIs" dxfId="1" priority="954" stopIfTrue="1" operator="between">
      <formula>"Check"</formula>
      <formula>"Check"</formula>
    </cfRule>
  </conditionalFormatting>
  <conditionalFormatting sqref="R964">
    <cfRule type="cellIs" dxfId="1" priority="955" stopIfTrue="1" operator="between">
      <formula>"Check"</formula>
      <formula>"Check"</formula>
    </cfRule>
  </conditionalFormatting>
  <conditionalFormatting sqref="R965">
    <cfRule type="cellIs" dxfId="1" priority="956" stopIfTrue="1" operator="between">
      <formula>"Check"</formula>
      <formula>"Check"</formula>
    </cfRule>
  </conditionalFormatting>
  <conditionalFormatting sqref="R966">
    <cfRule type="cellIs" dxfId="1" priority="957" stopIfTrue="1" operator="between">
      <formula>"Check"</formula>
      <formula>"Check"</formula>
    </cfRule>
  </conditionalFormatting>
  <conditionalFormatting sqref="R967">
    <cfRule type="cellIs" dxfId="1" priority="958" stopIfTrue="1" operator="between">
      <formula>"Check"</formula>
      <formula>"Check"</formula>
    </cfRule>
  </conditionalFormatting>
  <conditionalFormatting sqref="R968">
    <cfRule type="cellIs" dxfId="1" priority="959" stopIfTrue="1" operator="between">
      <formula>"Check"</formula>
      <formula>"Check"</formula>
    </cfRule>
  </conditionalFormatting>
  <conditionalFormatting sqref="R969">
    <cfRule type="cellIs" dxfId="1" priority="960" stopIfTrue="1" operator="between">
      <formula>"Check"</formula>
      <formula>"Check"</formula>
    </cfRule>
  </conditionalFormatting>
  <conditionalFormatting sqref="R970">
    <cfRule type="cellIs" dxfId="1" priority="961" stopIfTrue="1" operator="between">
      <formula>"Check"</formula>
      <formula>"Check"</formula>
    </cfRule>
  </conditionalFormatting>
  <conditionalFormatting sqref="R971">
    <cfRule type="cellIs" dxfId="1" priority="962" stopIfTrue="1" operator="between">
      <formula>"Check"</formula>
      <formula>"Check"</formula>
    </cfRule>
  </conditionalFormatting>
  <conditionalFormatting sqref="R972">
    <cfRule type="cellIs" dxfId="1" priority="963" stopIfTrue="1" operator="between">
      <formula>"Check"</formula>
      <formula>"Check"</formula>
    </cfRule>
  </conditionalFormatting>
  <conditionalFormatting sqref="R973">
    <cfRule type="cellIs" dxfId="1" priority="964" stopIfTrue="1" operator="between">
      <formula>"Check"</formula>
      <formula>"Check"</formula>
    </cfRule>
  </conditionalFormatting>
  <conditionalFormatting sqref="R974">
    <cfRule type="cellIs" dxfId="1" priority="965" stopIfTrue="1" operator="between">
      <formula>"Check"</formula>
      <formula>"Check"</formula>
    </cfRule>
  </conditionalFormatting>
  <conditionalFormatting sqref="R975">
    <cfRule type="cellIs" dxfId="1" priority="966" stopIfTrue="1" operator="between">
      <formula>"Check"</formula>
      <formula>"Check"</formula>
    </cfRule>
  </conditionalFormatting>
  <conditionalFormatting sqref="R976">
    <cfRule type="cellIs" dxfId="1" priority="967" stopIfTrue="1" operator="between">
      <formula>"Check"</formula>
      <formula>"Check"</formula>
    </cfRule>
  </conditionalFormatting>
  <conditionalFormatting sqref="R977">
    <cfRule type="cellIs" dxfId="1" priority="968" stopIfTrue="1" operator="between">
      <formula>"Check"</formula>
      <formula>"Check"</formula>
    </cfRule>
  </conditionalFormatting>
  <conditionalFormatting sqref="R978">
    <cfRule type="cellIs" dxfId="1" priority="969" stopIfTrue="1" operator="between">
      <formula>"Check"</formula>
      <formula>"Check"</formula>
    </cfRule>
  </conditionalFormatting>
  <conditionalFormatting sqref="R979">
    <cfRule type="cellIs" dxfId="1" priority="970" stopIfTrue="1" operator="between">
      <formula>"Check"</formula>
      <formula>"Check"</formula>
    </cfRule>
  </conditionalFormatting>
  <conditionalFormatting sqref="R980">
    <cfRule type="cellIs" dxfId="1" priority="971" stopIfTrue="1" operator="between">
      <formula>"Check"</formula>
      <formula>"Check"</formula>
    </cfRule>
  </conditionalFormatting>
  <conditionalFormatting sqref="R981">
    <cfRule type="cellIs" dxfId="1" priority="972" stopIfTrue="1" operator="between">
      <formula>"Check"</formula>
      <formula>"Check"</formula>
    </cfRule>
  </conditionalFormatting>
  <conditionalFormatting sqref="R982">
    <cfRule type="cellIs" dxfId="1" priority="973" stopIfTrue="1" operator="between">
      <formula>"Check"</formula>
      <formula>"Check"</formula>
    </cfRule>
  </conditionalFormatting>
  <conditionalFormatting sqref="R983">
    <cfRule type="cellIs" dxfId="1" priority="974" stopIfTrue="1" operator="between">
      <formula>"Check"</formula>
      <formula>"Check"</formula>
    </cfRule>
  </conditionalFormatting>
  <conditionalFormatting sqref="R984">
    <cfRule type="cellIs" dxfId="1" priority="975" stopIfTrue="1" operator="between">
      <formula>"Check"</formula>
      <formula>"Check"</formula>
    </cfRule>
  </conditionalFormatting>
  <conditionalFormatting sqref="R985">
    <cfRule type="cellIs" dxfId="1" priority="976" stopIfTrue="1" operator="between">
      <formula>"Check"</formula>
      <formula>"Check"</formula>
    </cfRule>
  </conditionalFormatting>
  <conditionalFormatting sqref="R986">
    <cfRule type="cellIs" dxfId="1" priority="977" stopIfTrue="1" operator="between">
      <formula>"Check"</formula>
      <formula>"Check"</formula>
    </cfRule>
  </conditionalFormatting>
  <conditionalFormatting sqref="R987">
    <cfRule type="cellIs" dxfId="1" priority="978" stopIfTrue="1" operator="between">
      <formula>"Check"</formula>
      <formula>"Check"</formula>
    </cfRule>
  </conditionalFormatting>
  <conditionalFormatting sqref="R988">
    <cfRule type="cellIs" dxfId="1" priority="979" stopIfTrue="1" operator="between">
      <formula>"Check"</formula>
      <formula>"Check"</formula>
    </cfRule>
  </conditionalFormatting>
  <conditionalFormatting sqref="R989">
    <cfRule type="cellIs" dxfId="1" priority="980" stopIfTrue="1" operator="between">
      <formula>"Check"</formula>
      <formula>"Check"</formula>
    </cfRule>
  </conditionalFormatting>
  <conditionalFormatting sqref="R990">
    <cfRule type="cellIs" dxfId="1" priority="981" stopIfTrue="1" operator="between">
      <formula>"Check"</formula>
      <formula>"Check"</formula>
    </cfRule>
  </conditionalFormatting>
  <conditionalFormatting sqref="R991">
    <cfRule type="cellIs" dxfId="1" priority="982" stopIfTrue="1" operator="between">
      <formula>"Check"</formula>
      <formula>"Check"</formula>
    </cfRule>
  </conditionalFormatting>
  <conditionalFormatting sqref="R992">
    <cfRule type="cellIs" dxfId="1" priority="983" stopIfTrue="1" operator="between">
      <formula>"Check"</formula>
      <formula>"Check"</formula>
    </cfRule>
  </conditionalFormatting>
  <conditionalFormatting sqref="R993">
    <cfRule type="cellIs" dxfId="1" priority="984" stopIfTrue="1" operator="between">
      <formula>"Check"</formula>
      <formula>"Check"</formula>
    </cfRule>
  </conditionalFormatting>
  <conditionalFormatting sqref="R994">
    <cfRule type="cellIs" dxfId="1" priority="985" stopIfTrue="1" operator="between">
      <formula>"Check"</formula>
      <formula>"Check"</formula>
    </cfRule>
  </conditionalFormatting>
  <conditionalFormatting sqref="R995">
    <cfRule type="cellIs" dxfId="1" priority="986" stopIfTrue="1" operator="between">
      <formula>"Check"</formula>
      <formula>"Check"</formula>
    </cfRule>
  </conditionalFormatting>
  <conditionalFormatting sqref="R996">
    <cfRule type="cellIs" dxfId="1" priority="987" stopIfTrue="1" operator="between">
      <formula>"Check"</formula>
      <formula>"Check"</formula>
    </cfRule>
  </conditionalFormatting>
  <conditionalFormatting sqref="R997">
    <cfRule type="cellIs" dxfId="1" priority="988" stopIfTrue="1" operator="between">
      <formula>"Check"</formula>
      <formula>"Check"</formula>
    </cfRule>
  </conditionalFormatting>
  <conditionalFormatting sqref="R998">
    <cfRule type="cellIs" dxfId="1" priority="989" stopIfTrue="1" operator="between">
      <formula>"Check"</formula>
      <formula>"Check"</formula>
    </cfRule>
  </conditionalFormatting>
  <conditionalFormatting sqref="R999">
    <cfRule type="cellIs" dxfId="1" priority="990" stopIfTrue="1" operator="between">
      <formula>"Check"</formula>
      <formula>"Check"</formula>
    </cfRule>
  </conditionalFormatting>
  <conditionalFormatting sqref="R1000">
    <cfRule type="cellIs" dxfId="1" priority="991" stopIfTrue="1" operator="between">
      <formula>"Check"</formula>
      <formula>"Check"</formula>
    </cfRule>
  </conditionalFormatting>
  <conditionalFormatting sqref="R1001">
    <cfRule type="cellIs" dxfId="1" priority="992" stopIfTrue="1" operator="between">
      <formula>"Check"</formula>
      <formula>"Check"</formula>
    </cfRule>
  </conditionalFormatting>
  <conditionalFormatting sqref="R1002">
    <cfRule type="cellIs" dxfId="1" priority="993" stopIfTrue="1" operator="between">
      <formula>"Check"</formula>
      <formula>"Check"</formula>
    </cfRule>
  </conditionalFormatting>
  <conditionalFormatting sqref="R1003">
    <cfRule type="cellIs" dxfId="1" priority="994" stopIfTrue="1" operator="between">
      <formula>"Check"</formula>
      <formula>"Check"</formula>
    </cfRule>
  </conditionalFormatting>
  <conditionalFormatting sqref="R1004">
    <cfRule type="cellIs" dxfId="1" priority="995" stopIfTrue="1" operator="between">
      <formula>"Check"</formula>
      <formula>"Check"</formula>
    </cfRule>
  </conditionalFormatting>
  <conditionalFormatting sqref="R1005">
    <cfRule type="cellIs" dxfId="1" priority="996" stopIfTrue="1" operator="between">
      <formula>"Check"</formula>
      <formula>"Check"</formula>
    </cfRule>
  </conditionalFormatting>
  <conditionalFormatting sqref="R1006">
    <cfRule type="cellIs" dxfId="1" priority="997" stopIfTrue="1" operator="between">
      <formula>"Check"</formula>
      <formula>"Check"</formula>
    </cfRule>
  </conditionalFormatting>
  <conditionalFormatting sqref="R1007">
    <cfRule type="cellIs" dxfId="1" priority="998" stopIfTrue="1" operator="between">
      <formula>"Check"</formula>
      <formula>"Check"</formula>
    </cfRule>
  </conditionalFormatting>
  <conditionalFormatting sqref="R1008">
    <cfRule type="cellIs" dxfId="1" priority="999" stopIfTrue="1" operator="between">
      <formula>"Check"</formula>
      <formula>"Check"</formula>
    </cfRule>
  </conditionalFormatting>
  <conditionalFormatting sqref="R1009">
    <cfRule type="cellIs" dxfId="1" priority="1000" stopIfTrue="1" operator="between">
      <formula>"Check"</formula>
      <formula>"Check"</formula>
    </cfRule>
  </conditionalFormatting>
  <conditionalFormatting sqref="R1010">
    <cfRule type="cellIs" dxfId="1" priority="1001" stopIfTrue="1" operator="between">
      <formula>"Check"</formula>
      <formula>"Check"</formula>
    </cfRule>
  </conditionalFormatting>
  <conditionalFormatting sqref="R1011">
    <cfRule type="cellIs" dxfId="1" priority="1002" stopIfTrue="1" operator="between">
      <formula>"Check"</formula>
      <formula>"Check"</formula>
    </cfRule>
  </conditionalFormatting>
  <conditionalFormatting sqref="R1012">
    <cfRule type="cellIs" dxfId="1" priority="1003" stopIfTrue="1" operator="between">
      <formula>"Check"</formula>
      <formula>"Check"</formula>
    </cfRule>
  </conditionalFormatting>
  <conditionalFormatting sqref="R1013">
    <cfRule type="cellIs" dxfId="1" priority="1004" stopIfTrue="1" operator="between">
      <formula>"Check"</formula>
      <formula>"Check"</formula>
    </cfRule>
  </conditionalFormatting>
  <conditionalFormatting sqref="R1014">
    <cfRule type="cellIs" dxfId="1" priority="1005" stopIfTrue="1" operator="between">
      <formula>"Check"</formula>
      <formula>"Check"</formula>
    </cfRule>
  </conditionalFormatting>
  <conditionalFormatting sqref="R1015">
    <cfRule type="cellIs" dxfId="1" priority="1006" stopIfTrue="1" operator="between">
      <formula>"Check"</formula>
      <formula>"Check"</formula>
    </cfRule>
  </conditionalFormatting>
  <conditionalFormatting sqref="R1016">
    <cfRule type="cellIs" dxfId="1" priority="1007" stopIfTrue="1" operator="between">
      <formula>"Check"</formula>
      <formula>"Check"</formula>
    </cfRule>
  </conditionalFormatting>
  <conditionalFormatting sqref="R1017">
    <cfRule type="cellIs" dxfId="1" priority="1008" stopIfTrue="1" operator="between">
      <formula>"Check"</formula>
      <formula>"Check"</formula>
    </cfRule>
  </conditionalFormatting>
  <conditionalFormatting sqref="R1018">
    <cfRule type="cellIs" dxfId="1" priority="1009" stopIfTrue="1" operator="between">
      <formula>"Check"</formula>
      <formula>"Check"</formula>
    </cfRule>
  </conditionalFormatting>
  <conditionalFormatting sqref="R1019">
    <cfRule type="cellIs" dxfId="1" priority="1010" stopIfTrue="1" operator="between">
      <formula>"Check"</formula>
      <formula>"Check"</formula>
    </cfRule>
  </conditionalFormatting>
  <conditionalFormatting sqref="R1020">
    <cfRule type="cellIs" dxfId="1" priority="1011" stopIfTrue="1" operator="between">
      <formula>"Check"</formula>
      <formula>"Check"</formula>
    </cfRule>
  </conditionalFormatting>
  <conditionalFormatting sqref="R1021">
    <cfRule type="cellIs" dxfId="1" priority="1012" stopIfTrue="1" operator="between">
      <formula>"Check"</formula>
      <formula>"Check"</formula>
    </cfRule>
  </conditionalFormatting>
  <conditionalFormatting sqref="R1022">
    <cfRule type="cellIs" dxfId="1" priority="1013" stopIfTrue="1" operator="between">
      <formula>"Check"</formula>
      <formula>"Check"</formula>
    </cfRule>
  </conditionalFormatting>
  <conditionalFormatting sqref="R1023">
    <cfRule type="cellIs" dxfId="1" priority="1014" stopIfTrue="1" operator="between">
      <formula>"Check"</formula>
      <formula>"Check"</formula>
    </cfRule>
  </conditionalFormatting>
  <conditionalFormatting sqref="R1024">
    <cfRule type="cellIs" dxfId="1" priority="1015" stopIfTrue="1" operator="between">
      <formula>"Check"</formula>
      <formula>"Check"</formula>
    </cfRule>
  </conditionalFormatting>
  <conditionalFormatting sqref="R1025">
    <cfRule type="cellIs" dxfId="1" priority="1016" stopIfTrue="1" operator="between">
      <formula>"Check"</formula>
      <formula>"Check"</formula>
    </cfRule>
  </conditionalFormatting>
  <conditionalFormatting sqref="R1026">
    <cfRule type="cellIs" dxfId="1" priority="1017" stopIfTrue="1" operator="between">
      <formula>"Check"</formula>
      <formula>"Check"</formula>
    </cfRule>
  </conditionalFormatting>
  <conditionalFormatting sqref="R1027">
    <cfRule type="cellIs" dxfId="1" priority="1018" stopIfTrue="1" operator="between">
      <formula>"Check"</formula>
      <formula>"Check"</formula>
    </cfRule>
  </conditionalFormatting>
  <conditionalFormatting sqref="R1028">
    <cfRule type="cellIs" dxfId="1" priority="1019" stopIfTrue="1" operator="between">
      <formula>"Check"</formula>
      <formula>"Check"</formula>
    </cfRule>
  </conditionalFormatting>
  <conditionalFormatting sqref="R1029">
    <cfRule type="cellIs" dxfId="1" priority="1020" stopIfTrue="1" operator="between">
      <formula>"Check"</formula>
      <formula>"Check"</formula>
    </cfRule>
  </conditionalFormatting>
  <conditionalFormatting sqref="R1030">
    <cfRule type="cellIs" dxfId="1" priority="1021" stopIfTrue="1" operator="between">
      <formula>"Check"</formula>
      <formula>"Check"</formula>
    </cfRule>
  </conditionalFormatting>
  <conditionalFormatting sqref="R1031">
    <cfRule type="cellIs" dxfId="1" priority="1022" stopIfTrue="1" operator="between">
      <formula>"Check"</formula>
      <formula>"Check"</formula>
    </cfRule>
  </conditionalFormatting>
  <conditionalFormatting sqref="R1032">
    <cfRule type="cellIs" dxfId="1" priority="1023" stopIfTrue="1" operator="between">
      <formula>"Check"</formula>
      <formula>"Check"</formula>
    </cfRule>
  </conditionalFormatting>
  <conditionalFormatting sqref="R1033">
    <cfRule type="cellIs" dxfId="1" priority="1024" stopIfTrue="1" operator="between">
      <formula>"Check"</formula>
      <formula>"Check"</formula>
    </cfRule>
  </conditionalFormatting>
  <conditionalFormatting sqref="R1034">
    <cfRule type="cellIs" dxfId="1" priority="1025" stopIfTrue="1" operator="between">
      <formula>"Check"</formula>
      <formula>"Check"</formula>
    </cfRule>
  </conditionalFormatting>
  <conditionalFormatting sqref="R1035">
    <cfRule type="cellIs" dxfId="1" priority="1026" stopIfTrue="1" operator="between">
      <formula>"Check"</formula>
      <formula>"Check"</formula>
    </cfRule>
  </conditionalFormatting>
  <conditionalFormatting sqref="R1036">
    <cfRule type="cellIs" dxfId="1" priority="1027" stopIfTrue="1" operator="between">
      <formula>"Check"</formula>
      <formula>"Check"</formula>
    </cfRule>
  </conditionalFormatting>
  <conditionalFormatting sqref="R1037">
    <cfRule type="cellIs" dxfId="1" priority="1028" stopIfTrue="1" operator="between">
      <formula>"Check"</formula>
      <formula>"Check"</formula>
    </cfRule>
  </conditionalFormatting>
  <conditionalFormatting sqref="R1038">
    <cfRule type="cellIs" dxfId="1" priority="1029" stopIfTrue="1" operator="between">
      <formula>"Check"</formula>
      <formula>"Check"</formula>
    </cfRule>
  </conditionalFormatting>
  <conditionalFormatting sqref="R1039">
    <cfRule type="cellIs" dxfId="1" priority="1030" stopIfTrue="1" operator="between">
      <formula>"Check"</formula>
      <formula>"Check"</formula>
    </cfRule>
  </conditionalFormatting>
  <conditionalFormatting sqref="R1040">
    <cfRule type="cellIs" dxfId="1" priority="1031" stopIfTrue="1" operator="between">
      <formula>"Check"</formula>
      <formula>"Check"</formula>
    </cfRule>
  </conditionalFormatting>
  <conditionalFormatting sqref="R1041">
    <cfRule type="cellIs" dxfId="1" priority="1032" stopIfTrue="1" operator="between">
      <formula>"Check"</formula>
      <formula>"Check"</formula>
    </cfRule>
  </conditionalFormatting>
  <conditionalFormatting sqref="R1042">
    <cfRule type="cellIs" dxfId="1" priority="1033" stopIfTrue="1" operator="between">
      <formula>"Check"</formula>
      <formula>"Check"</formula>
    </cfRule>
  </conditionalFormatting>
  <conditionalFormatting sqref="R1043">
    <cfRule type="cellIs" dxfId="1" priority="1034" stopIfTrue="1" operator="between">
      <formula>"Check"</formula>
      <formula>"Check"</formula>
    </cfRule>
  </conditionalFormatting>
  <conditionalFormatting sqref="R1044">
    <cfRule type="cellIs" dxfId="1" priority="1035" stopIfTrue="1" operator="between">
      <formula>"Check"</formula>
      <formula>"Check"</formula>
    </cfRule>
  </conditionalFormatting>
  <conditionalFormatting sqref="R1045">
    <cfRule type="cellIs" dxfId="1" priority="1036" stopIfTrue="1" operator="between">
      <formula>"Check"</formula>
      <formula>"Check"</formula>
    </cfRule>
  </conditionalFormatting>
  <conditionalFormatting sqref="R1046">
    <cfRule type="cellIs" dxfId="1" priority="1037" stopIfTrue="1" operator="between">
      <formula>"Check"</formula>
      <formula>"Check"</formula>
    </cfRule>
  </conditionalFormatting>
  <conditionalFormatting sqref="R1047">
    <cfRule type="cellIs" dxfId="1" priority="1038" stopIfTrue="1" operator="between">
      <formula>"Check"</formula>
      <formula>"Check"</formula>
    </cfRule>
  </conditionalFormatting>
  <conditionalFormatting sqref="R1048">
    <cfRule type="cellIs" dxfId="1" priority="1039" stopIfTrue="1" operator="between">
      <formula>"Check"</formula>
      <formula>"Check"</formula>
    </cfRule>
  </conditionalFormatting>
  <conditionalFormatting sqref="R1049">
    <cfRule type="cellIs" dxfId="1" priority="1040" stopIfTrue="1" operator="between">
      <formula>"Check"</formula>
      <formula>"Check"</formula>
    </cfRule>
  </conditionalFormatting>
  <conditionalFormatting sqref="R1050">
    <cfRule type="cellIs" dxfId="1" priority="1041" stopIfTrue="1" operator="between">
      <formula>"Check"</formula>
      <formula>"Check"</formula>
    </cfRule>
  </conditionalFormatting>
  <conditionalFormatting sqref="R1051">
    <cfRule type="cellIs" dxfId="1" priority="1042" stopIfTrue="1" operator="between">
      <formula>"Check"</formula>
      <formula>"Check"</formula>
    </cfRule>
  </conditionalFormatting>
  <conditionalFormatting sqref="R1052">
    <cfRule type="cellIs" dxfId="1" priority="1043" stopIfTrue="1" operator="between">
      <formula>"Check"</formula>
      <formula>"Check"</formula>
    </cfRule>
  </conditionalFormatting>
  <conditionalFormatting sqref="R1053">
    <cfRule type="cellIs" dxfId="1" priority="1044" stopIfTrue="1" operator="between">
      <formula>"Check"</formula>
      <formula>"Check"</formula>
    </cfRule>
  </conditionalFormatting>
  <conditionalFormatting sqref="R1054">
    <cfRule type="cellIs" dxfId="1" priority="1045" stopIfTrue="1" operator="between">
      <formula>"Check"</formula>
      <formula>"Check"</formula>
    </cfRule>
  </conditionalFormatting>
  <conditionalFormatting sqref="R1055">
    <cfRule type="cellIs" dxfId="1" priority="1046" stopIfTrue="1" operator="between">
      <formula>"Check"</formula>
      <formula>"Check"</formula>
    </cfRule>
  </conditionalFormatting>
  <conditionalFormatting sqref="R1056">
    <cfRule type="cellIs" dxfId="1" priority="1047" stopIfTrue="1" operator="between">
      <formula>"Check"</formula>
      <formula>"Check"</formula>
    </cfRule>
  </conditionalFormatting>
  <conditionalFormatting sqref="R1057">
    <cfRule type="cellIs" dxfId="1" priority="1048" stopIfTrue="1" operator="between">
      <formula>"Check"</formula>
      <formula>"Check"</formula>
    </cfRule>
  </conditionalFormatting>
  <conditionalFormatting sqref="R1058">
    <cfRule type="cellIs" dxfId="1" priority="1049" stopIfTrue="1" operator="between">
      <formula>"Check"</formula>
      <formula>"Check"</formula>
    </cfRule>
  </conditionalFormatting>
  <conditionalFormatting sqref="R1059">
    <cfRule type="cellIs" dxfId="1" priority="1050" stopIfTrue="1" operator="between">
      <formula>"Check"</formula>
      <formula>"Check"</formula>
    </cfRule>
  </conditionalFormatting>
  <conditionalFormatting sqref="R1060">
    <cfRule type="cellIs" dxfId="1" priority="1051" stopIfTrue="1" operator="between">
      <formula>"Check"</formula>
      <formula>"Check"</formula>
    </cfRule>
  </conditionalFormatting>
  <conditionalFormatting sqref="R1061">
    <cfRule type="cellIs" dxfId="1" priority="1052" stopIfTrue="1" operator="between">
      <formula>"Check"</formula>
      <formula>"Check"</formula>
    </cfRule>
  </conditionalFormatting>
  <conditionalFormatting sqref="R1062">
    <cfRule type="cellIs" dxfId="1" priority="1053" stopIfTrue="1" operator="between">
      <formula>"Check"</formula>
      <formula>"Check"</formula>
    </cfRule>
  </conditionalFormatting>
  <conditionalFormatting sqref="R1063">
    <cfRule type="cellIs" dxfId="1" priority="1054" stopIfTrue="1" operator="between">
      <formula>"Check"</formula>
      <formula>"Check"</formula>
    </cfRule>
  </conditionalFormatting>
  <conditionalFormatting sqref="R1064">
    <cfRule type="cellIs" dxfId="1" priority="1055" stopIfTrue="1" operator="between">
      <formula>"Check"</formula>
      <formula>"Check"</formula>
    </cfRule>
  </conditionalFormatting>
  <conditionalFormatting sqref="R1065">
    <cfRule type="cellIs" dxfId="1" priority="1056" stopIfTrue="1" operator="between">
      <formula>"Check"</formula>
      <formula>"Check"</formula>
    </cfRule>
  </conditionalFormatting>
  <conditionalFormatting sqref="R1066">
    <cfRule type="cellIs" dxfId="1" priority="1057" stopIfTrue="1" operator="between">
      <formula>"Check"</formula>
      <formula>"Check"</formula>
    </cfRule>
  </conditionalFormatting>
  <conditionalFormatting sqref="R1067">
    <cfRule type="cellIs" dxfId="1" priority="1058" stopIfTrue="1" operator="between">
      <formula>"Check"</formula>
      <formula>"Check"</formula>
    </cfRule>
  </conditionalFormatting>
  <conditionalFormatting sqref="R1068">
    <cfRule type="cellIs" dxfId="1" priority="1059" stopIfTrue="1" operator="between">
      <formula>"Check"</formula>
      <formula>"Check"</formula>
    </cfRule>
  </conditionalFormatting>
  <conditionalFormatting sqref="R1069">
    <cfRule type="cellIs" dxfId="1" priority="1060" stopIfTrue="1" operator="between">
      <formula>"Check"</formula>
      <formula>"Check"</formula>
    </cfRule>
  </conditionalFormatting>
  <conditionalFormatting sqref="R1070">
    <cfRule type="cellIs" dxfId="1" priority="1061" stopIfTrue="1" operator="between">
      <formula>"Check"</formula>
      <formula>"Check"</formula>
    </cfRule>
  </conditionalFormatting>
  <conditionalFormatting sqref="R1071">
    <cfRule type="cellIs" dxfId="1" priority="1062" stopIfTrue="1" operator="between">
      <formula>"Check"</formula>
      <formula>"Check"</formula>
    </cfRule>
  </conditionalFormatting>
  <conditionalFormatting sqref="R1072">
    <cfRule type="cellIs" dxfId="1" priority="1063" stopIfTrue="1" operator="between">
      <formula>"Check"</formula>
      <formula>"Check"</formula>
    </cfRule>
  </conditionalFormatting>
  <conditionalFormatting sqref="R1073">
    <cfRule type="cellIs" dxfId="1" priority="1064" stopIfTrue="1" operator="between">
      <formula>"Check"</formula>
      <formula>"Check"</formula>
    </cfRule>
  </conditionalFormatting>
  <conditionalFormatting sqref="R1074">
    <cfRule type="cellIs" dxfId="1" priority="1065" stopIfTrue="1" operator="between">
      <formula>"Check"</formula>
      <formula>"Check"</formula>
    </cfRule>
  </conditionalFormatting>
  <conditionalFormatting sqref="R1075">
    <cfRule type="cellIs" dxfId="1" priority="1066" stopIfTrue="1" operator="between">
      <formula>"Check"</formula>
      <formula>"Check"</formula>
    </cfRule>
  </conditionalFormatting>
  <conditionalFormatting sqref="R1076">
    <cfRule type="cellIs" dxfId="1" priority="1067" stopIfTrue="1" operator="between">
      <formula>"Check"</formula>
      <formula>"Check"</formula>
    </cfRule>
  </conditionalFormatting>
  <conditionalFormatting sqref="R1077">
    <cfRule type="cellIs" dxfId="1" priority="1068" stopIfTrue="1" operator="between">
      <formula>"Check"</formula>
      <formula>"Check"</formula>
    </cfRule>
  </conditionalFormatting>
  <conditionalFormatting sqref="R1078">
    <cfRule type="cellIs" dxfId="1" priority="1069" stopIfTrue="1" operator="between">
      <formula>"Check"</formula>
      <formula>"Check"</formula>
    </cfRule>
  </conditionalFormatting>
  <conditionalFormatting sqref="R1079">
    <cfRule type="cellIs" dxfId="1" priority="1070" stopIfTrue="1" operator="between">
      <formula>"Check"</formula>
      <formula>"Check"</formula>
    </cfRule>
  </conditionalFormatting>
  <conditionalFormatting sqref="R1080">
    <cfRule type="cellIs" dxfId="1" priority="1071" stopIfTrue="1" operator="between">
      <formula>"Check"</formula>
      <formula>"Check"</formula>
    </cfRule>
  </conditionalFormatting>
  <conditionalFormatting sqref="R1081">
    <cfRule type="cellIs" dxfId="1" priority="1072" stopIfTrue="1" operator="between">
      <formula>"Check"</formula>
      <formula>"Check"</formula>
    </cfRule>
  </conditionalFormatting>
  <conditionalFormatting sqref="R1082">
    <cfRule type="cellIs" dxfId="1" priority="1073" stopIfTrue="1" operator="between">
      <formula>"Check"</formula>
      <formula>"Check"</formula>
    </cfRule>
  </conditionalFormatting>
  <conditionalFormatting sqref="R1083">
    <cfRule type="cellIs" dxfId="1" priority="1074" stopIfTrue="1" operator="between">
      <formula>"Check"</formula>
      <formula>"Check"</formula>
    </cfRule>
  </conditionalFormatting>
  <conditionalFormatting sqref="R1084">
    <cfRule type="cellIs" dxfId="1" priority="1075" stopIfTrue="1" operator="between">
      <formula>"Check"</formula>
      <formula>"Check"</formula>
    </cfRule>
  </conditionalFormatting>
  <conditionalFormatting sqref="R1085">
    <cfRule type="cellIs" dxfId="1" priority="1076" stopIfTrue="1" operator="between">
      <formula>"Check"</formula>
      <formula>"Check"</formula>
    </cfRule>
  </conditionalFormatting>
  <conditionalFormatting sqref="R1086">
    <cfRule type="cellIs" dxfId="1" priority="1077" stopIfTrue="1" operator="between">
      <formula>"Check"</formula>
      <formula>"Check"</formula>
    </cfRule>
  </conditionalFormatting>
  <conditionalFormatting sqref="R1087">
    <cfRule type="cellIs" dxfId="1" priority="1078" stopIfTrue="1" operator="between">
      <formula>"Check"</formula>
      <formula>"Check"</formula>
    </cfRule>
  </conditionalFormatting>
  <conditionalFormatting sqref="R1088">
    <cfRule type="cellIs" dxfId="1" priority="1079" stopIfTrue="1" operator="between">
      <formula>"Check"</formula>
      <formula>"Check"</formula>
    </cfRule>
  </conditionalFormatting>
  <conditionalFormatting sqref="R1089">
    <cfRule type="cellIs" dxfId="1" priority="1080" stopIfTrue="1" operator="between">
      <formula>"Check"</formula>
      <formula>"Check"</formula>
    </cfRule>
  </conditionalFormatting>
  <conditionalFormatting sqref="R1090">
    <cfRule type="cellIs" dxfId="1" priority="1081" stopIfTrue="1" operator="between">
      <formula>"Check"</formula>
      <formula>"Check"</formula>
    </cfRule>
  </conditionalFormatting>
  <conditionalFormatting sqref="R1091">
    <cfRule type="cellIs" dxfId="1" priority="1082" stopIfTrue="1" operator="between">
      <formula>"Check"</formula>
      <formula>"Check"</formula>
    </cfRule>
  </conditionalFormatting>
  <conditionalFormatting sqref="R1092">
    <cfRule type="cellIs" dxfId="1" priority="1083" stopIfTrue="1" operator="between">
      <formula>"Check"</formula>
      <formula>"Check"</formula>
    </cfRule>
  </conditionalFormatting>
  <conditionalFormatting sqref="R1093">
    <cfRule type="cellIs" dxfId="1" priority="1084" stopIfTrue="1" operator="between">
      <formula>"Check"</formula>
      <formula>"Check"</formula>
    </cfRule>
  </conditionalFormatting>
  <conditionalFormatting sqref="R1094">
    <cfRule type="cellIs" dxfId="1" priority="1085" stopIfTrue="1" operator="between">
      <formula>"Check"</formula>
      <formula>"Check"</formula>
    </cfRule>
  </conditionalFormatting>
  <conditionalFormatting sqref="R1095">
    <cfRule type="cellIs" dxfId="1" priority="1086" stopIfTrue="1" operator="between">
      <formula>"Check"</formula>
      <formula>"Check"</formula>
    </cfRule>
  </conditionalFormatting>
  <conditionalFormatting sqref="R1096">
    <cfRule type="cellIs" dxfId="1" priority="1087" stopIfTrue="1" operator="between">
      <formula>"Check"</formula>
      <formula>"Check"</formula>
    </cfRule>
  </conditionalFormatting>
  <conditionalFormatting sqref="R1097">
    <cfRule type="cellIs" dxfId="1" priority="1088" stopIfTrue="1" operator="between">
      <formula>"Check"</formula>
      <formula>"Check"</formula>
    </cfRule>
  </conditionalFormatting>
  <conditionalFormatting sqref="R1098">
    <cfRule type="cellIs" dxfId="1" priority="1089" stopIfTrue="1" operator="between">
      <formula>"Check"</formula>
      <formula>"Check"</formula>
    </cfRule>
  </conditionalFormatting>
  <conditionalFormatting sqref="R1099">
    <cfRule type="cellIs" dxfId="1" priority="1090" stopIfTrue="1" operator="between">
      <formula>"Check"</formula>
      <formula>"Check"</formula>
    </cfRule>
  </conditionalFormatting>
  <conditionalFormatting sqref="R1100">
    <cfRule type="cellIs" dxfId="1" priority="1091" stopIfTrue="1" operator="between">
      <formula>"Check"</formula>
      <formula>"Check"</formula>
    </cfRule>
  </conditionalFormatting>
  <conditionalFormatting sqref="R1101">
    <cfRule type="cellIs" dxfId="1" priority="1092" stopIfTrue="1" operator="between">
      <formula>"Check"</formula>
      <formula>"Check"</formula>
    </cfRule>
  </conditionalFormatting>
  <conditionalFormatting sqref="R1102">
    <cfRule type="cellIs" dxfId="1" priority="1093" stopIfTrue="1" operator="between">
      <formula>"Check"</formula>
      <formula>"Check"</formula>
    </cfRule>
  </conditionalFormatting>
  <conditionalFormatting sqref="R1103">
    <cfRule type="cellIs" dxfId="1" priority="1094" stopIfTrue="1" operator="between">
      <formula>"Check"</formula>
      <formula>"Check"</formula>
    </cfRule>
  </conditionalFormatting>
  <conditionalFormatting sqref="R1104">
    <cfRule type="cellIs" dxfId="1" priority="1095" stopIfTrue="1" operator="between">
      <formula>"Check"</formula>
      <formula>"Check"</formula>
    </cfRule>
  </conditionalFormatting>
  <conditionalFormatting sqref="R1105">
    <cfRule type="cellIs" dxfId="1" priority="1096" stopIfTrue="1" operator="between">
      <formula>"Check"</formula>
      <formula>"Check"</formula>
    </cfRule>
  </conditionalFormatting>
  <conditionalFormatting sqref="R1106">
    <cfRule type="cellIs" dxfId="1" priority="1097" stopIfTrue="1" operator="between">
      <formula>"Check"</formula>
      <formula>"Check"</formula>
    </cfRule>
  </conditionalFormatting>
  <conditionalFormatting sqref="R1107">
    <cfRule type="cellIs" dxfId="1" priority="1098" stopIfTrue="1" operator="between">
      <formula>"Check"</formula>
      <formula>"Check"</formula>
    </cfRule>
  </conditionalFormatting>
  <conditionalFormatting sqref="R1108">
    <cfRule type="cellIs" dxfId="1" priority="1099" stopIfTrue="1" operator="between">
      <formula>"Check"</formula>
      <formula>"Check"</formula>
    </cfRule>
  </conditionalFormatting>
  <conditionalFormatting sqref="R1109">
    <cfRule type="cellIs" dxfId="1" priority="1100" stopIfTrue="1" operator="between">
      <formula>"Check"</formula>
      <formula>"Check"</formula>
    </cfRule>
  </conditionalFormatting>
  <conditionalFormatting sqref="R1110">
    <cfRule type="cellIs" dxfId="1" priority="1101" stopIfTrue="1" operator="between">
      <formula>"Check"</formula>
      <formula>"Check"</formula>
    </cfRule>
  </conditionalFormatting>
  <conditionalFormatting sqref="R1111">
    <cfRule type="cellIs" dxfId="1" priority="1102" stopIfTrue="1" operator="between">
      <formula>"Check"</formula>
      <formula>"Check"</formula>
    </cfRule>
  </conditionalFormatting>
  <conditionalFormatting sqref="R1112">
    <cfRule type="cellIs" dxfId="1" priority="1103" stopIfTrue="1" operator="between">
      <formula>"Check"</formula>
      <formula>"Check"</formula>
    </cfRule>
  </conditionalFormatting>
  <conditionalFormatting sqref="R1113">
    <cfRule type="cellIs" dxfId="1" priority="1104" stopIfTrue="1" operator="between">
      <formula>"Check"</formula>
      <formula>"Check"</formula>
    </cfRule>
  </conditionalFormatting>
  <conditionalFormatting sqref="R1114">
    <cfRule type="cellIs" dxfId="1" priority="1105" stopIfTrue="1" operator="between">
      <formula>"Check"</formula>
      <formula>"Check"</formula>
    </cfRule>
  </conditionalFormatting>
  <conditionalFormatting sqref="R1115">
    <cfRule type="cellIs" dxfId="1" priority="1106" stopIfTrue="1" operator="between">
      <formula>"Check"</formula>
      <formula>"Check"</formula>
    </cfRule>
  </conditionalFormatting>
  <conditionalFormatting sqref="R1116">
    <cfRule type="cellIs" dxfId="1" priority="1107" stopIfTrue="1" operator="between">
      <formula>"Check"</formula>
      <formula>"Check"</formula>
    </cfRule>
  </conditionalFormatting>
  <conditionalFormatting sqref="R1117">
    <cfRule type="cellIs" dxfId="1" priority="1108" stopIfTrue="1" operator="between">
      <formula>"Check"</formula>
      <formula>"Check"</formula>
    </cfRule>
  </conditionalFormatting>
  <conditionalFormatting sqref="R1118">
    <cfRule type="cellIs" dxfId="1" priority="1109" stopIfTrue="1" operator="between">
      <formula>"Check"</formula>
      <formula>"Check"</formula>
    </cfRule>
  </conditionalFormatting>
  <conditionalFormatting sqref="R1119">
    <cfRule type="cellIs" dxfId="1" priority="1110" stopIfTrue="1" operator="between">
      <formula>"Check"</formula>
      <formula>"Check"</formula>
    </cfRule>
  </conditionalFormatting>
  <conditionalFormatting sqref="R1120">
    <cfRule type="cellIs" dxfId="1" priority="1111" stopIfTrue="1" operator="between">
      <formula>"Check"</formula>
      <formula>"Check"</formula>
    </cfRule>
  </conditionalFormatting>
  <conditionalFormatting sqref="R1121">
    <cfRule type="cellIs" dxfId="1" priority="1112" stopIfTrue="1" operator="between">
      <formula>"Check"</formula>
      <formula>"Check"</formula>
    </cfRule>
  </conditionalFormatting>
  <conditionalFormatting sqref="R1122">
    <cfRule type="cellIs" dxfId="1" priority="1113" stopIfTrue="1" operator="between">
      <formula>"Check"</formula>
      <formula>"Check"</formula>
    </cfRule>
  </conditionalFormatting>
  <conditionalFormatting sqref="R1123">
    <cfRule type="cellIs" dxfId="1" priority="1114" stopIfTrue="1" operator="between">
      <formula>"Check"</formula>
      <formula>"Check"</formula>
    </cfRule>
  </conditionalFormatting>
  <conditionalFormatting sqref="R1124">
    <cfRule type="cellIs" dxfId="1" priority="1115" stopIfTrue="1" operator="between">
      <formula>"Check"</formula>
      <formula>"Check"</formula>
    </cfRule>
  </conditionalFormatting>
  <conditionalFormatting sqref="R1125">
    <cfRule type="cellIs" dxfId="1" priority="1116" stopIfTrue="1" operator="between">
      <formula>"Check"</formula>
      <formula>"Check"</formula>
    </cfRule>
  </conditionalFormatting>
  <conditionalFormatting sqref="R1126">
    <cfRule type="cellIs" dxfId="1" priority="1117" stopIfTrue="1" operator="between">
      <formula>"Check"</formula>
      <formula>"Check"</formula>
    </cfRule>
  </conditionalFormatting>
  <conditionalFormatting sqref="R1127">
    <cfRule type="cellIs" dxfId="1" priority="1118" stopIfTrue="1" operator="between">
      <formula>"Check"</formula>
      <formula>"Check"</formula>
    </cfRule>
  </conditionalFormatting>
  <conditionalFormatting sqref="R1128">
    <cfRule type="cellIs" dxfId="1" priority="1119" stopIfTrue="1" operator="between">
      <formula>"Check"</formula>
      <formula>"Check"</formula>
    </cfRule>
  </conditionalFormatting>
  <conditionalFormatting sqref="R1129">
    <cfRule type="cellIs" dxfId="1" priority="1120" stopIfTrue="1" operator="between">
      <formula>"Check"</formula>
      <formula>"Check"</formula>
    </cfRule>
  </conditionalFormatting>
  <conditionalFormatting sqref="R1130">
    <cfRule type="cellIs" dxfId="1" priority="1121" stopIfTrue="1" operator="between">
      <formula>"Check"</formula>
      <formula>"Check"</formula>
    </cfRule>
  </conditionalFormatting>
  <conditionalFormatting sqref="R1131">
    <cfRule type="cellIs" dxfId="1" priority="1122" stopIfTrue="1" operator="between">
      <formula>"Check"</formula>
      <formula>"Check"</formula>
    </cfRule>
  </conditionalFormatting>
  <conditionalFormatting sqref="R1132">
    <cfRule type="cellIs" dxfId="1" priority="1123" stopIfTrue="1" operator="between">
      <formula>"Check"</formula>
      <formula>"Check"</formula>
    </cfRule>
  </conditionalFormatting>
  <conditionalFormatting sqref="R1133">
    <cfRule type="cellIs" dxfId="1" priority="1124" stopIfTrue="1" operator="between">
      <formula>"Check"</formula>
      <formula>"Check"</formula>
    </cfRule>
  </conditionalFormatting>
  <conditionalFormatting sqref="R1134">
    <cfRule type="cellIs" dxfId="1" priority="1125" stopIfTrue="1" operator="between">
      <formula>"Check"</formula>
      <formula>"Check"</formula>
    </cfRule>
  </conditionalFormatting>
  <conditionalFormatting sqref="R1135">
    <cfRule type="cellIs" dxfId="1" priority="1126" stopIfTrue="1" operator="between">
      <formula>"Check"</formula>
      <formula>"Check"</formula>
    </cfRule>
  </conditionalFormatting>
  <conditionalFormatting sqref="R1136">
    <cfRule type="cellIs" dxfId="1" priority="1127" stopIfTrue="1" operator="between">
      <formula>"Check"</formula>
      <formula>"Check"</formula>
    </cfRule>
  </conditionalFormatting>
  <conditionalFormatting sqref="R1137">
    <cfRule type="cellIs" dxfId="1" priority="1128" stopIfTrue="1" operator="between">
      <formula>"Check"</formula>
      <formula>"Check"</formula>
    </cfRule>
  </conditionalFormatting>
  <conditionalFormatting sqref="R1138">
    <cfRule type="cellIs" dxfId="1" priority="1129" stopIfTrue="1" operator="between">
      <formula>"Check"</formula>
      <formula>"Check"</formula>
    </cfRule>
  </conditionalFormatting>
  <conditionalFormatting sqref="R1139">
    <cfRule type="cellIs" dxfId="1" priority="1130" stopIfTrue="1" operator="between">
      <formula>"Check"</formula>
      <formula>"Check"</formula>
    </cfRule>
  </conditionalFormatting>
  <conditionalFormatting sqref="R1140">
    <cfRule type="cellIs" dxfId="1" priority="1131" stopIfTrue="1" operator="between">
      <formula>"Check"</formula>
      <formula>"Check"</formula>
    </cfRule>
  </conditionalFormatting>
  <conditionalFormatting sqref="R1141">
    <cfRule type="cellIs" dxfId="1" priority="1132" stopIfTrue="1" operator="between">
      <formula>"Check"</formula>
      <formula>"Check"</formula>
    </cfRule>
  </conditionalFormatting>
  <conditionalFormatting sqref="R1142">
    <cfRule type="cellIs" dxfId="1" priority="1133" stopIfTrue="1" operator="between">
      <formula>"Check"</formula>
      <formula>"Check"</formula>
    </cfRule>
  </conditionalFormatting>
  <conditionalFormatting sqref="R1143">
    <cfRule type="cellIs" dxfId="1" priority="1134" stopIfTrue="1" operator="between">
      <formula>"Check"</formula>
      <formula>"Check"</formula>
    </cfRule>
  </conditionalFormatting>
  <conditionalFormatting sqref="R1144">
    <cfRule type="cellIs" dxfId="1" priority="1135" stopIfTrue="1" operator="between">
      <formula>"Check"</formula>
      <formula>"Check"</formula>
    </cfRule>
  </conditionalFormatting>
  <conditionalFormatting sqref="R1145">
    <cfRule type="cellIs" dxfId="1" priority="1136" stopIfTrue="1" operator="between">
      <formula>"Check"</formula>
      <formula>"Check"</formula>
    </cfRule>
  </conditionalFormatting>
  <conditionalFormatting sqref="R1146">
    <cfRule type="cellIs" dxfId="1" priority="1137" stopIfTrue="1" operator="between">
      <formula>"Check"</formula>
      <formula>"Check"</formula>
    </cfRule>
  </conditionalFormatting>
  <conditionalFormatting sqref="R1147">
    <cfRule type="cellIs" dxfId="1" priority="1138" stopIfTrue="1" operator="between">
      <formula>"Check"</formula>
      <formula>"Check"</formula>
    </cfRule>
  </conditionalFormatting>
  <conditionalFormatting sqref="R1148">
    <cfRule type="cellIs" dxfId="1" priority="1139" stopIfTrue="1" operator="between">
      <formula>"Check"</formula>
      <formula>"Check"</formula>
    </cfRule>
  </conditionalFormatting>
  <conditionalFormatting sqref="R1149">
    <cfRule type="cellIs" dxfId="1" priority="1140" stopIfTrue="1" operator="between">
      <formula>"Check"</formula>
      <formula>"Check"</formula>
    </cfRule>
  </conditionalFormatting>
  <conditionalFormatting sqref="R1150">
    <cfRule type="cellIs" dxfId="1" priority="1141" stopIfTrue="1" operator="between">
      <formula>"Check"</formula>
      <formula>"Check"</formula>
    </cfRule>
  </conditionalFormatting>
  <conditionalFormatting sqref="R1151">
    <cfRule type="cellIs" dxfId="1" priority="1142" stopIfTrue="1" operator="between">
      <formula>"Check"</formula>
      <formula>"Check"</formula>
    </cfRule>
  </conditionalFormatting>
  <conditionalFormatting sqref="R1152">
    <cfRule type="cellIs" dxfId="1" priority="1143" stopIfTrue="1" operator="between">
      <formula>"Check"</formula>
      <formula>"Check"</formula>
    </cfRule>
  </conditionalFormatting>
  <conditionalFormatting sqref="R1153">
    <cfRule type="cellIs" dxfId="1" priority="1144" stopIfTrue="1" operator="between">
      <formula>"Check"</formula>
      <formula>"Check"</formula>
    </cfRule>
  </conditionalFormatting>
  <conditionalFormatting sqref="R1154">
    <cfRule type="cellIs" dxfId="1" priority="1145" stopIfTrue="1" operator="between">
      <formula>"Check"</formula>
      <formula>"Check"</formula>
    </cfRule>
  </conditionalFormatting>
  <conditionalFormatting sqref="R1155">
    <cfRule type="cellIs" dxfId="1" priority="1146" stopIfTrue="1" operator="between">
      <formula>"Check"</formula>
      <formula>"Check"</formula>
    </cfRule>
  </conditionalFormatting>
  <conditionalFormatting sqref="R1156">
    <cfRule type="cellIs" dxfId="1" priority="1147" stopIfTrue="1" operator="between">
      <formula>"Check"</formula>
      <formula>"Check"</formula>
    </cfRule>
  </conditionalFormatting>
  <conditionalFormatting sqref="R1157">
    <cfRule type="cellIs" dxfId="1" priority="1148" stopIfTrue="1" operator="between">
      <formula>"Check"</formula>
      <formula>"Check"</formula>
    </cfRule>
  </conditionalFormatting>
  <conditionalFormatting sqref="R1158">
    <cfRule type="cellIs" dxfId="1" priority="1149" stopIfTrue="1" operator="between">
      <formula>"Check"</formula>
      <formula>"Check"</formula>
    </cfRule>
  </conditionalFormatting>
  <conditionalFormatting sqref="R1159">
    <cfRule type="cellIs" dxfId="1" priority="1150" stopIfTrue="1" operator="between">
      <formula>"Check"</formula>
      <formula>"Check"</formula>
    </cfRule>
  </conditionalFormatting>
  <conditionalFormatting sqref="R1160">
    <cfRule type="cellIs" dxfId="1" priority="1151" stopIfTrue="1" operator="between">
      <formula>"Check"</formula>
      <formula>"Check"</formula>
    </cfRule>
  </conditionalFormatting>
  <conditionalFormatting sqref="R1161">
    <cfRule type="cellIs" dxfId="1" priority="1152" stopIfTrue="1" operator="between">
      <formula>"Check"</formula>
      <formula>"Check"</formula>
    </cfRule>
  </conditionalFormatting>
  <conditionalFormatting sqref="R1162">
    <cfRule type="cellIs" dxfId="1" priority="1153" stopIfTrue="1" operator="between">
      <formula>"Check"</formula>
      <formula>"Check"</formula>
    </cfRule>
  </conditionalFormatting>
  <conditionalFormatting sqref="R1163">
    <cfRule type="cellIs" dxfId="1" priority="1154" stopIfTrue="1" operator="between">
      <formula>"Check"</formula>
      <formula>"Check"</formula>
    </cfRule>
  </conditionalFormatting>
  <conditionalFormatting sqref="R1164">
    <cfRule type="cellIs" dxfId="1" priority="1155" stopIfTrue="1" operator="between">
      <formula>"Check"</formula>
      <formula>"Check"</formula>
    </cfRule>
  </conditionalFormatting>
  <conditionalFormatting sqref="R1165">
    <cfRule type="cellIs" dxfId="1" priority="1156" stopIfTrue="1" operator="between">
      <formula>"Check"</formula>
      <formula>"Check"</formula>
    </cfRule>
  </conditionalFormatting>
  <conditionalFormatting sqref="R1166">
    <cfRule type="cellIs" dxfId="1" priority="1157" stopIfTrue="1" operator="between">
      <formula>"Check"</formula>
      <formula>"Check"</formula>
    </cfRule>
  </conditionalFormatting>
  <conditionalFormatting sqref="R1167">
    <cfRule type="cellIs" dxfId="1" priority="1158" stopIfTrue="1" operator="between">
      <formula>"Check"</formula>
      <formula>"Check"</formula>
    </cfRule>
  </conditionalFormatting>
  <conditionalFormatting sqref="R1168">
    <cfRule type="cellIs" dxfId="1" priority="1159" stopIfTrue="1" operator="between">
      <formula>"Check"</formula>
      <formula>"Check"</formula>
    </cfRule>
  </conditionalFormatting>
  <conditionalFormatting sqref="R1169">
    <cfRule type="cellIs" dxfId="1" priority="1160" stopIfTrue="1" operator="between">
      <formula>"Check"</formula>
      <formula>"Check"</formula>
    </cfRule>
  </conditionalFormatting>
  <conditionalFormatting sqref="R1170">
    <cfRule type="cellIs" dxfId="1" priority="1161" stopIfTrue="1" operator="between">
      <formula>"Check"</formula>
      <formula>"Check"</formula>
    </cfRule>
  </conditionalFormatting>
  <conditionalFormatting sqref="R1171">
    <cfRule type="cellIs" dxfId="1" priority="1162" stopIfTrue="1" operator="between">
      <formula>"Check"</formula>
      <formula>"Check"</formula>
    </cfRule>
  </conditionalFormatting>
  <conditionalFormatting sqref="R1172">
    <cfRule type="cellIs" dxfId="1" priority="1163" stopIfTrue="1" operator="between">
      <formula>"Check"</formula>
      <formula>"Check"</formula>
    </cfRule>
  </conditionalFormatting>
  <conditionalFormatting sqref="R1173">
    <cfRule type="cellIs" dxfId="1" priority="1164" stopIfTrue="1" operator="between">
      <formula>"Check"</formula>
      <formula>"Check"</formula>
    </cfRule>
  </conditionalFormatting>
  <conditionalFormatting sqref="R1174">
    <cfRule type="cellIs" dxfId="1" priority="1165" stopIfTrue="1" operator="between">
      <formula>"Check"</formula>
      <formula>"Check"</formula>
    </cfRule>
  </conditionalFormatting>
  <conditionalFormatting sqref="R1175">
    <cfRule type="cellIs" dxfId="1" priority="1166" stopIfTrue="1" operator="between">
      <formula>"Check"</formula>
      <formula>"Check"</formula>
    </cfRule>
  </conditionalFormatting>
  <conditionalFormatting sqref="R1176">
    <cfRule type="cellIs" dxfId="1" priority="1167" stopIfTrue="1" operator="between">
      <formula>"Check"</formula>
      <formula>"Check"</formula>
    </cfRule>
  </conditionalFormatting>
  <conditionalFormatting sqref="R1177">
    <cfRule type="cellIs" dxfId="1" priority="1168" stopIfTrue="1" operator="between">
      <formula>"Check"</formula>
      <formula>"Check"</formula>
    </cfRule>
  </conditionalFormatting>
  <conditionalFormatting sqref="R1178">
    <cfRule type="cellIs" dxfId="1" priority="1169" stopIfTrue="1" operator="between">
      <formula>"Check"</formula>
      <formula>"Check"</formula>
    </cfRule>
  </conditionalFormatting>
  <conditionalFormatting sqref="R1179">
    <cfRule type="cellIs" dxfId="1" priority="1170" stopIfTrue="1" operator="between">
      <formula>"Check"</formula>
      <formula>"Check"</formula>
    </cfRule>
  </conditionalFormatting>
  <conditionalFormatting sqref="R1180">
    <cfRule type="cellIs" dxfId="1" priority="1171" stopIfTrue="1" operator="between">
      <formula>"Check"</formula>
      <formula>"Check"</formula>
    </cfRule>
  </conditionalFormatting>
  <conditionalFormatting sqref="R1181">
    <cfRule type="cellIs" dxfId="1" priority="1172" stopIfTrue="1" operator="between">
      <formula>"Check"</formula>
      <formula>"Check"</formula>
    </cfRule>
  </conditionalFormatting>
  <conditionalFormatting sqref="R1182">
    <cfRule type="cellIs" dxfId="1" priority="1173" stopIfTrue="1" operator="between">
      <formula>"Check"</formula>
      <formula>"Check"</formula>
    </cfRule>
  </conditionalFormatting>
  <conditionalFormatting sqref="R1183">
    <cfRule type="cellIs" dxfId="1" priority="1174" stopIfTrue="1" operator="between">
      <formula>"Check"</formula>
      <formula>"Check"</formula>
    </cfRule>
  </conditionalFormatting>
  <conditionalFormatting sqref="R1184">
    <cfRule type="cellIs" dxfId="1" priority="1175" stopIfTrue="1" operator="between">
      <formula>"Check"</formula>
      <formula>"Check"</formula>
    </cfRule>
  </conditionalFormatting>
  <conditionalFormatting sqref="R1185">
    <cfRule type="cellIs" dxfId="1" priority="1176" stopIfTrue="1" operator="between">
      <formula>"Check"</formula>
      <formula>"Check"</formula>
    </cfRule>
  </conditionalFormatting>
  <conditionalFormatting sqref="R1186">
    <cfRule type="cellIs" dxfId="1" priority="1177" stopIfTrue="1" operator="between">
      <formula>"Check"</formula>
      <formula>"Check"</formula>
    </cfRule>
  </conditionalFormatting>
  <conditionalFormatting sqref="R1187">
    <cfRule type="cellIs" dxfId="1" priority="1178" stopIfTrue="1" operator="between">
      <formula>"Check"</formula>
      <formula>"Check"</formula>
    </cfRule>
  </conditionalFormatting>
  <conditionalFormatting sqref="R1188">
    <cfRule type="cellIs" dxfId="1" priority="1179" stopIfTrue="1" operator="between">
      <formula>"Check"</formula>
      <formula>"Check"</formula>
    </cfRule>
  </conditionalFormatting>
  <conditionalFormatting sqref="R1189">
    <cfRule type="cellIs" dxfId="1" priority="1180" stopIfTrue="1" operator="between">
      <formula>"Check"</formula>
      <formula>"Check"</formula>
    </cfRule>
  </conditionalFormatting>
  <conditionalFormatting sqref="R1190">
    <cfRule type="cellIs" dxfId="1" priority="1181" stopIfTrue="1" operator="between">
      <formula>"Check"</formula>
      <formula>"Check"</formula>
    </cfRule>
  </conditionalFormatting>
  <conditionalFormatting sqref="R1191">
    <cfRule type="cellIs" dxfId="1" priority="1182" stopIfTrue="1" operator="between">
      <formula>"Check"</formula>
      <formula>"Check"</formula>
    </cfRule>
  </conditionalFormatting>
  <conditionalFormatting sqref="R1192">
    <cfRule type="cellIs" dxfId="1" priority="1183" stopIfTrue="1" operator="between">
      <formula>"Check"</formula>
      <formula>"Check"</formula>
    </cfRule>
  </conditionalFormatting>
  <conditionalFormatting sqref="R1193">
    <cfRule type="cellIs" dxfId="1" priority="1184" stopIfTrue="1" operator="between">
      <formula>"Check"</formula>
      <formula>"Check"</formula>
    </cfRule>
  </conditionalFormatting>
  <conditionalFormatting sqref="R1194">
    <cfRule type="cellIs" dxfId="1" priority="1185" stopIfTrue="1" operator="between">
      <formula>"Check"</formula>
      <formula>"Check"</formula>
    </cfRule>
  </conditionalFormatting>
  <conditionalFormatting sqref="R1195">
    <cfRule type="cellIs" dxfId="1" priority="1186" stopIfTrue="1" operator="between">
      <formula>"Check"</formula>
      <formula>"Check"</formula>
    </cfRule>
  </conditionalFormatting>
  <conditionalFormatting sqref="R1196">
    <cfRule type="cellIs" dxfId="1" priority="1187" stopIfTrue="1" operator="between">
      <formula>"Check"</formula>
      <formula>"Check"</formula>
    </cfRule>
  </conditionalFormatting>
  <conditionalFormatting sqref="R1197">
    <cfRule type="cellIs" dxfId="1" priority="1188" stopIfTrue="1" operator="between">
      <formula>"Check"</formula>
      <formula>"Check"</formula>
    </cfRule>
  </conditionalFormatting>
  <conditionalFormatting sqref="R1198">
    <cfRule type="cellIs" dxfId="1" priority="1189" stopIfTrue="1" operator="between">
      <formula>"Check"</formula>
      <formula>"Check"</formula>
    </cfRule>
  </conditionalFormatting>
  <conditionalFormatting sqref="R1199">
    <cfRule type="cellIs" dxfId="1" priority="1190" stopIfTrue="1" operator="between">
      <formula>"Check"</formula>
      <formula>"Check"</formula>
    </cfRule>
  </conditionalFormatting>
  <conditionalFormatting sqref="R1200">
    <cfRule type="cellIs" dxfId="1" priority="1191" stopIfTrue="1" operator="between">
      <formula>"Check"</formula>
      <formula>"Check"</formula>
    </cfRule>
  </conditionalFormatting>
  <conditionalFormatting sqref="R1201">
    <cfRule type="cellIs" dxfId="1" priority="1192" stopIfTrue="1" operator="between">
      <formula>"Check"</formula>
      <formula>"Check"</formula>
    </cfRule>
  </conditionalFormatting>
  <conditionalFormatting sqref="R1202">
    <cfRule type="cellIs" dxfId="1" priority="1193" stopIfTrue="1" operator="between">
      <formula>"Check"</formula>
      <formula>"Check"</formula>
    </cfRule>
  </conditionalFormatting>
  <conditionalFormatting sqref="R1203">
    <cfRule type="cellIs" dxfId="1" priority="1194" stopIfTrue="1" operator="between">
      <formula>"Check"</formula>
      <formula>"Check"</formula>
    </cfRule>
  </conditionalFormatting>
  <conditionalFormatting sqref="R1204">
    <cfRule type="cellIs" dxfId="1" priority="1195" stopIfTrue="1" operator="between">
      <formula>"Check"</formula>
      <formula>"Check"</formula>
    </cfRule>
  </conditionalFormatting>
  <conditionalFormatting sqref="R1205">
    <cfRule type="cellIs" dxfId="1" priority="1196" stopIfTrue="1" operator="between">
      <formula>"Check"</formula>
      <formula>"Check"</formula>
    </cfRule>
  </conditionalFormatting>
  <conditionalFormatting sqref="R1206">
    <cfRule type="cellIs" dxfId="1" priority="1197" stopIfTrue="1" operator="between">
      <formula>"Check"</formula>
      <formula>"Check"</formula>
    </cfRule>
  </conditionalFormatting>
  <conditionalFormatting sqref="R1207">
    <cfRule type="cellIs" dxfId="1" priority="1198" stopIfTrue="1" operator="between">
      <formula>"Check"</formula>
      <formula>"Check"</formula>
    </cfRule>
  </conditionalFormatting>
  <conditionalFormatting sqref="R1208">
    <cfRule type="cellIs" dxfId="1" priority="1199" stopIfTrue="1" operator="between">
      <formula>"Check"</formula>
      <formula>"Check"</formula>
    </cfRule>
  </conditionalFormatting>
  <conditionalFormatting sqref="R1209">
    <cfRule type="cellIs" dxfId="1" priority="1200" stopIfTrue="1" operator="between">
      <formula>"Check"</formula>
      <formula>"Check"</formula>
    </cfRule>
  </conditionalFormatting>
  <conditionalFormatting sqref="R1210">
    <cfRule type="cellIs" dxfId="1" priority="1201" stopIfTrue="1" operator="between">
      <formula>"Check"</formula>
      <formula>"Check"</formula>
    </cfRule>
  </conditionalFormatting>
  <conditionalFormatting sqref="R1211">
    <cfRule type="cellIs" dxfId="1" priority="1202" stopIfTrue="1" operator="between">
      <formula>"Check"</formula>
      <formula>"Check"</formula>
    </cfRule>
  </conditionalFormatting>
  <conditionalFormatting sqref="R1212">
    <cfRule type="cellIs" dxfId="1" priority="1203" stopIfTrue="1" operator="between">
      <formula>"Check"</formula>
      <formula>"Check"</formula>
    </cfRule>
  </conditionalFormatting>
  <conditionalFormatting sqref="R1213">
    <cfRule type="cellIs" dxfId="1" priority="1204" stopIfTrue="1" operator="between">
      <formula>"Check"</formula>
      <formula>"Check"</formula>
    </cfRule>
  </conditionalFormatting>
  <conditionalFormatting sqref="R1214">
    <cfRule type="cellIs" dxfId="1" priority="1205" stopIfTrue="1" operator="between">
      <formula>"Check"</formula>
      <formula>"Check"</formula>
    </cfRule>
  </conditionalFormatting>
  <conditionalFormatting sqref="R1215">
    <cfRule type="cellIs" dxfId="1" priority="1206" stopIfTrue="1" operator="between">
      <formula>"Check"</formula>
      <formula>"Check"</formula>
    </cfRule>
  </conditionalFormatting>
  <conditionalFormatting sqref="R1216">
    <cfRule type="cellIs" dxfId="1" priority="1207" stopIfTrue="1" operator="between">
      <formula>"Check"</formula>
      <formula>"Check"</formula>
    </cfRule>
  </conditionalFormatting>
  <conditionalFormatting sqref="R1217">
    <cfRule type="cellIs" dxfId="1" priority="1208" stopIfTrue="1" operator="between">
      <formula>"Check"</formula>
      <formula>"Check"</formula>
    </cfRule>
  </conditionalFormatting>
  <conditionalFormatting sqref="R1218">
    <cfRule type="cellIs" dxfId="1" priority="1209" stopIfTrue="1" operator="between">
      <formula>"Check"</formula>
      <formula>"Check"</formula>
    </cfRule>
  </conditionalFormatting>
  <conditionalFormatting sqref="R1219">
    <cfRule type="cellIs" dxfId="1" priority="1210" stopIfTrue="1" operator="between">
      <formula>"Check"</formula>
      <formula>"Check"</formula>
    </cfRule>
  </conditionalFormatting>
  <conditionalFormatting sqref="R1220">
    <cfRule type="cellIs" dxfId="1" priority="1211" stopIfTrue="1" operator="between">
      <formula>"Check"</formula>
      <formula>"Check"</formula>
    </cfRule>
  </conditionalFormatting>
  <conditionalFormatting sqref="R1221">
    <cfRule type="cellIs" dxfId="1" priority="1212" stopIfTrue="1" operator="between">
      <formula>"Check"</formula>
      <formula>"Check"</formula>
    </cfRule>
  </conditionalFormatting>
  <conditionalFormatting sqref="R1222">
    <cfRule type="cellIs" dxfId="1" priority="1213" stopIfTrue="1" operator="between">
      <formula>"Check"</formula>
      <formula>"Check"</formula>
    </cfRule>
  </conditionalFormatting>
  <conditionalFormatting sqref="R1223">
    <cfRule type="cellIs" dxfId="1" priority="1214" stopIfTrue="1" operator="between">
      <formula>"Check"</formula>
      <formula>"Check"</formula>
    </cfRule>
  </conditionalFormatting>
  <conditionalFormatting sqref="R1224">
    <cfRule type="cellIs" dxfId="1" priority="1215" stopIfTrue="1" operator="between">
      <formula>"Check"</formula>
      <formula>"Check"</formula>
    </cfRule>
  </conditionalFormatting>
  <conditionalFormatting sqref="R1225">
    <cfRule type="cellIs" dxfId="1" priority="1216" stopIfTrue="1" operator="between">
      <formula>"Check"</formula>
      <formula>"Check"</formula>
    </cfRule>
  </conditionalFormatting>
  <conditionalFormatting sqref="R1226">
    <cfRule type="cellIs" dxfId="1" priority="1217" stopIfTrue="1" operator="between">
      <formula>"Check"</formula>
      <formula>"Check"</formula>
    </cfRule>
  </conditionalFormatting>
  <conditionalFormatting sqref="R1227">
    <cfRule type="cellIs" dxfId="1" priority="1218" stopIfTrue="1" operator="between">
      <formula>"Check"</formula>
      <formula>"Check"</formula>
    </cfRule>
  </conditionalFormatting>
  <conditionalFormatting sqref="R1228">
    <cfRule type="cellIs" dxfId="1" priority="1219" stopIfTrue="1" operator="between">
      <formula>"Check"</formula>
      <formula>"Check"</formula>
    </cfRule>
  </conditionalFormatting>
  <conditionalFormatting sqref="R1229">
    <cfRule type="cellIs" dxfId="1" priority="1220" stopIfTrue="1" operator="between">
      <formula>"Check"</formula>
      <formula>"Check"</formula>
    </cfRule>
  </conditionalFormatting>
  <conditionalFormatting sqref="R1230">
    <cfRule type="cellIs" dxfId="1" priority="1221" stopIfTrue="1" operator="between">
      <formula>"Check"</formula>
      <formula>"Check"</formula>
    </cfRule>
  </conditionalFormatting>
  <conditionalFormatting sqref="R1231">
    <cfRule type="cellIs" dxfId="1" priority="1222" stopIfTrue="1" operator="between">
      <formula>"Check"</formula>
      <formula>"Check"</formula>
    </cfRule>
  </conditionalFormatting>
  <conditionalFormatting sqref="R1232">
    <cfRule type="cellIs" dxfId="1" priority="1223" stopIfTrue="1" operator="between">
      <formula>"Check"</formula>
      <formula>"Check"</formula>
    </cfRule>
  </conditionalFormatting>
  <conditionalFormatting sqref="R1233">
    <cfRule type="cellIs" dxfId="1" priority="1224" stopIfTrue="1" operator="between">
      <formula>"Check"</formula>
      <formula>"Check"</formula>
    </cfRule>
  </conditionalFormatting>
  <conditionalFormatting sqref="R1234">
    <cfRule type="cellIs" dxfId="1" priority="1225" stopIfTrue="1" operator="between">
      <formula>"Check"</formula>
      <formula>"Check"</formula>
    </cfRule>
  </conditionalFormatting>
  <conditionalFormatting sqref="R1235">
    <cfRule type="cellIs" dxfId="1" priority="1226" stopIfTrue="1" operator="between">
      <formula>"Check"</formula>
      <formula>"Check"</formula>
    </cfRule>
  </conditionalFormatting>
  <conditionalFormatting sqref="R1236">
    <cfRule type="cellIs" dxfId="1" priority="1227" stopIfTrue="1" operator="between">
      <formula>"Check"</formula>
      <formula>"Check"</formula>
    </cfRule>
  </conditionalFormatting>
  <conditionalFormatting sqref="R1237">
    <cfRule type="cellIs" dxfId="1" priority="1228" stopIfTrue="1" operator="between">
      <formula>"Check"</formula>
      <formula>"Check"</formula>
    </cfRule>
  </conditionalFormatting>
  <conditionalFormatting sqref="R1238">
    <cfRule type="cellIs" dxfId="1" priority="1229" stopIfTrue="1" operator="between">
      <formula>"Check"</formula>
      <formula>"Check"</formula>
    </cfRule>
  </conditionalFormatting>
  <conditionalFormatting sqref="R1239">
    <cfRule type="cellIs" dxfId="1" priority="1230" stopIfTrue="1" operator="between">
      <formula>"Check"</formula>
      <formula>"Check"</formula>
    </cfRule>
  </conditionalFormatting>
  <conditionalFormatting sqref="R1240">
    <cfRule type="cellIs" dxfId="1" priority="1231" stopIfTrue="1" operator="between">
      <formula>"Check"</formula>
      <formula>"Check"</formula>
    </cfRule>
  </conditionalFormatting>
  <conditionalFormatting sqref="R1241">
    <cfRule type="cellIs" dxfId="1" priority="1232" stopIfTrue="1" operator="between">
      <formula>"Check"</formula>
      <formula>"Check"</formula>
    </cfRule>
  </conditionalFormatting>
  <conditionalFormatting sqref="R1242">
    <cfRule type="cellIs" dxfId="1" priority="1233" stopIfTrue="1" operator="between">
      <formula>"Check"</formula>
      <formula>"Check"</formula>
    </cfRule>
  </conditionalFormatting>
  <conditionalFormatting sqref="R1243">
    <cfRule type="cellIs" dxfId="1" priority="1234" stopIfTrue="1" operator="between">
      <formula>"Check"</formula>
      <formula>"Check"</formula>
    </cfRule>
  </conditionalFormatting>
  <conditionalFormatting sqref="R1244">
    <cfRule type="cellIs" dxfId="1" priority="1235" stopIfTrue="1" operator="between">
      <formula>"Check"</formula>
      <formula>"Check"</formula>
    </cfRule>
  </conditionalFormatting>
  <conditionalFormatting sqref="R1245">
    <cfRule type="cellIs" dxfId="1" priority="1236" stopIfTrue="1" operator="between">
      <formula>"Check"</formula>
      <formula>"Check"</formula>
    </cfRule>
  </conditionalFormatting>
  <conditionalFormatting sqref="R1246">
    <cfRule type="cellIs" dxfId="1" priority="1237" stopIfTrue="1" operator="between">
      <formula>"Check"</formula>
      <formula>"Check"</formula>
    </cfRule>
  </conditionalFormatting>
  <conditionalFormatting sqref="R1247">
    <cfRule type="cellIs" dxfId="1" priority="1238" stopIfTrue="1" operator="between">
      <formula>"Check"</formula>
      <formula>"Check"</formula>
    </cfRule>
  </conditionalFormatting>
  <conditionalFormatting sqref="R1248">
    <cfRule type="cellIs" dxfId="1" priority="1239" stopIfTrue="1" operator="between">
      <formula>"Check"</formula>
      <formula>"Check"</formula>
    </cfRule>
  </conditionalFormatting>
  <conditionalFormatting sqref="R1249">
    <cfRule type="cellIs" dxfId="1" priority="1240" stopIfTrue="1" operator="between">
      <formula>"Check"</formula>
      <formula>"Check"</formula>
    </cfRule>
  </conditionalFormatting>
  <conditionalFormatting sqref="R1250">
    <cfRule type="cellIs" dxfId="1" priority="1241" stopIfTrue="1" operator="between">
      <formula>"Check"</formula>
      <formula>"Check"</formula>
    </cfRule>
  </conditionalFormatting>
  <conditionalFormatting sqref="R1251">
    <cfRule type="cellIs" dxfId="1" priority="1242" stopIfTrue="1" operator="between">
      <formula>"Check"</formula>
      <formula>"Check"</formula>
    </cfRule>
  </conditionalFormatting>
  <conditionalFormatting sqref="R1252">
    <cfRule type="cellIs" dxfId="1" priority="1243" stopIfTrue="1" operator="between">
      <formula>"Check"</formula>
      <formula>"Check"</formula>
    </cfRule>
  </conditionalFormatting>
  <conditionalFormatting sqref="R1253">
    <cfRule type="cellIs" dxfId="1" priority="1244" stopIfTrue="1" operator="between">
      <formula>"Check"</formula>
      <formula>"Check"</formula>
    </cfRule>
  </conditionalFormatting>
  <conditionalFormatting sqref="R1254">
    <cfRule type="cellIs" dxfId="1" priority="1245" stopIfTrue="1" operator="between">
      <formula>"Check"</formula>
      <formula>"Check"</formula>
    </cfRule>
  </conditionalFormatting>
  <conditionalFormatting sqref="R1255">
    <cfRule type="cellIs" dxfId="1" priority="1246" stopIfTrue="1" operator="between">
      <formula>"Check"</formula>
      <formula>"Check"</formula>
    </cfRule>
  </conditionalFormatting>
  <conditionalFormatting sqref="R1256">
    <cfRule type="cellIs" dxfId="1" priority="1247" stopIfTrue="1" operator="between">
      <formula>"Check"</formula>
      <formula>"Check"</formula>
    </cfRule>
  </conditionalFormatting>
  <conditionalFormatting sqref="R1257">
    <cfRule type="cellIs" dxfId="1" priority="1248" stopIfTrue="1" operator="between">
      <formula>"Check"</formula>
      <formula>"Check"</formula>
    </cfRule>
  </conditionalFormatting>
  <conditionalFormatting sqref="R1258">
    <cfRule type="cellIs" dxfId="1" priority="1249" stopIfTrue="1" operator="between">
      <formula>"Check"</formula>
      <formula>"Check"</formula>
    </cfRule>
  </conditionalFormatting>
  <conditionalFormatting sqref="R1259">
    <cfRule type="cellIs" dxfId="1" priority="1250" stopIfTrue="1" operator="between">
      <formula>"Check"</formula>
      <formula>"Check"</formula>
    </cfRule>
  </conditionalFormatting>
  <conditionalFormatting sqref="R1260">
    <cfRule type="cellIs" dxfId="1" priority="1251" stopIfTrue="1" operator="between">
      <formula>"Check"</formula>
      <formula>"Check"</formula>
    </cfRule>
  </conditionalFormatting>
  <conditionalFormatting sqref="R1261">
    <cfRule type="cellIs" dxfId="1" priority="1252" stopIfTrue="1" operator="between">
      <formula>"Check"</formula>
      <formula>"Check"</formula>
    </cfRule>
  </conditionalFormatting>
  <conditionalFormatting sqref="R1262">
    <cfRule type="cellIs" dxfId="1" priority="1253" stopIfTrue="1" operator="between">
      <formula>"Check"</formula>
      <formula>"Check"</formula>
    </cfRule>
  </conditionalFormatting>
  <conditionalFormatting sqref="R1263">
    <cfRule type="cellIs" dxfId="1" priority="1254" stopIfTrue="1" operator="between">
      <formula>"Check"</formula>
      <formula>"Check"</formula>
    </cfRule>
  </conditionalFormatting>
  <conditionalFormatting sqref="R1264">
    <cfRule type="cellIs" dxfId="1" priority="1255" stopIfTrue="1" operator="between">
      <formula>"Check"</formula>
      <formula>"Check"</formula>
    </cfRule>
  </conditionalFormatting>
  <conditionalFormatting sqref="R1265">
    <cfRule type="cellIs" dxfId="1" priority="1256" stopIfTrue="1" operator="between">
      <formula>"Check"</formula>
      <formula>"Check"</formula>
    </cfRule>
  </conditionalFormatting>
  <conditionalFormatting sqref="R1266">
    <cfRule type="cellIs" dxfId="1" priority="1257" stopIfTrue="1" operator="between">
      <formula>"Check"</formula>
      <formula>"Check"</formula>
    </cfRule>
  </conditionalFormatting>
  <conditionalFormatting sqref="R1267">
    <cfRule type="cellIs" dxfId="1" priority="1258" stopIfTrue="1" operator="between">
      <formula>"Check"</formula>
      <formula>"Check"</formula>
    </cfRule>
  </conditionalFormatting>
  <conditionalFormatting sqref="R1268">
    <cfRule type="cellIs" dxfId="1" priority="1259" stopIfTrue="1" operator="between">
      <formula>"Check"</formula>
      <formula>"Check"</formula>
    </cfRule>
  </conditionalFormatting>
  <conditionalFormatting sqref="R1269">
    <cfRule type="cellIs" dxfId="1" priority="1260" stopIfTrue="1" operator="between">
      <formula>"Check"</formula>
      <formula>"Check"</formula>
    </cfRule>
  </conditionalFormatting>
  <conditionalFormatting sqref="R1270">
    <cfRule type="cellIs" dxfId="1" priority="1261" stopIfTrue="1" operator="between">
      <formula>"Check"</formula>
      <formula>"Check"</formula>
    </cfRule>
  </conditionalFormatting>
  <conditionalFormatting sqref="R1271">
    <cfRule type="cellIs" dxfId="1" priority="1262" stopIfTrue="1" operator="between">
      <formula>"Check"</formula>
      <formula>"Check"</formula>
    </cfRule>
  </conditionalFormatting>
  <conditionalFormatting sqref="R1272">
    <cfRule type="cellIs" dxfId="1" priority="1263" stopIfTrue="1" operator="between">
      <formula>"Check"</formula>
      <formula>"Check"</formula>
    </cfRule>
  </conditionalFormatting>
  <conditionalFormatting sqref="R1273">
    <cfRule type="cellIs" dxfId="1" priority="1264" stopIfTrue="1" operator="between">
      <formula>"Check"</formula>
      <formula>"Check"</formula>
    </cfRule>
  </conditionalFormatting>
  <conditionalFormatting sqref="R1274">
    <cfRule type="cellIs" dxfId="1" priority="1265" stopIfTrue="1" operator="between">
      <formula>"Check"</formula>
      <formula>"Check"</formula>
    </cfRule>
  </conditionalFormatting>
  <conditionalFormatting sqref="R1275">
    <cfRule type="cellIs" dxfId="1" priority="1266" stopIfTrue="1" operator="between">
      <formula>"Check"</formula>
      <formula>"Check"</formula>
    </cfRule>
  </conditionalFormatting>
  <conditionalFormatting sqref="R1276">
    <cfRule type="cellIs" dxfId="1" priority="1267" stopIfTrue="1" operator="between">
      <formula>"Check"</formula>
      <formula>"Check"</formula>
    </cfRule>
  </conditionalFormatting>
  <conditionalFormatting sqref="R1277">
    <cfRule type="cellIs" dxfId="1" priority="1268" stopIfTrue="1" operator="between">
      <formula>"Check"</formula>
      <formula>"Check"</formula>
    </cfRule>
  </conditionalFormatting>
  <conditionalFormatting sqref="R1278">
    <cfRule type="cellIs" dxfId="1" priority="1269" stopIfTrue="1" operator="between">
      <formula>"Check"</formula>
      <formula>"Check"</formula>
    </cfRule>
  </conditionalFormatting>
  <conditionalFormatting sqref="R1279">
    <cfRule type="cellIs" dxfId="1" priority="1270" stopIfTrue="1" operator="between">
      <formula>"Check"</formula>
      <formula>"Check"</formula>
    </cfRule>
  </conditionalFormatting>
  <conditionalFormatting sqref="R1280">
    <cfRule type="cellIs" dxfId="1" priority="1271" stopIfTrue="1" operator="between">
      <formula>"Check"</formula>
      <formula>"Check"</formula>
    </cfRule>
  </conditionalFormatting>
  <conditionalFormatting sqref="R1281">
    <cfRule type="cellIs" dxfId="1" priority="1272" stopIfTrue="1" operator="between">
      <formula>"Check"</formula>
      <formula>"Check"</formula>
    </cfRule>
  </conditionalFormatting>
  <conditionalFormatting sqref="R1282">
    <cfRule type="cellIs" dxfId="1" priority="1273" stopIfTrue="1" operator="between">
      <formula>"Check"</formula>
      <formula>"Check"</formula>
    </cfRule>
  </conditionalFormatting>
  <conditionalFormatting sqref="R1283">
    <cfRule type="cellIs" dxfId="1" priority="1274" stopIfTrue="1" operator="between">
      <formula>"Check"</formula>
      <formula>"Check"</formula>
    </cfRule>
  </conditionalFormatting>
  <conditionalFormatting sqref="R1284">
    <cfRule type="cellIs" dxfId="1" priority="1275" stopIfTrue="1" operator="between">
      <formula>"Check"</formula>
      <formula>"Check"</formula>
    </cfRule>
  </conditionalFormatting>
  <conditionalFormatting sqref="R1285">
    <cfRule type="cellIs" dxfId="1" priority="1276" stopIfTrue="1" operator="between">
      <formula>"Check"</formula>
      <formula>"Check"</formula>
    </cfRule>
  </conditionalFormatting>
  <conditionalFormatting sqref="R1286">
    <cfRule type="cellIs" dxfId="1" priority="1277" stopIfTrue="1" operator="between">
      <formula>"Check"</formula>
      <formula>"Check"</formula>
    </cfRule>
  </conditionalFormatting>
  <conditionalFormatting sqref="R1287">
    <cfRule type="cellIs" dxfId="1" priority="1278" stopIfTrue="1" operator="between">
      <formula>"Check"</formula>
      <formula>"Check"</formula>
    </cfRule>
  </conditionalFormatting>
  <conditionalFormatting sqref="R1288">
    <cfRule type="cellIs" dxfId="1" priority="1279" stopIfTrue="1" operator="between">
      <formula>"Check"</formula>
      <formula>"Check"</formula>
    </cfRule>
  </conditionalFormatting>
  <conditionalFormatting sqref="R1289">
    <cfRule type="cellIs" dxfId="1" priority="1280" stopIfTrue="1" operator="between">
      <formula>"Check"</formula>
      <formula>"Check"</formula>
    </cfRule>
  </conditionalFormatting>
  <conditionalFormatting sqref="R1290">
    <cfRule type="cellIs" dxfId="1" priority="1281" stopIfTrue="1" operator="between">
      <formula>"Check"</formula>
      <formula>"Check"</formula>
    </cfRule>
  </conditionalFormatting>
  <conditionalFormatting sqref="R1291">
    <cfRule type="cellIs" dxfId="1" priority="1282" stopIfTrue="1" operator="between">
      <formula>"Check"</formula>
      <formula>"Check"</formula>
    </cfRule>
  </conditionalFormatting>
  <conditionalFormatting sqref="R1292">
    <cfRule type="cellIs" dxfId="1" priority="1283" stopIfTrue="1" operator="between">
      <formula>"Check"</formula>
      <formula>"Check"</formula>
    </cfRule>
  </conditionalFormatting>
  <conditionalFormatting sqref="R1293">
    <cfRule type="cellIs" dxfId="1" priority="1284" stopIfTrue="1" operator="between">
      <formula>"Check"</formula>
      <formula>"Check"</formula>
    </cfRule>
  </conditionalFormatting>
  <conditionalFormatting sqref="R1294">
    <cfRule type="cellIs" dxfId="1" priority="1285" stopIfTrue="1" operator="between">
      <formula>"Check"</formula>
      <formula>"Check"</formula>
    </cfRule>
  </conditionalFormatting>
  <conditionalFormatting sqref="R1295">
    <cfRule type="cellIs" dxfId="1" priority="1286" stopIfTrue="1" operator="between">
      <formula>"Check"</formula>
      <formula>"Check"</formula>
    </cfRule>
  </conditionalFormatting>
  <conditionalFormatting sqref="R1296">
    <cfRule type="cellIs" dxfId="1" priority="1287" stopIfTrue="1" operator="between">
      <formula>"Check"</formula>
      <formula>"Check"</formula>
    </cfRule>
  </conditionalFormatting>
  <conditionalFormatting sqref="R1297">
    <cfRule type="cellIs" dxfId="1" priority="1288" stopIfTrue="1" operator="between">
      <formula>"Check"</formula>
      <formula>"Check"</formula>
    </cfRule>
  </conditionalFormatting>
  <conditionalFormatting sqref="R1298">
    <cfRule type="cellIs" dxfId="1" priority="1289" stopIfTrue="1" operator="between">
      <formula>"Check"</formula>
      <formula>"Check"</formula>
    </cfRule>
  </conditionalFormatting>
  <conditionalFormatting sqref="R1299">
    <cfRule type="cellIs" dxfId="1" priority="1290" stopIfTrue="1" operator="between">
      <formula>"Check"</formula>
      <formula>"Check"</formula>
    </cfRule>
  </conditionalFormatting>
  <conditionalFormatting sqref="R1300">
    <cfRule type="cellIs" dxfId="1" priority="1291" stopIfTrue="1" operator="between">
      <formula>"Check"</formula>
      <formula>"Check"</formula>
    </cfRule>
  </conditionalFormatting>
  <conditionalFormatting sqref="R1301">
    <cfRule type="cellIs" dxfId="1" priority="1292" stopIfTrue="1" operator="between">
      <formula>"Check"</formula>
      <formula>"Check"</formula>
    </cfRule>
  </conditionalFormatting>
  <conditionalFormatting sqref="R1302">
    <cfRule type="cellIs" dxfId="1" priority="1293" stopIfTrue="1" operator="between">
      <formula>"Check"</formula>
      <formula>"Check"</formula>
    </cfRule>
  </conditionalFormatting>
  <conditionalFormatting sqref="R1303">
    <cfRule type="cellIs" dxfId="1" priority="1294" stopIfTrue="1" operator="between">
      <formula>"Check"</formula>
      <formula>"Check"</formula>
    </cfRule>
  </conditionalFormatting>
  <conditionalFormatting sqref="R1304">
    <cfRule type="cellIs" dxfId="1" priority="1295" stopIfTrue="1" operator="between">
      <formula>"Check"</formula>
      <formula>"Check"</formula>
    </cfRule>
  </conditionalFormatting>
  <conditionalFormatting sqref="R1305">
    <cfRule type="cellIs" dxfId="1" priority="1296" stopIfTrue="1" operator="between">
      <formula>"Check"</formula>
      <formula>"Check"</formula>
    </cfRule>
  </conditionalFormatting>
  <conditionalFormatting sqref="R1306">
    <cfRule type="cellIs" dxfId="1" priority="1297" stopIfTrue="1" operator="between">
      <formula>"Check"</formula>
      <formula>"Check"</formula>
    </cfRule>
  </conditionalFormatting>
  <conditionalFormatting sqref="R1307">
    <cfRule type="cellIs" dxfId="1" priority="1298" stopIfTrue="1" operator="between">
      <formula>"Check"</formula>
      <formula>"Check"</formula>
    </cfRule>
  </conditionalFormatting>
  <conditionalFormatting sqref="R1308">
    <cfRule type="cellIs" dxfId="1" priority="1299" stopIfTrue="1" operator="between">
      <formula>"Check"</formula>
      <formula>"Check"</formula>
    </cfRule>
  </conditionalFormatting>
  <conditionalFormatting sqref="R1309">
    <cfRule type="cellIs" dxfId="1" priority="1300" stopIfTrue="1" operator="between">
      <formula>"Check"</formula>
      <formula>"Check"</formula>
    </cfRule>
  </conditionalFormatting>
  <conditionalFormatting sqref="R1310">
    <cfRule type="cellIs" dxfId="1" priority="1301" stopIfTrue="1" operator="between">
      <formula>"Check"</formula>
      <formula>"Check"</formula>
    </cfRule>
  </conditionalFormatting>
  <conditionalFormatting sqref="R1311">
    <cfRule type="cellIs" dxfId="1" priority="1302" stopIfTrue="1" operator="between">
      <formula>"Check"</formula>
      <formula>"Check"</formula>
    </cfRule>
  </conditionalFormatting>
  <conditionalFormatting sqref="R1312">
    <cfRule type="cellIs" dxfId="1" priority="1303" stopIfTrue="1" operator="between">
      <formula>"Check"</formula>
      <formula>"Check"</formula>
    </cfRule>
  </conditionalFormatting>
  <conditionalFormatting sqref="R1313">
    <cfRule type="cellIs" dxfId="1" priority="1304" stopIfTrue="1" operator="between">
      <formula>"Check"</formula>
      <formula>"Check"</formula>
    </cfRule>
  </conditionalFormatting>
  <conditionalFormatting sqref="R1314">
    <cfRule type="cellIs" dxfId="1" priority="1305" stopIfTrue="1" operator="between">
      <formula>"Check"</formula>
      <formula>"Check"</formula>
    </cfRule>
  </conditionalFormatting>
  <conditionalFormatting sqref="R1315">
    <cfRule type="cellIs" dxfId="1" priority="1306" stopIfTrue="1" operator="between">
      <formula>"Check"</formula>
      <formula>"Check"</formula>
    </cfRule>
  </conditionalFormatting>
  <conditionalFormatting sqref="R1316">
    <cfRule type="cellIs" dxfId="1" priority="1307" stopIfTrue="1" operator="between">
      <formula>"Check"</formula>
      <formula>"Check"</formula>
    </cfRule>
  </conditionalFormatting>
  <conditionalFormatting sqref="R1317">
    <cfRule type="cellIs" dxfId="1" priority="1308" stopIfTrue="1" operator="between">
      <formula>"Check"</formula>
      <formula>"Check"</formula>
    </cfRule>
  </conditionalFormatting>
  <conditionalFormatting sqref="R1318">
    <cfRule type="cellIs" dxfId="1" priority="1309" stopIfTrue="1" operator="between">
      <formula>"Check"</formula>
      <formula>"Check"</formula>
    </cfRule>
  </conditionalFormatting>
  <conditionalFormatting sqref="R1319">
    <cfRule type="cellIs" dxfId="1" priority="1310" stopIfTrue="1" operator="between">
      <formula>"Check"</formula>
      <formula>"Check"</formula>
    </cfRule>
  </conditionalFormatting>
  <conditionalFormatting sqref="R1320">
    <cfRule type="cellIs" dxfId="1" priority="1311" stopIfTrue="1" operator="between">
      <formula>"Check"</formula>
      <formula>"Check"</formula>
    </cfRule>
  </conditionalFormatting>
  <conditionalFormatting sqref="R1321">
    <cfRule type="cellIs" dxfId="1" priority="1312" stopIfTrue="1" operator="between">
      <formula>"Check"</formula>
      <formula>"Check"</formula>
    </cfRule>
  </conditionalFormatting>
  <conditionalFormatting sqref="R1322">
    <cfRule type="cellIs" dxfId="1" priority="1313" stopIfTrue="1" operator="between">
      <formula>"Check"</formula>
      <formula>"Check"</formula>
    </cfRule>
  </conditionalFormatting>
  <conditionalFormatting sqref="R1323">
    <cfRule type="cellIs" dxfId="1" priority="1314" stopIfTrue="1" operator="between">
      <formula>"Check"</formula>
      <formula>"Check"</formula>
    </cfRule>
  </conditionalFormatting>
  <conditionalFormatting sqref="R1324">
    <cfRule type="cellIs" dxfId="1" priority="1315" stopIfTrue="1" operator="between">
      <formula>"Check"</formula>
      <formula>"Check"</formula>
    </cfRule>
  </conditionalFormatting>
  <conditionalFormatting sqref="R1325">
    <cfRule type="cellIs" dxfId="1" priority="1316" stopIfTrue="1" operator="between">
      <formula>"Check"</formula>
      <formula>"Check"</formula>
    </cfRule>
  </conditionalFormatting>
  <conditionalFormatting sqref="R1326">
    <cfRule type="cellIs" dxfId="1" priority="1317" stopIfTrue="1" operator="between">
      <formula>"Check"</formula>
      <formula>"Check"</formula>
    </cfRule>
  </conditionalFormatting>
  <conditionalFormatting sqref="R1327">
    <cfRule type="cellIs" dxfId="1" priority="1318" stopIfTrue="1" operator="between">
      <formula>"Check"</formula>
      <formula>"Check"</formula>
    </cfRule>
  </conditionalFormatting>
  <conditionalFormatting sqref="R1328">
    <cfRule type="cellIs" dxfId="1" priority="1319" stopIfTrue="1" operator="between">
      <formula>"Check"</formula>
      <formula>"Check"</formula>
    </cfRule>
  </conditionalFormatting>
  <conditionalFormatting sqref="R1329">
    <cfRule type="cellIs" dxfId="1" priority="1320" stopIfTrue="1" operator="between">
      <formula>"Check"</formula>
      <formula>"Check"</formula>
    </cfRule>
  </conditionalFormatting>
  <conditionalFormatting sqref="R1330">
    <cfRule type="cellIs" dxfId="1" priority="1321" stopIfTrue="1" operator="between">
      <formula>"Check"</formula>
      <formula>"Check"</formula>
    </cfRule>
  </conditionalFormatting>
  <conditionalFormatting sqref="R1331">
    <cfRule type="cellIs" dxfId="1" priority="1322" stopIfTrue="1" operator="between">
      <formula>"Check"</formula>
      <formula>"Check"</formula>
    </cfRule>
  </conditionalFormatting>
  <conditionalFormatting sqref="R1332">
    <cfRule type="cellIs" dxfId="1" priority="1323" stopIfTrue="1" operator="between">
      <formula>"Check"</formula>
      <formula>"Check"</formula>
    </cfRule>
  </conditionalFormatting>
  <conditionalFormatting sqref="R1333">
    <cfRule type="cellIs" dxfId="1" priority="1324" stopIfTrue="1" operator="between">
      <formula>"Check"</formula>
      <formula>"Check"</formula>
    </cfRule>
  </conditionalFormatting>
  <conditionalFormatting sqref="R1334">
    <cfRule type="cellIs" dxfId="1" priority="1325" stopIfTrue="1" operator="between">
      <formula>"Check"</formula>
      <formula>"Check"</formula>
    </cfRule>
  </conditionalFormatting>
  <conditionalFormatting sqref="R1335">
    <cfRule type="cellIs" dxfId="1" priority="1326" stopIfTrue="1" operator="between">
      <formula>"Check"</formula>
      <formula>"Check"</formula>
    </cfRule>
  </conditionalFormatting>
  <conditionalFormatting sqref="R1336">
    <cfRule type="cellIs" dxfId="1" priority="1327" stopIfTrue="1" operator="between">
      <formula>"Check"</formula>
      <formula>"Check"</formula>
    </cfRule>
  </conditionalFormatting>
  <conditionalFormatting sqref="R1337">
    <cfRule type="cellIs" dxfId="1" priority="1328" stopIfTrue="1" operator="between">
      <formula>"Check"</formula>
      <formula>"Check"</formula>
    </cfRule>
  </conditionalFormatting>
  <conditionalFormatting sqref="R1338">
    <cfRule type="cellIs" dxfId="1" priority="1329" stopIfTrue="1" operator="between">
      <formula>"Check"</formula>
      <formula>"Check"</formula>
    </cfRule>
  </conditionalFormatting>
  <conditionalFormatting sqref="R1339">
    <cfRule type="cellIs" dxfId="1" priority="1330" stopIfTrue="1" operator="between">
      <formula>"Check"</formula>
      <formula>"Check"</formula>
    </cfRule>
  </conditionalFormatting>
  <conditionalFormatting sqref="R1340">
    <cfRule type="cellIs" dxfId="1" priority="1331" stopIfTrue="1" operator="between">
      <formula>"Check"</formula>
      <formula>"Check"</formula>
    </cfRule>
  </conditionalFormatting>
  <conditionalFormatting sqref="R1341">
    <cfRule type="cellIs" dxfId="1" priority="1332" stopIfTrue="1" operator="between">
      <formula>"Check"</formula>
      <formula>"Check"</formula>
    </cfRule>
  </conditionalFormatting>
  <conditionalFormatting sqref="R1342">
    <cfRule type="cellIs" dxfId="1" priority="1333" stopIfTrue="1" operator="between">
      <formula>"Check"</formula>
      <formula>"Check"</formula>
    </cfRule>
  </conditionalFormatting>
  <conditionalFormatting sqref="R1343">
    <cfRule type="cellIs" dxfId="1" priority="1334" stopIfTrue="1" operator="between">
      <formula>"Check"</formula>
      <formula>"Check"</formula>
    </cfRule>
  </conditionalFormatting>
  <conditionalFormatting sqref="R1344">
    <cfRule type="cellIs" dxfId="1" priority="1335" stopIfTrue="1" operator="between">
      <formula>"Check"</formula>
      <formula>"Check"</formula>
    </cfRule>
  </conditionalFormatting>
  <conditionalFormatting sqref="R1345">
    <cfRule type="cellIs" dxfId="1" priority="1336" stopIfTrue="1" operator="between">
      <formula>"Check"</formula>
      <formula>"Check"</formula>
    </cfRule>
  </conditionalFormatting>
  <conditionalFormatting sqref="R1346">
    <cfRule type="cellIs" dxfId="1" priority="1337" stopIfTrue="1" operator="between">
      <formula>"Check"</formula>
      <formula>"Check"</formula>
    </cfRule>
  </conditionalFormatting>
  <conditionalFormatting sqref="R1347">
    <cfRule type="cellIs" dxfId="1" priority="1338" stopIfTrue="1" operator="between">
      <formula>"Check"</formula>
      <formula>"Check"</formula>
    </cfRule>
  </conditionalFormatting>
  <conditionalFormatting sqref="R1348">
    <cfRule type="cellIs" dxfId="1" priority="1339" stopIfTrue="1" operator="between">
      <formula>"Check"</formula>
      <formula>"Check"</formula>
    </cfRule>
  </conditionalFormatting>
  <conditionalFormatting sqref="R1349">
    <cfRule type="cellIs" dxfId="1" priority="1340" stopIfTrue="1" operator="between">
      <formula>"Check"</formula>
      <formula>"Check"</formula>
    </cfRule>
  </conditionalFormatting>
  <conditionalFormatting sqref="R1350">
    <cfRule type="cellIs" dxfId="1" priority="1341" stopIfTrue="1" operator="between">
      <formula>"Check"</formula>
      <formula>"Check"</formula>
    </cfRule>
  </conditionalFormatting>
  <conditionalFormatting sqref="R1351">
    <cfRule type="cellIs" dxfId="1" priority="1342" stopIfTrue="1" operator="between">
      <formula>"Check"</formula>
      <formula>"Check"</formula>
    </cfRule>
  </conditionalFormatting>
  <conditionalFormatting sqref="R1352">
    <cfRule type="cellIs" dxfId="1" priority="1343" stopIfTrue="1" operator="between">
      <formula>"Check"</formula>
      <formula>"Check"</formula>
    </cfRule>
  </conditionalFormatting>
  <conditionalFormatting sqref="R1353">
    <cfRule type="cellIs" dxfId="1" priority="1344" stopIfTrue="1" operator="between">
      <formula>"Check"</formula>
      <formula>"Check"</formula>
    </cfRule>
  </conditionalFormatting>
  <conditionalFormatting sqref="R1354">
    <cfRule type="cellIs" dxfId="1" priority="1345" stopIfTrue="1" operator="between">
      <formula>"Check"</formula>
      <formula>"Check"</formula>
    </cfRule>
  </conditionalFormatting>
  <conditionalFormatting sqref="R1355">
    <cfRule type="cellIs" dxfId="1" priority="1346" stopIfTrue="1" operator="between">
      <formula>"Check"</formula>
      <formula>"Check"</formula>
    </cfRule>
  </conditionalFormatting>
  <conditionalFormatting sqref="R1356">
    <cfRule type="cellIs" dxfId="1" priority="1347" stopIfTrue="1" operator="between">
      <formula>"Check"</formula>
      <formula>"Check"</formula>
    </cfRule>
  </conditionalFormatting>
  <conditionalFormatting sqref="R1357">
    <cfRule type="cellIs" dxfId="1" priority="1348" stopIfTrue="1" operator="between">
      <formula>"Check"</formula>
      <formula>"Check"</formula>
    </cfRule>
  </conditionalFormatting>
  <conditionalFormatting sqref="R1358">
    <cfRule type="cellIs" dxfId="1" priority="1349" stopIfTrue="1" operator="between">
      <formula>"Check"</formula>
      <formula>"Check"</formula>
    </cfRule>
  </conditionalFormatting>
  <conditionalFormatting sqref="R1359">
    <cfRule type="cellIs" dxfId="1" priority="1350" stopIfTrue="1" operator="between">
      <formula>"Check"</formula>
      <formula>"Check"</formula>
    </cfRule>
  </conditionalFormatting>
  <conditionalFormatting sqref="R1360">
    <cfRule type="cellIs" dxfId="1" priority="1351" stopIfTrue="1" operator="between">
      <formula>"Check"</formula>
      <formula>"Check"</formula>
    </cfRule>
  </conditionalFormatting>
  <conditionalFormatting sqref="R1361">
    <cfRule type="cellIs" dxfId="1" priority="1352" stopIfTrue="1" operator="between">
      <formula>"Check"</formula>
      <formula>"Check"</formula>
    </cfRule>
  </conditionalFormatting>
  <conditionalFormatting sqref="R1362">
    <cfRule type="cellIs" dxfId="1" priority="1353" stopIfTrue="1" operator="between">
      <formula>"Check"</formula>
      <formula>"Check"</formula>
    </cfRule>
  </conditionalFormatting>
  <conditionalFormatting sqref="R1363">
    <cfRule type="cellIs" dxfId="1" priority="1354" stopIfTrue="1" operator="between">
      <formula>"Check"</formula>
      <formula>"Check"</formula>
    </cfRule>
  </conditionalFormatting>
  <conditionalFormatting sqref="R1364">
    <cfRule type="cellIs" dxfId="1" priority="1355" stopIfTrue="1" operator="between">
      <formula>"Check"</formula>
      <formula>"Check"</formula>
    </cfRule>
  </conditionalFormatting>
  <conditionalFormatting sqref="R1365">
    <cfRule type="cellIs" dxfId="1" priority="1356" stopIfTrue="1" operator="between">
      <formula>"Check"</formula>
      <formula>"Check"</formula>
    </cfRule>
  </conditionalFormatting>
  <conditionalFormatting sqref="R1366">
    <cfRule type="cellIs" dxfId="1" priority="1357" stopIfTrue="1" operator="between">
      <formula>"Check"</formula>
      <formula>"Check"</formula>
    </cfRule>
  </conditionalFormatting>
  <conditionalFormatting sqref="R1367">
    <cfRule type="cellIs" dxfId="1" priority="1358" stopIfTrue="1" operator="between">
      <formula>"Check"</formula>
      <formula>"Check"</formula>
    </cfRule>
  </conditionalFormatting>
  <conditionalFormatting sqref="R1368">
    <cfRule type="cellIs" dxfId="1" priority="1359" stopIfTrue="1" operator="between">
      <formula>"Check"</formula>
      <formula>"Check"</formula>
    </cfRule>
  </conditionalFormatting>
  <conditionalFormatting sqref="R1369">
    <cfRule type="cellIs" dxfId="1" priority="1360" stopIfTrue="1" operator="between">
      <formula>"Check"</formula>
      <formula>"Check"</formula>
    </cfRule>
  </conditionalFormatting>
  <conditionalFormatting sqref="R1370">
    <cfRule type="cellIs" dxfId="1" priority="1361" stopIfTrue="1" operator="between">
      <formula>"Check"</formula>
      <formula>"Check"</formula>
    </cfRule>
  </conditionalFormatting>
  <conditionalFormatting sqref="R1371">
    <cfRule type="cellIs" dxfId="1" priority="1362" stopIfTrue="1" operator="between">
      <formula>"Check"</formula>
      <formula>"Check"</formula>
    </cfRule>
  </conditionalFormatting>
  <conditionalFormatting sqref="R1372">
    <cfRule type="cellIs" dxfId="1" priority="1363" stopIfTrue="1" operator="between">
      <formula>"Check"</formula>
      <formula>"Check"</formula>
    </cfRule>
  </conditionalFormatting>
  <conditionalFormatting sqref="R1373">
    <cfRule type="cellIs" dxfId="1" priority="1364" stopIfTrue="1" operator="between">
      <formula>"Check"</formula>
      <formula>"Check"</formula>
    </cfRule>
  </conditionalFormatting>
  <conditionalFormatting sqref="R1374">
    <cfRule type="cellIs" dxfId="1" priority="1365" stopIfTrue="1" operator="between">
      <formula>"Check"</formula>
      <formula>"Check"</formula>
    </cfRule>
  </conditionalFormatting>
  <conditionalFormatting sqref="R1375">
    <cfRule type="cellIs" dxfId="1" priority="1366" stopIfTrue="1" operator="between">
      <formula>"Check"</formula>
      <formula>"Check"</formula>
    </cfRule>
  </conditionalFormatting>
  <conditionalFormatting sqref="R1376">
    <cfRule type="cellIs" dxfId="1" priority="1367" stopIfTrue="1" operator="between">
      <formula>"Check"</formula>
      <formula>"Check"</formula>
    </cfRule>
  </conditionalFormatting>
  <conditionalFormatting sqref="R1377">
    <cfRule type="cellIs" dxfId="1" priority="1368" stopIfTrue="1" operator="between">
      <formula>"Check"</formula>
      <formula>"Check"</formula>
    </cfRule>
  </conditionalFormatting>
  <conditionalFormatting sqref="R1378">
    <cfRule type="cellIs" dxfId="1" priority="1369" stopIfTrue="1" operator="between">
      <formula>"Check"</formula>
      <formula>"Check"</formula>
    </cfRule>
  </conditionalFormatting>
  <conditionalFormatting sqref="R1379">
    <cfRule type="cellIs" dxfId="1" priority="1370" stopIfTrue="1" operator="between">
      <formula>"Check"</formula>
      <formula>"Check"</formula>
    </cfRule>
  </conditionalFormatting>
  <conditionalFormatting sqref="R1380">
    <cfRule type="cellIs" dxfId="1" priority="1371" stopIfTrue="1" operator="between">
      <formula>"Check"</formula>
      <formula>"Check"</formula>
    </cfRule>
  </conditionalFormatting>
  <conditionalFormatting sqref="R1381">
    <cfRule type="cellIs" dxfId="1" priority="1372" stopIfTrue="1" operator="between">
      <formula>"Check"</formula>
      <formula>"Check"</formula>
    </cfRule>
  </conditionalFormatting>
  <conditionalFormatting sqref="R1382">
    <cfRule type="cellIs" dxfId="1" priority="1373" stopIfTrue="1" operator="between">
      <formula>"Check"</formula>
      <formula>"Check"</formula>
    </cfRule>
  </conditionalFormatting>
  <conditionalFormatting sqref="R1383">
    <cfRule type="cellIs" dxfId="1" priority="1374" stopIfTrue="1" operator="between">
      <formula>"Check"</formula>
      <formula>"Check"</formula>
    </cfRule>
  </conditionalFormatting>
  <conditionalFormatting sqref="R1384">
    <cfRule type="cellIs" dxfId="1" priority="1375" stopIfTrue="1" operator="between">
      <formula>"Check"</formula>
      <formula>"Check"</formula>
    </cfRule>
  </conditionalFormatting>
  <conditionalFormatting sqref="R1385">
    <cfRule type="cellIs" dxfId="1" priority="1376" stopIfTrue="1" operator="between">
      <formula>"Check"</formula>
      <formula>"Check"</formula>
    </cfRule>
  </conditionalFormatting>
  <conditionalFormatting sqref="R1386">
    <cfRule type="cellIs" dxfId="1" priority="1377" stopIfTrue="1" operator="between">
      <formula>"Check"</formula>
      <formula>"Check"</formula>
    </cfRule>
  </conditionalFormatting>
  <conditionalFormatting sqref="R1387">
    <cfRule type="cellIs" dxfId="1" priority="1378" stopIfTrue="1" operator="between">
      <formula>"Check"</formula>
      <formula>"Check"</formula>
    </cfRule>
  </conditionalFormatting>
  <conditionalFormatting sqref="R1388">
    <cfRule type="cellIs" dxfId="1" priority="1379" stopIfTrue="1" operator="between">
      <formula>"Check"</formula>
      <formula>"Check"</formula>
    </cfRule>
  </conditionalFormatting>
  <conditionalFormatting sqref="R1389">
    <cfRule type="cellIs" dxfId="1" priority="1380" stopIfTrue="1" operator="between">
      <formula>"Check"</formula>
      <formula>"Check"</formula>
    </cfRule>
  </conditionalFormatting>
  <conditionalFormatting sqref="R1390">
    <cfRule type="cellIs" dxfId="1" priority="1381" stopIfTrue="1" operator="between">
      <formula>"Check"</formula>
      <formula>"Check"</formula>
    </cfRule>
  </conditionalFormatting>
  <conditionalFormatting sqref="R1391">
    <cfRule type="cellIs" dxfId="1" priority="1382" stopIfTrue="1" operator="between">
      <formula>"Check"</formula>
      <formula>"Check"</formula>
    </cfRule>
  </conditionalFormatting>
  <conditionalFormatting sqref="R1392">
    <cfRule type="cellIs" dxfId="1" priority="1383" stopIfTrue="1" operator="between">
      <formula>"Check"</formula>
      <formula>"Check"</formula>
    </cfRule>
  </conditionalFormatting>
  <conditionalFormatting sqref="R1393">
    <cfRule type="cellIs" dxfId="1" priority="1384" stopIfTrue="1" operator="between">
      <formula>"Check"</formula>
      <formula>"Check"</formula>
    </cfRule>
  </conditionalFormatting>
  <conditionalFormatting sqref="R1394">
    <cfRule type="cellIs" dxfId="1" priority="1385" stopIfTrue="1" operator="between">
      <formula>"Check"</formula>
      <formula>"Check"</formula>
    </cfRule>
  </conditionalFormatting>
  <conditionalFormatting sqref="R1395">
    <cfRule type="cellIs" dxfId="1" priority="1386" stopIfTrue="1" operator="between">
      <formula>"Check"</formula>
      <formula>"Check"</formula>
    </cfRule>
  </conditionalFormatting>
  <conditionalFormatting sqref="R1396">
    <cfRule type="cellIs" dxfId="1" priority="1387" stopIfTrue="1" operator="between">
      <formula>"Check"</formula>
      <formula>"Check"</formula>
    </cfRule>
  </conditionalFormatting>
  <conditionalFormatting sqref="R1397">
    <cfRule type="cellIs" dxfId="1" priority="1388" stopIfTrue="1" operator="between">
      <formula>"Check"</formula>
      <formula>"Check"</formula>
    </cfRule>
  </conditionalFormatting>
  <conditionalFormatting sqref="R1398">
    <cfRule type="cellIs" dxfId="1" priority="1389" stopIfTrue="1" operator="between">
      <formula>"Check"</formula>
      <formula>"Check"</formula>
    </cfRule>
  </conditionalFormatting>
  <conditionalFormatting sqref="R1399">
    <cfRule type="cellIs" dxfId="1" priority="1390" stopIfTrue="1" operator="between">
      <formula>"Check"</formula>
      <formula>"Check"</formula>
    </cfRule>
  </conditionalFormatting>
  <conditionalFormatting sqref="R1400">
    <cfRule type="cellIs" dxfId="1" priority="1391" stopIfTrue="1" operator="between">
      <formula>"Check"</formula>
      <formula>"Check"</formula>
    </cfRule>
  </conditionalFormatting>
  <conditionalFormatting sqref="R1401">
    <cfRule type="cellIs" dxfId="1" priority="1392" stopIfTrue="1" operator="between">
      <formula>"Check"</formula>
      <formula>"Check"</formula>
    </cfRule>
  </conditionalFormatting>
  <conditionalFormatting sqref="R1402">
    <cfRule type="cellIs" dxfId="1" priority="1393" stopIfTrue="1" operator="between">
      <formula>"Check"</formula>
      <formula>"Check"</formula>
    </cfRule>
  </conditionalFormatting>
  <conditionalFormatting sqref="R1403">
    <cfRule type="cellIs" dxfId="1" priority="1394" stopIfTrue="1" operator="between">
      <formula>"Check"</formula>
      <formula>"Check"</formula>
    </cfRule>
  </conditionalFormatting>
  <conditionalFormatting sqref="R1404">
    <cfRule type="cellIs" dxfId="1" priority="1395" stopIfTrue="1" operator="between">
      <formula>"Check"</formula>
      <formula>"Check"</formula>
    </cfRule>
  </conditionalFormatting>
  <conditionalFormatting sqref="R1405">
    <cfRule type="cellIs" dxfId="1" priority="1396" stopIfTrue="1" operator="between">
      <formula>"Check"</formula>
      <formula>"Check"</formula>
    </cfRule>
  </conditionalFormatting>
  <conditionalFormatting sqref="R1406">
    <cfRule type="cellIs" dxfId="1" priority="1397" stopIfTrue="1" operator="between">
      <formula>"Check"</formula>
      <formula>"Check"</formula>
    </cfRule>
  </conditionalFormatting>
  <conditionalFormatting sqref="R1407">
    <cfRule type="cellIs" dxfId="1" priority="1398" stopIfTrue="1" operator="between">
      <formula>"Check"</formula>
      <formula>"Check"</formula>
    </cfRule>
  </conditionalFormatting>
  <conditionalFormatting sqref="R1408">
    <cfRule type="cellIs" dxfId="1" priority="1399" stopIfTrue="1" operator="between">
      <formula>"Check"</formula>
      <formula>"Check"</formula>
    </cfRule>
  </conditionalFormatting>
  <conditionalFormatting sqref="R1409">
    <cfRule type="cellIs" dxfId="1" priority="1400" stopIfTrue="1" operator="between">
      <formula>"Check"</formula>
      <formula>"Check"</formula>
    </cfRule>
  </conditionalFormatting>
  <conditionalFormatting sqref="R1410">
    <cfRule type="cellIs" dxfId="1" priority="1401" stopIfTrue="1" operator="between">
      <formula>"Check"</formula>
      <formula>"Check"</formula>
    </cfRule>
  </conditionalFormatting>
  <conditionalFormatting sqref="R1411">
    <cfRule type="cellIs" dxfId="1" priority="1402" stopIfTrue="1" operator="between">
      <formula>"Check"</formula>
      <formula>"Check"</formula>
    </cfRule>
  </conditionalFormatting>
  <conditionalFormatting sqref="R1412">
    <cfRule type="cellIs" dxfId="1" priority="1403" stopIfTrue="1" operator="between">
      <formula>"Check"</formula>
      <formula>"Check"</formula>
    </cfRule>
  </conditionalFormatting>
  <conditionalFormatting sqref="R1413">
    <cfRule type="cellIs" dxfId="1" priority="1404" stopIfTrue="1" operator="between">
      <formula>"Check"</formula>
      <formula>"Check"</formula>
    </cfRule>
  </conditionalFormatting>
  <conditionalFormatting sqref="R1414">
    <cfRule type="cellIs" dxfId="1" priority="1405" stopIfTrue="1" operator="between">
      <formula>"Check"</formula>
      <formula>"Check"</formula>
    </cfRule>
  </conditionalFormatting>
  <conditionalFormatting sqref="R1415">
    <cfRule type="cellIs" dxfId="1" priority="1406" stopIfTrue="1" operator="between">
      <formula>"Check"</formula>
      <formula>"Check"</formula>
    </cfRule>
  </conditionalFormatting>
  <conditionalFormatting sqref="R1416">
    <cfRule type="cellIs" dxfId="1" priority="1407" stopIfTrue="1" operator="between">
      <formula>"Check"</formula>
      <formula>"Check"</formula>
    </cfRule>
  </conditionalFormatting>
  <conditionalFormatting sqref="R1417">
    <cfRule type="cellIs" dxfId="1" priority="1408" stopIfTrue="1" operator="between">
      <formula>"Check"</formula>
      <formula>"Check"</formula>
    </cfRule>
  </conditionalFormatting>
  <conditionalFormatting sqref="R1418">
    <cfRule type="cellIs" dxfId="1" priority="1409" stopIfTrue="1" operator="between">
      <formula>"Check"</formula>
      <formula>"Check"</formula>
    </cfRule>
  </conditionalFormatting>
  <conditionalFormatting sqref="R1419">
    <cfRule type="cellIs" dxfId="1" priority="1410" stopIfTrue="1" operator="between">
      <formula>"Check"</formula>
      <formula>"Check"</formula>
    </cfRule>
  </conditionalFormatting>
  <conditionalFormatting sqref="R1420">
    <cfRule type="cellIs" dxfId="1" priority="1411" stopIfTrue="1" operator="between">
      <formula>"Check"</formula>
      <formula>"Check"</formula>
    </cfRule>
  </conditionalFormatting>
  <conditionalFormatting sqref="R1421">
    <cfRule type="cellIs" dxfId="1" priority="1412" stopIfTrue="1" operator="between">
      <formula>"Check"</formula>
      <formula>"Check"</formula>
    </cfRule>
  </conditionalFormatting>
  <conditionalFormatting sqref="R1422">
    <cfRule type="cellIs" dxfId="1" priority="1413" stopIfTrue="1" operator="between">
      <formula>"Check"</formula>
      <formula>"Check"</formula>
    </cfRule>
  </conditionalFormatting>
  <conditionalFormatting sqref="R1423">
    <cfRule type="cellIs" dxfId="1" priority="1414" stopIfTrue="1" operator="between">
      <formula>"Check"</formula>
      <formula>"Check"</formula>
    </cfRule>
  </conditionalFormatting>
  <conditionalFormatting sqref="R1424">
    <cfRule type="cellIs" dxfId="1" priority="1415" stopIfTrue="1" operator="between">
      <formula>"Check"</formula>
      <formula>"Check"</formula>
    </cfRule>
  </conditionalFormatting>
  <conditionalFormatting sqref="R1425">
    <cfRule type="cellIs" dxfId="1" priority="1416" stopIfTrue="1" operator="between">
      <formula>"Check"</formula>
      <formula>"Check"</formula>
    </cfRule>
  </conditionalFormatting>
  <conditionalFormatting sqref="R1426">
    <cfRule type="cellIs" dxfId="1" priority="1417" stopIfTrue="1" operator="between">
      <formula>"Check"</formula>
      <formula>"Check"</formula>
    </cfRule>
  </conditionalFormatting>
  <conditionalFormatting sqref="R1427">
    <cfRule type="cellIs" dxfId="1" priority="1418" stopIfTrue="1" operator="between">
      <formula>"Check"</formula>
      <formula>"Check"</formula>
    </cfRule>
  </conditionalFormatting>
  <conditionalFormatting sqref="R1428">
    <cfRule type="cellIs" dxfId="1" priority="1419" stopIfTrue="1" operator="between">
      <formula>"Check"</formula>
      <formula>"Check"</formula>
    </cfRule>
  </conditionalFormatting>
  <conditionalFormatting sqref="R1429">
    <cfRule type="cellIs" dxfId="1" priority="1420" stopIfTrue="1" operator="between">
      <formula>"Check"</formula>
      <formula>"Check"</formula>
    </cfRule>
  </conditionalFormatting>
  <conditionalFormatting sqref="R1430">
    <cfRule type="cellIs" dxfId="1" priority="1421" stopIfTrue="1" operator="between">
      <formula>"Check"</formula>
      <formula>"Check"</formula>
    </cfRule>
  </conditionalFormatting>
  <conditionalFormatting sqref="R1431">
    <cfRule type="cellIs" dxfId="1" priority="1422" stopIfTrue="1" operator="between">
      <formula>"Check"</formula>
      <formula>"Check"</formula>
    </cfRule>
  </conditionalFormatting>
  <conditionalFormatting sqref="R1432">
    <cfRule type="cellIs" dxfId="1" priority="1423" stopIfTrue="1" operator="between">
      <formula>"Check"</formula>
      <formula>"Check"</formula>
    </cfRule>
  </conditionalFormatting>
  <conditionalFormatting sqref="R1433">
    <cfRule type="cellIs" dxfId="1" priority="1424" stopIfTrue="1" operator="between">
      <formula>"Check"</formula>
      <formula>"Check"</formula>
    </cfRule>
  </conditionalFormatting>
  <conditionalFormatting sqref="R1434">
    <cfRule type="cellIs" dxfId="1" priority="1425" stopIfTrue="1" operator="between">
      <formula>"Check"</formula>
      <formula>"Check"</formula>
    </cfRule>
  </conditionalFormatting>
  <conditionalFormatting sqref="R1435">
    <cfRule type="cellIs" dxfId="1" priority="1426" stopIfTrue="1" operator="between">
      <formula>"Check"</formula>
      <formula>"Check"</formula>
    </cfRule>
  </conditionalFormatting>
  <conditionalFormatting sqref="R1436">
    <cfRule type="cellIs" dxfId="1" priority="1427" stopIfTrue="1" operator="between">
      <formula>"Check"</formula>
      <formula>"Check"</formula>
    </cfRule>
  </conditionalFormatting>
  <conditionalFormatting sqref="R1437">
    <cfRule type="cellIs" dxfId="1" priority="1428" stopIfTrue="1" operator="between">
      <formula>"Check"</formula>
      <formula>"Check"</formula>
    </cfRule>
  </conditionalFormatting>
  <conditionalFormatting sqref="R1438">
    <cfRule type="cellIs" dxfId="1" priority="1429" stopIfTrue="1" operator="between">
      <formula>"Check"</formula>
      <formula>"Check"</formula>
    </cfRule>
  </conditionalFormatting>
  <conditionalFormatting sqref="R1439">
    <cfRule type="cellIs" dxfId="1" priority="1430" stopIfTrue="1" operator="between">
      <formula>"Check"</formula>
      <formula>"Check"</formula>
    </cfRule>
  </conditionalFormatting>
  <conditionalFormatting sqref="R1440">
    <cfRule type="cellIs" dxfId="1" priority="1431" stopIfTrue="1" operator="between">
      <formula>"Check"</formula>
      <formula>"Check"</formula>
    </cfRule>
  </conditionalFormatting>
  <conditionalFormatting sqref="R1441">
    <cfRule type="cellIs" dxfId="1" priority="1432" stopIfTrue="1" operator="between">
      <formula>"Check"</formula>
      <formula>"Check"</formula>
    </cfRule>
  </conditionalFormatting>
  <conditionalFormatting sqref="R1442">
    <cfRule type="cellIs" dxfId="1" priority="1433" stopIfTrue="1" operator="between">
      <formula>"Check"</formula>
      <formula>"Check"</formula>
    </cfRule>
  </conditionalFormatting>
  <conditionalFormatting sqref="R1443">
    <cfRule type="cellIs" dxfId="1" priority="1434" stopIfTrue="1" operator="between">
      <formula>"Check"</formula>
      <formula>"Check"</formula>
    </cfRule>
  </conditionalFormatting>
  <conditionalFormatting sqref="R1444">
    <cfRule type="cellIs" dxfId="1" priority="1435" stopIfTrue="1" operator="between">
      <formula>"Check"</formula>
      <formula>"Check"</formula>
    </cfRule>
  </conditionalFormatting>
  <conditionalFormatting sqref="R1445">
    <cfRule type="cellIs" dxfId="1" priority="1436" stopIfTrue="1" operator="between">
      <formula>"Check"</formula>
      <formula>"Check"</formula>
    </cfRule>
  </conditionalFormatting>
  <conditionalFormatting sqref="R1446">
    <cfRule type="cellIs" dxfId="1" priority="1437" stopIfTrue="1" operator="between">
      <formula>"Check"</formula>
      <formula>"Check"</formula>
    </cfRule>
  </conditionalFormatting>
  <conditionalFormatting sqref="R1447">
    <cfRule type="cellIs" dxfId="1" priority="1438" stopIfTrue="1" operator="between">
      <formula>"Check"</formula>
      <formula>"Check"</formula>
    </cfRule>
  </conditionalFormatting>
  <conditionalFormatting sqref="R1448">
    <cfRule type="cellIs" dxfId="1" priority="1439" stopIfTrue="1" operator="between">
      <formula>"Check"</formula>
      <formula>"Check"</formula>
    </cfRule>
  </conditionalFormatting>
  <conditionalFormatting sqref="R1449">
    <cfRule type="cellIs" dxfId="1" priority="1440" stopIfTrue="1" operator="between">
      <formula>"Check"</formula>
      <formula>"Check"</formula>
    </cfRule>
  </conditionalFormatting>
  <conditionalFormatting sqref="R1450">
    <cfRule type="cellIs" dxfId="1" priority="1441" stopIfTrue="1" operator="between">
      <formula>"Check"</formula>
      <formula>"Check"</formula>
    </cfRule>
  </conditionalFormatting>
  <conditionalFormatting sqref="R1451">
    <cfRule type="cellIs" dxfId="1" priority="1442" stopIfTrue="1" operator="between">
      <formula>"Check"</formula>
      <formula>"Check"</formula>
    </cfRule>
  </conditionalFormatting>
  <conditionalFormatting sqref="R1452">
    <cfRule type="cellIs" dxfId="1" priority="1443" stopIfTrue="1" operator="between">
      <formula>"Check"</formula>
      <formula>"Check"</formula>
    </cfRule>
  </conditionalFormatting>
  <conditionalFormatting sqref="R1453">
    <cfRule type="cellIs" dxfId="1" priority="1444" stopIfTrue="1" operator="between">
      <formula>"Check"</formula>
      <formula>"Check"</formula>
    </cfRule>
  </conditionalFormatting>
  <conditionalFormatting sqref="R1454">
    <cfRule type="cellIs" dxfId="1" priority="1445" stopIfTrue="1" operator="between">
      <formula>"Check"</formula>
      <formula>"Check"</formula>
    </cfRule>
  </conditionalFormatting>
  <conditionalFormatting sqref="R1455">
    <cfRule type="cellIs" dxfId="1" priority="1446" stopIfTrue="1" operator="between">
      <formula>"Check"</formula>
      <formula>"Check"</formula>
    </cfRule>
  </conditionalFormatting>
  <conditionalFormatting sqref="R1456">
    <cfRule type="cellIs" dxfId="1" priority="1447" stopIfTrue="1" operator="between">
      <formula>"Check"</formula>
      <formula>"Check"</formula>
    </cfRule>
  </conditionalFormatting>
  <conditionalFormatting sqref="R1457">
    <cfRule type="cellIs" dxfId="1" priority="1448" stopIfTrue="1" operator="between">
      <formula>"Check"</formula>
      <formula>"Check"</formula>
    </cfRule>
  </conditionalFormatting>
  <conditionalFormatting sqref="R1458">
    <cfRule type="cellIs" dxfId="1" priority="1449" stopIfTrue="1" operator="between">
      <formula>"Check"</formula>
      <formula>"Check"</formula>
    </cfRule>
  </conditionalFormatting>
  <conditionalFormatting sqref="R1459">
    <cfRule type="cellIs" dxfId="1" priority="1450" stopIfTrue="1" operator="between">
      <formula>"Check"</formula>
      <formula>"Check"</formula>
    </cfRule>
  </conditionalFormatting>
  <conditionalFormatting sqref="R1460">
    <cfRule type="cellIs" dxfId="1" priority="1451" stopIfTrue="1" operator="between">
      <formula>"Check"</formula>
      <formula>"Check"</formula>
    </cfRule>
  </conditionalFormatting>
  <conditionalFormatting sqref="R1461">
    <cfRule type="cellIs" dxfId="1" priority="1452" stopIfTrue="1" operator="between">
      <formula>"Check"</formula>
      <formula>"Check"</formula>
    </cfRule>
  </conditionalFormatting>
  <conditionalFormatting sqref="R1462">
    <cfRule type="cellIs" dxfId="1" priority="1453" stopIfTrue="1" operator="between">
      <formula>"Check"</formula>
      <formula>"Check"</formula>
    </cfRule>
  </conditionalFormatting>
  <conditionalFormatting sqref="R1463">
    <cfRule type="cellIs" dxfId="1" priority="1454" stopIfTrue="1" operator="between">
      <formula>"Check"</formula>
      <formula>"Check"</formula>
    </cfRule>
  </conditionalFormatting>
  <conditionalFormatting sqref="R1464">
    <cfRule type="cellIs" dxfId="1" priority="1455" stopIfTrue="1" operator="between">
      <formula>"Check"</formula>
      <formula>"Check"</formula>
    </cfRule>
  </conditionalFormatting>
  <conditionalFormatting sqref="R1465">
    <cfRule type="cellIs" dxfId="1" priority="1456" stopIfTrue="1" operator="between">
      <formula>"Check"</formula>
      <formula>"Check"</formula>
    </cfRule>
  </conditionalFormatting>
  <conditionalFormatting sqref="R1466">
    <cfRule type="cellIs" dxfId="1" priority="1457" stopIfTrue="1" operator="between">
      <formula>"Check"</formula>
      <formula>"Check"</formula>
    </cfRule>
  </conditionalFormatting>
  <conditionalFormatting sqref="R1467">
    <cfRule type="cellIs" dxfId="1" priority="1458" stopIfTrue="1" operator="between">
      <formula>"Check"</formula>
      <formula>"Check"</formula>
    </cfRule>
  </conditionalFormatting>
  <conditionalFormatting sqref="R1468">
    <cfRule type="cellIs" dxfId="1" priority="1459" stopIfTrue="1" operator="between">
      <formula>"Check"</formula>
      <formula>"Check"</formula>
    </cfRule>
  </conditionalFormatting>
  <conditionalFormatting sqref="R1469">
    <cfRule type="cellIs" dxfId="1" priority="1460" stopIfTrue="1" operator="between">
      <formula>"Check"</formula>
      <formula>"Check"</formula>
    </cfRule>
  </conditionalFormatting>
  <conditionalFormatting sqref="R1470">
    <cfRule type="cellIs" dxfId="1" priority="1461" stopIfTrue="1" operator="between">
      <formula>"Check"</formula>
      <formula>"Check"</formula>
    </cfRule>
  </conditionalFormatting>
  <conditionalFormatting sqref="R1471">
    <cfRule type="cellIs" dxfId="1" priority="1462" stopIfTrue="1" operator="between">
      <formula>"Check"</formula>
      <formula>"Check"</formula>
    </cfRule>
  </conditionalFormatting>
  <conditionalFormatting sqref="R1472">
    <cfRule type="cellIs" dxfId="1" priority="1463" stopIfTrue="1" operator="between">
      <formula>"Check"</formula>
      <formula>"Check"</formula>
    </cfRule>
  </conditionalFormatting>
  <conditionalFormatting sqref="R1473">
    <cfRule type="cellIs" dxfId="1" priority="1464" stopIfTrue="1" operator="between">
      <formula>"Check"</formula>
      <formula>"Check"</formula>
    </cfRule>
  </conditionalFormatting>
  <conditionalFormatting sqref="R1474">
    <cfRule type="cellIs" dxfId="1" priority="1465" stopIfTrue="1" operator="between">
      <formula>"Check"</formula>
      <formula>"Check"</formula>
    </cfRule>
  </conditionalFormatting>
  <conditionalFormatting sqref="R1475">
    <cfRule type="cellIs" dxfId="1" priority="1466" stopIfTrue="1" operator="between">
      <formula>"Check"</formula>
      <formula>"Check"</formula>
    </cfRule>
  </conditionalFormatting>
  <conditionalFormatting sqref="R1476">
    <cfRule type="cellIs" dxfId="1" priority="1467" stopIfTrue="1" operator="between">
      <formula>"Check"</formula>
      <formula>"Check"</formula>
    </cfRule>
  </conditionalFormatting>
  <conditionalFormatting sqref="R1477">
    <cfRule type="cellIs" dxfId="1" priority="1468" stopIfTrue="1" operator="between">
      <formula>"Check"</formula>
      <formula>"Check"</formula>
    </cfRule>
  </conditionalFormatting>
  <conditionalFormatting sqref="R1478">
    <cfRule type="cellIs" dxfId="1" priority="1469" stopIfTrue="1" operator="between">
      <formula>"Check"</formula>
      <formula>"Check"</formula>
    </cfRule>
  </conditionalFormatting>
  <conditionalFormatting sqref="R1479">
    <cfRule type="cellIs" dxfId="1" priority="1470" stopIfTrue="1" operator="between">
      <formula>"Check"</formula>
      <formula>"Check"</formula>
    </cfRule>
  </conditionalFormatting>
  <conditionalFormatting sqref="R1480">
    <cfRule type="cellIs" dxfId="1" priority="1471" stopIfTrue="1" operator="between">
      <formula>"Check"</formula>
      <formula>"Check"</formula>
    </cfRule>
  </conditionalFormatting>
  <conditionalFormatting sqref="R1481">
    <cfRule type="cellIs" dxfId="1" priority="1472" stopIfTrue="1" operator="between">
      <formula>"Check"</formula>
      <formula>"Check"</formula>
    </cfRule>
  </conditionalFormatting>
  <conditionalFormatting sqref="R1482">
    <cfRule type="cellIs" dxfId="1" priority="1473" stopIfTrue="1" operator="between">
      <formula>"Check"</formula>
      <formula>"Check"</formula>
    </cfRule>
  </conditionalFormatting>
  <conditionalFormatting sqref="R1483">
    <cfRule type="cellIs" dxfId="1" priority="1474" stopIfTrue="1" operator="between">
      <formula>"Check"</formula>
      <formula>"Check"</formula>
    </cfRule>
  </conditionalFormatting>
  <conditionalFormatting sqref="R1484">
    <cfRule type="cellIs" dxfId="1" priority="1475" stopIfTrue="1" operator="between">
      <formula>"Check"</formula>
      <formula>"Check"</formula>
    </cfRule>
  </conditionalFormatting>
  <conditionalFormatting sqref="R1485">
    <cfRule type="cellIs" dxfId="1" priority="1476" stopIfTrue="1" operator="between">
      <formula>"Check"</formula>
      <formula>"Check"</formula>
    </cfRule>
  </conditionalFormatting>
  <conditionalFormatting sqref="R1486">
    <cfRule type="cellIs" dxfId="1" priority="1477" stopIfTrue="1" operator="between">
      <formula>"Check"</formula>
      <formula>"Check"</formula>
    </cfRule>
  </conditionalFormatting>
  <conditionalFormatting sqref="R1487">
    <cfRule type="cellIs" dxfId="1" priority="1478" stopIfTrue="1" operator="between">
      <formula>"Check"</formula>
      <formula>"Check"</formula>
    </cfRule>
  </conditionalFormatting>
  <conditionalFormatting sqref="R1488">
    <cfRule type="cellIs" dxfId="1" priority="1479" stopIfTrue="1" operator="between">
      <formula>"Check"</formula>
      <formula>"Check"</formula>
    </cfRule>
  </conditionalFormatting>
  <conditionalFormatting sqref="R1489">
    <cfRule type="cellIs" dxfId="1" priority="1480" stopIfTrue="1" operator="between">
      <formula>"Check"</formula>
      <formula>"Check"</formula>
    </cfRule>
  </conditionalFormatting>
  <conditionalFormatting sqref="R1490">
    <cfRule type="cellIs" dxfId="1" priority="1481" stopIfTrue="1" operator="between">
      <formula>"Check"</formula>
      <formula>"Check"</formula>
    </cfRule>
  </conditionalFormatting>
  <conditionalFormatting sqref="R1491">
    <cfRule type="cellIs" dxfId="1" priority="1482" stopIfTrue="1" operator="between">
      <formula>"Check"</formula>
      <formula>"Check"</formula>
    </cfRule>
  </conditionalFormatting>
  <conditionalFormatting sqref="R1492">
    <cfRule type="cellIs" dxfId="1" priority="1483" stopIfTrue="1" operator="between">
      <formula>"Check"</formula>
      <formula>"Check"</formula>
    </cfRule>
  </conditionalFormatting>
  <conditionalFormatting sqref="R1493">
    <cfRule type="cellIs" dxfId="1" priority="1484" stopIfTrue="1" operator="between">
      <formula>"Check"</formula>
      <formula>"Check"</formula>
    </cfRule>
  </conditionalFormatting>
  <conditionalFormatting sqref="R1494">
    <cfRule type="cellIs" dxfId="1" priority="1485" stopIfTrue="1" operator="between">
      <formula>"Check"</formula>
      <formula>"Check"</formula>
    </cfRule>
  </conditionalFormatting>
  <conditionalFormatting sqref="R1495">
    <cfRule type="cellIs" dxfId="1" priority="1486" stopIfTrue="1" operator="between">
      <formula>"Check"</formula>
      <formula>"Check"</formula>
    </cfRule>
  </conditionalFormatting>
  <conditionalFormatting sqref="R1496">
    <cfRule type="cellIs" dxfId="1" priority="1487" stopIfTrue="1" operator="between">
      <formula>"Check"</formula>
      <formula>"Check"</formula>
    </cfRule>
  </conditionalFormatting>
  <conditionalFormatting sqref="R1497">
    <cfRule type="cellIs" dxfId="1" priority="1488" stopIfTrue="1" operator="between">
      <formula>"Check"</formula>
      <formula>"Check"</formula>
    </cfRule>
  </conditionalFormatting>
  <conditionalFormatting sqref="R1498">
    <cfRule type="cellIs" dxfId="1" priority="1489" stopIfTrue="1" operator="between">
      <formula>"Check"</formula>
      <formula>"Check"</formula>
    </cfRule>
  </conditionalFormatting>
  <conditionalFormatting sqref="R1499">
    <cfRule type="cellIs" dxfId="1" priority="1490" stopIfTrue="1" operator="between">
      <formula>"Check"</formula>
      <formula>"Check"</formula>
    </cfRule>
  </conditionalFormatting>
  <conditionalFormatting sqref="R1500">
    <cfRule type="cellIs" dxfId="1" priority="1491" stopIfTrue="1" operator="between">
      <formula>"Check"</formula>
      <formula>"Check"</formula>
    </cfRule>
  </conditionalFormatting>
  <conditionalFormatting sqref="R1501">
    <cfRule type="cellIs" dxfId="1" priority="1492" stopIfTrue="1" operator="between">
      <formula>"Check"</formula>
      <formula>"Check"</formula>
    </cfRule>
  </conditionalFormatting>
  <conditionalFormatting sqref="R1502">
    <cfRule type="cellIs" dxfId="1" priority="1493" stopIfTrue="1" operator="between">
      <formula>"Check"</formula>
      <formula>"Check"</formula>
    </cfRule>
  </conditionalFormatting>
  <conditionalFormatting sqref="R1503">
    <cfRule type="cellIs" dxfId="1" priority="1494" stopIfTrue="1" operator="between">
      <formula>"Check"</formula>
      <formula>"Check"</formula>
    </cfRule>
  </conditionalFormatting>
  <conditionalFormatting sqref="R1504">
    <cfRule type="cellIs" dxfId="1" priority="1495" stopIfTrue="1" operator="between">
      <formula>"Check"</formula>
      <formula>"Check"</formula>
    </cfRule>
  </conditionalFormatting>
  <conditionalFormatting sqref="R1505">
    <cfRule type="cellIs" dxfId="1" priority="1496" stopIfTrue="1" operator="between">
      <formula>"Check"</formula>
      <formula>"Check"</formula>
    </cfRule>
  </conditionalFormatting>
  <conditionalFormatting sqref="R1506">
    <cfRule type="cellIs" dxfId="1" priority="1497" stopIfTrue="1" operator="between">
      <formula>"Check"</formula>
      <formula>"Check"</formula>
    </cfRule>
  </conditionalFormatting>
  <conditionalFormatting sqref="R1507">
    <cfRule type="cellIs" dxfId="1" priority="1498" stopIfTrue="1" operator="between">
      <formula>"Check"</formula>
      <formula>"Check"</formula>
    </cfRule>
  </conditionalFormatting>
  <conditionalFormatting sqref="R1508">
    <cfRule type="cellIs" dxfId="1" priority="1499" stopIfTrue="1" operator="between">
      <formula>"Check"</formula>
      <formula>"Check"</formula>
    </cfRule>
  </conditionalFormatting>
  <conditionalFormatting sqref="R1509">
    <cfRule type="cellIs" dxfId="1" priority="1500" stopIfTrue="1" operator="between">
      <formula>"Check"</formula>
      <formula>"Check"</formula>
    </cfRule>
  </conditionalFormatting>
  <conditionalFormatting sqref="R1510">
    <cfRule type="cellIs" dxfId="1" priority="1501" stopIfTrue="1" operator="between">
      <formula>"Check"</formula>
      <formula>"Check"</formula>
    </cfRule>
  </conditionalFormatting>
  <conditionalFormatting sqref="R1511">
    <cfRule type="cellIs" dxfId="1" priority="1502" stopIfTrue="1" operator="between">
      <formula>"Check"</formula>
      <formula>"Check"</formula>
    </cfRule>
  </conditionalFormatting>
  <conditionalFormatting sqref="R1512">
    <cfRule type="cellIs" dxfId="1" priority="1503" stopIfTrue="1" operator="between">
      <formula>"Check"</formula>
      <formula>"Check"</formula>
    </cfRule>
  </conditionalFormatting>
  <conditionalFormatting sqref="R1513">
    <cfRule type="cellIs" dxfId="1" priority="1504" stopIfTrue="1" operator="between">
      <formula>"Check"</formula>
      <formula>"Check"</formula>
    </cfRule>
  </conditionalFormatting>
  <conditionalFormatting sqref="R1514">
    <cfRule type="cellIs" dxfId="1" priority="1505" stopIfTrue="1" operator="between">
      <formula>"Check"</formula>
      <formula>"Check"</formula>
    </cfRule>
  </conditionalFormatting>
  <conditionalFormatting sqref="R1515">
    <cfRule type="cellIs" dxfId="1" priority="1506" stopIfTrue="1" operator="between">
      <formula>"Check"</formula>
      <formula>"Check"</formula>
    </cfRule>
  </conditionalFormatting>
  <conditionalFormatting sqref="R1516">
    <cfRule type="cellIs" dxfId="1" priority="1507" stopIfTrue="1" operator="between">
      <formula>"Check"</formula>
      <formula>"Check"</formula>
    </cfRule>
  </conditionalFormatting>
  <conditionalFormatting sqref="R1517">
    <cfRule type="cellIs" dxfId="1" priority="1508" stopIfTrue="1" operator="between">
      <formula>"Check"</formula>
      <formula>"Check"</formula>
    </cfRule>
  </conditionalFormatting>
  <conditionalFormatting sqref="R1518">
    <cfRule type="cellIs" dxfId="1" priority="1509" stopIfTrue="1" operator="between">
      <formula>"Check"</formula>
      <formula>"Check"</formula>
    </cfRule>
  </conditionalFormatting>
  <conditionalFormatting sqref="R1519">
    <cfRule type="cellIs" dxfId="1" priority="1510" stopIfTrue="1" operator="between">
      <formula>"Check"</formula>
      <formula>"Check"</formula>
    </cfRule>
  </conditionalFormatting>
  <conditionalFormatting sqref="R1520">
    <cfRule type="cellIs" dxfId="1" priority="1511" stopIfTrue="1" operator="between">
      <formula>"Check"</formula>
      <formula>"Check"</formula>
    </cfRule>
  </conditionalFormatting>
  <conditionalFormatting sqref="R1521">
    <cfRule type="cellIs" dxfId="1" priority="1512" stopIfTrue="1" operator="between">
      <formula>"Check"</formula>
      <formula>"Check"</formula>
    </cfRule>
  </conditionalFormatting>
  <conditionalFormatting sqref="R1522">
    <cfRule type="cellIs" dxfId="1" priority="1513" stopIfTrue="1" operator="between">
      <formula>"Check"</formula>
      <formula>"Check"</formula>
    </cfRule>
  </conditionalFormatting>
  <conditionalFormatting sqref="R1523">
    <cfRule type="cellIs" dxfId="1" priority="1514" stopIfTrue="1" operator="between">
      <formula>"Check"</formula>
      <formula>"Check"</formula>
    </cfRule>
  </conditionalFormatting>
  <conditionalFormatting sqref="R1524">
    <cfRule type="cellIs" dxfId="1" priority="1515" stopIfTrue="1" operator="between">
      <formula>"Check"</formula>
      <formula>"Check"</formula>
    </cfRule>
  </conditionalFormatting>
  <conditionalFormatting sqref="R1525">
    <cfRule type="cellIs" dxfId="1" priority="1516" stopIfTrue="1" operator="between">
      <formula>"Check"</formula>
      <formula>"Check"</formula>
    </cfRule>
  </conditionalFormatting>
  <conditionalFormatting sqref="R1526">
    <cfRule type="cellIs" dxfId="1" priority="1517" stopIfTrue="1" operator="between">
      <formula>"Check"</formula>
      <formula>"Check"</formula>
    </cfRule>
  </conditionalFormatting>
  <conditionalFormatting sqref="R1527">
    <cfRule type="cellIs" dxfId="1" priority="1518" stopIfTrue="1" operator="between">
      <formula>"Check"</formula>
      <formula>"Check"</formula>
    </cfRule>
  </conditionalFormatting>
  <conditionalFormatting sqref="R1528">
    <cfRule type="cellIs" dxfId="1" priority="1519" stopIfTrue="1" operator="between">
      <formula>"Check"</formula>
      <formula>"Check"</formula>
    </cfRule>
  </conditionalFormatting>
  <conditionalFormatting sqref="R1529">
    <cfRule type="cellIs" dxfId="1" priority="1520" stopIfTrue="1" operator="between">
      <formula>"Check"</formula>
      <formula>"Check"</formula>
    </cfRule>
  </conditionalFormatting>
  <conditionalFormatting sqref="R1530">
    <cfRule type="cellIs" dxfId="1" priority="1521" stopIfTrue="1" operator="between">
      <formula>"Check"</formula>
      <formula>"Check"</formula>
    </cfRule>
  </conditionalFormatting>
  <conditionalFormatting sqref="R1531">
    <cfRule type="cellIs" dxfId="1" priority="1522" stopIfTrue="1" operator="between">
      <formula>"Check"</formula>
      <formula>"Check"</formula>
    </cfRule>
  </conditionalFormatting>
  <conditionalFormatting sqref="R1532">
    <cfRule type="cellIs" dxfId="1" priority="1523" stopIfTrue="1" operator="between">
      <formula>"Check"</formula>
      <formula>"Check"</formula>
    </cfRule>
  </conditionalFormatting>
  <conditionalFormatting sqref="R1533">
    <cfRule type="cellIs" dxfId="1" priority="1524" stopIfTrue="1" operator="between">
      <formula>"Check"</formula>
      <formula>"Check"</formula>
    </cfRule>
  </conditionalFormatting>
  <conditionalFormatting sqref="R1534">
    <cfRule type="cellIs" dxfId="1" priority="1525" stopIfTrue="1" operator="between">
      <formula>"Check"</formula>
      <formula>"Check"</formula>
    </cfRule>
  </conditionalFormatting>
  <conditionalFormatting sqref="R1535">
    <cfRule type="cellIs" dxfId="1" priority="1526" stopIfTrue="1" operator="between">
      <formula>"Check"</formula>
      <formula>"Check"</formula>
    </cfRule>
  </conditionalFormatting>
  <conditionalFormatting sqref="R1536">
    <cfRule type="cellIs" dxfId="1" priority="1527" stopIfTrue="1" operator="between">
      <formula>"Check"</formula>
      <formula>"Check"</formula>
    </cfRule>
  </conditionalFormatting>
  <conditionalFormatting sqref="R1537">
    <cfRule type="cellIs" dxfId="1" priority="1528" stopIfTrue="1" operator="between">
      <formula>"Check"</formula>
      <formula>"Check"</formula>
    </cfRule>
  </conditionalFormatting>
  <conditionalFormatting sqref="R1538">
    <cfRule type="cellIs" dxfId="1" priority="1529" stopIfTrue="1" operator="between">
      <formula>"Check"</formula>
      <formula>"Check"</formula>
    </cfRule>
  </conditionalFormatting>
  <conditionalFormatting sqref="R1539">
    <cfRule type="cellIs" dxfId="1" priority="1530" stopIfTrue="1" operator="between">
      <formula>"Check"</formula>
      <formula>"Check"</formula>
    </cfRule>
  </conditionalFormatting>
  <conditionalFormatting sqref="R1540">
    <cfRule type="cellIs" dxfId="1" priority="1531" stopIfTrue="1" operator="between">
      <formula>"Check"</formula>
      <formula>"Check"</formula>
    </cfRule>
  </conditionalFormatting>
  <conditionalFormatting sqref="R1541">
    <cfRule type="cellIs" dxfId="1" priority="1532" stopIfTrue="1" operator="between">
      <formula>"Check"</formula>
      <formula>"Check"</formula>
    </cfRule>
  </conditionalFormatting>
  <conditionalFormatting sqref="R1542">
    <cfRule type="cellIs" dxfId="1" priority="1533" stopIfTrue="1" operator="between">
      <formula>"Check"</formula>
      <formula>"Check"</formula>
    </cfRule>
  </conditionalFormatting>
  <conditionalFormatting sqref="R1543">
    <cfRule type="cellIs" dxfId="1" priority="1534" stopIfTrue="1" operator="between">
      <formula>"Check"</formula>
      <formula>"Check"</formula>
    </cfRule>
  </conditionalFormatting>
  <conditionalFormatting sqref="R1544">
    <cfRule type="cellIs" dxfId="1" priority="1535" stopIfTrue="1" operator="between">
      <formula>"Check"</formula>
      <formula>"Check"</formula>
    </cfRule>
  </conditionalFormatting>
  <conditionalFormatting sqref="R1545">
    <cfRule type="cellIs" dxfId="1" priority="1536" stopIfTrue="1" operator="between">
      <formula>"Check"</formula>
      <formula>"Check"</formula>
    </cfRule>
  </conditionalFormatting>
  <conditionalFormatting sqref="R1546">
    <cfRule type="cellIs" dxfId="1" priority="1537" stopIfTrue="1" operator="between">
      <formula>"Check"</formula>
      <formula>"Check"</formula>
    </cfRule>
  </conditionalFormatting>
  <conditionalFormatting sqref="R1547">
    <cfRule type="cellIs" dxfId="1" priority="1538" stopIfTrue="1" operator="between">
      <formula>"Check"</formula>
      <formula>"Check"</formula>
    </cfRule>
  </conditionalFormatting>
  <conditionalFormatting sqref="R1548">
    <cfRule type="cellIs" dxfId="1" priority="1539" stopIfTrue="1" operator="between">
      <formula>"Check"</formula>
      <formula>"Check"</formula>
    </cfRule>
  </conditionalFormatting>
  <conditionalFormatting sqref="R1549">
    <cfRule type="cellIs" dxfId="1" priority="1540" stopIfTrue="1" operator="between">
      <formula>"Check"</formula>
      <formula>"Check"</formula>
    </cfRule>
  </conditionalFormatting>
  <conditionalFormatting sqref="R1550">
    <cfRule type="cellIs" dxfId="1" priority="1541" stopIfTrue="1" operator="between">
      <formula>"Check"</formula>
      <formula>"Check"</formula>
    </cfRule>
  </conditionalFormatting>
  <conditionalFormatting sqref="R1551">
    <cfRule type="cellIs" dxfId="1" priority="1542" stopIfTrue="1" operator="between">
      <formula>"Check"</formula>
      <formula>"Check"</formula>
    </cfRule>
  </conditionalFormatting>
  <conditionalFormatting sqref="R1552">
    <cfRule type="cellIs" dxfId="1" priority="1543" stopIfTrue="1" operator="between">
      <formula>"Check"</formula>
      <formula>"Check"</formula>
    </cfRule>
  </conditionalFormatting>
  <conditionalFormatting sqref="R1553">
    <cfRule type="cellIs" dxfId="1" priority="1544" stopIfTrue="1" operator="between">
      <formula>"Check"</formula>
      <formula>"Check"</formula>
    </cfRule>
  </conditionalFormatting>
  <conditionalFormatting sqref="R1554">
    <cfRule type="cellIs" dxfId="1" priority="1545" stopIfTrue="1" operator="between">
      <formula>"Check"</formula>
      <formula>"Check"</formula>
    </cfRule>
  </conditionalFormatting>
  <conditionalFormatting sqref="R1555">
    <cfRule type="cellIs" dxfId="1" priority="1546" stopIfTrue="1" operator="between">
      <formula>"Check"</formula>
      <formula>"Check"</formula>
    </cfRule>
  </conditionalFormatting>
  <conditionalFormatting sqref="R1556">
    <cfRule type="cellIs" dxfId="1" priority="1547" stopIfTrue="1" operator="between">
      <formula>"Check"</formula>
      <formula>"Check"</formula>
    </cfRule>
  </conditionalFormatting>
  <conditionalFormatting sqref="R1557">
    <cfRule type="cellIs" dxfId="1" priority="1548" stopIfTrue="1" operator="between">
      <formula>"Check"</formula>
      <formula>"Check"</formula>
    </cfRule>
  </conditionalFormatting>
  <conditionalFormatting sqref="R1558">
    <cfRule type="cellIs" dxfId="1" priority="1549" stopIfTrue="1" operator="between">
      <formula>"Check"</formula>
      <formula>"Check"</formula>
    </cfRule>
  </conditionalFormatting>
  <conditionalFormatting sqref="R1559">
    <cfRule type="cellIs" dxfId="1" priority="1550" stopIfTrue="1" operator="between">
      <formula>"Check"</formula>
      <formula>"Check"</formula>
    </cfRule>
  </conditionalFormatting>
  <conditionalFormatting sqref="R1560">
    <cfRule type="cellIs" dxfId="1" priority="1551" stopIfTrue="1" operator="between">
      <formula>"Check"</formula>
      <formula>"Check"</formula>
    </cfRule>
  </conditionalFormatting>
  <conditionalFormatting sqref="R1561">
    <cfRule type="cellIs" dxfId="1" priority="1552" stopIfTrue="1" operator="between">
      <formula>"Check"</formula>
      <formula>"Check"</formula>
    </cfRule>
  </conditionalFormatting>
  <conditionalFormatting sqref="R1562">
    <cfRule type="cellIs" dxfId="1" priority="1553" stopIfTrue="1" operator="between">
      <formula>"Check"</formula>
      <formula>"Check"</formula>
    </cfRule>
  </conditionalFormatting>
  <conditionalFormatting sqref="R1563">
    <cfRule type="cellIs" dxfId="1" priority="1554" stopIfTrue="1" operator="between">
      <formula>"Check"</formula>
      <formula>"Check"</formula>
    </cfRule>
  </conditionalFormatting>
  <conditionalFormatting sqref="R1564">
    <cfRule type="cellIs" dxfId="1" priority="1555" stopIfTrue="1" operator="between">
      <formula>"Check"</formula>
      <formula>"Check"</formula>
    </cfRule>
  </conditionalFormatting>
  <conditionalFormatting sqref="R1565">
    <cfRule type="cellIs" dxfId="1" priority="1556" stopIfTrue="1" operator="between">
      <formula>"Check"</formula>
      <formula>"Check"</formula>
    </cfRule>
  </conditionalFormatting>
  <conditionalFormatting sqref="R1566">
    <cfRule type="cellIs" dxfId="1" priority="1557" stopIfTrue="1" operator="between">
      <formula>"Check"</formula>
      <formula>"Check"</formula>
    </cfRule>
  </conditionalFormatting>
  <conditionalFormatting sqref="R1567">
    <cfRule type="cellIs" dxfId="1" priority="1558" stopIfTrue="1" operator="between">
      <formula>"Check"</formula>
      <formula>"Check"</formula>
    </cfRule>
  </conditionalFormatting>
  <conditionalFormatting sqref="R1568">
    <cfRule type="cellIs" dxfId="1" priority="1559" stopIfTrue="1" operator="between">
      <formula>"Check"</formula>
      <formula>"Check"</formula>
    </cfRule>
  </conditionalFormatting>
  <conditionalFormatting sqref="R1569">
    <cfRule type="cellIs" dxfId="1" priority="1560" stopIfTrue="1" operator="between">
      <formula>"Check"</formula>
      <formula>"Check"</formula>
    </cfRule>
  </conditionalFormatting>
  <conditionalFormatting sqref="R1570">
    <cfRule type="cellIs" dxfId="1" priority="1561" stopIfTrue="1" operator="between">
      <formula>"Check"</formula>
      <formula>"Check"</formula>
    </cfRule>
  </conditionalFormatting>
  <conditionalFormatting sqref="R1571">
    <cfRule type="cellIs" dxfId="1" priority="1562" stopIfTrue="1" operator="between">
      <formula>"Check"</formula>
      <formula>"Check"</formula>
    </cfRule>
  </conditionalFormatting>
  <conditionalFormatting sqref="R1572">
    <cfRule type="cellIs" dxfId="1" priority="1563" stopIfTrue="1" operator="between">
      <formula>"Check"</formula>
      <formula>"Check"</formula>
    </cfRule>
  </conditionalFormatting>
  <conditionalFormatting sqref="R1573">
    <cfRule type="cellIs" dxfId="1" priority="1564" stopIfTrue="1" operator="between">
      <formula>"Check"</formula>
      <formula>"Check"</formula>
    </cfRule>
  </conditionalFormatting>
  <conditionalFormatting sqref="R1574">
    <cfRule type="cellIs" dxfId="1" priority="1565" stopIfTrue="1" operator="between">
      <formula>"Check"</formula>
      <formula>"Check"</formula>
    </cfRule>
  </conditionalFormatting>
  <conditionalFormatting sqref="R1575">
    <cfRule type="cellIs" dxfId="1" priority="1566" stopIfTrue="1" operator="between">
      <formula>"Check"</formula>
      <formula>"Check"</formula>
    </cfRule>
  </conditionalFormatting>
  <conditionalFormatting sqref="R1576">
    <cfRule type="cellIs" dxfId="1" priority="1567" stopIfTrue="1" operator="between">
      <formula>"Check"</formula>
      <formula>"Check"</formula>
    </cfRule>
  </conditionalFormatting>
  <conditionalFormatting sqref="R1577">
    <cfRule type="cellIs" dxfId="1" priority="1568" stopIfTrue="1" operator="between">
      <formula>"Check"</formula>
      <formula>"Check"</formula>
    </cfRule>
  </conditionalFormatting>
  <conditionalFormatting sqref="R1578">
    <cfRule type="cellIs" dxfId="1" priority="1569" stopIfTrue="1" operator="between">
      <formula>"Check"</formula>
      <formula>"Check"</formula>
    </cfRule>
  </conditionalFormatting>
  <conditionalFormatting sqref="R1579">
    <cfRule type="cellIs" dxfId="1" priority="1570" stopIfTrue="1" operator="between">
      <formula>"Check"</formula>
      <formula>"Check"</formula>
    </cfRule>
  </conditionalFormatting>
  <conditionalFormatting sqref="R1580">
    <cfRule type="cellIs" dxfId="1" priority="1571" stopIfTrue="1" operator="between">
      <formula>"Check"</formula>
      <formula>"Check"</formula>
    </cfRule>
  </conditionalFormatting>
  <conditionalFormatting sqref="R1581">
    <cfRule type="cellIs" dxfId="1" priority="1572" stopIfTrue="1" operator="between">
      <formula>"Check"</formula>
      <formula>"Check"</formula>
    </cfRule>
  </conditionalFormatting>
  <conditionalFormatting sqref="R1582">
    <cfRule type="cellIs" dxfId="1" priority="1573" stopIfTrue="1" operator="between">
      <formula>"Check"</formula>
      <formula>"Check"</formula>
    </cfRule>
  </conditionalFormatting>
  <conditionalFormatting sqref="R1583">
    <cfRule type="cellIs" dxfId="1" priority="1574" stopIfTrue="1" operator="between">
      <formula>"Check"</formula>
      <formula>"Check"</formula>
    </cfRule>
  </conditionalFormatting>
  <conditionalFormatting sqref="R1584">
    <cfRule type="cellIs" dxfId="1" priority="1575" stopIfTrue="1" operator="between">
      <formula>"Check"</formula>
      <formula>"Check"</formula>
    </cfRule>
  </conditionalFormatting>
  <conditionalFormatting sqref="R1585">
    <cfRule type="cellIs" dxfId="1" priority="1576" stopIfTrue="1" operator="between">
      <formula>"Check"</formula>
      <formula>"Check"</formula>
    </cfRule>
  </conditionalFormatting>
  <conditionalFormatting sqref="R1586">
    <cfRule type="cellIs" dxfId="1" priority="1577" stopIfTrue="1" operator="between">
      <formula>"Check"</formula>
      <formula>"Check"</formula>
    </cfRule>
  </conditionalFormatting>
  <conditionalFormatting sqref="R1587">
    <cfRule type="cellIs" dxfId="1" priority="1578" stopIfTrue="1" operator="between">
      <formula>"Check"</formula>
      <formula>"Check"</formula>
    </cfRule>
  </conditionalFormatting>
  <conditionalFormatting sqref="R1588">
    <cfRule type="cellIs" dxfId="1" priority="1579" stopIfTrue="1" operator="between">
      <formula>"Check"</formula>
      <formula>"Check"</formula>
    </cfRule>
  </conditionalFormatting>
  <conditionalFormatting sqref="R1589">
    <cfRule type="cellIs" dxfId="1" priority="1580" stopIfTrue="1" operator="between">
      <formula>"Check"</formula>
      <formula>"Check"</formula>
    </cfRule>
  </conditionalFormatting>
  <conditionalFormatting sqref="R1590">
    <cfRule type="cellIs" dxfId="1" priority="1581" stopIfTrue="1" operator="between">
      <formula>"Check"</formula>
      <formula>"Check"</formula>
    </cfRule>
  </conditionalFormatting>
  <conditionalFormatting sqref="R1591">
    <cfRule type="cellIs" dxfId="1" priority="1582" stopIfTrue="1" operator="between">
      <formula>"Check"</formula>
      <formula>"Check"</formula>
    </cfRule>
  </conditionalFormatting>
  <conditionalFormatting sqref="R1592">
    <cfRule type="cellIs" dxfId="1" priority="1583" stopIfTrue="1" operator="between">
      <formula>"Check"</formula>
      <formula>"Check"</formula>
    </cfRule>
  </conditionalFormatting>
  <conditionalFormatting sqref="R1593">
    <cfRule type="cellIs" dxfId="1" priority="1584" stopIfTrue="1" operator="between">
      <formula>"Check"</formula>
      <formula>"Check"</formula>
    </cfRule>
  </conditionalFormatting>
  <conditionalFormatting sqref="R1594">
    <cfRule type="cellIs" dxfId="1" priority="1585" stopIfTrue="1" operator="between">
      <formula>"Check"</formula>
      <formula>"Check"</formula>
    </cfRule>
  </conditionalFormatting>
  <conditionalFormatting sqref="R1595">
    <cfRule type="cellIs" dxfId="1" priority="1586" stopIfTrue="1" operator="between">
      <formula>"Check"</formula>
      <formula>"Check"</formula>
    </cfRule>
  </conditionalFormatting>
  <conditionalFormatting sqref="R1596">
    <cfRule type="cellIs" dxfId="1" priority="1587" stopIfTrue="1" operator="between">
      <formula>"Check"</formula>
      <formula>"Check"</formula>
    </cfRule>
  </conditionalFormatting>
  <conditionalFormatting sqref="R1597">
    <cfRule type="cellIs" dxfId="1" priority="1588" stopIfTrue="1" operator="between">
      <formula>"Check"</formula>
      <formula>"Check"</formula>
    </cfRule>
  </conditionalFormatting>
  <conditionalFormatting sqref="R1598">
    <cfRule type="cellIs" dxfId="1" priority="1589" stopIfTrue="1" operator="between">
      <formula>"Check"</formula>
      <formula>"Check"</formula>
    </cfRule>
  </conditionalFormatting>
  <conditionalFormatting sqref="R1599">
    <cfRule type="cellIs" dxfId="1" priority="1590" stopIfTrue="1" operator="between">
      <formula>"Check"</formula>
      <formula>"Check"</formula>
    </cfRule>
  </conditionalFormatting>
  <conditionalFormatting sqref="R1600">
    <cfRule type="cellIs" dxfId="1" priority="1591" stopIfTrue="1" operator="between">
      <formula>"Check"</formula>
      <formula>"Check"</formula>
    </cfRule>
  </conditionalFormatting>
  <conditionalFormatting sqref="R1601">
    <cfRule type="cellIs" dxfId="1" priority="1592" stopIfTrue="1" operator="between">
      <formula>"Check"</formula>
      <formula>"Check"</formula>
    </cfRule>
  </conditionalFormatting>
  <conditionalFormatting sqref="R1602">
    <cfRule type="cellIs" dxfId="1" priority="1593" stopIfTrue="1" operator="between">
      <formula>"Check"</formula>
      <formula>"Check"</formula>
    </cfRule>
  </conditionalFormatting>
  <conditionalFormatting sqref="R1603">
    <cfRule type="cellIs" dxfId="1" priority="1594" stopIfTrue="1" operator="between">
      <formula>"Check"</formula>
      <formula>"Check"</formula>
    </cfRule>
  </conditionalFormatting>
  <conditionalFormatting sqref="R1604">
    <cfRule type="cellIs" dxfId="1" priority="1595" stopIfTrue="1" operator="between">
      <formula>"Check"</formula>
      <formula>"Check"</formula>
    </cfRule>
  </conditionalFormatting>
  <conditionalFormatting sqref="R1605">
    <cfRule type="cellIs" dxfId="1" priority="1596" stopIfTrue="1" operator="between">
      <formula>"Check"</formula>
      <formula>"Check"</formula>
    </cfRule>
  </conditionalFormatting>
  <conditionalFormatting sqref="R1606">
    <cfRule type="cellIs" dxfId="1" priority="1597" stopIfTrue="1" operator="between">
      <formula>"Check"</formula>
      <formula>"Check"</formula>
    </cfRule>
  </conditionalFormatting>
  <conditionalFormatting sqref="R1607">
    <cfRule type="cellIs" dxfId="1" priority="1598" stopIfTrue="1" operator="between">
      <formula>"Check"</formula>
      <formula>"Check"</formula>
    </cfRule>
  </conditionalFormatting>
  <conditionalFormatting sqref="R1608">
    <cfRule type="cellIs" dxfId="1" priority="1599" stopIfTrue="1" operator="between">
      <formula>"Check"</formula>
      <formula>"Check"</formula>
    </cfRule>
  </conditionalFormatting>
  <conditionalFormatting sqref="R1609">
    <cfRule type="cellIs" dxfId="1" priority="1600" stopIfTrue="1" operator="between">
      <formula>"Check"</formula>
      <formula>"Check"</formula>
    </cfRule>
  </conditionalFormatting>
  <conditionalFormatting sqref="R1610">
    <cfRule type="cellIs" dxfId="1" priority="1601" stopIfTrue="1" operator="between">
      <formula>"Check"</formula>
      <formula>"Check"</formula>
    </cfRule>
  </conditionalFormatting>
  <conditionalFormatting sqref="R1611">
    <cfRule type="cellIs" dxfId="1" priority="1602" stopIfTrue="1" operator="between">
      <formula>"Check"</formula>
      <formula>"Check"</formula>
    </cfRule>
  </conditionalFormatting>
  <conditionalFormatting sqref="R1612">
    <cfRule type="cellIs" dxfId="1" priority="1603" stopIfTrue="1" operator="between">
      <formula>"Check"</formula>
      <formula>"Check"</formula>
    </cfRule>
  </conditionalFormatting>
  <conditionalFormatting sqref="R1613">
    <cfRule type="cellIs" dxfId="1" priority="1604" stopIfTrue="1" operator="between">
      <formula>"Check"</formula>
      <formula>"Check"</formula>
    </cfRule>
  </conditionalFormatting>
  <conditionalFormatting sqref="R1614">
    <cfRule type="cellIs" dxfId="1" priority="1605" stopIfTrue="1" operator="between">
      <formula>"Check"</formula>
      <formula>"Check"</formula>
    </cfRule>
  </conditionalFormatting>
  <conditionalFormatting sqref="R1615">
    <cfRule type="cellIs" dxfId="1" priority="1606" stopIfTrue="1" operator="between">
      <formula>"Check"</formula>
      <formula>"Check"</formula>
    </cfRule>
  </conditionalFormatting>
  <conditionalFormatting sqref="R1616">
    <cfRule type="cellIs" dxfId="1" priority="1607" stopIfTrue="1" operator="between">
      <formula>"Check"</formula>
      <formula>"Check"</formula>
    </cfRule>
  </conditionalFormatting>
  <conditionalFormatting sqref="R1617">
    <cfRule type="cellIs" dxfId="1" priority="1608" stopIfTrue="1" operator="between">
      <formula>"Check"</formula>
      <formula>"Check"</formula>
    </cfRule>
  </conditionalFormatting>
  <conditionalFormatting sqref="R1618">
    <cfRule type="cellIs" dxfId="1" priority="1609" stopIfTrue="1" operator="between">
      <formula>"Check"</formula>
      <formula>"Check"</formula>
    </cfRule>
  </conditionalFormatting>
  <conditionalFormatting sqref="R1619">
    <cfRule type="cellIs" dxfId="1" priority="1610" stopIfTrue="1" operator="between">
      <formula>"Check"</formula>
      <formula>"Check"</formula>
    </cfRule>
  </conditionalFormatting>
  <conditionalFormatting sqref="R1620">
    <cfRule type="cellIs" dxfId="1" priority="1611" stopIfTrue="1" operator="between">
      <formula>"Check"</formula>
      <formula>"Check"</formula>
    </cfRule>
  </conditionalFormatting>
  <conditionalFormatting sqref="R1621">
    <cfRule type="cellIs" dxfId="1" priority="1612" stopIfTrue="1" operator="between">
      <formula>"Check"</formula>
      <formula>"Check"</formula>
    </cfRule>
  </conditionalFormatting>
  <conditionalFormatting sqref="R1622">
    <cfRule type="cellIs" dxfId="1" priority="1613" stopIfTrue="1" operator="between">
      <formula>"Check"</formula>
      <formula>"Check"</formula>
    </cfRule>
  </conditionalFormatting>
  <conditionalFormatting sqref="R1623">
    <cfRule type="cellIs" dxfId="1" priority="1614" stopIfTrue="1" operator="between">
      <formula>"Check"</formula>
      <formula>"Check"</formula>
    </cfRule>
  </conditionalFormatting>
  <conditionalFormatting sqref="R1624">
    <cfRule type="cellIs" dxfId="1" priority="1615" stopIfTrue="1" operator="between">
      <formula>"Check"</formula>
      <formula>"Check"</formula>
    </cfRule>
  </conditionalFormatting>
  <conditionalFormatting sqref="R1625">
    <cfRule type="cellIs" dxfId="1" priority="1616" stopIfTrue="1" operator="between">
      <formula>"Check"</formula>
      <formula>"Check"</formula>
    </cfRule>
  </conditionalFormatting>
  <conditionalFormatting sqref="R1626">
    <cfRule type="cellIs" dxfId="1" priority="1617" stopIfTrue="1" operator="between">
      <formula>"Check"</formula>
      <formula>"Check"</formula>
    </cfRule>
  </conditionalFormatting>
  <conditionalFormatting sqref="R1627">
    <cfRule type="cellIs" dxfId="1" priority="1618" stopIfTrue="1" operator="between">
      <formula>"Check"</formula>
      <formula>"Check"</formula>
    </cfRule>
  </conditionalFormatting>
  <conditionalFormatting sqref="R1628">
    <cfRule type="cellIs" dxfId="1" priority="1619" stopIfTrue="1" operator="between">
      <formula>"Check"</formula>
      <formula>"Check"</formula>
    </cfRule>
  </conditionalFormatting>
  <conditionalFormatting sqref="R1629">
    <cfRule type="cellIs" dxfId="1" priority="1620" stopIfTrue="1" operator="between">
      <formula>"Check"</formula>
      <formula>"Check"</formula>
    </cfRule>
  </conditionalFormatting>
  <conditionalFormatting sqref="R1630">
    <cfRule type="cellIs" dxfId="1" priority="1621" stopIfTrue="1" operator="between">
      <formula>"Check"</formula>
      <formula>"Check"</formula>
    </cfRule>
  </conditionalFormatting>
  <conditionalFormatting sqref="R1631">
    <cfRule type="cellIs" dxfId="1" priority="1622" stopIfTrue="1" operator="between">
      <formula>"Check"</formula>
      <formula>"Check"</formula>
    </cfRule>
  </conditionalFormatting>
  <conditionalFormatting sqref="R1632">
    <cfRule type="cellIs" dxfId="1" priority="1623" stopIfTrue="1" operator="between">
      <formula>"Check"</formula>
      <formula>"Check"</formula>
    </cfRule>
  </conditionalFormatting>
  <conditionalFormatting sqref="R1633">
    <cfRule type="cellIs" dxfId="1" priority="1624" stopIfTrue="1" operator="between">
      <formula>"Check"</formula>
      <formula>"Check"</formula>
    </cfRule>
  </conditionalFormatting>
  <conditionalFormatting sqref="R1634">
    <cfRule type="cellIs" dxfId="1" priority="1625" stopIfTrue="1" operator="between">
      <formula>"Check"</formula>
      <formula>"Check"</formula>
    </cfRule>
  </conditionalFormatting>
  <conditionalFormatting sqref="R1635">
    <cfRule type="cellIs" dxfId="1" priority="1626" stopIfTrue="1" operator="between">
      <formula>"Check"</formula>
      <formula>"Check"</formula>
    </cfRule>
  </conditionalFormatting>
  <conditionalFormatting sqref="R1636">
    <cfRule type="cellIs" dxfId="1" priority="1627" stopIfTrue="1" operator="between">
      <formula>"Check"</formula>
      <formula>"Check"</formula>
    </cfRule>
  </conditionalFormatting>
  <conditionalFormatting sqref="R1637">
    <cfRule type="cellIs" dxfId="1" priority="1628" stopIfTrue="1" operator="between">
      <formula>"Check"</formula>
      <formula>"Check"</formula>
    </cfRule>
  </conditionalFormatting>
  <conditionalFormatting sqref="R1638">
    <cfRule type="cellIs" dxfId="1" priority="1629" stopIfTrue="1" operator="between">
      <formula>"Check"</formula>
      <formula>"Check"</formula>
    </cfRule>
  </conditionalFormatting>
  <conditionalFormatting sqref="R1639">
    <cfRule type="cellIs" dxfId="1" priority="1630" stopIfTrue="1" operator="between">
      <formula>"Check"</formula>
      <formula>"Check"</formula>
    </cfRule>
  </conditionalFormatting>
  <conditionalFormatting sqref="R1640">
    <cfRule type="cellIs" dxfId="1" priority="1631" stopIfTrue="1" operator="between">
      <formula>"Check"</formula>
      <formula>"Check"</formula>
    </cfRule>
  </conditionalFormatting>
  <conditionalFormatting sqref="R1641">
    <cfRule type="cellIs" dxfId="1" priority="1632" stopIfTrue="1" operator="between">
      <formula>"Check"</formula>
      <formula>"Check"</formula>
    </cfRule>
  </conditionalFormatting>
  <conditionalFormatting sqref="R1642">
    <cfRule type="cellIs" dxfId="1" priority="1633" stopIfTrue="1" operator="between">
      <formula>"Check"</formula>
      <formula>"Check"</formula>
    </cfRule>
  </conditionalFormatting>
  <conditionalFormatting sqref="R1643">
    <cfRule type="cellIs" dxfId="1" priority="1634" stopIfTrue="1" operator="between">
      <formula>"Check"</formula>
      <formula>"Check"</formula>
    </cfRule>
  </conditionalFormatting>
  <conditionalFormatting sqref="R1644">
    <cfRule type="cellIs" dxfId="1" priority="1635" stopIfTrue="1" operator="between">
      <formula>"Check"</formula>
      <formula>"Check"</formula>
    </cfRule>
  </conditionalFormatting>
  <conditionalFormatting sqref="R1645">
    <cfRule type="cellIs" dxfId="1" priority="1636" stopIfTrue="1" operator="between">
      <formula>"Check"</formula>
      <formula>"Check"</formula>
    </cfRule>
  </conditionalFormatting>
  <conditionalFormatting sqref="R1646">
    <cfRule type="cellIs" dxfId="1" priority="1637" stopIfTrue="1" operator="between">
      <formula>"Check"</formula>
      <formula>"Check"</formula>
    </cfRule>
  </conditionalFormatting>
  <conditionalFormatting sqref="R1647">
    <cfRule type="cellIs" dxfId="1" priority="1638" stopIfTrue="1" operator="between">
      <formula>"Check"</formula>
      <formula>"Check"</formula>
    </cfRule>
  </conditionalFormatting>
  <conditionalFormatting sqref="R1648">
    <cfRule type="cellIs" dxfId="1" priority="1639" stopIfTrue="1" operator="between">
      <formula>"Check"</formula>
      <formula>"Check"</formula>
    </cfRule>
  </conditionalFormatting>
  <conditionalFormatting sqref="R1649">
    <cfRule type="cellIs" dxfId="1" priority="1640" stopIfTrue="1" operator="between">
      <formula>"Check"</formula>
      <formula>"Check"</formula>
    </cfRule>
  </conditionalFormatting>
  <conditionalFormatting sqref="R1650">
    <cfRule type="cellIs" dxfId="1" priority="1641" stopIfTrue="1" operator="between">
      <formula>"Check"</formula>
      <formula>"Check"</formula>
    </cfRule>
  </conditionalFormatting>
  <conditionalFormatting sqref="R1651">
    <cfRule type="cellIs" dxfId="1" priority="1642" stopIfTrue="1" operator="between">
      <formula>"Check"</formula>
      <formula>"Check"</formula>
    </cfRule>
  </conditionalFormatting>
  <conditionalFormatting sqref="R1652">
    <cfRule type="cellIs" dxfId="1" priority="1643" stopIfTrue="1" operator="between">
      <formula>"Check"</formula>
      <formula>"Check"</formula>
    </cfRule>
  </conditionalFormatting>
  <conditionalFormatting sqref="R1653">
    <cfRule type="cellIs" dxfId="1" priority="1644" stopIfTrue="1" operator="between">
      <formula>"Check"</formula>
      <formula>"Check"</formula>
    </cfRule>
  </conditionalFormatting>
  <conditionalFormatting sqref="R1654">
    <cfRule type="cellIs" dxfId="1" priority="1645" stopIfTrue="1" operator="between">
      <formula>"Check"</formula>
      <formula>"Check"</formula>
    </cfRule>
  </conditionalFormatting>
  <conditionalFormatting sqref="R1655">
    <cfRule type="cellIs" dxfId="1" priority="1646" stopIfTrue="1" operator="between">
      <formula>"Check"</formula>
      <formula>"Check"</formula>
    </cfRule>
  </conditionalFormatting>
  <conditionalFormatting sqref="R1656">
    <cfRule type="cellIs" dxfId="1" priority="1647" stopIfTrue="1" operator="between">
      <formula>"Check"</formula>
      <formula>"Check"</formula>
    </cfRule>
  </conditionalFormatting>
  <conditionalFormatting sqref="R1657">
    <cfRule type="cellIs" dxfId="1" priority="1648" stopIfTrue="1" operator="between">
      <formula>"Check"</formula>
      <formula>"Check"</formula>
    </cfRule>
  </conditionalFormatting>
  <conditionalFormatting sqref="R1658">
    <cfRule type="cellIs" dxfId="1" priority="1649" stopIfTrue="1" operator="between">
      <formula>"Check"</formula>
      <formula>"Check"</formula>
    </cfRule>
  </conditionalFormatting>
  <conditionalFormatting sqref="R1659">
    <cfRule type="cellIs" dxfId="1" priority="1650" stopIfTrue="1" operator="between">
      <formula>"Check"</formula>
      <formula>"Check"</formula>
    </cfRule>
  </conditionalFormatting>
  <conditionalFormatting sqref="R1660">
    <cfRule type="cellIs" dxfId="1" priority="1651" stopIfTrue="1" operator="between">
      <formula>"Check"</formula>
      <formula>"Check"</formula>
    </cfRule>
  </conditionalFormatting>
  <conditionalFormatting sqref="R1661">
    <cfRule type="cellIs" dxfId="1" priority="1652" stopIfTrue="1" operator="between">
      <formula>"Check"</formula>
      <formula>"Check"</formula>
    </cfRule>
  </conditionalFormatting>
  <conditionalFormatting sqref="R1662">
    <cfRule type="cellIs" dxfId="1" priority="1653" stopIfTrue="1" operator="between">
      <formula>"Check"</formula>
      <formula>"Check"</formula>
    </cfRule>
  </conditionalFormatting>
  <conditionalFormatting sqref="R1663">
    <cfRule type="cellIs" dxfId="1" priority="1654" stopIfTrue="1" operator="between">
      <formula>"Check"</formula>
      <formula>"Check"</formula>
    </cfRule>
  </conditionalFormatting>
  <conditionalFormatting sqref="R1664">
    <cfRule type="cellIs" dxfId="1" priority="1655" stopIfTrue="1" operator="between">
      <formula>"Check"</formula>
      <formula>"Check"</formula>
    </cfRule>
  </conditionalFormatting>
  <conditionalFormatting sqref="R1665">
    <cfRule type="cellIs" dxfId="1" priority="1656" stopIfTrue="1" operator="between">
      <formula>"Check"</formula>
      <formula>"Check"</formula>
    </cfRule>
  </conditionalFormatting>
  <conditionalFormatting sqref="R1666">
    <cfRule type="cellIs" dxfId="1" priority="1657" stopIfTrue="1" operator="between">
      <formula>"Check"</formula>
      <formula>"Check"</formula>
    </cfRule>
  </conditionalFormatting>
  <conditionalFormatting sqref="R1667">
    <cfRule type="cellIs" dxfId="1" priority="1658" stopIfTrue="1" operator="between">
      <formula>"Check"</formula>
      <formula>"Check"</formula>
    </cfRule>
  </conditionalFormatting>
  <conditionalFormatting sqref="R1668">
    <cfRule type="cellIs" dxfId="1" priority="1659" stopIfTrue="1" operator="between">
      <formula>"Check"</formula>
      <formula>"Check"</formula>
    </cfRule>
  </conditionalFormatting>
  <conditionalFormatting sqref="R1669">
    <cfRule type="cellIs" dxfId="1" priority="1660" stopIfTrue="1" operator="between">
      <formula>"Check"</formula>
      <formula>"Check"</formula>
    </cfRule>
  </conditionalFormatting>
  <conditionalFormatting sqref="R1670">
    <cfRule type="cellIs" dxfId="1" priority="1661" stopIfTrue="1" operator="between">
      <formula>"Check"</formula>
      <formula>"Check"</formula>
    </cfRule>
  </conditionalFormatting>
  <conditionalFormatting sqref="R1671">
    <cfRule type="cellIs" dxfId="1" priority="1662" stopIfTrue="1" operator="between">
      <formula>"Check"</formula>
      <formula>"Check"</formula>
    </cfRule>
  </conditionalFormatting>
  <conditionalFormatting sqref="R1672">
    <cfRule type="cellIs" dxfId="1" priority="1663" stopIfTrue="1" operator="between">
      <formula>"Check"</formula>
      <formula>"Check"</formula>
    </cfRule>
  </conditionalFormatting>
  <conditionalFormatting sqref="R1673">
    <cfRule type="cellIs" dxfId="1" priority="1664" stopIfTrue="1" operator="between">
      <formula>"Check"</formula>
      <formula>"Check"</formula>
    </cfRule>
  </conditionalFormatting>
  <conditionalFormatting sqref="R1674">
    <cfRule type="cellIs" dxfId="1" priority="1665" stopIfTrue="1" operator="between">
      <formula>"Check"</formula>
      <formula>"Check"</formula>
    </cfRule>
  </conditionalFormatting>
  <conditionalFormatting sqref="R1675">
    <cfRule type="cellIs" dxfId="1" priority="1666" stopIfTrue="1" operator="between">
      <formula>"Check"</formula>
      <formula>"Check"</formula>
    </cfRule>
  </conditionalFormatting>
  <conditionalFormatting sqref="R1676">
    <cfRule type="cellIs" dxfId="1" priority="1667" stopIfTrue="1" operator="between">
      <formula>"Check"</formula>
      <formula>"Check"</formula>
    </cfRule>
  </conditionalFormatting>
  <conditionalFormatting sqref="R1677">
    <cfRule type="cellIs" dxfId="1" priority="1668" stopIfTrue="1" operator="between">
      <formula>"Check"</formula>
      <formula>"Check"</formula>
    </cfRule>
  </conditionalFormatting>
  <conditionalFormatting sqref="R1678">
    <cfRule type="cellIs" dxfId="1" priority="1669" stopIfTrue="1" operator="between">
      <formula>"Check"</formula>
      <formula>"Check"</formula>
    </cfRule>
  </conditionalFormatting>
  <conditionalFormatting sqref="R1679">
    <cfRule type="cellIs" dxfId="1" priority="1670" stopIfTrue="1" operator="between">
      <formula>"Check"</formula>
      <formula>"Check"</formula>
    </cfRule>
  </conditionalFormatting>
  <conditionalFormatting sqref="R1680">
    <cfRule type="cellIs" dxfId="1" priority="1671" stopIfTrue="1" operator="between">
      <formula>"Check"</formula>
      <formula>"Check"</formula>
    </cfRule>
  </conditionalFormatting>
  <conditionalFormatting sqref="R1681">
    <cfRule type="cellIs" dxfId="1" priority="1672" stopIfTrue="1" operator="between">
      <formula>"Check"</formula>
      <formula>"Check"</formula>
    </cfRule>
  </conditionalFormatting>
  <conditionalFormatting sqref="R1682">
    <cfRule type="cellIs" dxfId="1" priority="1673" stopIfTrue="1" operator="between">
      <formula>"Check"</formula>
      <formula>"Check"</formula>
    </cfRule>
  </conditionalFormatting>
  <conditionalFormatting sqref="R1683">
    <cfRule type="cellIs" dxfId="1" priority="1674" stopIfTrue="1" operator="between">
      <formula>"Check"</formula>
      <formula>"Check"</formula>
    </cfRule>
  </conditionalFormatting>
  <conditionalFormatting sqref="R1684">
    <cfRule type="cellIs" dxfId="1" priority="1675" stopIfTrue="1" operator="between">
      <formula>"Check"</formula>
      <formula>"Check"</formula>
    </cfRule>
  </conditionalFormatting>
  <conditionalFormatting sqref="R1685">
    <cfRule type="cellIs" dxfId="1" priority="1676" stopIfTrue="1" operator="between">
      <formula>"Check"</formula>
      <formula>"Check"</formula>
    </cfRule>
  </conditionalFormatting>
  <conditionalFormatting sqref="R1686">
    <cfRule type="cellIs" dxfId="1" priority="1677" stopIfTrue="1" operator="between">
      <formula>"Check"</formula>
      <formula>"Check"</formula>
    </cfRule>
  </conditionalFormatting>
  <conditionalFormatting sqref="R1687">
    <cfRule type="cellIs" dxfId="1" priority="1678" stopIfTrue="1" operator="between">
      <formula>"Check"</formula>
      <formula>"Check"</formula>
    </cfRule>
  </conditionalFormatting>
  <conditionalFormatting sqref="R1688">
    <cfRule type="cellIs" dxfId="1" priority="1679" stopIfTrue="1" operator="between">
      <formula>"Check"</formula>
      <formula>"Check"</formula>
    </cfRule>
  </conditionalFormatting>
  <conditionalFormatting sqref="R1689">
    <cfRule type="cellIs" dxfId="1" priority="1680" stopIfTrue="1" operator="between">
      <formula>"Check"</formula>
      <formula>"Check"</formula>
    </cfRule>
  </conditionalFormatting>
  <conditionalFormatting sqref="R1690">
    <cfRule type="cellIs" dxfId="1" priority="1681" stopIfTrue="1" operator="between">
      <formula>"Check"</formula>
      <formula>"Check"</formula>
    </cfRule>
  </conditionalFormatting>
  <conditionalFormatting sqref="R1691">
    <cfRule type="cellIs" dxfId="1" priority="1682" stopIfTrue="1" operator="between">
      <formula>"Check"</formula>
      <formula>"Check"</formula>
    </cfRule>
  </conditionalFormatting>
  <conditionalFormatting sqref="R1692">
    <cfRule type="cellIs" dxfId="1" priority="1683" stopIfTrue="1" operator="between">
      <formula>"Check"</formula>
      <formula>"Check"</formula>
    </cfRule>
  </conditionalFormatting>
  <conditionalFormatting sqref="R1693">
    <cfRule type="cellIs" dxfId="1" priority="1684" stopIfTrue="1" operator="between">
      <formula>"Check"</formula>
      <formula>"Check"</formula>
    </cfRule>
  </conditionalFormatting>
  <conditionalFormatting sqref="R1694">
    <cfRule type="cellIs" dxfId="1" priority="1685" stopIfTrue="1" operator="between">
      <formula>"Check"</formula>
      <formula>"Check"</formula>
    </cfRule>
  </conditionalFormatting>
  <conditionalFormatting sqref="R1695">
    <cfRule type="cellIs" dxfId="1" priority="1686" stopIfTrue="1" operator="between">
      <formula>"Check"</formula>
      <formula>"Check"</formula>
    </cfRule>
  </conditionalFormatting>
  <conditionalFormatting sqref="R1696">
    <cfRule type="cellIs" dxfId="1" priority="1687" stopIfTrue="1" operator="between">
      <formula>"Check"</formula>
      <formula>"Check"</formula>
    </cfRule>
  </conditionalFormatting>
  <conditionalFormatting sqref="R1697">
    <cfRule type="cellIs" dxfId="1" priority="1688" stopIfTrue="1" operator="between">
      <formula>"Check"</formula>
      <formula>"Check"</formula>
    </cfRule>
  </conditionalFormatting>
  <conditionalFormatting sqref="R1698">
    <cfRule type="cellIs" dxfId="1" priority="1689" stopIfTrue="1" operator="between">
      <formula>"Check"</formula>
      <formula>"Check"</formula>
    </cfRule>
  </conditionalFormatting>
  <conditionalFormatting sqref="R1699">
    <cfRule type="cellIs" dxfId="1" priority="1690" stopIfTrue="1" operator="between">
      <formula>"Check"</formula>
      <formula>"Check"</formula>
    </cfRule>
  </conditionalFormatting>
  <conditionalFormatting sqref="R1700">
    <cfRule type="cellIs" dxfId="1" priority="1691" stopIfTrue="1" operator="between">
      <formula>"Check"</formula>
      <formula>"Check"</formula>
    </cfRule>
  </conditionalFormatting>
  <conditionalFormatting sqref="R1701">
    <cfRule type="cellIs" dxfId="1" priority="1692" stopIfTrue="1" operator="between">
      <formula>"Check"</formula>
      <formula>"Check"</formula>
    </cfRule>
  </conditionalFormatting>
  <conditionalFormatting sqref="R1702">
    <cfRule type="cellIs" dxfId="1" priority="1693" stopIfTrue="1" operator="between">
      <formula>"Check"</formula>
      <formula>"Check"</formula>
    </cfRule>
  </conditionalFormatting>
  <conditionalFormatting sqref="R1703">
    <cfRule type="cellIs" dxfId="1" priority="1694" stopIfTrue="1" operator="between">
      <formula>"Check"</formula>
      <formula>"Check"</formula>
    </cfRule>
  </conditionalFormatting>
  <conditionalFormatting sqref="R1704">
    <cfRule type="cellIs" dxfId="1" priority="1695" stopIfTrue="1" operator="between">
      <formula>"Check"</formula>
      <formula>"Check"</formula>
    </cfRule>
  </conditionalFormatting>
  <conditionalFormatting sqref="R1705">
    <cfRule type="cellIs" dxfId="1" priority="1696" stopIfTrue="1" operator="between">
      <formula>"Check"</formula>
      <formula>"Check"</formula>
    </cfRule>
  </conditionalFormatting>
  <conditionalFormatting sqref="R1706">
    <cfRule type="cellIs" dxfId="1" priority="1697" stopIfTrue="1" operator="between">
      <formula>"Check"</formula>
      <formula>"Check"</formula>
    </cfRule>
  </conditionalFormatting>
  <conditionalFormatting sqref="R1707">
    <cfRule type="cellIs" dxfId="1" priority="1698" stopIfTrue="1" operator="between">
      <formula>"Check"</formula>
      <formula>"Check"</formula>
    </cfRule>
  </conditionalFormatting>
  <conditionalFormatting sqref="R1708">
    <cfRule type="cellIs" dxfId="1" priority="1699" stopIfTrue="1" operator="between">
      <formula>"Check"</formula>
      <formula>"Check"</formula>
    </cfRule>
  </conditionalFormatting>
  <conditionalFormatting sqref="R1709">
    <cfRule type="cellIs" dxfId="1" priority="1700" stopIfTrue="1" operator="between">
      <formula>"Check"</formula>
      <formula>"Check"</formula>
    </cfRule>
  </conditionalFormatting>
  <conditionalFormatting sqref="R1710">
    <cfRule type="cellIs" dxfId="1" priority="1701" stopIfTrue="1" operator="between">
      <formula>"Check"</formula>
      <formula>"Check"</formula>
    </cfRule>
  </conditionalFormatting>
  <conditionalFormatting sqref="R1711">
    <cfRule type="cellIs" dxfId="1" priority="1702" stopIfTrue="1" operator="between">
      <formula>"Check"</formula>
      <formula>"Check"</formula>
    </cfRule>
  </conditionalFormatting>
  <conditionalFormatting sqref="R1712">
    <cfRule type="cellIs" dxfId="1" priority="1703" stopIfTrue="1" operator="between">
      <formula>"Check"</formula>
      <formula>"Check"</formula>
    </cfRule>
  </conditionalFormatting>
  <conditionalFormatting sqref="R1713">
    <cfRule type="cellIs" dxfId="1" priority="1704" stopIfTrue="1" operator="between">
      <formula>"Check"</formula>
      <formula>"Check"</formula>
    </cfRule>
  </conditionalFormatting>
  <conditionalFormatting sqref="R1714">
    <cfRule type="cellIs" dxfId="1" priority="1705" stopIfTrue="1" operator="between">
      <formula>"Check"</formula>
      <formula>"Check"</formula>
    </cfRule>
  </conditionalFormatting>
  <conditionalFormatting sqref="R1715">
    <cfRule type="cellIs" dxfId="1" priority="1706" stopIfTrue="1" operator="between">
      <formula>"Check"</formula>
      <formula>"Check"</formula>
    </cfRule>
  </conditionalFormatting>
  <conditionalFormatting sqref="R1716">
    <cfRule type="cellIs" dxfId="1" priority="1707" stopIfTrue="1" operator="between">
      <formula>"Check"</formula>
      <formula>"Check"</formula>
    </cfRule>
  </conditionalFormatting>
  <conditionalFormatting sqref="R1717">
    <cfRule type="cellIs" dxfId="1" priority="1708" stopIfTrue="1" operator="between">
      <formula>"Check"</formula>
      <formula>"Check"</formula>
    </cfRule>
  </conditionalFormatting>
  <conditionalFormatting sqref="R1718">
    <cfRule type="cellIs" dxfId="1" priority="1709" stopIfTrue="1" operator="between">
      <formula>"Check"</formula>
      <formula>"Check"</formula>
    </cfRule>
  </conditionalFormatting>
  <conditionalFormatting sqref="R1719">
    <cfRule type="cellIs" dxfId="1" priority="1710" stopIfTrue="1" operator="between">
      <formula>"Check"</formula>
      <formula>"Check"</formula>
    </cfRule>
  </conditionalFormatting>
  <conditionalFormatting sqref="R1720">
    <cfRule type="cellIs" dxfId="1" priority="1711" stopIfTrue="1" operator="between">
      <formula>"Check"</formula>
      <formula>"Check"</formula>
    </cfRule>
  </conditionalFormatting>
  <conditionalFormatting sqref="R1721">
    <cfRule type="cellIs" dxfId="1" priority="1712" stopIfTrue="1" operator="between">
      <formula>"Check"</formula>
      <formula>"Check"</formula>
    </cfRule>
  </conditionalFormatting>
  <conditionalFormatting sqref="R1722">
    <cfRule type="cellIs" dxfId="1" priority="1713" stopIfTrue="1" operator="between">
      <formula>"Check"</formula>
      <formula>"Check"</formula>
    </cfRule>
  </conditionalFormatting>
  <conditionalFormatting sqref="R1723">
    <cfRule type="cellIs" dxfId="1" priority="1714" stopIfTrue="1" operator="between">
      <formula>"Check"</formula>
      <formula>"Check"</formula>
    </cfRule>
  </conditionalFormatting>
  <conditionalFormatting sqref="R1724">
    <cfRule type="cellIs" dxfId="1" priority="1715" stopIfTrue="1" operator="between">
      <formula>"Check"</formula>
      <formula>"Check"</formula>
    </cfRule>
  </conditionalFormatting>
  <conditionalFormatting sqref="R1725">
    <cfRule type="cellIs" dxfId="1" priority="1716" stopIfTrue="1" operator="between">
      <formula>"Check"</formula>
      <formula>"Check"</formula>
    </cfRule>
  </conditionalFormatting>
  <conditionalFormatting sqref="R1726">
    <cfRule type="cellIs" dxfId="1" priority="1717" stopIfTrue="1" operator="between">
      <formula>"Check"</formula>
      <formula>"Check"</formula>
    </cfRule>
  </conditionalFormatting>
  <conditionalFormatting sqref="R1727">
    <cfRule type="cellIs" dxfId="1" priority="1718" stopIfTrue="1" operator="between">
      <formula>"Check"</formula>
      <formula>"Check"</formula>
    </cfRule>
  </conditionalFormatting>
  <conditionalFormatting sqref="R1728">
    <cfRule type="cellIs" dxfId="1" priority="1719" stopIfTrue="1" operator="between">
      <formula>"Check"</formula>
      <formula>"Check"</formula>
    </cfRule>
  </conditionalFormatting>
  <conditionalFormatting sqref="R1729">
    <cfRule type="cellIs" dxfId="1" priority="1720" stopIfTrue="1" operator="between">
      <formula>"Check"</formula>
      <formula>"Check"</formula>
    </cfRule>
  </conditionalFormatting>
  <conditionalFormatting sqref="R1730">
    <cfRule type="cellIs" dxfId="1" priority="1721" stopIfTrue="1" operator="between">
      <formula>"Check"</formula>
      <formula>"Check"</formula>
    </cfRule>
  </conditionalFormatting>
  <conditionalFormatting sqref="R1731">
    <cfRule type="cellIs" dxfId="1" priority="1722" stopIfTrue="1" operator="between">
      <formula>"Check"</formula>
      <formula>"Check"</formula>
    </cfRule>
  </conditionalFormatting>
  <conditionalFormatting sqref="R1732">
    <cfRule type="cellIs" dxfId="1" priority="1723" stopIfTrue="1" operator="between">
      <formula>"Check"</formula>
      <formula>"Check"</formula>
    </cfRule>
  </conditionalFormatting>
  <conditionalFormatting sqref="R1733">
    <cfRule type="cellIs" dxfId="1" priority="1724" stopIfTrue="1" operator="between">
      <formula>"Check"</formula>
      <formula>"Check"</formula>
    </cfRule>
  </conditionalFormatting>
  <conditionalFormatting sqref="R1734">
    <cfRule type="cellIs" dxfId="1" priority="1725" stopIfTrue="1" operator="between">
      <formula>"Check"</formula>
      <formula>"Check"</formula>
    </cfRule>
  </conditionalFormatting>
  <conditionalFormatting sqref="R1735">
    <cfRule type="cellIs" dxfId="1" priority="1726" stopIfTrue="1" operator="between">
      <formula>"Check"</formula>
      <formula>"Check"</formula>
    </cfRule>
  </conditionalFormatting>
  <conditionalFormatting sqref="R1736">
    <cfRule type="cellIs" dxfId="1" priority="1727" stopIfTrue="1" operator="between">
      <formula>"Check"</formula>
      <formula>"Check"</formula>
    </cfRule>
  </conditionalFormatting>
  <conditionalFormatting sqref="R1737">
    <cfRule type="cellIs" dxfId="1" priority="1728" stopIfTrue="1" operator="between">
      <formula>"Check"</formula>
      <formula>"Check"</formula>
    </cfRule>
  </conditionalFormatting>
  <conditionalFormatting sqref="R1738">
    <cfRule type="cellIs" dxfId="1" priority="1729" stopIfTrue="1" operator="between">
      <formula>"Check"</formula>
      <formula>"Check"</formula>
    </cfRule>
  </conditionalFormatting>
  <conditionalFormatting sqref="R1739">
    <cfRule type="cellIs" dxfId="1" priority="1730" stopIfTrue="1" operator="between">
      <formula>"Check"</formula>
      <formula>"Check"</formula>
    </cfRule>
  </conditionalFormatting>
  <conditionalFormatting sqref="R1740">
    <cfRule type="cellIs" dxfId="1" priority="1731" stopIfTrue="1" operator="between">
      <formula>"Check"</formula>
      <formula>"Check"</formula>
    </cfRule>
  </conditionalFormatting>
  <conditionalFormatting sqref="R1741">
    <cfRule type="cellIs" dxfId="1" priority="1732" stopIfTrue="1" operator="between">
      <formula>"Check"</formula>
      <formula>"Check"</formula>
    </cfRule>
  </conditionalFormatting>
  <conditionalFormatting sqref="R1742">
    <cfRule type="cellIs" dxfId="1" priority="1733" stopIfTrue="1" operator="between">
      <formula>"Check"</formula>
      <formula>"Check"</formula>
    </cfRule>
  </conditionalFormatting>
  <conditionalFormatting sqref="R1743">
    <cfRule type="cellIs" dxfId="1" priority="1734" stopIfTrue="1" operator="between">
      <formula>"Check"</formula>
      <formula>"Check"</formula>
    </cfRule>
  </conditionalFormatting>
  <conditionalFormatting sqref="R1744">
    <cfRule type="cellIs" dxfId="1" priority="1735" stopIfTrue="1" operator="between">
      <formula>"Check"</formula>
      <formula>"Check"</formula>
    </cfRule>
  </conditionalFormatting>
  <conditionalFormatting sqref="R1745">
    <cfRule type="cellIs" dxfId="1" priority="1736" stopIfTrue="1" operator="between">
      <formula>"Check"</formula>
      <formula>"Check"</formula>
    </cfRule>
  </conditionalFormatting>
  <conditionalFormatting sqref="R1746">
    <cfRule type="cellIs" dxfId="1" priority="1737" stopIfTrue="1" operator="between">
      <formula>"Check"</formula>
      <formula>"Check"</formula>
    </cfRule>
  </conditionalFormatting>
  <conditionalFormatting sqref="R1747">
    <cfRule type="cellIs" dxfId="1" priority="1738" stopIfTrue="1" operator="between">
      <formula>"Check"</formula>
      <formula>"Check"</formula>
    </cfRule>
  </conditionalFormatting>
  <conditionalFormatting sqref="R1748">
    <cfRule type="cellIs" dxfId="1" priority="1739" stopIfTrue="1" operator="between">
      <formula>"Check"</formula>
      <formula>"Check"</formula>
    </cfRule>
  </conditionalFormatting>
  <conditionalFormatting sqref="R1749">
    <cfRule type="cellIs" dxfId="1" priority="1740" stopIfTrue="1" operator="between">
      <formula>"Check"</formula>
      <formula>"Check"</formula>
    </cfRule>
  </conditionalFormatting>
  <conditionalFormatting sqref="R1750">
    <cfRule type="cellIs" dxfId="1" priority="1741" stopIfTrue="1" operator="between">
      <formula>"Check"</formula>
      <formula>"Check"</formula>
    </cfRule>
  </conditionalFormatting>
  <conditionalFormatting sqref="R1751">
    <cfRule type="cellIs" dxfId="1" priority="1742" stopIfTrue="1" operator="between">
      <formula>"Check"</formula>
      <formula>"Check"</formula>
    </cfRule>
  </conditionalFormatting>
  <conditionalFormatting sqref="R1752">
    <cfRule type="cellIs" dxfId="1" priority="1743" stopIfTrue="1" operator="between">
      <formula>"Check"</formula>
      <formula>"Check"</formula>
    </cfRule>
  </conditionalFormatting>
  <conditionalFormatting sqref="R1753">
    <cfRule type="cellIs" dxfId="1" priority="1744" stopIfTrue="1" operator="between">
      <formula>"Check"</formula>
      <formula>"Check"</formula>
    </cfRule>
  </conditionalFormatting>
  <conditionalFormatting sqref="R1754">
    <cfRule type="cellIs" dxfId="1" priority="1745" stopIfTrue="1" operator="between">
      <formula>"Check"</formula>
      <formula>"Check"</formula>
    </cfRule>
  </conditionalFormatting>
  <conditionalFormatting sqref="R1755">
    <cfRule type="cellIs" dxfId="1" priority="1746" stopIfTrue="1" operator="between">
      <formula>"Check"</formula>
      <formula>"Check"</formula>
    </cfRule>
  </conditionalFormatting>
  <conditionalFormatting sqref="R1756">
    <cfRule type="cellIs" dxfId="1" priority="1747" stopIfTrue="1" operator="between">
      <formula>"Check"</formula>
      <formula>"Check"</formula>
    </cfRule>
  </conditionalFormatting>
  <conditionalFormatting sqref="R1757">
    <cfRule type="cellIs" dxfId="1" priority="1748" stopIfTrue="1" operator="between">
      <formula>"Check"</formula>
      <formula>"Check"</formula>
    </cfRule>
  </conditionalFormatting>
  <conditionalFormatting sqref="R1758">
    <cfRule type="cellIs" dxfId="1" priority="1749" stopIfTrue="1" operator="between">
      <formula>"Check"</formula>
      <formula>"Check"</formula>
    </cfRule>
  </conditionalFormatting>
  <conditionalFormatting sqref="R1759">
    <cfRule type="cellIs" dxfId="1" priority="1750" stopIfTrue="1" operator="between">
      <formula>"Check"</formula>
      <formula>"Check"</formula>
    </cfRule>
  </conditionalFormatting>
  <conditionalFormatting sqref="R1760">
    <cfRule type="cellIs" dxfId="1" priority="1751" stopIfTrue="1" operator="between">
      <formula>"Check"</formula>
      <formula>"Check"</formula>
    </cfRule>
  </conditionalFormatting>
  <conditionalFormatting sqref="R1761">
    <cfRule type="cellIs" dxfId="1" priority="1752" stopIfTrue="1" operator="between">
      <formula>"Check"</formula>
      <formula>"Check"</formula>
    </cfRule>
  </conditionalFormatting>
  <conditionalFormatting sqref="R1762">
    <cfRule type="cellIs" dxfId="1" priority="1753" stopIfTrue="1" operator="between">
      <formula>"Check"</formula>
      <formula>"Check"</formula>
    </cfRule>
  </conditionalFormatting>
  <conditionalFormatting sqref="R1763">
    <cfRule type="cellIs" dxfId="1" priority="1754" stopIfTrue="1" operator="between">
      <formula>"Check"</formula>
      <formula>"Check"</formula>
    </cfRule>
  </conditionalFormatting>
  <conditionalFormatting sqref="R1764">
    <cfRule type="cellIs" dxfId="1" priority="1755" stopIfTrue="1" operator="between">
      <formula>"Check"</formula>
      <formula>"Check"</formula>
    </cfRule>
  </conditionalFormatting>
  <conditionalFormatting sqref="R1765">
    <cfRule type="cellIs" dxfId="1" priority="1756" stopIfTrue="1" operator="between">
      <formula>"Check"</formula>
      <formula>"Check"</formula>
    </cfRule>
  </conditionalFormatting>
  <conditionalFormatting sqref="R1766">
    <cfRule type="cellIs" dxfId="1" priority="1757" stopIfTrue="1" operator="between">
      <formula>"Check"</formula>
      <formula>"Check"</formula>
    </cfRule>
  </conditionalFormatting>
  <conditionalFormatting sqref="R1767">
    <cfRule type="cellIs" dxfId="1" priority="1758" stopIfTrue="1" operator="between">
      <formula>"Check"</formula>
      <formula>"Check"</formula>
    </cfRule>
  </conditionalFormatting>
  <conditionalFormatting sqref="R1768">
    <cfRule type="cellIs" dxfId="1" priority="1759" stopIfTrue="1" operator="between">
      <formula>"Check"</formula>
      <formula>"Check"</formula>
    </cfRule>
  </conditionalFormatting>
  <conditionalFormatting sqref="R1769">
    <cfRule type="cellIs" dxfId="1" priority="1760" stopIfTrue="1" operator="between">
      <formula>"Check"</formula>
      <formula>"Check"</formula>
    </cfRule>
  </conditionalFormatting>
  <conditionalFormatting sqref="R1770">
    <cfRule type="cellIs" dxfId="1" priority="1761" stopIfTrue="1" operator="between">
      <formula>"Check"</formula>
      <formula>"Check"</formula>
    </cfRule>
  </conditionalFormatting>
  <conditionalFormatting sqref="R1771">
    <cfRule type="cellIs" dxfId="1" priority="1762" stopIfTrue="1" operator="between">
      <formula>"Check"</formula>
      <formula>"Check"</formula>
    </cfRule>
  </conditionalFormatting>
  <conditionalFormatting sqref="R1772">
    <cfRule type="cellIs" dxfId="1" priority="1763" stopIfTrue="1" operator="between">
      <formula>"Check"</formula>
      <formula>"Check"</formula>
    </cfRule>
  </conditionalFormatting>
  <conditionalFormatting sqref="R1773">
    <cfRule type="cellIs" dxfId="1" priority="1764" stopIfTrue="1" operator="between">
      <formula>"Check"</formula>
      <formula>"Check"</formula>
    </cfRule>
  </conditionalFormatting>
  <conditionalFormatting sqref="R1774">
    <cfRule type="cellIs" dxfId="1" priority="1765" stopIfTrue="1" operator="between">
      <formula>"Check"</formula>
      <formula>"Check"</formula>
    </cfRule>
  </conditionalFormatting>
  <conditionalFormatting sqref="R1775">
    <cfRule type="cellIs" dxfId="1" priority="1766" stopIfTrue="1" operator="between">
      <formula>"Check"</formula>
      <formula>"Check"</formula>
    </cfRule>
  </conditionalFormatting>
  <conditionalFormatting sqref="R1776">
    <cfRule type="cellIs" dxfId="1" priority="1767" stopIfTrue="1" operator="between">
      <formula>"Check"</formula>
      <formula>"Check"</formula>
    </cfRule>
  </conditionalFormatting>
  <conditionalFormatting sqref="R1777">
    <cfRule type="cellIs" dxfId="1" priority="1768" stopIfTrue="1" operator="between">
      <formula>"Check"</formula>
      <formula>"Check"</formula>
    </cfRule>
  </conditionalFormatting>
  <conditionalFormatting sqref="R1778">
    <cfRule type="cellIs" dxfId="1" priority="1769" stopIfTrue="1" operator="between">
      <formula>"Check"</formula>
      <formula>"Check"</formula>
    </cfRule>
  </conditionalFormatting>
  <conditionalFormatting sqref="R1779">
    <cfRule type="cellIs" dxfId="1" priority="1770" stopIfTrue="1" operator="between">
      <formula>"Check"</formula>
      <formula>"Check"</formula>
    </cfRule>
  </conditionalFormatting>
  <conditionalFormatting sqref="R1780">
    <cfRule type="cellIs" dxfId="1" priority="1771" stopIfTrue="1" operator="between">
      <formula>"Check"</formula>
      <formula>"Check"</formula>
    </cfRule>
  </conditionalFormatting>
  <conditionalFormatting sqref="R1781">
    <cfRule type="cellIs" dxfId="1" priority="1772" stopIfTrue="1" operator="between">
      <formula>"Check"</formula>
      <formula>"Check"</formula>
    </cfRule>
  </conditionalFormatting>
  <conditionalFormatting sqref="R1782">
    <cfRule type="cellIs" dxfId="1" priority="1773" stopIfTrue="1" operator="between">
      <formula>"Check"</formula>
      <formula>"Check"</formula>
    </cfRule>
  </conditionalFormatting>
  <conditionalFormatting sqref="R1783">
    <cfRule type="cellIs" dxfId="1" priority="1774" stopIfTrue="1" operator="between">
      <formula>"Check"</formula>
      <formula>"Check"</formula>
    </cfRule>
  </conditionalFormatting>
  <conditionalFormatting sqref="R1784">
    <cfRule type="cellIs" dxfId="1" priority="1775" stopIfTrue="1" operator="between">
      <formula>"Check"</formula>
      <formula>"Check"</formula>
    </cfRule>
  </conditionalFormatting>
  <conditionalFormatting sqref="R1785">
    <cfRule type="cellIs" dxfId="1" priority="1776" stopIfTrue="1" operator="between">
      <formula>"Check"</formula>
      <formula>"Check"</formula>
    </cfRule>
  </conditionalFormatting>
  <conditionalFormatting sqref="R1786">
    <cfRule type="cellIs" dxfId="1" priority="1777" stopIfTrue="1" operator="between">
      <formula>"Check"</formula>
      <formula>"Check"</formula>
    </cfRule>
  </conditionalFormatting>
  <conditionalFormatting sqref="R1787">
    <cfRule type="cellIs" dxfId="1" priority="1778" stopIfTrue="1" operator="between">
      <formula>"Check"</formula>
      <formula>"Check"</formula>
    </cfRule>
  </conditionalFormatting>
  <conditionalFormatting sqref="R1788">
    <cfRule type="cellIs" dxfId="1" priority="1779" stopIfTrue="1" operator="between">
      <formula>"Check"</formula>
      <formula>"Check"</formula>
    </cfRule>
  </conditionalFormatting>
  <conditionalFormatting sqref="R1789">
    <cfRule type="cellIs" dxfId="1" priority="1780" stopIfTrue="1" operator="between">
      <formula>"Check"</formula>
      <formula>"Check"</formula>
    </cfRule>
  </conditionalFormatting>
  <conditionalFormatting sqref="R1790">
    <cfRule type="cellIs" dxfId="1" priority="1781" stopIfTrue="1" operator="between">
      <formula>"Check"</formula>
      <formula>"Check"</formula>
    </cfRule>
  </conditionalFormatting>
  <conditionalFormatting sqref="R1791">
    <cfRule type="cellIs" dxfId="1" priority="1782" stopIfTrue="1" operator="between">
      <formula>"Check"</formula>
      <formula>"Check"</formula>
    </cfRule>
  </conditionalFormatting>
  <conditionalFormatting sqref="R1792">
    <cfRule type="cellIs" dxfId="1" priority="1783" stopIfTrue="1" operator="between">
      <formula>"Check"</formula>
      <formula>"Check"</formula>
    </cfRule>
  </conditionalFormatting>
  <conditionalFormatting sqref="R1793">
    <cfRule type="cellIs" dxfId="1" priority="1784" stopIfTrue="1" operator="between">
      <formula>"Check"</formula>
      <formula>"Check"</formula>
    </cfRule>
  </conditionalFormatting>
  <conditionalFormatting sqref="R1794">
    <cfRule type="cellIs" dxfId="1" priority="1785" stopIfTrue="1" operator="between">
      <formula>"Check"</formula>
      <formula>"Check"</formula>
    </cfRule>
  </conditionalFormatting>
  <conditionalFormatting sqref="R1795">
    <cfRule type="cellIs" dxfId="1" priority="1786" stopIfTrue="1" operator="between">
      <formula>"Check"</formula>
      <formula>"Check"</formula>
    </cfRule>
  </conditionalFormatting>
  <conditionalFormatting sqref="R1796">
    <cfRule type="cellIs" dxfId="1" priority="1787" stopIfTrue="1" operator="between">
      <formula>"Check"</formula>
      <formula>"Check"</formula>
    </cfRule>
  </conditionalFormatting>
  <conditionalFormatting sqref="R1797">
    <cfRule type="cellIs" dxfId="1" priority="1788" stopIfTrue="1" operator="between">
      <formula>"Check"</formula>
      <formula>"Check"</formula>
    </cfRule>
  </conditionalFormatting>
  <conditionalFormatting sqref="R1798">
    <cfRule type="cellIs" dxfId="1" priority="1789" stopIfTrue="1" operator="between">
      <formula>"Check"</formula>
      <formula>"Check"</formula>
    </cfRule>
  </conditionalFormatting>
  <conditionalFormatting sqref="R1799">
    <cfRule type="cellIs" dxfId="1" priority="1790" stopIfTrue="1" operator="between">
      <formula>"Check"</formula>
      <formula>"Check"</formula>
    </cfRule>
  </conditionalFormatting>
  <conditionalFormatting sqref="R1800">
    <cfRule type="cellIs" dxfId="1" priority="1791" stopIfTrue="1" operator="between">
      <formula>"Check"</formula>
      <formula>"Check"</formula>
    </cfRule>
  </conditionalFormatting>
  <conditionalFormatting sqref="R1801">
    <cfRule type="cellIs" dxfId="1" priority="1792" stopIfTrue="1" operator="between">
      <formula>"Check"</formula>
      <formula>"Check"</formula>
    </cfRule>
  </conditionalFormatting>
  <conditionalFormatting sqref="R1802">
    <cfRule type="cellIs" dxfId="1" priority="1793" stopIfTrue="1" operator="between">
      <formula>"Check"</formula>
      <formula>"Check"</formula>
    </cfRule>
  </conditionalFormatting>
  <conditionalFormatting sqref="R1803">
    <cfRule type="cellIs" dxfId="1" priority="1794" stopIfTrue="1" operator="between">
      <formula>"Check"</formula>
      <formula>"Check"</formula>
    </cfRule>
  </conditionalFormatting>
  <conditionalFormatting sqref="R1804">
    <cfRule type="cellIs" dxfId="1" priority="1795" stopIfTrue="1" operator="between">
      <formula>"Check"</formula>
      <formula>"Check"</formula>
    </cfRule>
  </conditionalFormatting>
  <conditionalFormatting sqref="R1805">
    <cfRule type="cellIs" dxfId="1" priority="1796" stopIfTrue="1" operator="between">
      <formula>"Check"</formula>
      <formula>"Check"</formula>
    </cfRule>
  </conditionalFormatting>
  <conditionalFormatting sqref="R1806">
    <cfRule type="cellIs" dxfId="1" priority="1797" stopIfTrue="1" operator="between">
      <formula>"Check"</formula>
      <formula>"Check"</formula>
    </cfRule>
  </conditionalFormatting>
  <conditionalFormatting sqref="R1807">
    <cfRule type="cellIs" dxfId="1" priority="1798" stopIfTrue="1" operator="between">
      <formula>"Check"</formula>
      <formula>"Check"</formula>
    </cfRule>
  </conditionalFormatting>
  <conditionalFormatting sqref="R1808">
    <cfRule type="cellIs" dxfId="1" priority="1799" stopIfTrue="1" operator="between">
      <formula>"Check"</formula>
      <formula>"Check"</formula>
    </cfRule>
  </conditionalFormatting>
  <conditionalFormatting sqref="R1809">
    <cfRule type="cellIs" dxfId="1" priority="1800" stopIfTrue="1" operator="between">
      <formula>"Check"</formula>
      <formula>"Check"</formula>
    </cfRule>
  </conditionalFormatting>
  <conditionalFormatting sqref="R1810">
    <cfRule type="cellIs" dxfId="1" priority="1801" stopIfTrue="1" operator="between">
      <formula>"Check"</formula>
      <formula>"Check"</formula>
    </cfRule>
  </conditionalFormatting>
  <conditionalFormatting sqref="R1811">
    <cfRule type="cellIs" dxfId="1" priority="1802" stopIfTrue="1" operator="between">
      <formula>"Check"</formula>
      <formula>"Check"</formula>
    </cfRule>
  </conditionalFormatting>
  <conditionalFormatting sqref="R1812">
    <cfRule type="cellIs" dxfId="1" priority="1803" stopIfTrue="1" operator="between">
      <formula>"Check"</formula>
      <formula>"Check"</formula>
    </cfRule>
  </conditionalFormatting>
  <conditionalFormatting sqref="R1813">
    <cfRule type="cellIs" dxfId="1" priority="1804" stopIfTrue="1" operator="between">
      <formula>"Check"</formula>
      <formula>"Check"</formula>
    </cfRule>
  </conditionalFormatting>
  <conditionalFormatting sqref="R1814">
    <cfRule type="cellIs" dxfId="1" priority="1805" stopIfTrue="1" operator="between">
      <formula>"Check"</formula>
      <formula>"Check"</formula>
    </cfRule>
  </conditionalFormatting>
  <conditionalFormatting sqref="R1815">
    <cfRule type="cellIs" dxfId="1" priority="1806" stopIfTrue="1" operator="between">
      <formula>"Check"</formula>
      <formula>"Check"</formula>
    </cfRule>
  </conditionalFormatting>
  <conditionalFormatting sqref="R1816">
    <cfRule type="cellIs" dxfId="1" priority="1807" stopIfTrue="1" operator="between">
      <formula>"Check"</formula>
      <formula>"Check"</formula>
    </cfRule>
  </conditionalFormatting>
  <conditionalFormatting sqref="R1817">
    <cfRule type="cellIs" dxfId="1" priority="1808" stopIfTrue="1" operator="between">
      <formula>"Check"</formula>
      <formula>"Check"</formula>
    </cfRule>
  </conditionalFormatting>
  <conditionalFormatting sqref="R1818">
    <cfRule type="cellIs" dxfId="1" priority="1809" stopIfTrue="1" operator="between">
      <formula>"Check"</formula>
      <formula>"Check"</formula>
    </cfRule>
  </conditionalFormatting>
  <conditionalFormatting sqref="R1819">
    <cfRule type="cellIs" dxfId="1" priority="1810" stopIfTrue="1" operator="between">
      <formula>"Check"</formula>
      <formula>"Check"</formula>
    </cfRule>
  </conditionalFormatting>
  <conditionalFormatting sqref="R1820">
    <cfRule type="cellIs" dxfId="1" priority="1811" stopIfTrue="1" operator="between">
      <formula>"Check"</formula>
      <formula>"Check"</formula>
    </cfRule>
  </conditionalFormatting>
  <conditionalFormatting sqref="R1821">
    <cfRule type="cellIs" dxfId="1" priority="1812" stopIfTrue="1" operator="between">
      <formula>"Check"</formula>
      <formula>"Check"</formula>
    </cfRule>
  </conditionalFormatting>
  <conditionalFormatting sqref="R1822">
    <cfRule type="cellIs" dxfId="1" priority="1813" stopIfTrue="1" operator="between">
      <formula>"Check"</formula>
      <formula>"Check"</formula>
    </cfRule>
  </conditionalFormatting>
  <conditionalFormatting sqref="R1823">
    <cfRule type="cellIs" dxfId="1" priority="1814" stopIfTrue="1" operator="between">
      <formula>"Check"</formula>
      <formula>"Check"</formula>
    </cfRule>
  </conditionalFormatting>
  <conditionalFormatting sqref="R1824">
    <cfRule type="cellIs" dxfId="1" priority="1815" stopIfTrue="1" operator="between">
      <formula>"Check"</formula>
      <formula>"Check"</formula>
    </cfRule>
  </conditionalFormatting>
  <conditionalFormatting sqref="R1825">
    <cfRule type="cellIs" dxfId="1" priority="1816" stopIfTrue="1" operator="between">
      <formula>"Check"</formula>
      <formula>"Check"</formula>
    </cfRule>
  </conditionalFormatting>
  <conditionalFormatting sqref="R1826">
    <cfRule type="cellIs" dxfId="1" priority="1817" stopIfTrue="1" operator="between">
      <formula>"Check"</formula>
      <formula>"Check"</formula>
    </cfRule>
  </conditionalFormatting>
  <conditionalFormatting sqref="R1827">
    <cfRule type="cellIs" dxfId="1" priority="1818" stopIfTrue="1" operator="between">
      <formula>"Check"</formula>
      <formula>"Check"</formula>
    </cfRule>
  </conditionalFormatting>
  <conditionalFormatting sqref="R1828">
    <cfRule type="cellIs" dxfId="1" priority="1819" stopIfTrue="1" operator="between">
      <formula>"Check"</formula>
      <formula>"Check"</formula>
    </cfRule>
  </conditionalFormatting>
  <conditionalFormatting sqref="R1829">
    <cfRule type="cellIs" dxfId="1" priority="1820" stopIfTrue="1" operator="between">
      <formula>"Check"</formula>
      <formula>"Check"</formula>
    </cfRule>
  </conditionalFormatting>
  <conditionalFormatting sqref="R1830">
    <cfRule type="cellIs" dxfId="1" priority="1821" stopIfTrue="1" operator="between">
      <formula>"Check"</formula>
      <formula>"Check"</formula>
    </cfRule>
  </conditionalFormatting>
  <conditionalFormatting sqref="R1831">
    <cfRule type="cellIs" dxfId="1" priority="1822" stopIfTrue="1" operator="between">
      <formula>"Check"</formula>
      <formula>"Check"</formula>
    </cfRule>
  </conditionalFormatting>
  <conditionalFormatting sqref="R1832">
    <cfRule type="cellIs" dxfId="1" priority="1823" stopIfTrue="1" operator="between">
      <formula>"Check"</formula>
      <formula>"Check"</formula>
    </cfRule>
  </conditionalFormatting>
  <conditionalFormatting sqref="R1833">
    <cfRule type="cellIs" dxfId="1" priority="1824" stopIfTrue="1" operator="between">
      <formula>"Check"</formula>
      <formula>"Check"</formula>
    </cfRule>
  </conditionalFormatting>
  <conditionalFormatting sqref="R1834">
    <cfRule type="cellIs" dxfId="1" priority="1825" stopIfTrue="1" operator="between">
      <formula>"Check"</formula>
      <formula>"Check"</formula>
    </cfRule>
  </conditionalFormatting>
  <conditionalFormatting sqref="R1835">
    <cfRule type="cellIs" dxfId="1" priority="1826" stopIfTrue="1" operator="between">
      <formula>"Check"</formula>
      <formula>"Check"</formula>
    </cfRule>
  </conditionalFormatting>
  <conditionalFormatting sqref="R1836">
    <cfRule type="cellIs" dxfId="1" priority="1827" stopIfTrue="1" operator="between">
      <formula>"Check"</formula>
      <formula>"Check"</formula>
    </cfRule>
  </conditionalFormatting>
  <conditionalFormatting sqref="R1837">
    <cfRule type="cellIs" dxfId="1" priority="1828" stopIfTrue="1" operator="between">
      <formula>"Check"</formula>
      <formula>"Check"</formula>
    </cfRule>
  </conditionalFormatting>
  <conditionalFormatting sqref="R1838">
    <cfRule type="cellIs" dxfId="1" priority="1829" stopIfTrue="1" operator="between">
      <formula>"Check"</formula>
      <formula>"Check"</formula>
    </cfRule>
  </conditionalFormatting>
  <conditionalFormatting sqref="R1839">
    <cfRule type="cellIs" dxfId="1" priority="1830" stopIfTrue="1" operator="between">
      <formula>"Check"</formula>
      <formula>"Check"</formula>
    </cfRule>
  </conditionalFormatting>
  <conditionalFormatting sqref="R1840">
    <cfRule type="cellIs" dxfId="1" priority="1831" stopIfTrue="1" operator="between">
      <formula>"Check"</formula>
      <formula>"Check"</formula>
    </cfRule>
  </conditionalFormatting>
  <conditionalFormatting sqref="R1841">
    <cfRule type="cellIs" dxfId="1" priority="1832" stopIfTrue="1" operator="between">
      <formula>"Check"</formula>
      <formula>"Check"</formula>
    </cfRule>
  </conditionalFormatting>
  <conditionalFormatting sqref="R1842">
    <cfRule type="cellIs" dxfId="1" priority="1833" stopIfTrue="1" operator="between">
      <formula>"Check"</formula>
      <formula>"Check"</formula>
    </cfRule>
  </conditionalFormatting>
  <conditionalFormatting sqref="R1843">
    <cfRule type="cellIs" dxfId="1" priority="1834" stopIfTrue="1" operator="between">
      <formula>"Check"</formula>
      <formula>"Check"</formula>
    </cfRule>
  </conditionalFormatting>
  <conditionalFormatting sqref="R1844">
    <cfRule type="cellIs" dxfId="1" priority="1835" stopIfTrue="1" operator="between">
      <formula>"Check"</formula>
      <formula>"Check"</formula>
    </cfRule>
  </conditionalFormatting>
  <conditionalFormatting sqref="R1845">
    <cfRule type="cellIs" dxfId="1" priority="1836" stopIfTrue="1" operator="between">
      <formula>"Check"</formula>
      <formula>"Check"</formula>
    </cfRule>
  </conditionalFormatting>
  <conditionalFormatting sqref="R1846">
    <cfRule type="cellIs" dxfId="1" priority="1837" stopIfTrue="1" operator="between">
      <formula>"Check"</formula>
      <formula>"Check"</formula>
    </cfRule>
  </conditionalFormatting>
  <conditionalFormatting sqref="R1847">
    <cfRule type="cellIs" dxfId="1" priority="1838" stopIfTrue="1" operator="between">
      <formula>"Check"</formula>
      <formula>"Check"</formula>
    </cfRule>
  </conditionalFormatting>
  <conditionalFormatting sqref="R1848">
    <cfRule type="cellIs" dxfId="1" priority="1839" stopIfTrue="1" operator="between">
      <formula>"Check"</formula>
      <formula>"Check"</formula>
    </cfRule>
  </conditionalFormatting>
  <conditionalFormatting sqref="R1849">
    <cfRule type="cellIs" dxfId="1" priority="1840" stopIfTrue="1" operator="between">
      <formula>"Check"</formula>
      <formula>"Check"</formula>
    </cfRule>
  </conditionalFormatting>
  <conditionalFormatting sqref="R1850">
    <cfRule type="cellIs" dxfId="1" priority="1841" stopIfTrue="1" operator="between">
      <formula>"Check"</formula>
      <formula>"Check"</formula>
    </cfRule>
  </conditionalFormatting>
  <conditionalFormatting sqref="R1851">
    <cfRule type="cellIs" dxfId="1" priority="1842" stopIfTrue="1" operator="between">
      <formula>"Check"</formula>
      <formula>"Check"</formula>
    </cfRule>
  </conditionalFormatting>
  <conditionalFormatting sqref="R1852">
    <cfRule type="cellIs" dxfId="1" priority="1843" stopIfTrue="1" operator="between">
      <formula>"Check"</formula>
      <formula>"Check"</formula>
    </cfRule>
  </conditionalFormatting>
  <conditionalFormatting sqref="R1853">
    <cfRule type="cellIs" dxfId="1" priority="1844" stopIfTrue="1" operator="between">
      <formula>"Check"</formula>
      <formula>"Check"</formula>
    </cfRule>
  </conditionalFormatting>
  <conditionalFormatting sqref="R1854">
    <cfRule type="cellIs" dxfId="1" priority="1845" stopIfTrue="1" operator="between">
      <formula>"Check"</formula>
      <formula>"Check"</formula>
    </cfRule>
  </conditionalFormatting>
  <conditionalFormatting sqref="R1855">
    <cfRule type="cellIs" dxfId="1" priority="1846" stopIfTrue="1" operator="between">
      <formula>"Check"</formula>
      <formula>"Check"</formula>
    </cfRule>
  </conditionalFormatting>
  <conditionalFormatting sqref="R1856">
    <cfRule type="cellIs" dxfId="1" priority="1847" stopIfTrue="1" operator="between">
      <formula>"Check"</formula>
      <formula>"Check"</formula>
    </cfRule>
  </conditionalFormatting>
  <conditionalFormatting sqref="R1857">
    <cfRule type="cellIs" dxfId="1" priority="1848" stopIfTrue="1" operator="between">
      <formula>"Check"</formula>
      <formula>"Check"</formula>
    </cfRule>
  </conditionalFormatting>
  <conditionalFormatting sqref="R1858">
    <cfRule type="cellIs" dxfId="1" priority="1849" stopIfTrue="1" operator="between">
      <formula>"Check"</formula>
      <formula>"Check"</formula>
    </cfRule>
  </conditionalFormatting>
  <conditionalFormatting sqref="R1859">
    <cfRule type="cellIs" dxfId="1" priority="1850" stopIfTrue="1" operator="between">
      <formula>"Check"</formula>
      <formula>"Check"</formula>
    </cfRule>
  </conditionalFormatting>
  <conditionalFormatting sqref="R1860">
    <cfRule type="cellIs" dxfId="1" priority="1851" stopIfTrue="1" operator="between">
      <formula>"Check"</formula>
      <formula>"Check"</formula>
    </cfRule>
  </conditionalFormatting>
  <conditionalFormatting sqref="R1861">
    <cfRule type="cellIs" dxfId="1" priority="1852" stopIfTrue="1" operator="between">
      <formula>"Check"</formula>
      <formula>"Check"</formula>
    </cfRule>
  </conditionalFormatting>
  <conditionalFormatting sqref="R1862">
    <cfRule type="cellIs" dxfId="1" priority="1853" stopIfTrue="1" operator="between">
      <formula>"Check"</formula>
      <formula>"Check"</formula>
    </cfRule>
  </conditionalFormatting>
  <conditionalFormatting sqref="R1863">
    <cfRule type="cellIs" dxfId="1" priority="1854" stopIfTrue="1" operator="between">
      <formula>"Check"</formula>
      <formula>"Check"</formula>
    </cfRule>
  </conditionalFormatting>
  <conditionalFormatting sqref="R1864">
    <cfRule type="cellIs" dxfId="1" priority="1855" stopIfTrue="1" operator="between">
      <formula>"Check"</formula>
      <formula>"Check"</formula>
    </cfRule>
  </conditionalFormatting>
  <conditionalFormatting sqref="R1865">
    <cfRule type="cellIs" dxfId="1" priority="1856" stopIfTrue="1" operator="between">
      <formula>"Check"</formula>
      <formula>"Check"</formula>
    </cfRule>
  </conditionalFormatting>
  <conditionalFormatting sqref="R1866">
    <cfRule type="cellIs" dxfId="1" priority="1857" stopIfTrue="1" operator="between">
      <formula>"Check"</formula>
      <formula>"Check"</formula>
    </cfRule>
  </conditionalFormatting>
  <conditionalFormatting sqref="R1867">
    <cfRule type="cellIs" dxfId="1" priority="1858" stopIfTrue="1" operator="between">
      <formula>"Check"</formula>
      <formula>"Check"</formula>
    </cfRule>
  </conditionalFormatting>
  <conditionalFormatting sqref="R1868">
    <cfRule type="cellIs" dxfId="1" priority="1859" stopIfTrue="1" operator="between">
      <formula>"Check"</formula>
      <formula>"Check"</formula>
    </cfRule>
  </conditionalFormatting>
  <conditionalFormatting sqref="R1869">
    <cfRule type="cellIs" dxfId="1" priority="1860" stopIfTrue="1" operator="between">
      <formula>"Check"</formula>
      <formula>"Check"</formula>
    </cfRule>
  </conditionalFormatting>
  <conditionalFormatting sqref="R1870">
    <cfRule type="cellIs" dxfId="1" priority="1861" stopIfTrue="1" operator="between">
      <formula>"Check"</formula>
      <formula>"Check"</formula>
    </cfRule>
  </conditionalFormatting>
  <conditionalFormatting sqref="R1871">
    <cfRule type="cellIs" dxfId="1" priority="1862" stopIfTrue="1" operator="between">
      <formula>"Check"</formula>
      <formula>"Check"</formula>
    </cfRule>
  </conditionalFormatting>
  <conditionalFormatting sqref="R1872">
    <cfRule type="cellIs" dxfId="1" priority="1863" stopIfTrue="1" operator="between">
      <formula>"Check"</formula>
      <formula>"Check"</formula>
    </cfRule>
  </conditionalFormatting>
  <conditionalFormatting sqref="R1873">
    <cfRule type="cellIs" dxfId="1" priority="1864" stopIfTrue="1" operator="between">
      <formula>"Check"</formula>
      <formula>"Check"</formula>
    </cfRule>
  </conditionalFormatting>
  <conditionalFormatting sqref="R1874">
    <cfRule type="cellIs" dxfId="1" priority="1865" stopIfTrue="1" operator="between">
      <formula>"Check"</formula>
      <formula>"Check"</formula>
    </cfRule>
  </conditionalFormatting>
  <conditionalFormatting sqref="R1875">
    <cfRule type="cellIs" dxfId="1" priority="1866" stopIfTrue="1" operator="between">
      <formula>"Check"</formula>
      <formula>"Check"</formula>
    </cfRule>
  </conditionalFormatting>
  <conditionalFormatting sqref="R1876">
    <cfRule type="cellIs" dxfId="1" priority="1867" stopIfTrue="1" operator="between">
      <formula>"Check"</formula>
      <formula>"Check"</formula>
    </cfRule>
  </conditionalFormatting>
  <conditionalFormatting sqref="R1877">
    <cfRule type="cellIs" dxfId="1" priority="1868" stopIfTrue="1" operator="between">
      <formula>"Check"</formula>
      <formula>"Check"</formula>
    </cfRule>
  </conditionalFormatting>
  <conditionalFormatting sqref="R1878">
    <cfRule type="cellIs" dxfId="1" priority="1869" stopIfTrue="1" operator="between">
      <formula>"Check"</formula>
      <formula>"Check"</formula>
    </cfRule>
  </conditionalFormatting>
  <conditionalFormatting sqref="R1879">
    <cfRule type="cellIs" dxfId="1" priority="1870" stopIfTrue="1" operator="between">
      <formula>"Check"</formula>
      <formula>"Check"</formula>
    </cfRule>
  </conditionalFormatting>
  <conditionalFormatting sqref="R1880">
    <cfRule type="cellIs" dxfId="1" priority="1871" stopIfTrue="1" operator="between">
      <formula>"Check"</formula>
      <formula>"Check"</formula>
    </cfRule>
  </conditionalFormatting>
  <conditionalFormatting sqref="R1881">
    <cfRule type="cellIs" dxfId="1" priority="1872" stopIfTrue="1" operator="between">
      <formula>"Check"</formula>
      <formula>"Check"</formula>
    </cfRule>
  </conditionalFormatting>
  <conditionalFormatting sqref="R1882">
    <cfRule type="cellIs" dxfId="1" priority="1873" stopIfTrue="1" operator="between">
      <formula>"Check"</formula>
      <formula>"Check"</formula>
    </cfRule>
  </conditionalFormatting>
  <conditionalFormatting sqref="R1883">
    <cfRule type="cellIs" dxfId="1" priority="1874" stopIfTrue="1" operator="between">
      <formula>"Check"</formula>
      <formula>"Check"</formula>
    </cfRule>
  </conditionalFormatting>
  <conditionalFormatting sqref="R1884">
    <cfRule type="cellIs" dxfId="1" priority="1875" stopIfTrue="1" operator="between">
      <formula>"Check"</formula>
      <formula>"Check"</formula>
    </cfRule>
  </conditionalFormatting>
  <conditionalFormatting sqref="R1885">
    <cfRule type="cellIs" dxfId="1" priority="1876" stopIfTrue="1" operator="between">
      <formula>"Check"</formula>
      <formula>"Check"</formula>
    </cfRule>
  </conditionalFormatting>
  <conditionalFormatting sqref="R1886">
    <cfRule type="cellIs" dxfId="1" priority="1877" stopIfTrue="1" operator="between">
      <formula>"Check"</formula>
      <formula>"Check"</formula>
    </cfRule>
  </conditionalFormatting>
  <conditionalFormatting sqref="R1887">
    <cfRule type="cellIs" dxfId="1" priority="1878" stopIfTrue="1" operator="between">
      <formula>"Check"</formula>
      <formula>"Check"</formula>
    </cfRule>
  </conditionalFormatting>
  <conditionalFormatting sqref="R1888">
    <cfRule type="cellIs" dxfId="1" priority="1879" stopIfTrue="1" operator="between">
      <formula>"Check"</formula>
      <formula>"Check"</formula>
    </cfRule>
  </conditionalFormatting>
  <conditionalFormatting sqref="R1889">
    <cfRule type="cellIs" dxfId="1" priority="1880" stopIfTrue="1" operator="between">
      <formula>"Check"</formula>
      <formula>"Check"</formula>
    </cfRule>
  </conditionalFormatting>
  <conditionalFormatting sqref="R1890">
    <cfRule type="cellIs" dxfId="1" priority="1881" stopIfTrue="1" operator="between">
      <formula>"Check"</formula>
      <formula>"Check"</formula>
    </cfRule>
  </conditionalFormatting>
  <conditionalFormatting sqref="R1891">
    <cfRule type="cellIs" dxfId="1" priority="1882" stopIfTrue="1" operator="between">
      <formula>"Check"</formula>
      <formula>"Check"</formula>
    </cfRule>
  </conditionalFormatting>
  <conditionalFormatting sqref="R1892">
    <cfRule type="cellIs" dxfId="1" priority="1883" stopIfTrue="1" operator="between">
      <formula>"Check"</formula>
      <formula>"Check"</formula>
    </cfRule>
  </conditionalFormatting>
  <conditionalFormatting sqref="R1893">
    <cfRule type="cellIs" dxfId="1" priority="1884" stopIfTrue="1" operator="between">
      <formula>"Check"</formula>
      <formula>"Check"</formula>
    </cfRule>
  </conditionalFormatting>
  <conditionalFormatting sqref="R1894">
    <cfRule type="cellIs" dxfId="1" priority="1885" stopIfTrue="1" operator="between">
      <formula>"Check"</formula>
      <formula>"Check"</formula>
    </cfRule>
  </conditionalFormatting>
  <conditionalFormatting sqref="R1895">
    <cfRule type="cellIs" dxfId="1" priority="1886" stopIfTrue="1" operator="between">
      <formula>"Check"</formula>
      <formula>"Check"</formula>
    </cfRule>
  </conditionalFormatting>
  <conditionalFormatting sqref="R1896">
    <cfRule type="cellIs" dxfId="1" priority="1887" stopIfTrue="1" operator="between">
      <formula>"Check"</formula>
      <formula>"Check"</formula>
    </cfRule>
  </conditionalFormatting>
  <conditionalFormatting sqref="R1897">
    <cfRule type="cellIs" dxfId="1" priority="1888" stopIfTrue="1" operator="between">
      <formula>"Check"</formula>
      <formula>"Check"</formula>
    </cfRule>
  </conditionalFormatting>
  <conditionalFormatting sqref="R1898">
    <cfRule type="cellIs" dxfId="1" priority="1889" stopIfTrue="1" operator="between">
      <formula>"Check"</formula>
      <formula>"Check"</formula>
    </cfRule>
  </conditionalFormatting>
  <conditionalFormatting sqref="R1899">
    <cfRule type="cellIs" dxfId="1" priority="1890" stopIfTrue="1" operator="between">
      <formula>"Check"</formula>
      <formula>"Check"</formula>
    </cfRule>
  </conditionalFormatting>
  <conditionalFormatting sqref="R1900">
    <cfRule type="cellIs" dxfId="1" priority="1891" stopIfTrue="1" operator="between">
      <formula>"Check"</formula>
      <formula>"Check"</formula>
    </cfRule>
  </conditionalFormatting>
  <conditionalFormatting sqref="R1901">
    <cfRule type="cellIs" dxfId="1" priority="1892" stopIfTrue="1" operator="between">
      <formula>"Check"</formula>
      <formula>"Check"</formula>
    </cfRule>
  </conditionalFormatting>
  <conditionalFormatting sqref="R1902">
    <cfRule type="cellIs" dxfId="1" priority="1893" stopIfTrue="1" operator="between">
      <formula>"Check"</formula>
      <formula>"Check"</formula>
    </cfRule>
  </conditionalFormatting>
  <conditionalFormatting sqref="R1903">
    <cfRule type="cellIs" dxfId="1" priority="1894" stopIfTrue="1" operator="between">
      <formula>"Check"</formula>
      <formula>"Check"</formula>
    </cfRule>
  </conditionalFormatting>
  <conditionalFormatting sqref="R1904">
    <cfRule type="cellIs" dxfId="1" priority="1895" stopIfTrue="1" operator="between">
      <formula>"Check"</formula>
      <formula>"Check"</formula>
    </cfRule>
  </conditionalFormatting>
  <conditionalFormatting sqref="R1905">
    <cfRule type="cellIs" dxfId="1" priority="1896" stopIfTrue="1" operator="between">
      <formula>"Check"</formula>
      <formula>"Check"</formula>
    </cfRule>
  </conditionalFormatting>
  <conditionalFormatting sqref="R1906">
    <cfRule type="cellIs" dxfId="1" priority="1897" stopIfTrue="1" operator="between">
      <formula>"Check"</formula>
      <formula>"Check"</formula>
    </cfRule>
  </conditionalFormatting>
  <conditionalFormatting sqref="R1907">
    <cfRule type="cellIs" dxfId="1" priority="1898" stopIfTrue="1" operator="between">
      <formula>"Check"</formula>
      <formula>"Check"</formula>
    </cfRule>
  </conditionalFormatting>
  <conditionalFormatting sqref="R1908">
    <cfRule type="cellIs" dxfId="1" priority="1899" stopIfTrue="1" operator="between">
      <formula>"Check"</formula>
      <formula>"Check"</formula>
    </cfRule>
  </conditionalFormatting>
  <conditionalFormatting sqref="R1909">
    <cfRule type="cellIs" dxfId="1" priority="1900" stopIfTrue="1" operator="between">
      <formula>"Check"</formula>
      <formula>"Check"</formula>
    </cfRule>
  </conditionalFormatting>
  <conditionalFormatting sqref="R1910">
    <cfRule type="cellIs" dxfId="1" priority="1901" stopIfTrue="1" operator="between">
      <formula>"Check"</formula>
      <formula>"Check"</formula>
    </cfRule>
  </conditionalFormatting>
  <conditionalFormatting sqref="R1911">
    <cfRule type="cellIs" dxfId="1" priority="1902" stopIfTrue="1" operator="between">
      <formula>"Check"</formula>
      <formula>"Check"</formula>
    </cfRule>
  </conditionalFormatting>
  <conditionalFormatting sqref="R1912">
    <cfRule type="cellIs" dxfId="1" priority="1903" stopIfTrue="1" operator="between">
      <formula>"Check"</formula>
      <formula>"Check"</formula>
    </cfRule>
  </conditionalFormatting>
  <conditionalFormatting sqref="R1913">
    <cfRule type="cellIs" dxfId="1" priority="1904" stopIfTrue="1" operator="between">
      <formula>"Check"</formula>
      <formula>"Check"</formula>
    </cfRule>
  </conditionalFormatting>
  <conditionalFormatting sqref="R1914">
    <cfRule type="cellIs" dxfId="1" priority="1905" stopIfTrue="1" operator="between">
      <formula>"Check"</formula>
      <formula>"Check"</formula>
    </cfRule>
  </conditionalFormatting>
  <conditionalFormatting sqref="R1915">
    <cfRule type="cellIs" dxfId="1" priority="1906" stopIfTrue="1" operator="between">
      <formula>"Check"</formula>
      <formula>"Check"</formula>
    </cfRule>
  </conditionalFormatting>
  <conditionalFormatting sqref="R1916">
    <cfRule type="cellIs" dxfId="1" priority="1907" stopIfTrue="1" operator="between">
      <formula>"Check"</formula>
      <formula>"Check"</formula>
    </cfRule>
  </conditionalFormatting>
  <conditionalFormatting sqref="R1917">
    <cfRule type="cellIs" dxfId="1" priority="1908" stopIfTrue="1" operator="between">
      <formula>"Check"</formula>
      <formula>"Check"</formula>
    </cfRule>
  </conditionalFormatting>
  <conditionalFormatting sqref="R1918">
    <cfRule type="cellIs" dxfId="1" priority="1909" stopIfTrue="1" operator="between">
      <formula>"Check"</formula>
      <formula>"Check"</formula>
    </cfRule>
  </conditionalFormatting>
  <conditionalFormatting sqref="R1919">
    <cfRule type="cellIs" dxfId="1" priority="1910" stopIfTrue="1" operator="between">
      <formula>"Check"</formula>
      <formula>"Check"</formula>
    </cfRule>
  </conditionalFormatting>
  <conditionalFormatting sqref="R1920">
    <cfRule type="cellIs" dxfId="1" priority="1911" stopIfTrue="1" operator="between">
      <formula>"Check"</formula>
      <formula>"Check"</formula>
    </cfRule>
  </conditionalFormatting>
  <conditionalFormatting sqref="R1921">
    <cfRule type="cellIs" dxfId="1" priority="1912" stopIfTrue="1" operator="between">
      <formula>"Check"</formula>
      <formula>"Check"</formula>
    </cfRule>
  </conditionalFormatting>
  <conditionalFormatting sqref="R1922">
    <cfRule type="cellIs" dxfId="1" priority="1913" stopIfTrue="1" operator="between">
      <formula>"Check"</formula>
      <formula>"Check"</formula>
    </cfRule>
  </conditionalFormatting>
  <conditionalFormatting sqref="R1923">
    <cfRule type="cellIs" dxfId="1" priority="1914" stopIfTrue="1" operator="between">
      <formula>"Check"</formula>
      <formula>"Check"</formula>
    </cfRule>
  </conditionalFormatting>
  <conditionalFormatting sqref="R1924">
    <cfRule type="cellIs" dxfId="1" priority="1915" stopIfTrue="1" operator="between">
      <formula>"Check"</formula>
      <formula>"Check"</formula>
    </cfRule>
  </conditionalFormatting>
  <conditionalFormatting sqref="R1925">
    <cfRule type="cellIs" dxfId="1" priority="1916" stopIfTrue="1" operator="between">
      <formula>"Check"</formula>
      <formula>"Check"</formula>
    </cfRule>
  </conditionalFormatting>
  <conditionalFormatting sqref="R1926">
    <cfRule type="cellIs" dxfId="1" priority="1917" stopIfTrue="1" operator="between">
      <formula>"Check"</formula>
      <formula>"Check"</formula>
    </cfRule>
  </conditionalFormatting>
  <conditionalFormatting sqref="R1927">
    <cfRule type="cellIs" dxfId="1" priority="1918" stopIfTrue="1" operator="between">
      <formula>"Check"</formula>
      <formula>"Check"</formula>
    </cfRule>
  </conditionalFormatting>
  <conditionalFormatting sqref="R1928">
    <cfRule type="cellIs" dxfId="1" priority="1919" stopIfTrue="1" operator="between">
      <formula>"Check"</formula>
      <formula>"Check"</formula>
    </cfRule>
  </conditionalFormatting>
  <conditionalFormatting sqref="R1929">
    <cfRule type="cellIs" dxfId="1" priority="1920" stopIfTrue="1" operator="between">
      <formula>"Check"</formula>
      <formula>"Check"</formula>
    </cfRule>
  </conditionalFormatting>
  <conditionalFormatting sqref="R1930">
    <cfRule type="cellIs" dxfId="1" priority="1921" stopIfTrue="1" operator="between">
      <formula>"Check"</formula>
      <formula>"Check"</formula>
    </cfRule>
  </conditionalFormatting>
  <conditionalFormatting sqref="R1931">
    <cfRule type="cellIs" dxfId="1" priority="1922" stopIfTrue="1" operator="between">
      <formula>"Check"</formula>
      <formula>"Check"</formula>
    </cfRule>
  </conditionalFormatting>
  <conditionalFormatting sqref="R1932">
    <cfRule type="cellIs" dxfId="1" priority="1923" stopIfTrue="1" operator="between">
      <formula>"Check"</formula>
      <formula>"Check"</formula>
    </cfRule>
  </conditionalFormatting>
  <conditionalFormatting sqref="R1933">
    <cfRule type="cellIs" dxfId="1" priority="1924" stopIfTrue="1" operator="between">
      <formula>"Check"</formula>
      <formula>"Check"</formula>
    </cfRule>
  </conditionalFormatting>
  <conditionalFormatting sqref="R1934">
    <cfRule type="cellIs" dxfId="1" priority="1925" stopIfTrue="1" operator="between">
      <formula>"Check"</formula>
      <formula>"Check"</formula>
    </cfRule>
  </conditionalFormatting>
  <conditionalFormatting sqref="R1935">
    <cfRule type="cellIs" dxfId="1" priority="1926" stopIfTrue="1" operator="between">
      <formula>"Check"</formula>
      <formula>"Check"</formula>
    </cfRule>
  </conditionalFormatting>
  <conditionalFormatting sqref="R1936">
    <cfRule type="cellIs" dxfId="1" priority="1927" stopIfTrue="1" operator="between">
      <formula>"Check"</formula>
      <formula>"Check"</formula>
    </cfRule>
  </conditionalFormatting>
  <conditionalFormatting sqref="R1937">
    <cfRule type="cellIs" dxfId="1" priority="1928" stopIfTrue="1" operator="between">
      <formula>"Check"</formula>
      <formula>"Check"</formula>
    </cfRule>
  </conditionalFormatting>
  <conditionalFormatting sqref="R1938">
    <cfRule type="cellIs" dxfId="1" priority="1929" stopIfTrue="1" operator="between">
      <formula>"Check"</formula>
      <formula>"Check"</formula>
    </cfRule>
  </conditionalFormatting>
  <conditionalFormatting sqref="R1939">
    <cfRule type="cellIs" dxfId="1" priority="1930" stopIfTrue="1" operator="between">
      <formula>"Check"</formula>
      <formula>"Check"</formula>
    </cfRule>
  </conditionalFormatting>
  <conditionalFormatting sqref="R1940">
    <cfRule type="cellIs" dxfId="1" priority="1931" stopIfTrue="1" operator="between">
      <formula>"Check"</formula>
      <formula>"Check"</formula>
    </cfRule>
  </conditionalFormatting>
  <conditionalFormatting sqref="R1941">
    <cfRule type="cellIs" dxfId="1" priority="1932" stopIfTrue="1" operator="between">
      <formula>"Check"</formula>
      <formula>"Check"</formula>
    </cfRule>
  </conditionalFormatting>
  <conditionalFormatting sqref="R1942">
    <cfRule type="cellIs" dxfId="1" priority="1933" stopIfTrue="1" operator="between">
      <formula>"Check"</formula>
      <formula>"Check"</formula>
    </cfRule>
  </conditionalFormatting>
  <conditionalFormatting sqref="R1943">
    <cfRule type="cellIs" dxfId="1" priority="1934" stopIfTrue="1" operator="between">
      <formula>"Check"</formula>
      <formula>"Check"</formula>
    </cfRule>
  </conditionalFormatting>
  <conditionalFormatting sqref="R1944">
    <cfRule type="cellIs" dxfId="1" priority="1935" stopIfTrue="1" operator="between">
      <formula>"Check"</formula>
      <formula>"Check"</formula>
    </cfRule>
  </conditionalFormatting>
  <conditionalFormatting sqref="R1945">
    <cfRule type="cellIs" dxfId="1" priority="1936" stopIfTrue="1" operator="between">
      <formula>"Check"</formula>
      <formula>"Check"</formula>
    </cfRule>
  </conditionalFormatting>
  <conditionalFormatting sqref="R1946">
    <cfRule type="cellIs" dxfId="1" priority="1937" stopIfTrue="1" operator="between">
      <formula>"Check"</formula>
      <formula>"Check"</formula>
    </cfRule>
  </conditionalFormatting>
  <conditionalFormatting sqref="R1947">
    <cfRule type="cellIs" dxfId="1" priority="1938" stopIfTrue="1" operator="between">
      <formula>"Check"</formula>
      <formula>"Check"</formula>
    </cfRule>
  </conditionalFormatting>
  <conditionalFormatting sqref="R1948">
    <cfRule type="cellIs" dxfId="1" priority="1939" stopIfTrue="1" operator="between">
      <formula>"Check"</formula>
      <formula>"Check"</formula>
    </cfRule>
  </conditionalFormatting>
  <conditionalFormatting sqref="R1949">
    <cfRule type="cellIs" dxfId="1" priority="1940" stopIfTrue="1" operator="between">
      <formula>"Check"</formula>
      <formula>"Check"</formula>
    </cfRule>
  </conditionalFormatting>
  <conditionalFormatting sqref="R1950">
    <cfRule type="cellIs" dxfId="1" priority="1941" stopIfTrue="1" operator="between">
      <formula>"Check"</formula>
      <formula>"Check"</formula>
    </cfRule>
  </conditionalFormatting>
  <conditionalFormatting sqref="R1951">
    <cfRule type="cellIs" dxfId="1" priority="1942" stopIfTrue="1" operator="between">
      <formula>"Check"</formula>
      <formula>"Check"</formula>
    </cfRule>
  </conditionalFormatting>
  <conditionalFormatting sqref="R1952">
    <cfRule type="cellIs" dxfId="1" priority="1943" stopIfTrue="1" operator="between">
      <formula>"Check"</formula>
      <formula>"Check"</formula>
    </cfRule>
  </conditionalFormatting>
  <conditionalFormatting sqref="R1953">
    <cfRule type="cellIs" dxfId="1" priority="1944" stopIfTrue="1" operator="between">
      <formula>"Check"</formula>
      <formula>"Check"</formula>
    </cfRule>
  </conditionalFormatting>
  <conditionalFormatting sqref="R1954">
    <cfRule type="cellIs" dxfId="1" priority="1945" stopIfTrue="1" operator="between">
      <formula>"Check"</formula>
      <formula>"Check"</formula>
    </cfRule>
  </conditionalFormatting>
  <conditionalFormatting sqref="R1955">
    <cfRule type="cellIs" dxfId="1" priority="1946" stopIfTrue="1" operator="between">
      <formula>"Check"</formula>
      <formula>"Check"</formula>
    </cfRule>
  </conditionalFormatting>
  <conditionalFormatting sqref="R1956">
    <cfRule type="cellIs" dxfId="1" priority="1947" stopIfTrue="1" operator="between">
      <formula>"Check"</formula>
      <formula>"Check"</formula>
    </cfRule>
  </conditionalFormatting>
  <conditionalFormatting sqref="R1957">
    <cfRule type="cellIs" dxfId="1" priority="1948" stopIfTrue="1" operator="between">
      <formula>"Check"</formula>
      <formula>"Check"</formula>
    </cfRule>
  </conditionalFormatting>
  <conditionalFormatting sqref="R1958">
    <cfRule type="cellIs" dxfId="1" priority="1949" stopIfTrue="1" operator="between">
      <formula>"Check"</formula>
      <formula>"Check"</formula>
    </cfRule>
  </conditionalFormatting>
  <conditionalFormatting sqref="R1959">
    <cfRule type="cellIs" dxfId="1" priority="1950" stopIfTrue="1" operator="between">
      <formula>"Check"</formula>
      <formula>"Check"</formula>
    </cfRule>
  </conditionalFormatting>
  <conditionalFormatting sqref="R1960">
    <cfRule type="cellIs" dxfId="1" priority="1951" stopIfTrue="1" operator="between">
      <formula>"Check"</formula>
      <formula>"Check"</formula>
    </cfRule>
  </conditionalFormatting>
  <conditionalFormatting sqref="R1961">
    <cfRule type="cellIs" dxfId="1" priority="1952" stopIfTrue="1" operator="between">
      <formula>"Check"</formula>
      <formula>"Check"</formula>
    </cfRule>
  </conditionalFormatting>
  <conditionalFormatting sqref="R1962">
    <cfRule type="cellIs" dxfId="1" priority="1953" stopIfTrue="1" operator="between">
      <formula>"Check"</formula>
      <formula>"Check"</formula>
    </cfRule>
  </conditionalFormatting>
  <conditionalFormatting sqref="R1963">
    <cfRule type="cellIs" dxfId="1" priority="1954" stopIfTrue="1" operator="between">
      <formula>"Check"</formula>
      <formula>"Check"</formula>
    </cfRule>
  </conditionalFormatting>
  <conditionalFormatting sqref="R1964">
    <cfRule type="cellIs" dxfId="1" priority="1955" stopIfTrue="1" operator="between">
      <formula>"Check"</formula>
      <formula>"Check"</formula>
    </cfRule>
  </conditionalFormatting>
  <conditionalFormatting sqref="R1965">
    <cfRule type="cellIs" dxfId="1" priority="1956" stopIfTrue="1" operator="between">
      <formula>"Check"</formula>
      <formula>"Check"</formula>
    </cfRule>
  </conditionalFormatting>
  <conditionalFormatting sqref="R1966">
    <cfRule type="cellIs" dxfId="1" priority="1957" stopIfTrue="1" operator="between">
      <formula>"Check"</formula>
      <formula>"Check"</formula>
    </cfRule>
  </conditionalFormatting>
  <conditionalFormatting sqref="R1967">
    <cfRule type="cellIs" dxfId="1" priority="1958" stopIfTrue="1" operator="between">
      <formula>"Check"</formula>
      <formula>"Check"</formula>
    </cfRule>
  </conditionalFormatting>
  <conditionalFormatting sqref="R1968">
    <cfRule type="cellIs" dxfId="1" priority="1959" stopIfTrue="1" operator="between">
      <formula>"Check"</formula>
      <formula>"Check"</formula>
    </cfRule>
  </conditionalFormatting>
  <conditionalFormatting sqref="R1969">
    <cfRule type="cellIs" dxfId="1" priority="1960" stopIfTrue="1" operator="between">
      <formula>"Check"</formula>
      <formula>"Check"</formula>
    </cfRule>
  </conditionalFormatting>
  <conditionalFormatting sqref="R1970">
    <cfRule type="cellIs" dxfId="1" priority="1961" stopIfTrue="1" operator="between">
      <formula>"Check"</formula>
      <formula>"Check"</formula>
    </cfRule>
  </conditionalFormatting>
  <conditionalFormatting sqref="R1971">
    <cfRule type="cellIs" dxfId="1" priority="1962" stopIfTrue="1" operator="between">
      <formula>"Check"</formula>
      <formula>"Check"</formula>
    </cfRule>
  </conditionalFormatting>
  <conditionalFormatting sqref="R1972">
    <cfRule type="cellIs" dxfId="1" priority="1963" stopIfTrue="1" operator="between">
      <formula>"Check"</formula>
      <formula>"Check"</formula>
    </cfRule>
  </conditionalFormatting>
  <conditionalFormatting sqref="R1973">
    <cfRule type="cellIs" dxfId="1" priority="1964" stopIfTrue="1" operator="between">
      <formula>"Check"</formula>
      <formula>"Check"</formula>
    </cfRule>
  </conditionalFormatting>
  <conditionalFormatting sqref="R1974">
    <cfRule type="cellIs" dxfId="1" priority="1965" stopIfTrue="1" operator="between">
      <formula>"Check"</formula>
      <formula>"Check"</formula>
    </cfRule>
  </conditionalFormatting>
  <conditionalFormatting sqref="R1975">
    <cfRule type="cellIs" dxfId="1" priority="1966" stopIfTrue="1" operator="between">
      <formula>"Check"</formula>
      <formula>"Check"</formula>
    </cfRule>
  </conditionalFormatting>
  <conditionalFormatting sqref="R1976">
    <cfRule type="cellIs" dxfId="1" priority="1967" stopIfTrue="1" operator="between">
      <formula>"Check"</formula>
      <formula>"Check"</formula>
    </cfRule>
  </conditionalFormatting>
  <conditionalFormatting sqref="R1977">
    <cfRule type="cellIs" dxfId="1" priority="1968" stopIfTrue="1" operator="between">
      <formula>"Check"</formula>
      <formula>"Check"</formula>
    </cfRule>
  </conditionalFormatting>
  <conditionalFormatting sqref="R1978">
    <cfRule type="cellIs" dxfId="1" priority="1969" stopIfTrue="1" operator="between">
      <formula>"Check"</formula>
      <formula>"Check"</formula>
    </cfRule>
  </conditionalFormatting>
  <conditionalFormatting sqref="R1979">
    <cfRule type="cellIs" dxfId="1" priority="1970" stopIfTrue="1" operator="between">
      <formula>"Check"</formula>
      <formula>"Check"</formula>
    </cfRule>
  </conditionalFormatting>
  <conditionalFormatting sqref="R1980">
    <cfRule type="cellIs" dxfId="1" priority="1971" stopIfTrue="1" operator="between">
      <formula>"Check"</formula>
      <formula>"Check"</formula>
    </cfRule>
  </conditionalFormatting>
  <conditionalFormatting sqref="R1981">
    <cfRule type="cellIs" dxfId="1" priority="1972" stopIfTrue="1" operator="between">
      <formula>"Check"</formula>
      <formula>"Check"</formula>
    </cfRule>
  </conditionalFormatting>
  <conditionalFormatting sqref="R1982">
    <cfRule type="cellIs" dxfId="1" priority="1973" stopIfTrue="1" operator="between">
      <formula>"Check"</formula>
      <formula>"Check"</formula>
    </cfRule>
  </conditionalFormatting>
  <conditionalFormatting sqref="R1983">
    <cfRule type="cellIs" dxfId="1" priority="1974" stopIfTrue="1" operator="between">
      <formula>"Check"</formula>
      <formula>"Check"</formula>
    </cfRule>
  </conditionalFormatting>
  <conditionalFormatting sqref="R1984">
    <cfRule type="cellIs" dxfId="1" priority="1975" stopIfTrue="1" operator="between">
      <formula>"Check"</formula>
      <formula>"Check"</formula>
    </cfRule>
  </conditionalFormatting>
  <conditionalFormatting sqref="R1985">
    <cfRule type="cellIs" dxfId="1" priority="1976" stopIfTrue="1" operator="between">
      <formula>"Check"</formula>
      <formula>"Check"</formula>
    </cfRule>
  </conditionalFormatting>
  <conditionalFormatting sqref="R1986">
    <cfRule type="cellIs" dxfId="1" priority="1977" stopIfTrue="1" operator="between">
      <formula>"Check"</formula>
      <formula>"Check"</formula>
    </cfRule>
  </conditionalFormatting>
  <conditionalFormatting sqref="R1987">
    <cfRule type="cellIs" dxfId="1" priority="1978" stopIfTrue="1" operator="between">
      <formula>"Check"</formula>
      <formula>"Check"</formula>
    </cfRule>
  </conditionalFormatting>
  <conditionalFormatting sqref="R1988">
    <cfRule type="cellIs" dxfId="1" priority="1979" stopIfTrue="1" operator="between">
      <formula>"Check"</formula>
      <formula>"Check"</formula>
    </cfRule>
  </conditionalFormatting>
  <conditionalFormatting sqref="R1989">
    <cfRule type="cellIs" dxfId="1" priority="1980" stopIfTrue="1" operator="between">
      <formula>"Check"</formula>
      <formula>"Check"</formula>
    </cfRule>
  </conditionalFormatting>
  <conditionalFormatting sqref="R1990">
    <cfRule type="cellIs" dxfId="1" priority="1981" stopIfTrue="1" operator="between">
      <formula>"Check"</formula>
      <formula>"Check"</formula>
    </cfRule>
  </conditionalFormatting>
  <conditionalFormatting sqref="R1991">
    <cfRule type="cellIs" dxfId="1" priority="1982" stopIfTrue="1" operator="between">
      <formula>"Check"</formula>
      <formula>"Check"</formula>
    </cfRule>
  </conditionalFormatting>
  <conditionalFormatting sqref="R1992">
    <cfRule type="cellIs" dxfId="1" priority="1983" stopIfTrue="1" operator="between">
      <formula>"Check"</formula>
      <formula>"Check"</formula>
    </cfRule>
  </conditionalFormatting>
  <conditionalFormatting sqref="R1993">
    <cfRule type="cellIs" dxfId="1" priority="1984" stopIfTrue="1" operator="between">
      <formula>"Check"</formula>
      <formula>"Check"</formula>
    </cfRule>
  </conditionalFormatting>
  <conditionalFormatting sqref="R1994">
    <cfRule type="cellIs" dxfId="1" priority="1985" stopIfTrue="1" operator="between">
      <formula>"Check"</formula>
      <formula>"Check"</formula>
    </cfRule>
  </conditionalFormatting>
  <conditionalFormatting sqref="R1995">
    <cfRule type="cellIs" dxfId="1" priority="1986" stopIfTrue="1" operator="between">
      <formula>"Check"</formula>
      <formula>"Check"</formula>
    </cfRule>
  </conditionalFormatting>
  <conditionalFormatting sqref="R1996">
    <cfRule type="cellIs" dxfId="1" priority="1987" stopIfTrue="1" operator="between">
      <formula>"Check"</formula>
      <formula>"Check"</formula>
    </cfRule>
  </conditionalFormatting>
  <conditionalFormatting sqref="R1997">
    <cfRule type="cellIs" dxfId="1" priority="1988" stopIfTrue="1" operator="between">
      <formula>"Check"</formula>
      <formula>"Check"</formula>
    </cfRule>
  </conditionalFormatting>
  <conditionalFormatting sqref="R1998">
    <cfRule type="cellIs" dxfId="1" priority="1989" stopIfTrue="1" operator="between">
      <formula>"Check"</formula>
      <formula>"Check"</formula>
    </cfRule>
  </conditionalFormatting>
  <conditionalFormatting sqref="R1999">
    <cfRule type="cellIs" dxfId="1" priority="1990" stopIfTrue="1" operator="between">
      <formula>"Check"</formula>
      <formula>"Check"</formula>
    </cfRule>
  </conditionalFormatting>
  <conditionalFormatting sqref="R2000">
    <cfRule type="cellIs" dxfId="1" priority="1991" stopIfTrue="1" operator="between">
      <formula>"Check"</formula>
      <formula>"Check"</formula>
    </cfRule>
  </conditionalFormatting>
  <conditionalFormatting sqref="R2001">
    <cfRule type="cellIs" dxfId="1" priority="1992" stopIfTrue="1" operator="between">
      <formula>"Check"</formula>
      <formula>"Check"</formula>
    </cfRule>
  </conditionalFormatting>
  <conditionalFormatting sqref="R2002">
    <cfRule type="cellIs" dxfId="1" priority="1993" stopIfTrue="1" operator="between">
      <formula>"Check"</formula>
      <formula>"Check"</formula>
    </cfRule>
  </conditionalFormatting>
  <conditionalFormatting sqref="R2003">
    <cfRule type="cellIs" dxfId="1" priority="1994" stopIfTrue="1" operator="between">
      <formula>"Check"</formula>
      <formula>"Check"</formula>
    </cfRule>
  </conditionalFormatting>
  <conditionalFormatting sqref="R2004">
    <cfRule type="cellIs" dxfId="1" priority="1995" stopIfTrue="1" operator="between">
      <formula>"Check"</formula>
      <formula>"Check"</formula>
    </cfRule>
  </conditionalFormatting>
  <conditionalFormatting sqref="R2005">
    <cfRule type="cellIs" dxfId="1" priority="1996" stopIfTrue="1" operator="between">
      <formula>"Check"</formula>
      <formula>"Check"</formula>
    </cfRule>
  </conditionalFormatting>
  <conditionalFormatting sqref="R2006">
    <cfRule type="cellIs" dxfId="1" priority="1997" stopIfTrue="1" operator="between">
      <formula>"Check"</formula>
      <formula>"Check"</formula>
    </cfRule>
  </conditionalFormatting>
  <conditionalFormatting sqref="R2007">
    <cfRule type="cellIs" dxfId="1" priority="1998" stopIfTrue="1" operator="between">
      <formula>"Check"</formula>
      <formula>"Check"</formula>
    </cfRule>
  </conditionalFormatting>
  <conditionalFormatting sqref="R2008">
    <cfRule type="cellIs" dxfId="1" priority="1999" stopIfTrue="1" operator="between">
      <formula>"Check"</formula>
      <formula>"Check"</formula>
    </cfRule>
  </conditionalFormatting>
  <conditionalFormatting sqref="R2009">
    <cfRule type="cellIs" dxfId="1" priority="2000" stopIfTrue="1" operator="between">
      <formula>"Check"</formula>
      <formula>"Check"</formula>
    </cfRule>
  </conditionalFormatting>
  <conditionalFormatting sqref="R2010">
    <cfRule type="cellIs" dxfId="1" priority="2001" stopIfTrue="1" operator="between">
      <formula>"Check"</formula>
      <formula>"Check"</formula>
    </cfRule>
  </conditionalFormatting>
  <conditionalFormatting sqref="R2011">
    <cfRule type="cellIs" dxfId="1" priority="2002" stopIfTrue="1" operator="between">
      <formula>"Check"</formula>
      <formula>"Check"</formula>
    </cfRule>
  </conditionalFormatting>
  <conditionalFormatting sqref="R2012">
    <cfRule type="cellIs" dxfId="1" priority="2003" stopIfTrue="1" operator="between">
      <formula>"Check"</formula>
      <formula>"Check"</formula>
    </cfRule>
  </conditionalFormatting>
  <conditionalFormatting sqref="R2013">
    <cfRule type="cellIs" dxfId="1" priority="2004" stopIfTrue="1" operator="between">
      <formula>"Check"</formula>
      <formula>"Check"</formula>
    </cfRule>
  </conditionalFormatting>
  <conditionalFormatting sqref="R2014">
    <cfRule type="cellIs" dxfId="1" priority="2005" stopIfTrue="1" operator="between">
      <formula>"Check"</formula>
      <formula>"Check"</formula>
    </cfRule>
  </conditionalFormatting>
  <conditionalFormatting sqref="R2015">
    <cfRule type="cellIs" dxfId="1" priority="2006" stopIfTrue="1" operator="between">
      <formula>"Check"</formula>
      <formula>"Check"</formula>
    </cfRule>
  </conditionalFormatting>
  <conditionalFormatting sqref="R2016">
    <cfRule type="cellIs" dxfId="1" priority="2007" stopIfTrue="1" operator="between">
      <formula>"Check"</formula>
      <formula>"Check"</formula>
    </cfRule>
  </conditionalFormatting>
  <conditionalFormatting sqref="R2017">
    <cfRule type="cellIs" dxfId="1" priority="2008" stopIfTrue="1" operator="between">
      <formula>"Check"</formula>
      <formula>"Check"</formula>
    </cfRule>
  </conditionalFormatting>
  <conditionalFormatting sqref="R2018">
    <cfRule type="cellIs" dxfId="1" priority="2009" stopIfTrue="1" operator="between">
      <formula>"Check"</formula>
      <formula>"Check"</formula>
    </cfRule>
  </conditionalFormatting>
  <conditionalFormatting sqref="R2019">
    <cfRule type="cellIs" dxfId="1" priority="2010" stopIfTrue="1" operator="between">
      <formula>"Check"</formula>
      <formula>"Check"</formula>
    </cfRule>
  </conditionalFormatting>
  <conditionalFormatting sqref="R2020">
    <cfRule type="cellIs" dxfId="1" priority="2011" stopIfTrue="1" operator="between">
      <formula>"Check"</formula>
      <formula>"Check"</formula>
    </cfRule>
  </conditionalFormatting>
  <conditionalFormatting sqref="R2021">
    <cfRule type="cellIs" dxfId="1" priority="2012" stopIfTrue="1" operator="between">
      <formula>"Check"</formula>
      <formula>"Check"</formula>
    </cfRule>
  </conditionalFormatting>
  <conditionalFormatting sqref="R2022">
    <cfRule type="cellIs" dxfId="1" priority="2013" stopIfTrue="1" operator="between">
      <formula>"Check"</formula>
      <formula>"Check"</formula>
    </cfRule>
  </conditionalFormatting>
  <conditionalFormatting sqref="R2023">
    <cfRule type="cellIs" dxfId="1" priority="2014" stopIfTrue="1" operator="between">
      <formula>"Check"</formula>
      <formula>"Check"</formula>
    </cfRule>
  </conditionalFormatting>
  <conditionalFormatting sqref="R2024">
    <cfRule type="cellIs" dxfId="1" priority="2015" stopIfTrue="1" operator="between">
      <formula>"Check"</formula>
      <formula>"Check"</formula>
    </cfRule>
  </conditionalFormatting>
  <conditionalFormatting sqref="R2025">
    <cfRule type="cellIs" dxfId="1" priority="2016" stopIfTrue="1" operator="between">
      <formula>"Check"</formula>
      <formula>"Check"</formula>
    </cfRule>
  </conditionalFormatting>
  <conditionalFormatting sqref="R2026">
    <cfRule type="cellIs" dxfId="1" priority="2017" stopIfTrue="1" operator="between">
      <formula>"Check"</formula>
      <formula>"Check"</formula>
    </cfRule>
  </conditionalFormatting>
  <conditionalFormatting sqref="R2027">
    <cfRule type="cellIs" dxfId="1" priority="2018" stopIfTrue="1" operator="between">
      <formula>"Check"</formula>
      <formula>"Check"</formula>
    </cfRule>
  </conditionalFormatting>
  <conditionalFormatting sqref="R2028">
    <cfRule type="cellIs" dxfId="1" priority="2019" stopIfTrue="1" operator="between">
      <formula>"Check"</formula>
      <formula>"Check"</formula>
    </cfRule>
  </conditionalFormatting>
  <conditionalFormatting sqref="R2029">
    <cfRule type="cellIs" dxfId="1" priority="2020" stopIfTrue="1" operator="between">
      <formula>"Check"</formula>
      <formula>"Check"</formula>
    </cfRule>
  </conditionalFormatting>
  <conditionalFormatting sqref="R2030">
    <cfRule type="cellIs" dxfId="1" priority="2021" stopIfTrue="1" operator="between">
      <formula>"Check"</formula>
      <formula>"Check"</formula>
    </cfRule>
  </conditionalFormatting>
  <conditionalFormatting sqref="R2031">
    <cfRule type="cellIs" dxfId="1" priority="2022" stopIfTrue="1" operator="between">
      <formula>"Check"</formula>
      <formula>"Check"</formula>
    </cfRule>
  </conditionalFormatting>
  <conditionalFormatting sqref="R2032">
    <cfRule type="cellIs" dxfId="1" priority="2023" stopIfTrue="1" operator="between">
      <formula>"Check"</formula>
      <formula>"Check"</formula>
    </cfRule>
  </conditionalFormatting>
  <conditionalFormatting sqref="R2033">
    <cfRule type="cellIs" dxfId="1" priority="2024" stopIfTrue="1" operator="between">
      <formula>"Check"</formula>
      <formula>"Check"</formula>
    </cfRule>
  </conditionalFormatting>
  <conditionalFormatting sqref="R2034">
    <cfRule type="cellIs" dxfId="1" priority="2025" stopIfTrue="1" operator="between">
      <formula>"Check"</formula>
      <formula>"Check"</formula>
    </cfRule>
  </conditionalFormatting>
  <conditionalFormatting sqref="R2035">
    <cfRule type="cellIs" dxfId="1" priority="2026" stopIfTrue="1" operator="between">
      <formula>"Check"</formula>
      <formula>"Check"</formula>
    </cfRule>
  </conditionalFormatting>
  <conditionalFormatting sqref="R2036">
    <cfRule type="cellIs" dxfId="1" priority="2027" stopIfTrue="1" operator="between">
      <formula>"Check"</formula>
      <formula>"Check"</formula>
    </cfRule>
  </conditionalFormatting>
  <conditionalFormatting sqref="R2037">
    <cfRule type="cellIs" dxfId="1" priority="2028" stopIfTrue="1" operator="between">
      <formula>"Check"</formula>
      <formula>"Check"</formula>
    </cfRule>
  </conditionalFormatting>
  <conditionalFormatting sqref="R2038">
    <cfRule type="cellIs" dxfId="1" priority="2029" stopIfTrue="1" operator="between">
      <formula>"Check"</formula>
      <formula>"Check"</formula>
    </cfRule>
  </conditionalFormatting>
  <conditionalFormatting sqref="R2039">
    <cfRule type="cellIs" dxfId="1" priority="2030" stopIfTrue="1" operator="between">
      <formula>"Check"</formula>
      <formula>"Check"</formula>
    </cfRule>
  </conditionalFormatting>
  <conditionalFormatting sqref="R2040">
    <cfRule type="cellIs" dxfId="1" priority="2031" stopIfTrue="1" operator="between">
      <formula>"Check"</formula>
      <formula>"Check"</formula>
    </cfRule>
  </conditionalFormatting>
  <conditionalFormatting sqref="R2041">
    <cfRule type="cellIs" dxfId="1" priority="2032" stopIfTrue="1" operator="between">
      <formula>"Check"</formula>
      <formula>"Check"</formula>
    </cfRule>
  </conditionalFormatting>
  <conditionalFormatting sqref="R2042">
    <cfRule type="cellIs" dxfId="1" priority="2033" stopIfTrue="1" operator="between">
      <formula>"Check"</formula>
      <formula>"Check"</formula>
    </cfRule>
  </conditionalFormatting>
  <conditionalFormatting sqref="R2043">
    <cfRule type="cellIs" dxfId="1" priority="2034" stopIfTrue="1" operator="between">
      <formula>"Check"</formula>
      <formula>"Check"</formula>
    </cfRule>
  </conditionalFormatting>
  <conditionalFormatting sqref="R2044">
    <cfRule type="cellIs" dxfId="1" priority="2035" stopIfTrue="1" operator="between">
      <formula>"Check"</formula>
      <formula>"Check"</formula>
    </cfRule>
  </conditionalFormatting>
  <conditionalFormatting sqref="R2045">
    <cfRule type="cellIs" dxfId="1" priority="2036" stopIfTrue="1" operator="between">
      <formula>"Check"</formula>
      <formula>"Check"</formula>
    </cfRule>
  </conditionalFormatting>
  <conditionalFormatting sqref="R2046">
    <cfRule type="cellIs" dxfId="1" priority="2037" stopIfTrue="1" operator="between">
      <formula>"Check"</formula>
      <formula>"Check"</formula>
    </cfRule>
  </conditionalFormatting>
  <conditionalFormatting sqref="R2047">
    <cfRule type="cellIs" dxfId="1" priority="2038" stopIfTrue="1" operator="between">
      <formula>"Check"</formula>
      <formula>"Check"</formula>
    </cfRule>
  </conditionalFormatting>
  <conditionalFormatting sqref="R2048">
    <cfRule type="cellIs" dxfId="1" priority="2039" stopIfTrue="1" operator="between">
      <formula>"Check"</formula>
      <formula>"Check"</formula>
    </cfRule>
  </conditionalFormatting>
  <conditionalFormatting sqref="R2049">
    <cfRule type="cellIs" dxfId="1" priority="2040" stopIfTrue="1" operator="between">
      <formula>"Check"</formula>
      <formula>"Check"</formula>
    </cfRule>
  </conditionalFormatting>
  <conditionalFormatting sqref="R2050">
    <cfRule type="cellIs" dxfId="1" priority="2041" stopIfTrue="1" operator="between">
      <formula>"Check"</formula>
      <formula>"Check"</formula>
    </cfRule>
  </conditionalFormatting>
  <conditionalFormatting sqref="R2051">
    <cfRule type="cellIs" dxfId="1" priority="2042" stopIfTrue="1" operator="between">
      <formula>"Check"</formula>
      <formula>"Check"</formula>
    </cfRule>
  </conditionalFormatting>
  <conditionalFormatting sqref="R2052">
    <cfRule type="cellIs" dxfId="1" priority="2043" stopIfTrue="1" operator="between">
      <formula>"Check"</formula>
      <formula>"Check"</formula>
    </cfRule>
  </conditionalFormatting>
  <conditionalFormatting sqref="R2053">
    <cfRule type="cellIs" dxfId="1" priority="2044" stopIfTrue="1" operator="between">
      <formula>"Check"</formula>
      <formula>"Check"</formula>
    </cfRule>
  </conditionalFormatting>
  <conditionalFormatting sqref="R2054">
    <cfRule type="cellIs" dxfId="1" priority="2045" stopIfTrue="1" operator="between">
      <formula>"Check"</formula>
      <formula>"Check"</formula>
    </cfRule>
  </conditionalFormatting>
  <conditionalFormatting sqref="R2055">
    <cfRule type="cellIs" dxfId="1" priority="2046" stopIfTrue="1" operator="between">
      <formula>"Check"</formula>
      <formula>"Check"</formula>
    </cfRule>
  </conditionalFormatting>
  <conditionalFormatting sqref="R2056">
    <cfRule type="cellIs" dxfId="1" priority="2047" stopIfTrue="1" operator="between">
      <formula>"Check"</formula>
      <formula>"Check"</formula>
    </cfRule>
  </conditionalFormatting>
  <conditionalFormatting sqref="R2057">
    <cfRule type="cellIs" dxfId="1" priority="2048" stopIfTrue="1" operator="between">
      <formula>"Check"</formula>
      <formula>"Check"</formula>
    </cfRule>
  </conditionalFormatting>
  <conditionalFormatting sqref="R2058">
    <cfRule type="cellIs" dxfId="1" priority="2049" stopIfTrue="1" operator="between">
      <formula>"Check"</formula>
      <formula>"Check"</formula>
    </cfRule>
  </conditionalFormatting>
  <conditionalFormatting sqref="R2059">
    <cfRule type="cellIs" dxfId="1" priority="2050" stopIfTrue="1" operator="between">
      <formula>"Check"</formula>
      <formula>"Check"</formula>
    </cfRule>
  </conditionalFormatting>
  <conditionalFormatting sqref="R2060">
    <cfRule type="cellIs" dxfId="1" priority="2051" stopIfTrue="1" operator="between">
      <formula>"Check"</formula>
      <formula>"Check"</formula>
    </cfRule>
  </conditionalFormatting>
  <conditionalFormatting sqref="R2061">
    <cfRule type="cellIs" dxfId="1" priority="2052" stopIfTrue="1" operator="between">
      <formula>"Check"</formula>
      <formula>"Check"</formula>
    </cfRule>
  </conditionalFormatting>
  <conditionalFormatting sqref="R2062">
    <cfRule type="cellIs" dxfId="1" priority="2053" stopIfTrue="1" operator="between">
      <formula>"Check"</formula>
      <formula>"Check"</formula>
    </cfRule>
  </conditionalFormatting>
  <conditionalFormatting sqref="R2063">
    <cfRule type="cellIs" dxfId="1" priority="2054" stopIfTrue="1" operator="between">
      <formula>"Check"</formula>
      <formula>"Check"</formula>
    </cfRule>
  </conditionalFormatting>
  <conditionalFormatting sqref="R2064">
    <cfRule type="cellIs" dxfId="1" priority="2055" stopIfTrue="1" operator="between">
      <formula>"Check"</formula>
      <formula>"Check"</formula>
    </cfRule>
  </conditionalFormatting>
  <conditionalFormatting sqref="R2065">
    <cfRule type="cellIs" dxfId="1" priority="2056" stopIfTrue="1" operator="between">
      <formula>"Check"</formula>
      <formula>"Check"</formula>
    </cfRule>
  </conditionalFormatting>
  <conditionalFormatting sqref="R2066">
    <cfRule type="cellIs" dxfId="1" priority="2057" stopIfTrue="1" operator="between">
      <formula>"Check"</formula>
      <formula>"Check"</formula>
    </cfRule>
  </conditionalFormatting>
  <conditionalFormatting sqref="R2067">
    <cfRule type="cellIs" dxfId="1" priority="2058" stopIfTrue="1" operator="between">
      <formula>"Check"</formula>
      <formula>"Check"</formula>
    </cfRule>
  </conditionalFormatting>
  <conditionalFormatting sqref="R2068">
    <cfRule type="cellIs" dxfId="1" priority="2059" stopIfTrue="1" operator="between">
      <formula>"Check"</formula>
      <formula>"Check"</formula>
    </cfRule>
  </conditionalFormatting>
  <conditionalFormatting sqref="R2069">
    <cfRule type="cellIs" dxfId="1" priority="2060" stopIfTrue="1" operator="between">
      <formula>"Check"</formula>
      <formula>"Check"</formula>
    </cfRule>
  </conditionalFormatting>
  <conditionalFormatting sqref="R2070">
    <cfRule type="cellIs" dxfId="1" priority="2061" stopIfTrue="1" operator="between">
      <formula>"Check"</formula>
      <formula>"Check"</formula>
    </cfRule>
  </conditionalFormatting>
  <conditionalFormatting sqref="R2071">
    <cfRule type="cellIs" dxfId="1" priority="2062" stopIfTrue="1" operator="between">
      <formula>"Check"</formula>
      <formula>"Check"</formula>
    </cfRule>
  </conditionalFormatting>
  <conditionalFormatting sqref="R2072">
    <cfRule type="cellIs" dxfId="1" priority="2063" stopIfTrue="1" operator="between">
      <formula>"Check"</formula>
      <formula>"Check"</formula>
    </cfRule>
  </conditionalFormatting>
  <conditionalFormatting sqref="R2073">
    <cfRule type="cellIs" dxfId="1" priority="2064" stopIfTrue="1" operator="between">
      <formula>"Check"</formula>
      <formula>"Check"</formula>
    </cfRule>
  </conditionalFormatting>
  <conditionalFormatting sqref="R2074">
    <cfRule type="cellIs" dxfId="1" priority="2065" stopIfTrue="1" operator="between">
      <formula>"Check"</formula>
      <formula>"Check"</formula>
    </cfRule>
  </conditionalFormatting>
  <conditionalFormatting sqref="R2075">
    <cfRule type="cellIs" dxfId="1" priority="2066" stopIfTrue="1" operator="between">
      <formula>"Check"</formula>
      <formula>"Check"</formula>
    </cfRule>
  </conditionalFormatting>
  <conditionalFormatting sqref="R2076">
    <cfRule type="cellIs" dxfId="1" priority="2067" stopIfTrue="1" operator="between">
      <formula>"Check"</formula>
      <formula>"Check"</formula>
    </cfRule>
  </conditionalFormatting>
  <conditionalFormatting sqref="R2077">
    <cfRule type="cellIs" dxfId="1" priority="2068" stopIfTrue="1" operator="between">
      <formula>"Check"</formula>
      <formula>"Check"</formula>
    </cfRule>
  </conditionalFormatting>
  <conditionalFormatting sqref="R2078">
    <cfRule type="cellIs" dxfId="1" priority="2069" stopIfTrue="1" operator="between">
      <formula>"Check"</formula>
      <formula>"Check"</formula>
    </cfRule>
  </conditionalFormatting>
  <conditionalFormatting sqref="R2079">
    <cfRule type="cellIs" dxfId="1" priority="2070" stopIfTrue="1" operator="between">
      <formula>"Check"</formula>
      <formula>"Check"</formula>
    </cfRule>
  </conditionalFormatting>
  <conditionalFormatting sqref="R2080">
    <cfRule type="cellIs" dxfId="1" priority="2071" stopIfTrue="1" operator="between">
      <formula>"Check"</formula>
      <formula>"Check"</formula>
    </cfRule>
  </conditionalFormatting>
  <conditionalFormatting sqref="R2081">
    <cfRule type="cellIs" dxfId="1" priority="2072" stopIfTrue="1" operator="between">
      <formula>"Check"</formula>
      <formula>"Check"</formula>
    </cfRule>
  </conditionalFormatting>
  <conditionalFormatting sqref="R2082">
    <cfRule type="cellIs" dxfId="1" priority="2073" stopIfTrue="1" operator="between">
      <formula>"Check"</formula>
      <formula>"Check"</formula>
    </cfRule>
  </conditionalFormatting>
  <conditionalFormatting sqref="R2083">
    <cfRule type="cellIs" dxfId="1" priority="2074" stopIfTrue="1" operator="between">
      <formula>"Check"</formula>
      <formula>"Check"</formula>
    </cfRule>
  </conditionalFormatting>
  <conditionalFormatting sqref="R2084">
    <cfRule type="cellIs" dxfId="1" priority="2075" stopIfTrue="1" operator="between">
      <formula>"Check"</formula>
      <formula>"Check"</formula>
    </cfRule>
  </conditionalFormatting>
  <conditionalFormatting sqref="R2085">
    <cfRule type="cellIs" dxfId="1" priority="2076" stopIfTrue="1" operator="between">
      <formula>"Check"</formula>
      <formula>"Check"</formula>
    </cfRule>
  </conditionalFormatting>
  <conditionalFormatting sqref="R2086">
    <cfRule type="cellIs" dxfId="1" priority="2077" stopIfTrue="1" operator="between">
      <formula>"Check"</formula>
      <formula>"Check"</formula>
    </cfRule>
  </conditionalFormatting>
  <conditionalFormatting sqref="R2087">
    <cfRule type="cellIs" dxfId="1" priority="2078" stopIfTrue="1" operator="between">
      <formula>"Check"</formula>
      <formula>"Check"</formula>
    </cfRule>
  </conditionalFormatting>
  <conditionalFormatting sqref="R2088">
    <cfRule type="cellIs" dxfId="1" priority="2079" stopIfTrue="1" operator="between">
      <formula>"Check"</formula>
      <formula>"Check"</formula>
    </cfRule>
  </conditionalFormatting>
  <conditionalFormatting sqref="R2089">
    <cfRule type="cellIs" dxfId="1" priority="2080" stopIfTrue="1" operator="between">
      <formula>"Check"</formula>
      <formula>"Check"</formula>
    </cfRule>
  </conditionalFormatting>
  <conditionalFormatting sqref="R2090">
    <cfRule type="cellIs" dxfId="1" priority="2081" stopIfTrue="1" operator="between">
      <formula>"Check"</formula>
      <formula>"Check"</formula>
    </cfRule>
  </conditionalFormatting>
  <conditionalFormatting sqref="R2091">
    <cfRule type="cellIs" dxfId="1" priority="2082" stopIfTrue="1" operator="between">
      <formula>"Check"</formula>
      <formula>"Check"</formula>
    </cfRule>
  </conditionalFormatting>
  <conditionalFormatting sqref="R2092">
    <cfRule type="cellIs" dxfId="1" priority="2083" stopIfTrue="1" operator="between">
      <formula>"Check"</formula>
      <formula>"Check"</formula>
    </cfRule>
  </conditionalFormatting>
  <conditionalFormatting sqref="R2093">
    <cfRule type="cellIs" dxfId="1" priority="2084" stopIfTrue="1" operator="between">
      <formula>"Check"</formula>
      <formula>"Check"</formula>
    </cfRule>
  </conditionalFormatting>
  <conditionalFormatting sqref="R2094">
    <cfRule type="cellIs" dxfId="1" priority="2085" stopIfTrue="1" operator="between">
      <formula>"Check"</formula>
      <formula>"Check"</formula>
    </cfRule>
  </conditionalFormatting>
  <conditionalFormatting sqref="R2095">
    <cfRule type="cellIs" dxfId="1" priority="2086" stopIfTrue="1" operator="between">
      <formula>"Check"</formula>
      <formula>"Check"</formula>
    </cfRule>
  </conditionalFormatting>
  <conditionalFormatting sqref="R2096">
    <cfRule type="cellIs" dxfId="1" priority="2087" stopIfTrue="1" operator="between">
      <formula>"Check"</formula>
      <formula>"Check"</formula>
    </cfRule>
  </conditionalFormatting>
  <conditionalFormatting sqref="R2097">
    <cfRule type="cellIs" dxfId="1" priority="2088" stopIfTrue="1" operator="between">
      <formula>"Check"</formula>
      <formula>"Check"</formula>
    </cfRule>
  </conditionalFormatting>
  <conditionalFormatting sqref="R2098">
    <cfRule type="cellIs" dxfId="1" priority="2089" stopIfTrue="1" operator="between">
      <formula>"Check"</formula>
      <formula>"Check"</formula>
    </cfRule>
  </conditionalFormatting>
  <conditionalFormatting sqref="R2099">
    <cfRule type="cellIs" dxfId="1" priority="2090" stopIfTrue="1" operator="between">
      <formula>"Check"</formula>
      <formula>"Check"</formula>
    </cfRule>
  </conditionalFormatting>
  <conditionalFormatting sqref="R2100">
    <cfRule type="cellIs" dxfId="1" priority="2091" stopIfTrue="1" operator="between">
      <formula>"Check"</formula>
      <formula>"Check"</formula>
    </cfRule>
  </conditionalFormatting>
  <conditionalFormatting sqref="R2101">
    <cfRule type="cellIs" dxfId="1" priority="2092" stopIfTrue="1" operator="between">
      <formula>"Check"</formula>
      <formula>"Check"</formula>
    </cfRule>
  </conditionalFormatting>
  <conditionalFormatting sqref="R2102">
    <cfRule type="cellIs" dxfId="1" priority="2093" stopIfTrue="1" operator="between">
      <formula>"Check"</formula>
      <formula>"Check"</formula>
    </cfRule>
  </conditionalFormatting>
  <conditionalFormatting sqref="R2103">
    <cfRule type="cellIs" dxfId="1" priority="2094" stopIfTrue="1" operator="between">
      <formula>"Check"</formula>
      <formula>"Check"</formula>
    </cfRule>
  </conditionalFormatting>
  <conditionalFormatting sqref="R2104">
    <cfRule type="cellIs" dxfId="1" priority="2095" stopIfTrue="1" operator="between">
      <formula>"Check"</formula>
      <formula>"Check"</formula>
    </cfRule>
  </conditionalFormatting>
  <conditionalFormatting sqref="R2105">
    <cfRule type="cellIs" dxfId="1" priority="2096" stopIfTrue="1" operator="between">
      <formula>"Check"</formula>
      <formula>"Check"</formula>
    </cfRule>
  </conditionalFormatting>
  <conditionalFormatting sqref="R2106">
    <cfRule type="cellIs" dxfId="1" priority="2097" stopIfTrue="1" operator="between">
      <formula>"Check"</formula>
      <formula>"Check"</formula>
    </cfRule>
  </conditionalFormatting>
  <conditionalFormatting sqref="R2107">
    <cfRule type="cellIs" dxfId="1" priority="2098" stopIfTrue="1" operator="between">
      <formula>"Check"</formula>
      <formula>"Check"</formula>
    </cfRule>
  </conditionalFormatting>
  <conditionalFormatting sqref="R2108">
    <cfRule type="cellIs" dxfId="1" priority="2099" stopIfTrue="1" operator="between">
      <formula>"Check"</formula>
      <formula>"Check"</formula>
    </cfRule>
  </conditionalFormatting>
  <conditionalFormatting sqref="R2109">
    <cfRule type="cellIs" dxfId="1" priority="2100" stopIfTrue="1" operator="between">
      <formula>"Check"</formula>
      <formula>"Check"</formula>
    </cfRule>
  </conditionalFormatting>
  <conditionalFormatting sqref="R2110">
    <cfRule type="cellIs" dxfId="1" priority="2101" stopIfTrue="1" operator="between">
      <formula>"Check"</formula>
      <formula>"Check"</formula>
    </cfRule>
  </conditionalFormatting>
  <conditionalFormatting sqref="R2111">
    <cfRule type="cellIs" dxfId="1" priority="2102" stopIfTrue="1" operator="between">
      <formula>"Check"</formula>
      <formula>"Check"</formula>
    </cfRule>
  </conditionalFormatting>
  <conditionalFormatting sqref="R2112">
    <cfRule type="cellIs" dxfId="1" priority="2103" stopIfTrue="1" operator="between">
      <formula>"Check"</formula>
      <formula>"Check"</formula>
    </cfRule>
  </conditionalFormatting>
  <conditionalFormatting sqref="R2113">
    <cfRule type="cellIs" dxfId="1" priority="2104" stopIfTrue="1" operator="between">
      <formula>"Check"</formula>
      <formula>"Check"</formula>
    </cfRule>
  </conditionalFormatting>
  <conditionalFormatting sqref="R2114">
    <cfRule type="cellIs" dxfId="1" priority="2105" stopIfTrue="1" operator="between">
      <formula>"Check"</formula>
      <formula>"Check"</formula>
    </cfRule>
  </conditionalFormatting>
  <conditionalFormatting sqref="R2115">
    <cfRule type="cellIs" dxfId="1" priority="2106" stopIfTrue="1" operator="between">
      <formula>"Check"</formula>
      <formula>"Check"</formula>
    </cfRule>
  </conditionalFormatting>
  <conditionalFormatting sqref="R2116">
    <cfRule type="cellIs" dxfId="1" priority="2107" stopIfTrue="1" operator="between">
      <formula>"Check"</formula>
      <formula>"Check"</formula>
    </cfRule>
  </conditionalFormatting>
  <conditionalFormatting sqref="R2117">
    <cfRule type="cellIs" dxfId="1" priority="2108" stopIfTrue="1" operator="between">
      <formula>"Check"</formula>
      <formula>"Check"</formula>
    </cfRule>
  </conditionalFormatting>
  <conditionalFormatting sqref="R2118">
    <cfRule type="cellIs" dxfId="1" priority="2109" stopIfTrue="1" operator="between">
      <formula>"Check"</formula>
      <formula>"Check"</formula>
    </cfRule>
  </conditionalFormatting>
  <conditionalFormatting sqref="R2119">
    <cfRule type="cellIs" dxfId="1" priority="2110" stopIfTrue="1" operator="between">
      <formula>"Check"</formula>
      <formula>"Check"</formula>
    </cfRule>
  </conditionalFormatting>
  <conditionalFormatting sqref="R2120">
    <cfRule type="cellIs" dxfId="1" priority="2111" stopIfTrue="1" operator="between">
      <formula>"Check"</formula>
      <formula>"Check"</formula>
    </cfRule>
  </conditionalFormatting>
  <conditionalFormatting sqref="R2121">
    <cfRule type="cellIs" dxfId="1" priority="2112" stopIfTrue="1" operator="between">
      <formula>"Check"</formula>
      <formula>"Check"</formula>
    </cfRule>
  </conditionalFormatting>
  <conditionalFormatting sqref="R2122">
    <cfRule type="cellIs" dxfId="1" priority="2113" stopIfTrue="1" operator="between">
      <formula>"Check"</formula>
      <formula>"Check"</formula>
    </cfRule>
  </conditionalFormatting>
  <conditionalFormatting sqref="R2123">
    <cfRule type="cellIs" dxfId="1" priority="2114" stopIfTrue="1" operator="between">
      <formula>"Check"</formula>
      <formula>"Check"</formula>
    </cfRule>
  </conditionalFormatting>
  <conditionalFormatting sqref="R2124">
    <cfRule type="cellIs" dxfId="1" priority="2115" stopIfTrue="1" operator="between">
      <formula>"Check"</formula>
      <formula>"Check"</formula>
    </cfRule>
  </conditionalFormatting>
  <conditionalFormatting sqref="R2125">
    <cfRule type="cellIs" dxfId="1" priority="2116" stopIfTrue="1" operator="between">
      <formula>"Check"</formula>
      <formula>"Check"</formula>
    </cfRule>
  </conditionalFormatting>
  <conditionalFormatting sqref="R2126">
    <cfRule type="cellIs" dxfId="1" priority="2117" stopIfTrue="1" operator="between">
      <formula>"Check"</formula>
      <formula>"Check"</formula>
    </cfRule>
  </conditionalFormatting>
  <conditionalFormatting sqref="R2127">
    <cfRule type="cellIs" dxfId="1" priority="2118" stopIfTrue="1" operator="between">
      <formula>"Check"</formula>
      <formula>"Check"</formula>
    </cfRule>
  </conditionalFormatting>
  <conditionalFormatting sqref="R2128">
    <cfRule type="cellIs" dxfId="1" priority="2119" stopIfTrue="1" operator="between">
      <formula>"Check"</formula>
      <formula>"Check"</formula>
    </cfRule>
  </conditionalFormatting>
  <conditionalFormatting sqref="R2129">
    <cfRule type="cellIs" dxfId="1" priority="2120" stopIfTrue="1" operator="between">
      <formula>"Check"</formula>
      <formula>"Check"</formula>
    </cfRule>
  </conditionalFormatting>
  <conditionalFormatting sqref="R2130">
    <cfRule type="cellIs" dxfId="1" priority="2121" stopIfTrue="1" operator="between">
      <formula>"Check"</formula>
      <formula>"Check"</formula>
    </cfRule>
  </conditionalFormatting>
  <conditionalFormatting sqref="R2131">
    <cfRule type="cellIs" dxfId="1" priority="2122" stopIfTrue="1" operator="between">
      <formula>"Check"</formula>
      <formula>"Check"</formula>
    </cfRule>
  </conditionalFormatting>
  <conditionalFormatting sqref="R2132">
    <cfRule type="cellIs" dxfId="1" priority="2123" stopIfTrue="1" operator="between">
      <formula>"Check"</formula>
      <formula>"Check"</formula>
    </cfRule>
  </conditionalFormatting>
  <conditionalFormatting sqref="R2133">
    <cfRule type="cellIs" dxfId="1" priority="2124" stopIfTrue="1" operator="between">
      <formula>"Check"</formula>
      <formula>"Check"</formula>
    </cfRule>
  </conditionalFormatting>
  <conditionalFormatting sqref="R2134">
    <cfRule type="cellIs" dxfId="1" priority="2125" stopIfTrue="1" operator="between">
      <formula>"Check"</formula>
      <formula>"Check"</formula>
    </cfRule>
  </conditionalFormatting>
  <conditionalFormatting sqref="R2135">
    <cfRule type="cellIs" dxfId="1" priority="2126" stopIfTrue="1" operator="between">
      <formula>"Check"</formula>
      <formula>"Check"</formula>
    </cfRule>
  </conditionalFormatting>
  <conditionalFormatting sqref="R2136">
    <cfRule type="cellIs" dxfId="1" priority="2127" stopIfTrue="1" operator="between">
      <formula>"Check"</formula>
      <formula>"Check"</formula>
    </cfRule>
  </conditionalFormatting>
  <conditionalFormatting sqref="R2137">
    <cfRule type="cellIs" dxfId="1" priority="2128" stopIfTrue="1" operator="between">
      <formula>"Check"</formula>
      <formula>"Check"</formula>
    </cfRule>
  </conditionalFormatting>
  <conditionalFormatting sqref="R2138">
    <cfRule type="cellIs" dxfId="1" priority="2129" stopIfTrue="1" operator="between">
      <formula>"Check"</formula>
      <formula>"Check"</formula>
    </cfRule>
  </conditionalFormatting>
  <conditionalFormatting sqref="R2139">
    <cfRule type="cellIs" dxfId="1" priority="2130" stopIfTrue="1" operator="between">
      <formula>"Check"</formula>
      <formula>"Check"</formula>
    </cfRule>
  </conditionalFormatting>
  <conditionalFormatting sqref="R2140">
    <cfRule type="cellIs" dxfId="1" priority="2131" stopIfTrue="1" operator="between">
      <formula>"Check"</formula>
      <formula>"Check"</formula>
    </cfRule>
  </conditionalFormatting>
  <conditionalFormatting sqref="R2141">
    <cfRule type="cellIs" dxfId="1" priority="2132" stopIfTrue="1" operator="between">
      <formula>"Check"</formula>
      <formula>"Check"</formula>
    </cfRule>
  </conditionalFormatting>
  <conditionalFormatting sqref="R2142">
    <cfRule type="cellIs" dxfId="1" priority="2133" stopIfTrue="1" operator="between">
      <formula>"Check"</formula>
      <formula>"Check"</formula>
    </cfRule>
  </conditionalFormatting>
  <conditionalFormatting sqref="R2143">
    <cfRule type="cellIs" dxfId="1" priority="2134" stopIfTrue="1" operator="between">
      <formula>"Check"</formula>
      <formula>"Check"</formula>
    </cfRule>
  </conditionalFormatting>
  <conditionalFormatting sqref="R2144">
    <cfRule type="cellIs" dxfId="1" priority="2135" stopIfTrue="1" operator="between">
      <formula>"Check"</formula>
      <formula>"Check"</formula>
    </cfRule>
  </conditionalFormatting>
  <conditionalFormatting sqref="R2145">
    <cfRule type="cellIs" dxfId="1" priority="2136" stopIfTrue="1" operator="between">
      <formula>"Check"</formula>
      <formula>"Check"</formula>
    </cfRule>
  </conditionalFormatting>
  <conditionalFormatting sqref="R2146">
    <cfRule type="cellIs" dxfId="1" priority="2137" stopIfTrue="1" operator="between">
      <formula>"Check"</formula>
      <formula>"Check"</formula>
    </cfRule>
  </conditionalFormatting>
  <conditionalFormatting sqref="R2147">
    <cfRule type="cellIs" dxfId="1" priority="2138" stopIfTrue="1" operator="between">
      <formula>"Check"</formula>
      <formula>"Check"</formula>
    </cfRule>
  </conditionalFormatting>
  <conditionalFormatting sqref="R2148">
    <cfRule type="cellIs" dxfId="1" priority="2139" stopIfTrue="1" operator="between">
      <formula>"Check"</formula>
      <formula>"Check"</formula>
    </cfRule>
  </conditionalFormatting>
  <conditionalFormatting sqref="R2149">
    <cfRule type="cellIs" dxfId="1" priority="2140" stopIfTrue="1" operator="between">
      <formula>"Check"</formula>
      <formula>"Check"</formula>
    </cfRule>
  </conditionalFormatting>
  <conditionalFormatting sqref="R2150">
    <cfRule type="cellIs" dxfId="1" priority="2141" stopIfTrue="1" operator="between">
      <formula>"Check"</formula>
      <formula>"Check"</formula>
    </cfRule>
  </conditionalFormatting>
  <conditionalFormatting sqref="R2151">
    <cfRule type="cellIs" dxfId="1" priority="2142" stopIfTrue="1" operator="between">
      <formula>"Check"</formula>
      <formula>"Check"</formula>
    </cfRule>
  </conditionalFormatting>
  <conditionalFormatting sqref="R2152">
    <cfRule type="cellIs" dxfId="1" priority="2143" stopIfTrue="1" operator="between">
      <formula>"Check"</formula>
      <formula>"Check"</formula>
    </cfRule>
  </conditionalFormatting>
  <conditionalFormatting sqref="R2153">
    <cfRule type="cellIs" dxfId="1" priority="2144" stopIfTrue="1" operator="between">
      <formula>"Check"</formula>
      <formula>"Check"</formula>
    </cfRule>
  </conditionalFormatting>
  <conditionalFormatting sqref="R2154">
    <cfRule type="cellIs" dxfId="1" priority="2145" stopIfTrue="1" operator="between">
      <formula>"Check"</formula>
      <formula>"Check"</formula>
    </cfRule>
  </conditionalFormatting>
  <conditionalFormatting sqref="R2155">
    <cfRule type="cellIs" dxfId="1" priority="2146" stopIfTrue="1" operator="between">
      <formula>"Check"</formula>
      <formula>"Check"</formula>
    </cfRule>
  </conditionalFormatting>
  <conditionalFormatting sqref="R2156">
    <cfRule type="cellIs" dxfId="1" priority="2147" stopIfTrue="1" operator="between">
      <formula>"Check"</formula>
      <formula>"Check"</formula>
    </cfRule>
  </conditionalFormatting>
  <conditionalFormatting sqref="R2157">
    <cfRule type="cellIs" dxfId="1" priority="2148" stopIfTrue="1" operator="between">
      <formula>"Check"</formula>
      <formula>"Check"</formula>
    </cfRule>
  </conditionalFormatting>
  <conditionalFormatting sqref="R2158">
    <cfRule type="cellIs" dxfId="1" priority="2149" stopIfTrue="1" operator="between">
      <formula>"Check"</formula>
      <formula>"Check"</formula>
    </cfRule>
  </conditionalFormatting>
  <conditionalFormatting sqref="R2159">
    <cfRule type="cellIs" dxfId="1" priority="2150" stopIfTrue="1" operator="between">
      <formula>"Check"</formula>
      <formula>"Check"</formula>
    </cfRule>
  </conditionalFormatting>
  <conditionalFormatting sqref="R2160">
    <cfRule type="cellIs" dxfId="1" priority="2151" stopIfTrue="1" operator="between">
      <formula>"Check"</formula>
      <formula>"Check"</formula>
    </cfRule>
  </conditionalFormatting>
  <conditionalFormatting sqref="R2161">
    <cfRule type="cellIs" dxfId="1" priority="2152" stopIfTrue="1" operator="between">
      <formula>"Check"</formula>
      <formula>"Check"</formula>
    </cfRule>
  </conditionalFormatting>
  <conditionalFormatting sqref="R2162">
    <cfRule type="cellIs" dxfId="1" priority="2153" stopIfTrue="1" operator="between">
      <formula>"Check"</formula>
      <formula>"Check"</formula>
    </cfRule>
  </conditionalFormatting>
  <conditionalFormatting sqref="R2163">
    <cfRule type="cellIs" dxfId="1" priority="2154" stopIfTrue="1" operator="between">
      <formula>"Check"</formula>
      <formula>"Check"</formula>
    </cfRule>
  </conditionalFormatting>
  <conditionalFormatting sqref="R2164">
    <cfRule type="cellIs" dxfId="1" priority="2155" stopIfTrue="1" operator="between">
      <formula>"Check"</formula>
      <formula>"Check"</formula>
    </cfRule>
  </conditionalFormatting>
  <conditionalFormatting sqref="R2165">
    <cfRule type="cellIs" dxfId="1" priority="2156" stopIfTrue="1" operator="between">
      <formula>"Check"</formula>
      <formula>"Check"</formula>
    </cfRule>
  </conditionalFormatting>
  <conditionalFormatting sqref="R2166">
    <cfRule type="cellIs" dxfId="1" priority="2157" stopIfTrue="1" operator="between">
      <formula>"Check"</formula>
      <formula>"Check"</formula>
    </cfRule>
  </conditionalFormatting>
  <conditionalFormatting sqref="R2167">
    <cfRule type="cellIs" dxfId="1" priority="2158" stopIfTrue="1" operator="between">
      <formula>"Check"</formula>
      <formula>"Check"</formula>
    </cfRule>
  </conditionalFormatting>
  <conditionalFormatting sqref="R2168">
    <cfRule type="cellIs" dxfId="1" priority="2159" stopIfTrue="1" operator="between">
      <formula>"Check"</formula>
      <formula>"Check"</formula>
    </cfRule>
  </conditionalFormatting>
  <conditionalFormatting sqref="R2169">
    <cfRule type="cellIs" dxfId="1" priority="2160" stopIfTrue="1" operator="between">
      <formula>"Check"</formula>
      <formula>"Check"</formula>
    </cfRule>
  </conditionalFormatting>
  <conditionalFormatting sqref="R2170">
    <cfRule type="cellIs" dxfId="1" priority="2161" stopIfTrue="1" operator="between">
      <formula>"Check"</formula>
      <formula>"Check"</formula>
    </cfRule>
  </conditionalFormatting>
  <conditionalFormatting sqref="R2171">
    <cfRule type="cellIs" dxfId="1" priority="2162" stopIfTrue="1" operator="between">
      <formula>"Check"</formula>
      <formula>"Check"</formula>
    </cfRule>
  </conditionalFormatting>
  <conditionalFormatting sqref="R2172">
    <cfRule type="cellIs" dxfId="1" priority="2163" stopIfTrue="1" operator="between">
      <formula>"Check"</formula>
      <formula>"Check"</formula>
    </cfRule>
  </conditionalFormatting>
  <conditionalFormatting sqref="R2173">
    <cfRule type="cellIs" dxfId="1" priority="2164" stopIfTrue="1" operator="between">
      <formula>"Check"</formula>
      <formula>"Check"</formula>
    </cfRule>
  </conditionalFormatting>
  <conditionalFormatting sqref="R2174">
    <cfRule type="cellIs" dxfId="1" priority="2165" stopIfTrue="1" operator="between">
      <formula>"Check"</formula>
      <formula>"Check"</formula>
    </cfRule>
  </conditionalFormatting>
  <conditionalFormatting sqref="R2175">
    <cfRule type="cellIs" dxfId="1" priority="2166" stopIfTrue="1" operator="between">
      <formula>"Check"</formula>
      <formula>"Check"</formula>
    </cfRule>
  </conditionalFormatting>
  <conditionalFormatting sqref="R2176">
    <cfRule type="cellIs" dxfId="1" priority="2167" stopIfTrue="1" operator="between">
      <formula>"Check"</formula>
      <formula>"Check"</formula>
    </cfRule>
  </conditionalFormatting>
  <conditionalFormatting sqref="R2177">
    <cfRule type="cellIs" dxfId="1" priority="2168" stopIfTrue="1" operator="between">
      <formula>"Check"</formula>
      <formula>"Check"</formula>
    </cfRule>
  </conditionalFormatting>
  <conditionalFormatting sqref="R2178">
    <cfRule type="cellIs" dxfId="1" priority="2169" stopIfTrue="1" operator="between">
      <formula>"Check"</formula>
      <formula>"Check"</formula>
    </cfRule>
  </conditionalFormatting>
  <conditionalFormatting sqref="R2179">
    <cfRule type="cellIs" dxfId="1" priority="2170" stopIfTrue="1" operator="between">
      <formula>"Check"</formula>
      <formula>"Check"</formula>
    </cfRule>
  </conditionalFormatting>
  <conditionalFormatting sqref="R2180">
    <cfRule type="cellIs" dxfId="1" priority="2171" stopIfTrue="1" operator="between">
      <formula>"Check"</formula>
      <formula>"Check"</formula>
    </cfRule>
  </conditionalFormatting>
  <conditionalFormatting sqref="R2181">
    <cfRule type="cellIs" dxfId="1" priority="2172" stopIfTrue="1" operator="between">
      <formula>"Check"</formula>
      <formula>"Check"</formula>
    </cfRule>
  </conditionalFormatting>
  <conditionalFormatting sqref="R2182">
    <cfRule type="cellIs" dxfId="1" priority="2173" stopIfTrue="1" operator="between">
      <formula>"Check"</formula>
      <formula>"Check"</formula>
    </cfRule>
  </conditionalFormatting>
  <conditionalFormatting sqref="R2183">
    <cfRule type="cellIs" dxfId="1" priority="2174" stopIfTrue="1" operator="between">
      <formula>"Check"</formula>
      <formula>"Check"</formula>
    </cfRule>
  </conditionalFormatting>
  <conditionalFormatting sqref="R2184">
    <cfRule type="cellIs" dxfId="1" priority="2175" stopIfTrue="1" operator="between">
      <formula>"Check"</formula>
      <formula>"Check"</formula>
    </cfRule>
  </conditionalFormatting>
  <conditionalFormatting sqref="R2185">
    <cfRule type="cellIs" dxfId="1" priority="2176" stopIfTrue="1" operator="between">
      <formula>"Check"</formula>
      <formula>"Check"</formula>
    </cfRule>
  </conditionalFormatting>
  <conditionalFormatting sqref="R2186">
    <cfRule type="cellIs" dxfId="1" priority="2177" stopIfTrue="1" operator="between">
      <formula>"Check"</formula>
      <formula>"Check"</formula>
    </cfRule>
  </conditionalFormatting>
  <conditionalFormatting sqref="R2187">
    <cfRule type="cellIs" dxfId="1" priority="2178" stopIfTrue="1" operator="between">
      <formula>"Check"</formula>
      <formula>"Check"</formula>
    </cfRule>
  </conditionalFormatting>
  <conditionalFormatting sqref="R2188">
    <cfRule type="cellIs" dxfId="1" priority="2179" stopIfTrue="1" operator="between">
      <formula>"Check"</formula>
      <formula>"Check"</formula>
    </cfRule>
  </conditionalFormatting>
  <conditionalFormatting sqref="R2189">
    <cfRule type="cellIs" dxfId="1" priority="2180" stopIfTrue="1" operator="between">
      <formula>"Check"</formula>
      <formula>"Check"</formula>
    </cfRule>
  </conditionalFormatting>
  <conditionalFormatting sqref="R2190">
    <cfRule type="cellIs" dxfId="1" priority="2181" stopIfTrue="1" operator="between">
      <formula>"Check"</formula>
      <formula>"Check"</formula>
    </cfRule>
  </conditionalFormatting>
  <conditionalFormatting sqref="R2191">
    <cfRule type="cellIs" dxfId="1" priority="2182" stopIfTrue="1" operator="between">
      <formula>"Check"</formula>
      <formula>"Check"</formula>
    </cfRule>
  </conditionalFormatting>
  <conditionalFormatting sqref="R2192">
    <cfRule type="cellIs" dxfId="1" priority="2183" stopIfTrue="1" operator="between">
      <formula>"Check"</formula>
      <formula>"Check"</formula>
    </cfRule>
  </conditionalFormatting>
  <conditionalFormatting sqref="R2193">
    <cfRule type="cellIs" dxfId="1" priority="2184" stopIfTrue="1" operator="between">
      <formula>"Check"</formula>
      <formula>"Check"</formula>
    </cfRule>
  </conditionalFormatting>
  <conditionalFormatting sqref="R2194">
    <cfRule type="cellIs" dxfId="1" priority="2185" stopIfTrue="1" operator="between">
      <formula>"Check"</formula>
      <formula>"Check"</formula>
    </cfRule>
  </conditionalFormatting>
  <conditionalFormatting sqref="R2195">
    <cfRule type="cellIs" dxfId="1" priority="2186" stopIfTrue="1" operator="between">
      <formula>"Check"</formula>
      <formula>"Check"</formula>
    </cfRule>
  </conditionalFormatting>
  <conditionalFormatting sqref="R2196">
    <cfRule type="cellIs" dxfId="1" priority="2187" stopIfTrue="1" operator="between">
      <formula>"Check"</formula>
      <formula>"Check"</formula>
    </cfRule>
  </conditionalFormatting>
  <conditionalFormatting sqref="R2197">
    <cfRule type="cellIs" dxfId="1" priority="2188" stopIfTrue="1" operator="between">
      <formula>"Check"</formula>
      <formula>"Check"</formula>
    </cfRule>
  </conditionalFormatting>
  <conditionalFormatting sqref="R2198">
    <cfRule type="cellIs" dxfId="1" priority="2189" stopIfTrue="1" operator="between">
      <formula>"Check"</formula>
      <formula>"Check"</formula>
    </cfRule>
  </conditionalFormatting>
  <conditionalFormatting sqref="R2199">
    <cfRule type="cellIs" dxfId="1" priority="2190" stopIfTrue="1" operator="between">
      <formula>"Check"</formula>
      <formula>"Check"</formula>
    </cfRule>
  </conditionalFormatting>
  <conditionalFormatting sqref="R2200">
    <cfRule type="cellIs" dxfId="1" priority="2191" stopIfTrue="1" operator="between">
      <formula>"Check"</formula>
      <formula>"Check"</formula>
    </cfRule>
  </conditionalFormatting>
  <conditionalFormatting sqref="R2201">
    <cfRule type="cellIs" dxfId="1" priority="2192" stopIfTrue="1" operator="between">
      <formula>"Check"</formula>
      <formula>"Check"</formula>
    </cfRule>
  </conditionalFormatting>
  <conditionalFormatting sqref="R2202">
    <cfRule type="cellIs" dxfId="1" priority="2193" stopIfTrue="1" operator="between">
      <formula>"Check"</formula>
      <formula>"Check"</formula>
    </cfRule>
  </conditionalFormatting>
  <conditionalFormatting sqref="R2203">
    <cfRule type="cellIs" dxfId="1" priority="2194" stopIfTrue="1" operator="between">
      <formula>"Check"</formula>
      <formula>"Check"</formula>
    </cfRule>
  </conditionalFormatting>
  <conditionalFormatting sqref="R2204">
    <cfRule type="cellIs" dxfId="1" priority="2195" stopIfTrue="1" operator="between">
      <formula>"Check"</formula>
      <formula>"Check"</formula>
    </cfRule>
  </conditionalFormatting>
  <conditionalFormatting sqref="R2205">
    <cfRule type="cellIs" dxfId="1" priority="2196" stopIfTrue="1" operator="between">
      <formula>"Check"</formula>
      <formula>"Check"</formula>
    </cfRule>
  </conditionalFormatting>
  <conditionalFormatting sqref="R2206">
    <cfRule type="cellIs" dxfId="1" priority="2197" stopIfTrue="1" operator="between">
      <formula>"Check"</formula>
      <formula>"Check"</formula>
    </cfRule>
  </conditionalFormatting>
  <conditionalFormatting sqref="R2207">
    <cfRule type="cellIs" dxfId="1" priority="2198" stopIfTrue="1" operator="between">
      <formula>"Check"</formula>
      <formula>"Check"</formula>
    </cfRule>
  </conditionalFormatting>
  <conditionalFormatting sqref="R2208">
    <cfRule type="cellIs" dxfId="1" priority="2199" stopIfTrue="1" operator="between">
      <formula>"Check"</formula>
      <formula>"Check"</formula>
    </cfRule>
  </conditionalFormatting>
  <conditionalFormatting sqref="R2209">
    <cfRule type="cellIs" dxfId="1" priority="2200" stopIfTrue="1" operator="between">
      <formula>"Check"</formula>
      <formula>"Check"</formula>
    </cfRule>
  </conditionalFormatting>
  <conditionalFormatting sqref="R2210">
    <cfRule type="cellIs" dxfId="1" priority="2201" stopIfTrue="1" operator="between">
      <formula>"Check"</formula>
      <formula>"Check"</formula>
    </cfRule>
  </conditionalFormatting>
  <conditionalFormatting sqref="R2211">
    <cfRule type="cellIs" dxfId="1" priority="2202" stopIfTrue="1" operator="between">
      <formula>"Check"</formula>
      <formula>"Check"</formula>
    </cfRule>
  </conditionalFormatting>
  <conditionalFormatting sqref="R2212">
    <cfRule type="cellIs" dxfId="1" priority="2203" stopIfTrue="1" operator="between">
      <formula>"Check"</formula>
      <formula>"Check"</formula>
    </cfRule>
  </conditionalFormatting>
  <conditionalFormatting sqref="R2213">
    <cfRule type="cellIs" dxfId="1" priority="2204" stopIfTrue="1" operator="between">
      <formula>"Check"</formula>
      <formula>"Check"</formula>
    </cfRule>
  </conditionalFormatting>
  <conditionalFormatting sqref="R2214">
    <cfRule type="cellIs" dxfId="1" priority="2205" stopIfTrue="1" operator="between">
      <formula>"Check"</formula>
      <formula>"Check"</formula>
    </cfRule>
  </conditionalFormatting>
  <conditionalFormatting sqref="R2215">
    <cfRule type="cellIs" dxfId="1" priority="2206" stopIfTrue="1" operator="between">
      <formula>"Check"</formula>
      <formula>"Check"</formula>
    </cfRule>
  </conditionalFormatting>
  <conditionalFormatting sqref="R2216">
    <cfRule type="cellIs" dxfId="1" priority="2207" stopIfTrue="1" operator="between">
      <formula>"Check"</formula>
      <formula>"Check"</formula>
    </cfRule>
  </conditionalFormatting>
  <conditionalFormatting sqref="R2217">
    <cfRule type="cellIs" dxfId="1" priority="2208" stopIfTrue="1" operator="between">
      <formula>"Check"</formula>
      <formula>"Check"</formula>
    </cfRule>
  </conditionalFormatting>
  <conditionalFormatting sqref="R2218">
    <cfRule type="cellIs" dxfId="1" priority="2209" stopIfTrue="1" operator="between">
      <formula>"Check"</formula>
      <formula>"Check"</formula>
    </cfRule>
  </conditionalFormatting>
  <conditionalFormatting sqref="R2219">
    <cfRule type="cellIs" dxfId="1" priority="2210" stopIfTrue="1" operator="between">
      <formula>"Check"</formula>
      <formula>"Check"</formula>
    </cfRule>
  </conditionalFormatting>
  <conditionalFormatting sqref="R2220">
    <cfRule type="cellIs" dxfId="1" priority="2211" stopIfTrue="1" operator="between">
      <formula>"Check"</formula>
      <formula>"Check"</formula>
    </cfRule>
  </conditionalFormatting>
  <conditionalFormatting sqref="R2221">
    <cfRule type="cellIs" dxfId="1" priority="2212" stopIfTrue="1" operator="between">
      <formula>"Check"</formula>
      <formula>"Check"</formula>
    </cfRule>
  </conditionalFormatting>
  <conditionalFormatting sqref="R2222">
    <cfRule type="cellIs" dxfId="1" priority="2213" stopIfTrue="1" operator="between">
      <formula>"Check"</formula>
      <formula>"Check"</formula>
    </cfRule>
  </conditionalFormatting>
  <conditionalFormatting sqref="R2223">
    <cfRule type="cellIs" dxfId="1" priority="2214" stopIfTrue="1" operator="between">
      <formula>"Check"</formula>
      <formula>"Check"</formula>
    </cfRule>
  </conditionalFormatting>
  <conditionalFormatting sqref="R2224">
    <cfRule type="cellIs" dxfId="1" priority="2215" stopIfTrue="1" operator="between">
      <formula>"Check"</formula>
      <formula>"Check"</formula>
    </cfRule>
  </conditionalFormatting>
  <conditionalFormatting sqref="R2225">
    <cfRule type="cellIs" dxfId="1" priority="2216" stopIfTrue="1" operator="between">
      <formula>"Check"</formula>
      <formula>"Check"</formula>
    </cfRule>
  </conditionalFormatting>
  <conditionalFormatting sqref="R2226">
    <cfRule type="cellIs" dxfId="1" priority="2217" stopIfTrue="1" operator="between">
      <formula>"Check"</formula>
      <formula>"Check"</formula>
    </cfRule>
  </conditionalFormatting>
  <conditionalFormatting sqref="R2227">
    <cfRule type="cellIs" dxfId="1" priority="2218" stopIfTrue="1" operator="between">
      <formula>"Check"</formula>
      <formula>"Check"</formula>
    </cfRule>
  </conditionalFormatting>
  <conditionalFormatting sqref="R2228">
    <cfRule type="cellIs" dxfId="1" priority="2219" stopIfTrue="1" operator="between">
      <formula>"Check"</formula>
      <formula>"Check"</formula>
    </cfRule>
  </conditionalFormatting>
  <conditionalFormatting sqref="R2229">
    <cfRule type="cellIs" dxfId="1" priority="2220" stopIfTrue="1" operator="between">
      <formula>"Check"</formula>
      <formula>"Check"</formula>
    </cfRule>
  </conditionalFormatting>
  <conditionalFormatting sqref="R2230">
    <cfRule type="cellIs" dxfId="1" priority="2221" stopIfTrue="1" operator="between">
      <formula>"Check"</formula>
      <formula>"Check"</formula>
    </cfRule>
  </conditionalFormatting>
  <conditionalFormatting sqref="R2231">
    <cfRule type="cellIs" dxfId="1" priority="2222" stopIfTrue="1" operator="between">
      <formula>"Check"</formula>
      <formula>"Check"</formula>
    </cfRule>
  </conditionalFormatting>
  <conditionalFormatting sqref="R2232">
    <cfRule type="cellIs" dxfId="1" priority="2223" stopIfTrue="1" operator="between">
      <formula>"Check"</formula>
      <formula>"Check"</formula>
    </cfRule>
  </conditionalFormatting>
  <conditionalFormatting sqref="R2233">
    <cfRule type="cellIs" dxfId="1" priority="2224" stopIfTrue="1" operator="between">
      <formula>"Check"</formula>
      <formula>"Check"</formula>
    </cfRule>
  </conditionalFormatting>
  <conditionalFormatting sqref="R2234">
    <cfRule type="cellIs" dxfId="1" priority="2225" stopIfTrue="1" operator="between">
      <formula>"Check"</formula>
      <formula>"Check"</formula>
    </cfRule>
  </conditionalFormatting>
  <conditionalFormatting sqref="R2235">
    <cfRule type="cellIs" dxfId="1" priority="2226" stopIfTrue="1" operator="between">
      <formula>"Check"</formula>
      <formula>"Check"</formula>
    </cfRule>
  </conditionalFormatting>
  <conditionalFormatting sqref="R2236">
    <cfRule type="cellIs" dxfId="1" priority="2227" stopIfTrue="1" operator="between">
      <formula>"Check"</formula>
      <formula>"Check"</formula>
    </cfRule>
  </conditionalFormatting>
  <conditionalFormatting sqref="R2237">
    <cfRule type="cellIs" dxfId="1" priority="2228" stopIfTrue="1" operator="between">
      <formula>"Check"</formula>
      <formula>"Check"</formula>
    </cfRule>
  </conditionalFormatting>
  <conditionalFormatting sqref="R2238">
    <cfRule type="cellIs" dxfId="1" priority="2229" stopIfTrue="1" operator="between">
      <formula>"Check"</formula>
      <formula>"Check"</formula>
    </cfRule>
  </conditionalFormatting>
  <conditionalFormatting sqref="R2239">
    <cfRule type="cellIs" dxfId="1" priority="2230" stopIfTrue="1" operator="between">
      <formula>"Check"</formula>
      <formula>"Check"</formula>
    </cfRule>
  </conditionalFormatting>
  <conditionalFormatting sqref="R2240">
    <cfRule type="cellIs" dxfId="1" priority="2231" stopIfTrue="1" operator="between">
      <formula>"Check"</formula>
      <formula>"Check"</formula>
    </cfRule>
  </conditionalFormatting>
  <conditionalFormatting sqref="R2241">
    <cfRule type="cellIs" dxfId="1" priority="2232" stopIfTrue="1" operator="between">
      <formula>"Check"</formula>
      <formula>"Check"</formula>
    </cfRule>
  </conditionalFormatting>
  <conditionalFormatting sqref="R2242">
    <cfRule type="cellIs" dxfId="1" priority="2233" stopIfTrue="1" operator="between">
      <formula>"Check"</formula>
      <formula>"Check"</formula>
    </cfRule>
  </conditionalFormatting>
  <conditionalFormatting sqref="R2243">
    <cfRule type="cellIs" dxfId="1" priority="2234" stopIfTrue="1" operator="between">
      <formula>"Check"</formula>
      <formula>"Check"</formula>
    </cfRule>
  </conditionalFormatting>
  <conditionalFormatting sqref="R2244">
    <cfRule type="cellIs" dxfId="1" priority="2235" stopIfTrue="1" operator="between">
      <formula>"Check"</formula>
      <formula>"Check"</formula>
    </cfRule>
  </conditionalFormatting>
  <conditionalFormatting sqref="R2245">
    <cfRule type="cellIs" dxfId="1" priority="2236" stopIfTrue="1" operator="between">
      <formula>"Check"</formula>
      <formula>"Check"</formula>
    </cfRule>
  </conditionalFormatting>
  <conditionalFormatting sqref="R2246">
    <cfRule type="cellIs" dxfId="1" priority="2237" stopIfTrue="1" operator="between">
      <formula>"Check"</formula>
      <formula>"Check"</formula>
    </cfRule>
  </conditionalFormatting>
  <conditionalFormatting sqref="R2247">
    <cfRule type="cellIs" dxfId="1" priority="2238" stopIfTrue="1" operator="between">
      <formula>"Check"</formula>
      <formula>"Check"</formula>
    </cfRule>
  </conditionalFormatting>
  <conditionalFormatting sqref="R2248">
    <cfRule type="cellIs" dxfId="1" priority="2239" stopIfTrue="1" operator="between">
      <formula>"Check"</formula>
      <formula>"Check"</formula>
    </cfRule>
  </conditionalFormatting>
  <conditionalFormatting sqref="R2249">
    <cfRule type="cellIs" dxfId="1" priority="2240" stopIfTrue="1" operator="between">
      <formula>"Check"</formula>
      <formula>"Check"</formula>
    </cfRule>
  </conditionalFormatting>
  <conditionalFormatting sqref="R2250">
    <cfRule type="cellIs" dxfId="1" priority="2241" stopIfTrue="1" operator="between">
      <formula>"Check"</formula>
      <formula>"Check"</formula>
    </cfRule>
  </conditionalFormatting>
  <conditionalFormatting sqref="R2251">
    <cfRule type="cellIs" dxfId="1" priority="2242" stopIfTrue="1" operator="between">
      <formula>"Check"</formula>
      <formula>"Check"</formula>
    </cfRule>
  </conditionalFormatting>
  <conditionalFormatting sqref="R2252">
    <cfRule type="cellIs" dxfId="1" priority="2243" stopIfTrue="1" operator="between">
      <formula>"Check"</formula>
      <formula>"Check"</formula>
    </cfRule>
  </conditionalFormatting>
  <conditionalFormatting sqref="R2253">
    <cfRule type="cellIs" dxfId="1" priority="2244" stopIfTrue="1" operator="between">
      <formula>"Check"</formula>
      <formula>"Check"</formula>
    </cfRule>
  </conditionalFormatting>
  <conditionalFormatting sqref="R2254">
    <cfRule type="cellIs" dxfId="1" priority="2245" stopIfTrue="1" operator="between">
      <formula>"Check"</formula>
      <formula>"Check"</formula>
    </cfRule>
  </conditionalFormatting>
  <conditionalFormatting sqref="R2255">
    <cfRule type="cellIs" dxfId="1" priority="2246" stopIfTrue="1" operator="between">
      <formula>"Check"</formula>
      <formula>"Check"</formula>
    </cfRule>
  </conditionalFormatting>
  <conditionalFormatting sqref="R2256">
    <cfRule type="cellIs" dxfId="1" priority="2247" stopIfTrue="1" operator="between">
      <formula>"Check"</formula>
      <formula>"Check"</formula>
    </cfRule>
  </conditionalFormatting>
  <conditionalFormatting sqref="R2257">
    <cfRule type="cellIs" dxfId="1" priority="2248" stopIfTrue="1" operator="between">
      <formula>"Check"</formula>
      <formula>"Check"</formula>
    </cfRule>
  </conditionalFormatting>
  <conditionalFormatting sqref="R2258">
    <cfRule type="cellIs" dxfId="1" priority="2249" stopIfTrue="1" operator="between">
      <formula>"Check"</formula>
      <formula>"Check"</formula>
    </cfRule>
  </conditionalFormatting>
  <conditionalFormatting sqref="R2259">
    <cfRule type="cellIs" dxfId="1" priority="2250" stopIfTrue="1" operator="between">
      <formula>"Check"</formula>
      <formula>"Check"</formula>
    </cfRule>
  </conditionalFormatting>
  <conditionalFormatting sqref="R2260">
    <cfRule type="cellIs" dxfId="1" priority="2251" stopIfTrue="1" operator="between">
      <formula>"Check"</formula>
      <formula>"Check"</formula>
    </cfRule>
  </conditionalFormatting>
  <conditionalFormatting sqref="R2261">
    <cfRule type="cellIs" dxfId="1" priority="2252" stopIfTrue="1" operator="between">
      <formula>"Check"</formula>
      <formula>"Check"</formula>
    </cfRule>
  </conditionalFormatting>
  <conditionalFormatting sqref="R2262">
    <cfRule type="cellIs" dxfId="1" priority="2253" stopIfTrue="1" operator="between">
      <formula>"Check"</formula>
      <formula>"Check"</formula>
    </cfRule>
  </conditionalFormatting>
  <conditionalFormatting sqref="R2263">
    <cfRule type="cellIs" dxfId="1" priority="2254" stopIfTrue="1" operator="between">
      <formula>"Check"</formula>
      <formula>"Check"</formula>
    </cfRule>
  </conditionalFormatting>
  <conditionalFormatting sqref="R2264">
    <cfRule type="cellIs" dxfId="1" priority="2255" stopIfTrue="1" operator="between">
      <formula>"Check"</formula>
      <formula>"Check"</formula>
    </cfRule>
  </conditionalFormatting>
  <conditionalFormatting sqref="R2265">
    <cfRule type="cellIs" dxfId="1" priority="2256" stopIfTrue="1" operator="between">
      <formula>"Check"</formula>
      <formula>"Check"</formula>
    </cfRule>
  </conditionalFormatting>
  <conditionalFormatting sqref="R2266">
    <cfRule type="cellIs" dxfId="1" priority="2257" stopIfTrue="1" operator="between">
      <formula>"Check"</formula>
      <formula>"Check"</formula>
    </cfRule>
  </conditionalFormatting>
  <conditionalFormatting sqref="R2267">
    <cfRule type="cellIs" dxfId="1" priority="2258" stopIfTrue="1" operator="between">
      <formula>"Check"</formula>
      <formula>"Check"</formula>
    </cfRule>
  </conditionalFormatting>
  <conditionalFormatting sqref="R2268">
    <cfRule type="cellIs" dxfId="1" priority="2259" stopIfTrue="1" operator="between">
      <formula>"Check"</formula>
      <formula>"Check"</formula>
    </cfRule>
  </conditionalFormatting>
  <conditionalFormatting sqref="R2269">
    <cfRule type="cellIs" dxfId="1" priority="2260" stopIfTrue="1" operator="between">
      <formula>"Check"</formula>
      <formula>"Check"</formula>
    </cfRule>
  </conditionalFormatting>
  <conditionalFormatting sqref="R2270">
    <cfRule type="cellIs" dxfId="1" priority="2261" stopIfTrue="1" operator="between">
      <formula>"Check"</formula>
      <formula>"Check"</formula>
    </cfRule>
  </conditionalFormatting>
  <conditionalFormatting sqref="R2271">
    <cfRule type="cellIs" dxfId="1" priority="2262" stopIfTrue="1" operator="between">
      <formula>"Check"</formula>
      <formula>"Check"</formula>
    </cfRule>
  </conditionalFormatting>
  <conditionalFormatting sqref="R2272">
    <cfRule type="cellIs" dxfId="1" priority="2263" stopIfTrue="1" operator="between">
      <formula>"Check"</formula>
      <formula>"Check"</formula>
    </cfRule>
  </conditionalFormatting>
  <conditionalFormatting sqref="R2273">
    <cfRule type="cellIs" dxfId="1" priority="2264" stopIfTrue="1" operator="between">
      <formula>"Check"</formula>
      <formula>"Check"</formula>
    </cfRule>
  </conditionalFormatting>
  <conditionalFormatting sqref="R2274">
    <cfRule type="cellIs" dxfId="1" priority="2265" stopIfTrue="1" operator="between">
      <formula>"Check"</formula>
      <formula>"Check"</formula>
    </cfRule>
  </conditionalFormatting>
  <conditionalFormatting sqref="R2275">
    <cfRule type="cellIs" dxfId="1" priority="2266" stopIfTrue="1" operator="between">
      <formula>"Check"</formula>
      <formula>"Check"</formula>
    </cfRule>
  </conditionalFormatting>
  <conditionalFormatting sqref="R2276">
    <cfRule type="cellIs" dxfId="1" priority="2267" stopIfTrue="1" operator="between">
      <formula>"Check"</formula>
      <formula>"Check"</formula>
    </cfRule>
  </conditionalFormatting>
  <conditionalFormatting sqref="R2277">
    <cfRule type="cellIs" dxfId="1" priority="2268" stopIfTrue="1" operator="between">
      <formula>"Check"</formula>
      <formula>"Check"</formula>
    </cfRule>
  </conditionalFormatting>
  <conditionalFormatting sqref="R2278">
    <cfRule type="cellIs" dxfId="1" priority="2269" stopIfTrue="1" operator="between">
      <formula>"Check"</formula>
      <formula>"Check"</formula>
    </cfRule>
  </conditionalFormatting>
  <conditionalFormatting sqref="R2279">
    <cfRule type="cellIs" dxfId="1" priority="2270" stopIfTrue="1" operator="between">
      <formula>"Check"</formula>
      <formula>"Check"</formula>
    </cfRule>
  </conditionalFormatting>
  <conditionalFormatting sqref="R2280">
    <cfRule type="cellIs" dxfId="1" priority="2271" stopIfTrue="1" operator="between">
      <formula>"Check"</formula>
      <formula>"Check"</formula>
    </cfRule>
  </conditionalFormatting>
  <conditionalFormatting sqref="R2281">
    <cfRule type="cellIs" dxfId="1" priority="2272" stopIfTrue="1" operator="between">
      <formula>"Check"</formula>
      <formula>"Check"</formula>
    </cfRule>
  </conditionalFormatting>
  <conditionalFormatting sqref="R2282">
    <cfRule type="cellIs" dxfId="1" priority="2273" stopIfTrue="1" operator="between">
      <formula>"Check"</formula>
      <formula>"Check"</formula>
    </cfRule>
  </conditionalFormatting>
  <conditionalFormatting sqref="R2283">
    <cfRule type="cellIs" dxfId="1" priority="2274" stopIfTrue="1" operator="between">
      <formula>"Check"</formula>
      <formula>"Check"</formula>
    </cfRule>
  </conditionalFormatting>
  <conditionalFormatting sqref="R2284">
    <cfRule type="cellIs" dxfId="1" priority="2275" stopIfTrue="1" operator="between">
      <formula>"Check"</formula>
      <formula>"Check"</formula>
    </cfRule>
  </conditionalFormatting>
  <conditionalFormatting sqref="R2285">
    <cfRule type="cellIs" dxfId="1" priority="2276" stopIfTrue="1" operator="between">
      <formula>"Check"</formula>
      <formula>"Check"</formula>
    </cfRule>
  </conditionalFormatting>
  <conditionalFormatting sqref="R2286">
    <cfRule type="cellIs" dxfId="1" priority="2277" stopIfTrue="1" operator="between">
      <formula>"Check"</formula>
      <formula>"Check"</formula>
    </cfRule>
  </conditionalFormatting>
  <conditionalFormatting sqref="R2287">
    <cfRule type="cellIs" dxfId="1" priority="2278" stopIfTrue="1" operator="between">
      <formula>"Check"</formula>
      <formula>"Check"</formula>
    </cfRule>
  </conditionalFormatting>
  <conditionalFormatting sqref="R2288">
    <cfRule type="cellIs" dxfId="1" priority="2279" stopIfTrue="1" operator="between">
      <formula>"Check"</formula>
      <formula>"Check"</formula>
    </cfRule>
  </conditionalFormatting>
  <conditionalFormatting sqref="R2289">
    <cfRule type="cellIs" dxfId="1" priority="2280" stopIfTrue="1" operator="between">
      <formula>"Check"</formula>
      <formula>"Check"</formula>
    </cfRule>
  </conditionalFormatting>
  <conditionalFormatting sqref="R2290">
    <cfRule type="cellIs" dxfId="1" priority="2281" stopIfTrue="1" operator="between">
      <formula>"Check"</formula>
      <formula>"Check"</formula>
    </cfRule>
  </conditionalFormatting>
  <conditionalFormatting sqref="R2291">
    <cfRule type="cellIs" dxfId="1" priority="2282" stopIfTrue="1" operator="between">
      <formula>"Check"</formula>
      <formula>"Check"</formula>
    </cfRule>
  </conditionalFormatting>
  <conditionalFormatting sqref="R2292">
    <cfRule type="cellIs" dxfId="1" priority="2283" stopIfTrue="1" operator="between">
      <formula>"Check"</formula>
      <formula>"Check"</formula>
    </cfRule>
  </conditionalFormatting>
  <conditionalFormatting sqref="R2293">
    <cfRule type="cellIs" dxfId="1" priority="2284" stopIfTrue="1" operator="between">
      <formula>"Check"</formula>
      <formula>"Check"</formula>
    </cfRule>
  </conditionalFormatting>
  <conditionalFormatting sqref="R2294">
    <cfRule type="cellIs" dxfId="1" priority="2285" stopIfTrue="1" operator="between">
      <formula>"Check"</formula>
      <formula>"Check"</formula>
    </cfRule>
  </conditionalFormatting>
  <conditionalFormatting sqref="R2295">
    <cfRule type="cellIs" dxfId="1" priority="2286" stopIfTrue="1" operator="between">
      <formula>"Check"</formula>
      <formula>"Check"</formula>
    </cfRule>
  </conditionalFormatting>
  <conditionalFormatting sqref="R2296">
    <cfRule type="cellIs" dxfId="1" priority="2287" stopIfTrue="1" operator="between">
      <formula>"Check"</formula>
      <formula>"Check"</formula>
    </cfRule>
  </conditionalFormatting>
  <conditionalFormatting sqref="R2297">
    <cfRule type="cellIs" dxfId="1" priority="2288" stopIfTrue="1" operator="between">
      <formula>"Check"</formula>
      <formula>"Check"</formula>
    </cfRule>
  </conditionalFormatting>
  <conditionalFormatting sqref="R2298">
    <cfRule type="cellIs" dxfId="1" priority="2289" stopIfTrue="1" operator="between">
      <formula>"Check"</formula>
      <formula>"Check"</formula>
    </cfRule>
  </conditionalFormatting>
  <conditionalFormatting sqref="R2299">
    <cfRule type="cellIs" dxfId="1" priority="2290" stopIfTrue="1" operator="between">
      <formula>"Check"</formula>
      <formula>"Check"</formula>
    </cfRule>
  </conditionalFormatting>
  <conditionalFormatting sqref="R2300">
    <cfRule type="cellIs" dxfId="1" priority="2291" stopIfTrue="1" operator="between">
      <formula>"Check"</formula>
      <formula>"Check"</formula>
    </cfRule>
  </conditionalFormatting>
  <conditionalFormatting sqref="R2301">
    <cfRule type="cellIs" dxfId="1" priority="2292" stopIfTrue="1" operator="between">
      <formula>"Check"</formula>
      <formula>"Check"</formula>
    </cfRule>
  </conditionalFormatting>
  <conditionalFormatting sqref="R2302">
    <cfRule type="cellIs" dxfId="1" priority="2293" stopIfTrue="1" operator="between">
      <formula>"Check"</formula>
      <formula>"Check"</formula>
    </cfRule>
  </conditionalFormatting>
  <conditionalFormatting sqref="R2303">
    <cfRule type="cellIs" dxfId="1" priority="2294" stopIfTrue="1" operator="between">
      <formula>"Check"</formula>
      <formula>"Check"</formula>
    </cfRule>
  </conditionalFormatting>
  <conditionalFormatting sqref="R2304">
    <cfRule type="cellIs" dxfId="1" priority="2295" stopIfTrue="1" operator="between">
      <formula>"Check"</formula>
      <formula>"Check"</formula>
    </cfRule>
  </conditionalFormatting>
  <conditionalFormatting sqref="R2305">
    <cfRule type="cellIs" dxfId="1" priority="2296" stopIfTrue="1" operator="between">
      <formula>"Check"</formula>
      <formula>"Check"</formula>
    </cfRule>
  </conditionalFormatting>
  <conditionalFormatting sqref="R2306">
    <cfRule type="cellIs" dxfId="1" priority="2297" stopIfTrue="1" operator="between">
      <formula>"Check"</formula>
      <formula>"Check"</formula>
    </cfRule>
  </conditionalFormatting>
  <conditionalFormatting sqref="R2307">
    <cfRule type="cellIs" dxfId="1" priority="2298" stopIfTrue="1" operator="between">
      <formula>"Check"</formula>
      <formula>"Check"</formula>
    </cfRule>
  </conditionalFormatting>
  <conditionalFormatting sqref="R2308">
    <cfRule type="cellIs" dxfId="1" priority="2299" stopIfTrue="1" operator="between">
      <formula>"Check"</formula>
      <formula>"Check"</formula>
    </cfRule>
  </conditionalFormatting>
  <conditionalFormatting sqref="R2309">
    <cfRule type="cellIs" dxfId="1" priority="2300" stopIfTrue="1" operator="between">
      <formula>"Check"</formula>
      <formula>"Check"</formula>
    </cfRule>
  </conditionalFormatting>
  <conditionalFormatting sqref="R2310">
    <cfRule type="cellIs" dxfId="1" priority="2301" stopIfTrue="1" operator="between">
      <formula>"Check"</formula>
      <formula>"Check"</formula>
    </cfRule>
  </conditionalFormatting>
  <conditionalFormatting sqref="R2311">
    <cfRule type="cellIs" dxfId="1" priority="2302" stopIfTrue="1" operator="between">
      <formula>"Check"</formula>
      <formula>"Check"</formula>
    </cfRule>
  </conditionalFormatting>
  <conditionalFormatting sqref="R2312">
    <cfRule type="cellIs" dxfId="1" priority="2303" stopIfTrue="1" operator="between">
      <formula>"Check"</formula>
      <formula>"Check"</formula>
    </cfRule>
  </conditionalFormatting>
  <conditionalFormatting sqref="R2313">
    <cfRule type="cellIs" dxfId="1" priority="2304" stopIfTrue="1" operator="between">
      <formula>"Check"</formula>
      <formula>"Check"</formula>
    </cfRule>
  </conditionalFormatting>
  <conditionalFormatting sqref="R2314">
    <cfRule type="cellIs" dxfId="1" priority="2305" stopIfTrue="1" operator="between">
      <formula>"Check"</formula>
      <formula>"Check"</formula>
    </cfRule>
  </conditionalFormatting>
  <conditionalFormatting sqref="R2315">
    <cfRule type="cellIs" dxfId="1" priority="2306" stopIfTrue="1" operator="between">
      <formula>"Check"</formula>
      <formula>"Check"</formula>
    </cfRule>
  </conditionalFormatting>
  <conditionalFormatting sqref="R2316">
    <cfRule type="cellIs" dxfId="1" priority="2307" stopIfTrue="1" operator="between">
      <formula>"Check"</formula>
      <formula>"Check"</formula>
    </cfRule>
  </conditionalFormatting>
  <conditionalFormatting sqref="R2317">
    <cfRule type="cellIs" dxfId="1" priority="2308" stopIfTrue="1" operator="between">
      <formula>"Check"</formula>
      <formula>"Check"</formula>
    </cfRule>
  </conditionalFormatting>
  <conditionalFormatting sqref="R2318">
    <cfRule type="cellIs" dxfId="1" priority="2309" stopIfTrue="1" operator="between">
      <formula>"Check"</formula>
      <formula>"Check"</formula>
    </cfRule>
  </conditionalFormatting>
  <conditionalFormatting sqref="R2319">
    <cfRule type="cellIs" dxfId="1" priority="2310" stopIfTrue="1" operator="between">
      <formula>"Check"</formula>
      <formula>"Check"</formula>
    </cfRule>
  </conditionalFormatting>
  <conditionalFormatting sqref="R2320">
    <cfRule type="cellIs" dxfId="1" priority="2311" stopIfTrue="1" operator="between">
      <formula>"Check"</formula>
      <formula>"Check"</formula>
    </cfRule>
  </conditionalFormatting>
  <conditionalFormatting sqref="R2321">
    <cfRule type="cellIs" dxfId="1" priority="2312" stopIfTrue="1" operator="between">
      <formula>"Check"</formula>
      <formula>"Check"</formula>
    </cfRule>
  </conditionalFormatting>
  <conditionalFormatting sqref="R2322">
    <cfRule type="cellIs" dxfId="1" priority="2313" stopIfTrue="1" operator="between">
      <formula>"Check"</formula>
      <formula>"Check"</formula>
    </cfRule>
  </conditionalFormatting>
  <conditionalFormatting sqref="R2323">
    <cfRule type="cellIs" dxfId="1" priority="2314" stopIfTrue="1" operator="between">
      <formula>"Check"</formula>
      <formula>"Check"</formula>
    </cfRule>
  </conditionalFormatting>
  <conditionalFormatting sqref="R2324">
    <cfRule type="cellIs" dxfId="1" priority="2315" stopIfTrue="1" operator="between">
      <formula>"Check"</formula>
      <formula>"Check"</formula>
    </cfRule>
  </conditionalFormatting>
  <conditionalFormatting sqref="R2325">
    <cfRule type="cellIs" dxfId="1" priority="2316" stopIfTrue="1" operator="between">
      <formula>"Check"</formula>
      <formula>"Check"</formula>
    </cfRule>
  </conditionalFormatting>
  <conditionalFormatting sqref="R2326">
    <cfRule type="cellIs" dxfId="1" priority="2317" stopIfTrue="1" operator="between">
      <formula>"Check"</formula>
      <formula>"Check"</formula>
    </cfRule>
  </conditionalFormatting>
  <conditionalFormatting sqref="R2327">
    <cfRule type="cellIs" dxfId="1" priority="2318" stopIfTrue="1" operator="between">
      <formula>"Check"</formula>
      <formula>"Check"</formula>
    </cfRule>
  </conditionalFormatting>
  <conditionalFormatting sqref="R2328">
    <cfRule type="cellIs" dxfId="1" priority="2319" stopIfTrue="1" operator="between">
      <formula>"Check"</formula>
      <formula>"Check"</formula>
    </cfRule>
  </conditionalFormatting>
  <conditionalFormatting sqref="R2329">
    <cfRule type="cellIs" dxfId="1" priority="2320" stopIfTrue="1" operator="between">
      <formula>"Check"</formula>
      <formula>"Check"</formula>
    </cfRule>
  </conditionalFormatting>
  <conditionalFormatting sqref="R2330">
    <cfRule type="cellIs" dxfId="1" priority="2321" stopIfTrue="1" operator="between">
      <formula>"Check"</formula>
      <formula>"Check"</formula>
    </cfRule>
  </conditionalFormatting>
  <conditionalFormatting sqref="R2331">
    <cfRule type="cellIs" dxfId="1" priority="2322" stopIfTrue="1" operator="between">
      <formula>"Check"</formula>
      <formula>"Check"</formula>
    </cfRule>
  </conditionalFormatting>
  <conditionalFormatting sqref="R2332">
    <cfRule type="cellIs" dxfId="1" priority="2323" stopIfTrue="1" operator="between">
      <formula>"Check"</formula>
      <formula>"Check"</formula>
    </cfRule>
  </conditionalFormatting>
  <conditionalFormatting sqref="R2333">
    <cfRule type="cellIs" dxfId="1" priority="2324" stopIfTrue="1" operator="between">
      <formula>"Check"</formula>
      <formula>"Check"</formula>
    </cfRule>
  </conditionalFormatting>
  <conditionalFormatting sqref="R2334">
    <cfRule type="cellIs" dxfId="1" priority="2325" stopIfTrue="1" operator="between">
      <formula>"Check"</formula>
      <formula>"Check"</formula>
    </cfRule>
  </conditionalFormatting>
  <conditionalFormatting sqref="R2335">
    <cfRule type="cellIs" dxfId="1" priority="2326" stopIfTrue="1" operator="between">
      <formula>"Check"</formula>
      <formula>"Check"</formula>
    </cfRule>
  </conditionalFormatting>
  <conditionalFormatting sqref="R2336">
    <cfRule type="cellIs" dxfId="1" priority="2327" stopIfTrue="1" operator="between">
      <formula>"Check"</formula>
      <formula>"Check"</formula>
    </cfRule>
  </conditionalFormatting>
  <conditionalFormatting sqref="R2337">
    <cfRule type="cellIs" dxfId="1" priority="2328" stopIfTrue="1" operator="between">
      <formula>"Check"</formula>
      <formula>"Check"</formula>
    </cfRule>
  </conditionalFormatting>
  <conditionalFormatting sqref="R2338">
    <cfRule type="cellIs" dxfId="1" priority="2329" stopIfTrue="1" operator="between">
      <formula>"Check"</formula>
      <formula>"Check"</formula>
    </cfRule>
  </conditionalFormatting>
  <conditionalFormatting sqref="R2339">
    <cfRule type="cellIs" dxfId="1" priority="2330" stopIfTrue="1" operator="between">
      <formula>"Check"</formula>
      <formula>"Check"</formula>
    </cfRule>
  </conditionalFormatting>
  <conditionalFormatting sqref="R2340">
    <cfRule type="cellIs" dxfId="1" priority="2331" stopIfTrue="1" operator="between">
      <formula>"Check"</formula>
      <formula>"Check"</formula>
    </cfRule>
  </conditionalFormatting>
  <conditionalFormatting sqref="R2341">
    <cfRule type="cellIs" dxfId="1" priority="2332" stopIfTrue="1" operator="between">
      <formula>"Check"</formula>
      <formula>"Check"</formula>
    </cfRule>
  </conditionalFormatting>
  <conditionalFormatting sqref="R2342">
    <cfRule type="cellIs" dxfId="1" priority="2333" stopIfTrue="1" operator="between">
      <formula>"Check"</formula>
      <formula>"Check"</formula>
    </cfRule>
  </conditionalFormatting>
  <conditionalFormatting sqref="R2343">
    <cfRule type="cellIs" dxfId="1" priority="2334" stopIfTrue="1" operator="between">
      <formula>"Check"</formula>
      <formula>"Check"</formula>
    </cfRule>
  </conditionalFormatting>
  <conditionalFormatting sqref="R2344">
    <cfRule type="cellIs" dxfId="1" priority="2335" stopIfTrue="1" operator="between">
      <formula>"Check"</formula>
      <formula>"Check"</formula>
    </cfRule>
  </conditionalFormatting>
  <conditionalFormatting sqref="R2345">
    <cfRule type="cellIs" dxfId="1" priority="2336" stopIfTrue="1" operator="between">
      <formula>"Check"</formula>
      <formula>"Check"</formula>
    </cfRule>
  </conditionalFormatting>
  <conditionalFormatting sqref="R2346">
    <cfRule type="cellIs" dxfId="1" priority="2337" stopIfTrue="1" operator="between">
      <formula>"Check"</formula>
      <formula>"Check"</formula>
    </cfRule>
  </conditionalFormatting>
  <conditionalFormatting sqref="R2347">
    <cfRule type="cellIs" dxfId="1" priority="2338" stopIfTrue="1" operator="between">
      <formula>"Check"</formula>
      <formula>"Check"</formula>
    </cfRule>
  </conditionalFormatting>
  <conditionalFormatting sqref="R2348">
    <cfRule type="cellIs" dxfId="1" priority="2339" stopIfTrue="1" operator="between">
      <formula>"Check"</formula>
      <formula>"Check"</formula>
    </cfRule>
  </conditionalFormatting>
  <conditionalFormatting sqref="R2349">
    <cfRule type="cellIs" dxfId="1" priority="2340" stopIfTrue="1" operator="between">
      <formula>"Check"</formula>
      <formula>"Check"</formula>
    </cfRule>
  </conditionalFormatting>
  <conditionalFormatting sqref="R2350">
    <cfRule type="cellIs" dxfId="1" priority="2341" stopIfTrue="1" operator="between">
      <formula>"Check"</formula>
      <formula>"Check"</formula>
    </cfRule>
  </conditionalFormatting>
  <conditionalFormatting sqref="R2351">
    <cfRule type="cellIs" dxfId="1" priority="2342" stopIfTrue="1" operator="between">
      <formula>"Check"</formula>
      <formula>"Check"</formula>
    </cfRule>
  </conditionalFormatting>
  <conditionalFormatting sqref="R2352">
    <cfRule type="cellIs" dxfId="1" priority="2343" stopIfTrue="1" operator="between">
      <formula>"Check"</formula>
      <formula>"Check"</formula>
    </cfRule>
  </conditionalFormatting>
  <conditionalFormatting sqref="R2353">
    <cfRule type="cellIs" dxfId="1" priority="2344" stopIfTrue="1" operator="between">
      <formula>"Check"</formula>
      <formula>"Check"</formula>
    </cfRule>
  </conditionalFormatting>
  <conditionalFormatting sqref="R2354">
    <cfRule type="cellIs" dxfId="1" priority="2345" stopIfTrue="1" operator="between">
      <formula>"Check"</formula>
      <formula>"Check"</formula>
    </cfRule>
  </conditionalFormatting>
  <conditionalFormatting sqref="R2355">
    <cfRule type="cellIs" dxfId="1" priority="2346" stopIfTrue="1" operator="between">
      <formula>"Check"</formula>
      <formula>"Check"</formula>
    </cfRule>
  </conditionalFormatting>
  <conditionalFormatting sqref="R2356">
    <cfRule type="cellIs" dxfId="1" priority="2347" stopIfTrue="1" operator="between">
      <formula>"Check"</formula>
      <formula>"Check"</formula>
    </cfRule>
  </conditionalFormatting>
  <conditionalFormatting sqref="R2357">
    <cfRule type="cellIs" dxfId="1" priority="2348" stopIfTrue="1" operator="between">
      <formula>"Check"</formula>
      <formula>"Check"</formula>
    </cfRule>
  </conditionalFormatting>
  <conditionalFormatting sqref="R2358">
    <cfRule type="cellIs" dxfId="1" priority="2349" stopIfTrue="1" operator="between">
      <formula>"Check"</formula>
      <formula>"Check"</formula>
    </cfRule>
  </conditionalFormatting>
  <conditionalFormatting sqref="R2359">
    <cfRule type="cellIs" dxfId="1" priority="2350" stopIfTrue="1" operator="between">
      <formula>"Check"</formula>
      <formula>"Check"</formula>
    </cfRule>
  </conditionalFormatting>
  <conditionalFormatting sqref="R2360">
    <cfRule type="cellIs" dxfId="1" priority="2351" stopIfTrue="1" operator="between">
      <formula>"Check"</formula>
      <formula>"Check"</formula>
    </cfRule>
  </conditionalFormatting>
  <conditionalFormatting sqref="R2361">
    <cfRule type="cellIs" dxfId="1" priority="2352" stopIfTrue="1" operator="between">
      <formula>"Check"</formula>
      <formula>"Check"</formula>
    </cfRule>
  </conditionalFormatting>
  <conditionalFormatting sqref="R2362">
    <cfRule type="cellIs" dxfId="1" priority="2353" stopIfTrue="1" operator="between">
      <formula>"Check"</formula>
      <formula>"Check"</formula>
    </cfRule>
  </conditionalFormatting>
  <conditionalFormatting sqref="R2363">
    <cfRule type="cellIs" dxfId="1" priority="2354" stopIfTrue="1" operator="between">
      <formula>"Check"</formula>
      <formula>"Check"</formula>
    </cfRule>
  </conditionalFormatting>
  <conditionalFormatting sqref="R2364">
    <cfRule type="cellIs" dxfId="1" priority="2355" stopIfTrue="1" operator="between">
      <formula>"Check"</formula>
      <formula>"Check"</formula>
    </cfRule>
  </conditionalFormatting>
  <conditionalFormatting sqref="R2365">
    <cfRule type="cellIs" dxfId="1" priority="2356" stopIfTrue="1" operator="between">
      <formula>"Check"</formula>
      <formula>"Check"</formula>
    </cfRule>
  </conditionalFormatting>
  <conditionalFormatting sqref="R2366">
    <cfRule type="cellIs" dxfId="1" priority="2357" stopIfTrue="1" operator="between">
      <formula>"Check"</formula>
      <formula>"Check"</formula>
    </cfRule>
  </conditionalFormatting>
  <conditionalFormatting sqref="R2367">
    <cfRule type="cellIs" dxfId="1" priority="2358" stopIfTrue="1" operator="between">
      <formula>"Check"</formula>
      <formula>"Check"</formula>
    </cfRule>
  </conditionalFormatting>
  <conditionalFormatting sqref="R2368">
    <cfRule type="cellIs" dxfId="1" priority="2359" stopIfTrue="1" operator="between">
      <formula>"Check"</formula>
      <formula>"Check"</formula>
    </cfRule>
  </conditionalFormatting>
  <conditionalFormatting sqref="R2369">
    <cfRule type="cellIs" dxfId="1" priority="2360" stopIfTrue="1" operator="between">
      <formula>"Check"</formula>
      <formula>"Check"</formula>
    </cfRule>
  </conditionalFormatting>
  <conditionalFormatting sqref="R2370">
    <cfRule type="cellIs" dxfId="1" priority="2361" stopIfTrue="1" operator="between">
      <formula>"Check"</formula>
      <formula>"Check"</formula>
    </cfRule>
  </conditionalFormatting>
  <conditionalFormatting sqref="R2371">
    <cfRule type="cellIs" dxfId="1" priority="2362" stopIfTrue="1" operator="between">
      <formula>"Check"</formula>
      <formula>"Check"</formula>
    </cfRule>
  </conditionalFormatting>
  <conditionalFormatting sqref="R2372">
    <cfRule type="cellIs" dxfId="1" priority="2363" stopIfTrue="1" operator="between">
      <formula>"Check"</formula>
      <formula>"Check"</formula>
    </cfRule>
  </conditionalFormatting>
  <conditionalFormatting sqref="R2373">
    <cfRule type="cellIs" dxfId="1" priority="2364" stopIfTrue="1" operator="between">
      <formula>"Check"</formula>
      <formula>"Check"</formula>
    </cfRule>
  </conditionalFormatting>
  <conditionalFormatting sqref="R2374">
    <cfRule type="cellIs" dxfId="1" priority="2365" stopIfTrue="1" operator="between">
      <formula>"Check"</formula>
      <formula>"Check"</formula>
    </cfRule>
  </conditionalFormatting>
  <conditionalFormatting sqref="R2375">
    <cfRule type="cellIs" dxfId="1" priority="2366" stopIfTrue="1" operator="between">
      <formula>"Check"</formula>
      <formula>"Check"</formula>
    </cfRule>
  </conditionalFormatting>
  <conditionalFormatting sqref="R2376">
    <cfRule type="cellIs" dxfId="1" priority="2367" stopIfTrue="1" operator="between">
      <formula>"Check"</formula>
      <formula>"Check"</formula>
    </cfRule>
  </conditionalFormatting>
  <conditionalFormatting sqref="R2377">
    <cfRule type="cellIs" dxfId="1" priority="2368" stopIfTrue="1" operator="between">
      <formula>"Check"</formula>
      <formula>"Check"</formula>
    </cfRule>
  </conditionalFormatting>
  <conditionalFormatting sqref="R2378">
    <cfRule type="cellIs" dxfId="1" priority="2369" stopIfTrue="1" operator="between">
      <formula>"Check"</formula>
      <formula>"Check"</formula>
    </cfRule>
  </conditionalFormatting>
  <conditionalFormatting sqref="R2379">
    <cfRule type="cellIs" dxfId="1" priority="2370" stopIfTrue="1" operator="between">
      <formula>"Check"</formula>
      <formula>"Check"</formula>
    </cfRule>
  </conditionalFormatting>
  <conditionalFormatting sqref="R2380">
    <cfRule type="cellIs" dxfId="1" priority="2371" stopIfTrue="1" operator="between">
      <formula>"Check"</formula>
      <formula>"Check"</formula>
    </cfRule>
  </conditionalFormatting>
  <conditionalFormatting sqref="R2381">
    <cfRule type="cellIs" dxfId="1" priority="2372" stopIfTrue="1" operator="between">
      <formula>"Check"</formula>
      <formula>"Check"</formula>
    </cfRule>
  </conditionalFormatting>
  <conditionalFormatting sqref="R2382">
    <cfRule type="cellIs" dxfId="1" priority="2373" stopIfTrue="1" operator="between">
      <formula>"Check"</formula>
      <formula>"Check"</formula>
    </cfRule>
  </conditionalFormatting>
  <conditionalFormatting sqref="R2383">
    <cfRule type="cellIs" dxfId="1" priority="2374" stopIfTrue="1" operator="between">
      <formula>"Check"</formula>
      <formula>"Check"</formula>
    </cfRule>
  </conditionalFormatting>
  <conditionalFormatting sqref="R2384">
    <cfRule type="cellIs" dxfId="1" priority="2375" stopIfTrue="1" operator="between">
      <formula>"Check"</formula>
      <formula>"Check"</formula>
    </cfRule>
  </conditionalFormatting>
  <conditionalFormatting sqref="R2385">
    <cfRule type="cellIs" dxfId="1" priority="2376" stopIfTrue="1" operator="between">
      <formula>"Check"</formula>
      <formula>"Check"</formula>
    </cfRule>
  </conditionalFormatting>
  <conditionalFormatting sqref="R2386">
    <cfRule type="cellIs" dxfId="1" priority="2377" stopIfTrue="1" operator="between">
      <formula>"Check"</formula>
      <formula>"Check"</formula>
    </cfRule>
  </conditionalFormatting>
  <conditionalFormatting sqref="R2387">
    <cfRule type="cellIs" dxfId="1" priority="2378" stopIfTrue="1" operator="between">
      <formula>"Check"</formula>
      <formula>"Check"</formula>
    </cfRule>
  </conditionalFormatting>
  <conditionalFormatting sqref="R2388">
    <cfRule type="cellIs" dxfId="1" priority="2379" stopIfTrue="1" operator="between">
      <formula>"Check"</formula>
      <formula>"Check"</formula>
    </cfRule>
  </conditionalFormatting>
  <conditionalFormatting sqref="R2389">
    <cfRule type="cellIs" dxfId="1" priority="2380" stopIfTrue="1" operator="between">
      <formula>"Check"</formula>
      <formula>"Check"</formula>
    </cfRule>
  </conditionalFormatting>
  <conditionalFormatting sqref="R2390">
    <cfRule type="cellIs" dxfId="1" priority="2381" stopIfTrue="1" operator="between">
      <formula>"Check"</formula>
      <formula>"Check"</formula>
    </cfRule>
  </conditionalFormatting>
  <conditionalFormatting sqref="R2391">
    <cfRule type="cellIs" dxfId="1" priority="2382" stopIfTrue="1" operator="between">
      <formula>"Check"</formula>
      <formula>"Check"</formula>
    </cfRule>
  </conditionalFormatting>
  <conditionalFormatting sqref="R2392">
    <cfRule type="cellIs" dxfId="1" priority="2383" stopIfTrue="1" operator="between">
      <formula>"Check"</formula>
      <formula>"Check"</formula>
    </cfRule>
  </conditionalFormatting>
  <conditionalFormatting sqref="R2393">
    <cfRule type="cellIs" dxfId="1" priority="2384" stopIfTrue="1" operator="between">
      <formula>"Check"</formula>
      <formula>"Check"</formula>
    </cfRule>
  </conditionalFormatting>
  <conditionalFormatting sqref="R2394">
    <cfRule type="cellIs" dxfId="1" priority="2385" stopIfTrue="1" operator="between">
      <formula>"Check"</formula>
      <formula>"Check"</formula>
    </cfRule>
  </conditionalFormatting>
  <conditionalFormatting sqref="R2395">
    <cfRule type="cellIs" dxfId="1" priority="2386" stopIfTrue="1" operator="between">
      <formula>"Check"</formula>
      <formula>"Check"</formula>
    </cfRule>
  </conditionalFormatting>
  <conditionalFormatting sqref="R2396">
    <cfRule type="cellIs" dxfId="1" priority="2387" stopIfTrue="1" operator="between">
      <formula>"Check"</formula>
      <formula>"Check"</formula>
    </cfRule>
  </conditionalFormatting>
  <conditionalFormatting sqref="R2397">
    <cfRule type="cellIs" dxfId="1" priority="2388" stopIfTrue="1" operator="between">
      <formula>"Check"</formula>
      <formula>"Check"</formula>
    </cfRule>
  </conditionalFormatting>
  <conditionalFormatting sqref="R2398">
    <cfRule type="cellIs" dxfId="1" priority="2389" stopIfTrue="1" operator="between">
      <formula>"Check"</formula>
      <formula>"Check"</formula>
    </cfRule>
  </conditionalFormatting>
  <conditionalFormatting sqref="R2399">
    <cfRule type="cellIs" dxfId="1" priority="2390" stopIfTrue="1" operator="between">
      <formula>"Check"</formula>
      <formula>"Check"</formula>
    </cfRule>
  </conditionalFormatting>
  <conditionalFormatting sqref="R2400">
    <cfRule type="cellIs" dxfId="1" priority="2391" stopIfTrue="1" operator="between">
      <formula>"Check"</formula>
      <formula>"Check"</formula>
    </cfRule>
  </conditionalFormatting>
  <conditionalFormatting sqref="R2401">
    <cfRule type="cellIs" dxfId="1" priority="2392" stopIfTrue="1" operator="between">
      <formula>"Check"</formula>
      <formula>"Check"</formula>
    </cfRule>
  </conditionalFormatting>
  <conditionalFormatting sqref="R2402">
    <cfRule type="cellIs" dxfId="1" priority="2393" stopIfTrue="1" operator="between">
      <formula>"Check"</formula>
      <formula>"Check"</formula>
    </cfRule>
  </conditionalFormatting>
  <conditionalFormatting sqref="R2403">
    <cfRule type="cellIs" dxfId="1" priority="2394" stopIfTrue="1" operator="between">
      <formula>"Check"</formula>
      <formula>"Check"</formula>
    </cfRule>
  </conditionalFormatting>
  <conditionalFormatting sqref="R2404">
    <cfRule type="cellIs" dxfId="1" priority="2395" stopIfTrue="1" operator="between">
      <formula>"Check"</formula>
      <formula>"Check"</formula>
    </cfRule>
  </conditionalFormatting>
  <conditionalFormatting sqref="R2405">
    <cfRule type="cellIs" dxfId="1" priority="2396" stopIfTrue="1" operator="between">
      <formula>"Check"</formula>
      <formula>"Check"</formula>
    </cfRule>
  </conditionalFormatting>
  <conditionalFormatting sqref="R2406">
    <cfRule type="cellIs" dxfId="1" priority="2397" stopIfTrue="1" operator="between">
      <formula>"Check"</formula>
      <formula>"Check"</formula>
    </cfRule>
  </conditionalFormatting>
  <conditionalFormatting sqref="R2407">
    <cfRule type="cellIs" dxfId="1" priority="2398" stopIfTrue="1" operator="between">
      <formula>"Check"</formula>
      <formula>"Check"</formula>
    </cfRule>
  </conditionalFormatting>
  <conditionalFormatting sqref="R2408">
    <cfRule type="cellIs" dxfId="1" priority="2399" stopIfTrue="1" operator="between">
      <formula>"Check"</formula>
      <formula>"Check"</formula>
    </cfRule>
  </conditionalFormatting>
  <conditionalFormatting sqref="R2409">
    <cfRule type="cellIs" dxfId="1" priority="2400" stopIfTrue="1" operator="between">
      <formula>"Check"</formula>
      <formula>"Check"</formula>
    </cfRule>
  </conditionalFormatting>
  <conditionalFormatting sqref="R2410">
    <cfRule type="cellIs" dxfId="1" priority="2401" stopIfTrue="1" operator="between">
      <formula>"Check"</formula>
      <formula>"Check"</formula>
    </cfRule>
  </conditionalFormatting>
  <conditionalFormatting sqref="R2411">
    <cfRule type="cellIs" dxfId="1" priority="2402" stopIfTrue="1" operator="between">
      <formula>"Check"</formula>
      <formula>"Check"</formula>
    </cfRule>
  </conditionalFormatting>
  <conditionalFormatting sqref="R2412">
    <cfRule type="cellIs" dxfId="1" priority="2403" stopIfTrue="1" operator="between">
      <formula>"Check"</formula>
      <formula>"Check"</formula>
    </cfRule>
  </conditionalFormatting>
  <conditionalFormatting sqref="R2413">
    <cfRule type="cellIs" dxfId="1" priority="2404" stopIfTrue="1" operator="between">
      <formula>"Check"</formula>
      <formula>"Check"</formula>
    </cfRule>
  </conditionalFormatting>
  <conditionalFormatting sqref="R2414">
    <cfRule type="cellIs" dxfId="1" priority="2405" stopIfTrue="1" operator="between">
      <formula>"Check"</formula>
      <formula>"Check"</formula>
    </cfRule>
  </conditionalFormatting>
  <conditionalFormatting sqref="R2415">
    <cfRule type="cellIs" dxfId="1" priority="2406" stopIfTrue="1" operator="between">
      <formula>"Check"</formula>
      <formula>"Check"</formula>
    </cfRule>
  </conditionalFormatting>
  <conditionalFormatting sqref="R2416">
    <cfRule type="cellIs" dxfId="1" priority="2407" stopIfTrue="1" operator="between">
      <formula>"Check"</formula>
      <formula>"Check"</formula>
    </cfRule>
  </conditionalFormatting>
  <conditionalFormatting sqref="R2417">
    <cfRule type="cellIs" dxfId="1" priority="2408" stopIfTrue="1" operator="between">
      <formula>"Check"</formula>
      <formula>"Check"</formula>
    </cfRule>
  </conditionalFormatting>
  <conditionalFormatting sqref="R2418">
    <cfRule type="cellIs" dxfId="1" priority="2409" stopIfTrue="1" operator="between">
      <formula>"Check"</formula>
      <formula>"Check"</formula>
    </cfRule>
  </conditionalFormatting>
  <conditionalFormatting sqref="R2419">
    <cfRule type="cellIs" dxfId="1" priority="2410" stopIfTrue="1" operator="between">
      <formula>"Check"</formula>
      <formula>"Check"</formula>
    </cfRule>
  </conditionalFormatting>
  <conditionalFormatting sqref="R2420">
    <cfRule type="cellIs" dxfId="1" priority="2411" stopIfTrue="1" operator="between">
      <formula>"Check"</formula>
      <formula>"Check"</formula>
    </cfRule>
  </conditionalFormatting>
  <conditionalFormatting sqref="R2421">
    <cfRule type="cellIs" dxfId="1" priority="2412" stopIfTrue="1" operator="between">
      <formula>"Check"</formula>
      <formula>"Check"</formula>
    </cfRule>
  </conditionalFormatting>
  <conditionalFormatting sqref="R2422">
    <cfRule type="cellIs" dxfId="1" priority="2413" stopIfTrue="1" operator="between">
      <formula>"Check"</formula>
      <formula>"Check"</formula>
    </cfRule>
  </conditionalFormatting>
  <conditionalFormatting sqref="R2423">
    <cfRule type="cellIs" dxfId="1" priority="2414" stopIfTrue="1" operator="between">
      <formula>"Check"</formula>
      <formula>"Check"</formula>
    </cfRule>
  </conditionalFormatting>
  <conditionalFormatting sqref="R2424">
    <cfRule type="cellIs" dxfId="1" priority="2415" stopIfTrue="1" operator="between">
      <formula>"Check"</formula>
      <formula>"Check"</formula>
    </cfRule>
  </conditionalFormatting>
  <conditionalFormatting sqref="R2425">
    <cfRule type="cellIs" dxfId="1" priority="2416" stopIfTrue="1" operator="between">
      <formula>"Check"</formula>
      <formula>"Check"</formula>
    </cfRule>
  </conditionalFormatting>
  <conditionalFormatting sqref="R2426">
    <cfRule type="cellIs" dxfId="1" priority="2417" stopIfTrue="1" operator="between">
      <formula>"Check"</formula>
      <formula>"Check"</formula>
    </cfRule>
  </conditionalFormatting>
  <conditionalFormatting sqref="R2427">
    <cfRule type="cellIs" dxfId="1" priority="2418" stopIfTrue="1" operator="between">
      <formula>"Check"</formula>
      <formula>"Check"</formula>
    </cfRule>
  </conditionalFormatting>
  <conditionalFormatting sqref="R2428">
    <cfRule type="cellIs" dxfId="1" priority="2419" stopIfTrue="1" operator="between">
      <formula>"Check"</formula>
      <formula>"Check"</formula>
    </cfRule>
  </conditionalFormatting>
  <conditionalFormatting sqref="R2429">
    <cfRule type="cellIs" dxfId="1" priority="2420" stopIfTrue="1" operator="between">
      <formula>"Check"</formula>
      <formula>"Check"</formula>
    </cfRule>
  </conditionalFormatting>
  <conditionalFormatting sqref="R2430">
    <cfRule type="cellIs" dxfId="1" priority="2421" stopIfTrue="1" operator="between">
      <formula>"Check"</formula>
      <formula>"Check"</formula>
    </cfRule>
  </conditionalFormatting>
  <conditionalFormatting sqref="R2431">
    <cfRule type="cellIs" dxfId="1" priority="2422" stopIfTrue="1" operator="between">
      <formula>"Check"</formula>
      <formula>"Check"</formula>
    </cfRule>
  </conditionalFormatting>
  <conditionalFormatting sqref="R2432">
    <cfRule type="cellIs" dxfId="1" priority="2423" stopIfTrue="1" operator="between">
      <formula>"Check"</formula>
      <formula>"Check"</formula>
    </cfRule>
  </conditionalFormatting>
  <conditionalFormatting sqref="R2433">
    <cfRule type="cellIs" dxfId="1" priority="2424" stopIfTrue="1" operator="between">
      <formula>"Check"</formula>
      <formula>"Check"</formula>
    </cfRule>
  </conditionalFormatting>
  <conditionalFormatting sqref="R2434">
    <cfRule type="cellIs" dxfId="1" priority="2425" stopIfTrue="1" operator="between">
      <formula>"Check"</formula>
      <formula>"Check"</formula>
    </cfRule>
  </conditionalFormatting>
  <conditionalFormatting sqref="R2435">
    <cfRule type="cellIs" dxfId="1" priority="2426" stopIfTrue="1" operator="between">
      <formula>"Check"</formula>
      <formula>"Check"</formula>
    </cfRule>
  </conditionalFormatting>
  <conditionalFormatting sqref="R2436">
    <cfRule type="cellIs" dxfId="1" priority="2427" stopIfTrue="1" operator="between">
      <formula>"Check"</formula>
      <formula>"Check"</formula>
    </cfRule>
  </conditionalFormatting>
  <conditionalFormatting sqref="R2437">
    <cfRule type="cellIs" dxfId="1" priority="2428" stopIfTrue="1" operator="between">
      <formula>"Check"</formula>
      <formula>"Check"</formula>
    </cfRule>
  </conditionalFormatting>
  <conditionalFormatting sqref="R2438">
    <cfRule type="cellIs" dxfId="1" priority="2429" stopIfTrue="1" operator="between">
      <formula>"Check"</formula>
      <formula>"Check"</formula>
    </cfRule>
  </conditionalFormatting>
  <conditionalFormatting sqref="R2439">
    <cfRule type="cellIs" dxfId="1" priority="2430" stopIfTrue="1" operator="between">
      <formula>"Check"</formula>
      <formula>"Check"</formula>
    </cfRule>
  </conditionalFormatting>
  <conditionalFormatting sqref="R2440">
    <cfRule type="cellIs" dxfId="1" priority="2431" stopIfTrue="1" operator="between">
      <formula>"Check"</formula>
      <formula>"Check"</formula>
    </cfRule>
  </conditionalFormatting>
  <conditionalFormatting sqref="R2441">
    <cfRule type="cellIs" dxfId="1" priority="2432" stopIfTrue="1" operator="between">
      <formula>"Check"</formula>
      <formula>"Check"</formula>
    </cfRule>
  </conditionalFormatting>
  <conditionalFormatting sqref="R2442">
    <cfRule type="cellIs" dxfId="1" priority="2433" stopIfTrue="1" operator="between">
      <formula>"Check"</formula>
      <formula>"Check"</formula>
    </cfRule>
  </conditionalFormatting>
  <conditionalFormatting sqref="R2443">
    <cfRule type="cellIs" dxfId="1" priority="2434" stopIfTrue="1" operator="between">
      <formula>"Check"</formula>
      <formula>"Check"</formula>
    </cfRule>
  </conditionalFormatting>
  <conditionalFormatting sqref="R2444">
    <cfRule type="cellIs" dxfId="1" priority="2435" stopIfTrue="1" operator="between">
      <formula>"Check"</formula>
      <formula>"Check"</formula>
    </cfRule>
  </conditionalFormatting>
  <conditionalFormatting sqref="R2445">
    <cfRule type="cellIs" dxfId="1" priority="2436" stopIfTrue="1" operator="between">
      <formula>"Check"</formula>
      <formula>"Check"</formula>
    </cfRule>
  </conditionalFormatting>
  <conditionalFormatting sqref="R2446">
    <cfRule type="cellIs" dxfId="1" priority="2437" stopIfTrue="1" operator="between">
      <formula>"Check"</formula>
      <formula>"Check"</formula>
    </cfRule>
  </conditionalFormatting>
  <conditionalFormatting sqref="R2447">
    <cfRule type="cellIs" dxfId="1" priority="2438" stopIfTrue="1" operator="between">
      <formula>"Check"</formula>
      <formula>"Check"</formula>
    </cfRule>
  </conditionalFormatting>
  <conditionalFormatting sqref="R2448">
    <cfRule type="cellIs" dxfId="1" priority="2439" stopIfTrue="1" operator="between">
      <formula>"Check"</formula>
      <formula>"Check"</formula>
    </cfRule>
  </conditionalFormatting>
  <conditionalFormatting sqref="R2449">
    <cfRule type="cellIs" dxfId="1" priority="2440" stopIfTrue="1" operator="between">
      <formula>"Check"</formula>
      <formula>"Check"</formula>
    </cfRule>
  </conditionalFormatting>
  <conditionalFormatting sqref="R2450">
    <cfRule type="cellIs" dxfId="1" priority="2441" stopIfTrue="1" operator="between">
      <formula>"Check"</formula>
      <formula>"Check"</formula>
    </cfRule>
  </conditionalFormatting>
  <conditionalFormatting sqref="R2451">
    <cfRule type="cellIs" dxfId="1" priority="2442" stopIfTrue="1" operator="between">
      <formula>"Check"</formula>
      <formula>"Check"</formula>
    </cfRule>
  </conditionalFormatting>
  <conditionalFormatting sqref="R2452">
    <cfRule type="cellIs" dxfId="1" priority="2443" stopIfTrue="1" operator="between">
      <formula>"Check"</formula>
      <formula>"Check"</formula>
    </cfRule>
  </conditionalFormatting>
  <conditionalFormatting sqref="R2453">
    <cfRule type="cellIs" dxfId="1" priority="2444" stopIfTrue="1" operator="between">
      <formula>"Check"</formula>
      <formula>"Check"</formula>
    </cfRule>
  </conditionalFormatting>
  <conditionalFormatting sqref="R2454">
    <cfRule type="cellIs" dxfId="1" priority="2445" stopIfTrue="1" operator="between">
      <formula>"Check"</formula>
      <formula>"Check"</formula>
    </cfRule>
  </conditionalFormatting>
  <conditionalFormatting sqref="R2455">
    <cfRule type="cellIs" dxfId="1" priority="2446" stopIfTrue="1" operator="between">
      <formula>"Check"</formula>
      <formula>"Check"</formula>
    </cfRule>
  </conditionalFormatting>
  <conditionalFormatting sqref="R2456">
    <cfRule type="cellIs" dxfId="1" priority="2447" stopIfTrue="1" operator="between">
      <formula>"Check"</formula>
      <formula>"Check"</formula>
    </cfRule>
  </conditionalFormatting>
  <conditionalFormatting sqref="R2457">
    <cfRule type="cellIs" dxfId="1" priority="2448" stopIfTrue="1" operator="between">
      <formula>"Check"</formula>
      <formula>"Check"</formula>
    </cfRule>
  </conditionalFormatting>
  <conditionalFormatting sqref="R2458">
    <cfRule type="cellIs" dxfId="1" priority="2449" stopIfTrue="1" operator="between">
      <formula>"Check"</formula>
      <formula>"Check"</formula>
    </cfRule>
  </conditionalFormatting>
  <conditionalFormatting sqref="R2459">
    <cfRule type="cellIs" dxfId="1" priority="2450" stopIfTrue="1" operator="between">
      <formula>"Check"</formula>
      <formula>"Check"</formula>
    </cfRule>
  </conditionalFormatting>
  <conditionalFormatting sqref="R2460">
    <cfRule type="cellIs" dxfId="1" priority="2451" stopIfTrue="1" operator="between">
      <formula>"Check"</formula>
      <formula>"Check"</formula>
    </cfRule>
  </conditionalFormatting>
  <conditionalFormatting sqref="R2461">
    <cfRule type="cellIs" dxfId="1" priority="2452" stopIfTrue="1" operator="between">
      <formula>"Check"</formula>
      <formula>"Check"</formula>
    </cfRule>
  </conditionalFormatting>
  <conditionalFormatting sqref="R2462">
    <cfRule type="cellIs" dxfId="1" priority="2453" stopIfTrue="1" operator="between">
      <formula>"Check"</formula>
      <formula>"Check"</formula>
    </cfRule>
  </conditionalFormatting>
  <conditionalFormatting sqref="R2463">
    <cfRule type="cellIs" dxfId="1" priority="2454" stopIfTrue="1" operator="between">
      <formula>"Check"</formula>
      <formula>"Check"</formula>
    </cfRule>
  </conditionalFormatting>
  <conditionalFormatting sqref="R2464">
    <cfRule type="cellIs" dxfId="1" priority="2455" stopIfTrue="1" operator="between">
      <formula>"Check"</formula>
      <formula>"Check"</formula>
    </cfRule>
  </conditionalFormatting>
  <conditionalFormatting sqref="R2465">
    <cfRule type="cellIs" dxfId="1" priority="2456" stopIfTrue="1" operator="between">
      <formula>"Check"</formula>
      <formula>"Check"</formula>
    </cfRule>
  </conditionalFormatting>
  <conditionalFormatting sqref="R2466">
    <cfRule type="cellIs" dxfId="1" priority="2457" stopIfTrue="1" operator="between">
      <formula>"Check"</formula>
      <formula>"Check"</formula>
    </cfRule>
  </conditionalFormatting>
  <conditionalFormatting sqref="R2467">
    <cfRule type="cellIs" dxfId="1" priority="2458" stopIfTrue="1" operator="between">
      <formula>"Check"</formula>
      <formula>"Check"</formula>
    </cfRule>
  </conditionalFormatting>
  <conditionalFormatting sqref="R2468">
    <cfRule type="cellIs" dxfId="1" priority="2459" stopIfTrue="1" operator="between">
      <formula>"Check"</formula>
      <formula>"Check"</formula>
    </cfRule>
  </conditionalFormatting>
  <conditionalFormatting sqref="R2469">
    <cfRule type="cellIs" dxfId="1" priority="2460" stopIfTrue="1" operator="between">
      <formula>"Check"</formula>
      <formula>"Check"</formula>
    </cfRule>
  </conditionalFormatting>
  <conditionalFormatting sqref="R2470">
    <cfRule type="cellIs" dxfId="1" priority="2461" stopIfTrue="1" operator="between">
      <formula>"Check"</formula>
      <formula>"Check"</formula>
    </cfRule>
  </conditionalFormatting>
  <conditionalFormatting sqref="R2471">
    <cfRule type="cellIs" dxfId="1" priority="2462" stopIfTrue="1" operator="between">
      <formula>"Check"</formula>
      <formula>"Check"</formula>
    </cfRule>
  </conditionalFormatting>
  <conditionalFormatting sqref="R2472">
    <cfRule type="cellIs" dxfId="1" priority="2463" stopIfTrue="1" operator="between">
      <formula>"Check"</formula>
      <formula>"Check"</formula>
    </cfRule>
  </conditionalFormatting>
  <conditionalFormatting sqref="R2473">
    <cfRule type="cellIs" dxfId="1" priority="2464" stopIfTrue="1" operator="between">
      <formula>"Check"</formula>
      <formula>"Check"</formula>
    </cfRule>
  </conditionalFormatting>
  <conditionalFormatting sqref="R2474">
    <cfRule type="cellIs" dxfId="1" priority="2465" stopIfTrue="1" operator="between">
      <formula>"Check"</formula>
      <formula>"Check"</formula>
    </cfRule>
  </conditionalFormatting>
  <conditionalFormatting sqref="R2475">
    <cfRule type="cellIs" dxfId="1" priority="2466" stopIfTrue="1" operator="between">
      <formula>"Check"</formula>
      <formula>"Check"</formula>
    </cfRule>
  </conditionalFormatting>
  <conditionalFormatting sqref="R2476">
    <cfRule type="cellIs" dxfId="1" priority="2467" stopIfTrue="1" operator="between">
      <formula>"Check"</formula>
      <formula>"Check"</formula>
    </cfRule>
  </conditionalFormatting>
  <conditionalFormatting sqref="R2477">
    <cfRule type="cellIs" dxfId="1" priority="2468" stopIfTrue="1" operator="between">
      <formula>"Check"</formula>
      <formula>"Check"</formula>
    </cfRule>
  </conditionalFormatting>
  <conditionalFormatting sqref="R2478">
    <cfRule type="cellIs" dxfId="1" priority="2469" stopIfTrue="1" operator="between">
      <formula>"Check"</formula>
      <formula>"Check"</formula>
    </cfRule>
  </conditionalFormatting>
  <conditionalFormatting sqref="R2479">
    <cfRule type="cellIs" dxfId="1" priority="2470" stopIfTrue="1" operator="between">
      <formula>"Check"</formula>
      <formula>"Check"</formula>
    </cfRule>
  </conditionalFormatting>
  <conditionalFormatting sqref="R2480">
    <cfRule type="cellIs" dxfId="1" priority="2471" stopIfTrue="1" operator="between">
      <formula>"Check"</formula>
      <formula>"Check"</formula>
    </cfRule>
  </conditionalFormatting>
  <conditionalFormatting sqref="R2481">
    <cfRule type="cellIs" dxfId="1" priority="2472" stopIfTrue="1" operator="between">
      <formula>"Check"</formula>
      <formula>"Check"</formula>
    </cfRule>
  </conditionalFormatting>
  <conditionalFormatting sqref="R2482">
    <cfRule type="cellIs" dxfId="1" priority="2473" stopIfTrue="1" operator="between">
      <formula>"Check"</formula>
      <formula>"Check"</formula>
    </cfRule>
  </conditionalFormatting>
  <conditionalFormatting sqref="R2483">
    <cfRule type="cellIs" dxfId="1" priority="2474" stopIfTrue="1" operator="between">
      <formula>"Check"</formula>
      <formula>"Check"</formula>
    </cfRule>
  </conditionalFormatting>
  <conditionalFormatting sqref="R2484">
    <cfRule type="cellIs" dxfId="1" priority="2475" stopIfTrue="1" operator="between">
      <formula>"Check"</formula>
      <formula>"Check"</formula>
    </cfRule>
  </conditionalFormatting>
  <conditionalFormatting sqref="R2485">
    <cfRule type="cellIs" dxfId="1" priority="2476" stopIfTrue="1" operator="between">
      <formula>"Check"</formula>
      <formula>"Check"</formula>
    </cfRule>
  </conditionalFormatting>
  <conditionalFormatting sqref="R2486">
    <cfRule type="cellIs" dxfId="1" priority="2477" stopIfTrue="1" operator="between">
      <formula>"Check"</formula>
      <formula>"Check"</formula>
    </cfRule>
  </conditionalFormatting>
  <conditionalFormatting sqref="R2487">
    <cfRule type="cellIs" dxfId="1" priority="2478" stopIfTrue="1" operator="between">
      <formula>"Check"</formula>
      <formula>"Check"</formula>
    </cfRule>
  </conditionalFormatting>
  <conditionalFormatting sqref="R2488">
    <cfRule type="cellIs" dxfId="1" priority="2479" stopIfTrue="1" operator="between">
      <formula>"Check"</formula>
      <formula>"Check"</formula>
    </cfRule>
  </conditionalFormatting>
  <conditionalFormatting sqref="R2489">
    <cfRule type="cellIs" dxfId="1" priority="2480" stopIfTrue="1" operator="between">
      <formula>"Check"</formula>
      <formula>"Check"</formula>
    </cfRule>
  </conditionalFormatting>
  <conditionalFormatting sqref="R2490">
    <cfRule type="cellIs" dxfId="1" priority="2481" stopIfTrue="1" operator="between">
      <formula>"Check"</formula>
      <formula>"Check"</formula>
    </cfRule>
  </conditionalFormatting>
  <conditionalFormatting sqref="R2491">
    <cfRule type="cellIs" dxfId="1" priority="2482" stopIfTrue="1" operator="between">
      <formula>"Check"</formula>
      <formula>"Check"</formula>
    </cfRule>
  </conditionalFormatting>
  <conditionalFormatting sqref="R2492">
    <cfRule type="cellIs" dxfId="1" priority="2483" stopIfTrue="1" operator="between">
      <formula>"Check"</formula>
      <formula>"Check"</formula>
    </cfRule>
  </conditionalFormatting>
  <conditionalFormatting sqref="R2493">
    <cfRule type="cellIs" dxfId="1" priority="2484" stopIfTrue="1" operator="between">
      <formula>"Check"</formula>
      <formula>"Check"</formula>
    </cfRule>
  </conditionalFormatting>
  <conditionalFormatting sqref="R2494">
    <cfRule type="cellIs" dxfId="1" priority="2485" stopIfTrue="1" operator="between">
      <formula>"Check"</formula>
      <formula>"Check"</formula>
    </cfRule>
  </conditionalFormatting>
  <conditionalFormatting sqref="R2495">
    <cfRule type="cellIs" dxfId="1" priority="2486" stopIfTrue="1" operator="between">
      <formula>"Check"</formula>
      <formula>"Check"</formula>
    </cfRule>
  </conditionalFormatting>
  <conditionalFormatting sqref="R2496">
    <cfRule type="cellIs" dxfId="1" priority="2487" stopIfTrue="1" operator="between">
      <formula>"Check"</formula>
      <formula>"Check"</formula>
    </cfRule>
  </conditionalFormatting>
  <conditionalFormatting sqref="R2497">
    <cfRule type="cellIs" dxfId="1" priority="2488" stopIfTrue="1" operator="between">
      <formula>"Check"</formula>
      <formula>"Check"</formula>
    </cfRule>
  </conditionalFormatting>
  <conditionalFormatting sqref="R2498">
    <cfRule type="cellIs" dxfId="1" priority="2489" stopIfTrue="1" operator="between">
      <formula>"Check"</formula>
      <formula>"Check"</formula>
    </cfRule>
  </conditionalFormatting>
  <conditionalFormatting sqref="R2499">
    <cfRule type="cellIs" dxfId="1" priority="2490" stopIfTrue="1" operator="between">
      <formula>"Check"</formula>
      <formula>"Check"</formula>
    </cfRule>
  </conditionalFormatting>
  <conditionalFormatting sqref="R2500">
    <cfRule type="cellIs" dxfId="1" priority="2491" stopIfTrue="1" operator="between">
      <formula>"Check"</formula>
      <formula>"Check"</formula>
    </cfRule>
  </conditionalFormatting>
  <conditionalFormatting sqref="R2501">
    <cfRule type="cellIs" dxfId="1" priority="2492" stopIfTrue="1" operator="between">
      <formula>"Check"</formula>
      <formula>"Check"</formula>
    </cfRule>
  </conditionalFormatting>
  <conditionalFormatting sqref="R2502">
    <cfRule type="cellIs" dxfId="1" priority="2493" stopIfTrue="1" operator="between">
      <formula>"Check"</formula>
      <formula>"Check"</formula>
    </cfRule>
  </conditionalFormatting>
  <conditionalFormatting sqref="R2503">
    <cfRule type="cellIs" dxfId="1" priority="2494" stopIfTrue="1" operator="between">
      <formula>"Check"</formula>
      <formula>"Check"</formula>
    </cfRule>
  </conditionalFormatting>
  <conditionalFormatting sqref="R2504">
    <cfRule type="cellIs" dxfId="1" priority="2495" stopIfTrue="1" operator="between">
      <formula>"Check"</formula>
      <formula>"Check"</formula>
    </cfRule>
  </conditionalFormatting>
  <conditionalFormatting sqref="R2505">
    <cfRule type="cellIs" dxfId="1" priority="2496" stopIfTrue="1" operator="between">
      <formula>"Check"</formula>
      <formula>"Check"</formula>
    </cfRule>
  </conditionalFormatting>
  <conditionalFormatting sqref="R2506">
    <cfRule type="cellIs" dxfId="1" priority="2497" stopIfTrue="1" operator="between">
      <formula>"Check"</formula>
      <formula>"Check"</formula>
    </cfRule>
  </conditionalFormatting>
  <conditionalFormatting sqref="R2507">
    <cfRule type="cellIs" dxfId="1" priority="2498" stopIfTrue="1" operator="between">
      <formula>"Check"</formula>
      <formula>"Check"</formula>
    </cfRule>
  </conditionalFormatting>
  <conditionalFormatting sqref="R2508">
    <cfRule type="cellIs" dxfId="1" priority="2499" stopIfTrue="1" operator="between">
      <formula>"Check"</formula>
      <formula>"Check"</formula>
    </cfRule>
  </conditionalFormatting>
  <conditionalFormatting sqref="R2509">
    <cfRule type="cellIs" dxfId="1" priority="2500" stopIfTrue="1" operator="between">
      <formula>"Check"</formula>
      <formula>"Check"</formula>
    </cfRule>
  </conditionalFormatting>
  <conditionalFormatting sqref="R2510">
    <cfRule type="cellIs" dxfId="1" priority="2501" stopIfTrue="1" operator="between">
      <formula>"Check"</formula>
      <formula>"Check"</formula>
    </cfRule>
  </conditionalFormatting>
  <conditionalFormatting sqref="R2511">
    <cfRule type="cellIs" dxfId="1" priority="2502" stopIfTrue="1" operator="between">
      <formula>"Check"</formula>
      <formula>"Check"</formula>
    </cfRule>
  </conditionalFormatting>
  <conditionalFormatting sqref="R2512">
    <cfRule type="cellIs" dxfId="1" priority="2503" stopIfTrue="1" operator="between">
      <formula>"Check"</formula>
      <formula>"Check"</formula>
    </cfRule>
  </conditionalFormatting>
  <conditionalFormatting sqref="R2513">
    <cfRule type="cellIs" dxfId="1" priority="2504" stopIfTrue="1" operator="between">
      <formula>"Check"</formula>
      <formula>"Check"</formula>
    </cfRule>
  </conditionalFormatting>
  <conditionalFormatting sqref="R2514">
    <cfRule type="cellIs" dxfId="1" priority="2505" stopIfTrue="1" operator="between">
      <formula>"Check"</formula>
      <formula>"Check"</formula>
    </cfRule>
  </conditionalFormatting>
  <conditionalFormatting sqref="R2515">
    <cfRule type="cellIs" dxfId="1" priority="2506" stopIfTrue="1" operator="between">
      <formula>"Check"</formula>
      <formula>"Check"</formula>
    </cfRule>
  </conditionalFormatting>
  <conditionalFormatting sqref="R2516">
    <cfRule type="cellIs" dxfId="1" priority="2507" stopIfTrue="1" operator="between">
      <formula>"Check"</formula>
      <formula>"Check"</formula>
    </cfRule>
  </conditionalFormatting>
  <conditionalFormatting sqref="R2517">
    <cfRule type="cellIs" dxfId="1" priority="2508" stopIfTrue="1" operator="between">
      <formula>"Check"</formula>
      <formula>"Check"</formula>
    </cfRule>
  </conditionalFormatting>
  <conditionalFormatting sqref="R2518">
    <cfRule type="cellIs" dxfId="1" priority="2509" stopIfTrue="1" operator="between">
      <formula>"Check"</formula>
      <formula>"Check"</formula>
    </cfRule>
  </conditionalFormatting>
  <conditionalFormatting sqref="R2519">
    <cfRule type="cellIs" dxfId="1" priority="2510" stopIfTrue="1" operator="between">
      <formula>"Check"</formula>
      <formula>"Check"</formula>
    </cfRule>
  </conditionalFormatting>
  <conditionalFormatting sqref="R2520">
    <cfRule type="cellIs" dxfId="1" priority="2511" stopIfTrue="1" operator="between">
      <formula>"Check"</formula>
      <formula>"Check"</formula>
    </cfRule>
  </conditionalFormatting>
  <conditionalFormatting sqref="R2521">
    <cfRule type="cellIs" dxfId="1" priority="2512" stopIfTrue="1" operator="between">
      <formula>"Check"</formula>
      <formula>"Check"</formula>
    </cfRule>
  </conditionalFormatting>
  <conditionalFormatting sqref="R2522">
    <cfRule type="cellIs" dxfId="1" priority="2513" stopIfTrue="1" operator="between">
      <formula>"Check"</formula>
      <formula>"Check"</formula>
    </cfRule>
  </conditionalFormatting>
  <conditionalFormatting sqref="R2523">
    <cfRule type="cellIs" dxfId="1" priority="2514" stopIfTrue="1" operator="between">
      <formula>"Check"</formula>
      <formula>"Check"</formula>
    </cfRule>
  </conditionalFormatting>
  <conditionalFormatting sqref="R2524">
    <cfRule type="cellIs" dxfId="1" priority="2515" stopIfTrue="1" operator="between">
      <formula>"Check"</formula>
      <formula>"Check"</formula>
    </cfRule>
  </conditionalFormatting>
  <conditionalFormatting sqref="R2525">
    <cfRule type="cellIs" dxfId="1" priority="2516" stopIfTrue="1" operator="between">
      <formula>"Check"</formula>
      <formula>"Check"</formula>
    </cfRule>
  </conditionalFormatting>
  <conditionalFormatting sqref="R2526">
    <cfRule type="cellIs" dxfId="1" priority="2517" stopIfTrue="1" operator="between">
      <formula>"Check"</formula>
      <formula>"Check"</formula>
    </cfRule>
  </conditionalFormatting>
  <conditionalFormatting sqref="R2527">
    <cfRule type="cellIs" dxfId="1" priority="2518" stopIfTrue="1" operator="between">
      <formula>"Check"</formula>
      <formula>"Check"</formula>
    </cfRule>
  </conditionalFormatting>
  <conditionalFormatting sqref="R2528">
    <cfRule type="cellIs" dxfId="1" priority="2519" stopIfTrue="1" operator="between">
      <formula>"Check"</formula>
      <formula>"Check"</formula>
    </cfRule>
  </conditionalFormatting>
  <conditionalFormatting sqref="R2529">
    <cfRule type="cellIs" dxfId="1" priority="2520" stopIfTrue="1" operator="between">
      <formula>"Check"</formula>
      <formula>"Check"</formula>
    </cfRule>
  </conditionalFormatting>
  <conditionalFormatting sqref="R2530">
    <cfRule type="cellIs" dxfId="1" priority="2521" stopIfTrue="1" operator="between">
      <formula>"Check"</formula>
      <formula>"Check"</formula>
    </cfRule>
  </conditionalFormatting>
  <conditionalFormatting sqref="R2531">
    <cfRule type="cellIs" dxfId="1" priority="2522" stopIfTrue="1" operator="between">
      <formula>"Check"</formula>
      <formula>"Check"</formula>
    </cfRule>
  </conditionalFormatting>
  <conditionalFormatting sqref="R2532">
    <cfRule type="cellIs" dxfId="1" priority="2523" stopIfTrue="1" operator="between">
      <formula>"Check"</formula>
      <formula>"Check"</formula>
    </cfRule>
  </conditionalFormatting>
  <conditionalFormatting sqref="R2533">
    <cfRule type="cellIs" dxfId="1" priority="2524" stopIfTrue="1" operator="between">
      <formula>"Check"</formula>
      <formula>"Check"</formula>
    </cfRule>
  </conditionalFormatting>
  <conditionalFormatting sqref="R2534">
    <cfRule type="cellIs" dxfId="1" priority="2525" stopIfTrue="1" operator="between">
      <formula>"Check"</formula>
      <formula>"Check"</formula>
    </cfRule>
  </conditionalFormatting>
  <conditionalFormatting sqref="R2535">
    <cfRule type="cellIs" dxfId="1" priority="2526" stopIfTrue="1" operator="between">
      <formula>"Check"</formula>
      <formula>"Check"</formula>
    </cfRule>
  </conditionalFormatting>
  <conditionalFormatting sqref="R2536">
    <cfRule type="cellIs" dxfId="1" priority="2527" stopIfTrue="1" operator="between">
      <formula>"Check"</formula>
      <formula>"Check"</formula>
    </cfRule>
  </conditionalFormatting>
  <conditionalFormatting sqref="R2537">
    <cfRule type="cellIs" dxfId="1" priority="2528" stopIfTrue="1" operator="between">
      <formula>"Check"</formula>
      <formula>"Check"</formula>
    </cfRule>
  </conditionalFormatting>
  <conditionalFormatting sqref="R2538">
    <cfRule type="cellIs" dxfId="1" priority="2529" stopIfTrue="1" operator="between">
      <formula>"Check"</formula>
      <formula>"Check"</formula>
    </cfRule>
  </conditionalFormatting>
  <conditionalFormatting sqref="R2539">
    <cfRule type="cellIs" dxfId="1" priority="2530" stopIfTrue="1" operator="between">
      <formula>"Check"</formula>
      <formula>"Check"</formula>
    </cfRule>
  </conditionalFormatting>
  <pageMargins left="0.23" right="0.2" top="0.47" bottom="0.21" header="0.33" footer="0.3"/>
  <pageSetup paperSize="9" scale="48" fitToHeight="0"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indexed="34"/>
    <outlinePr summaryBelow="0" summaryRight="0"/>
    <pageSetUpPr fitToPage="1"/>
  </sheetPr>
  <dimension ref="A1:AF2543"/>
  <sheetViews>
    <sheetView view="pageBreakPreview" zoomScale="115" zoomScaleNormal="100" workbookViewId="0">
      <pane xSplit="10" ySplit="12" topLeftCell="K13" activePane="bottomRight" state="frozen"/>
      <selection/>
      <selection pane="topRight"/>
      <selection pane="bottomLeft"/>
      <selection pane="bottomRight" activeCell="AA2531" sqref="AA2531"/>
    </sheetView>
  </sheetViews>
  <sheetFormatPr defaultColWidth="9" defaultRowHeight="13.6"/>
  <cols>
    <col min="1" max="1" width="4.7734375" style="98" customWidth="1"/>
    <col min="2" max="3" width="6.7734375" style="98" customWidth="1"/>
    <col min="4" max="4" width="4.6640625" style="99" customWidth="1"/>
    <col min="5" max="5" width="5.8828125" style="100" customWidth="1"/>
    <col min="6" max="6" width="5.8828125" style="101" customWidth="1"/>
    <col min="7" max="8" width="5.8828125" style="102" customWidth="1"/>
    <col min="9" max="9" width="10.4453125" style="102" customWidth="1"/>
    <col min="10" max="10" width="47.3359375" style="103" customWidth="1"/>
    <col min="11" max="12" width="10.6640625" style="104" customWidth="1"/>
    <col min="13" max="13" width="8" style="105" customWidth="1"/>
    <col min="14" max="14" width="11" style="104" customWidth="1"/>
    <col min="15" max="15" width="10.7734375" style="106" hidden="1" customWidth="1"/>
    <col min="16" max="17" width="12.3359375" style="107" customWidth="1"/>
    <col min="18" max="18" width="8.3359375" style="108" hidden="1" customWidth="1"/>
    <col min="19" max="19" width="15.3359375" style="101" customWidth="1"/>
    <col min="20" max="20" width="9" style="109"/>
    <col min="21" max="21" width="9.25" style="109"/>
    <col min="22" max="233" width="9" style="109"/>
    <col min="234" max="234" width="5.109375" style="109" customWidth="1"/>
    <col min="235" max="235" width="4.6640625" style="109" customWidth="1"/>
    <col min="236" max="236" width="7.109375" style="109" customWidth="1"/>
    <col min="237" max="237" width="10.3359375" style="109" customWidth="1"/>
    <col min="238" max="238" width="12" style="109" customWidth="1"/>
    <col min="239" max="239" width="19.6640625" style="109" customWidth="1"/>
    <col min="240" max="240" width="42.6640625" style="109" customWidth="1"/>
    <col min="241" max="241" width="8.109375" style="109" customWidth="1"/>
    <col min="242" max="242" width="9" style="109" hidden="1" customWidth="1"/>
    <col min="243" max="243" width="4.8828125" style="109" customWidth="1"/>
    <col min="244" max="244" width="9" style="109" hidden="1" customWidth="1"/>
    <col min="245" max="247" width="8.3359375" style="109" customWidth="1"/>
    <col min="248" max="248" width="14.6640625" style="109" customWidth="1"/>
    <col min="249" max="250" width="9" style="109" hidden="1" customWidth="1"/>
    <col min="251" max="16384" width="9" style="109"/>
  </cols>
  <sheetData>
    <row r="1" s="96" customFormat="1" ht="35.25" customHeight="1" spans="1:32">
      <c r="A1" s="110" t="s">
        <v>706</v>
      </c>
      <c r="B1" s="110"/>
      <c r="C1" s="110"/>
      <c r="D1" s="110"/>
      <c r="E1" s="110"/>
      <c r="F1" s="110"/>
      <c r="G1" s="110"/>
      <c r="H1" s="110"/>
      <c r="I1" s="110"/>
      <c r="J1" s="110"/>
      <c r="K1" s="110"/>
      <c r="L1" s="110"/>
      <c r="M1" s="110"/>
      <c r="N1" s="110"/>
      <c r="O1" s="110"/>
      <c r="P1" s="110"/>
      <c r="Q1" s="110"/>
      <c r="R1" s="110"/>
      <c r="S1" s="110"/>
      <c r="T1" s="111"/>
      <c r="U1" s="111" t="s">
        <v>707</v>
      </c>
      <c r="V1" s="111"/>
      <c r="W1" s="111" t="s">
        <v>708</v>
      </c>
      <c r="X1" s="112"/>
      <c r="Y1" s="111" t="s">
        <v>709</v>
      </c>
      <c r="Z1" s="113"/>
      <c r="AA1" s="111"/>
      <c r="AB1" s="111" t="s">
        <v>710</v>
      </c>
      <c r="AC1" s="111"/>
      <c r="AD1" s="111"/>
      <c r="AE1" s="114" t="s">
        <v>711</v>
      </c>
      <c r="AF1" s="111"/>
    </row>
    <row r="2" s="96" customFormat="1" ht="15.6" customHeight="1" spans="1:32">
      <c r="A2" s="115"/>
      <c r="B2" s="115"/>
      <c r="C2" s="115"/>
      <c r="D2" s="116"/>
      <c r="E2" s="117" t="s">
        <v>712</v>
      </c>
      <c r="F2" s="118">
        <v>1</v>
      </c>
      <c r="G2" s="119"/>
      <c r="H2" s="120" t="s">
        <v>4</v>
      </c>
      <c r="I2" s="120"/>
      <c r="J2" s="121" t="s">
        <v>713</v>
      </c>
      <c r="K2" s="122"/>
      <c r="L2" s="122"/>
      <c r="M2" s="123" t="s">
        <v>5</v>
      </c>
      <c r="N2" s="124"/>
      <c r="O2" s="125" t="s">
        <v>714</v>
      </c>
      <c r="P2" s="125"/>
      <c r="Q2" s="125"/>
      <c r="R2" s="126"/>
      <c r="S2" s="126"/>
      <c r="T2" s="113"/>
      <c r="U2" s="127" t="s">
        <v>715</v>
      </c>
      <c r="V2" s="128" t="s">
        <v>716</v>
      </c>
      <c r="W2" s="128" t="s">
        <v>717</v>
      </c>
      <c r="X2" s="129" t="s">
        <v>718</v>
      </c>
      <c r="Y2" s="129" t="s">
        <v>719</v>
      </c>
      <c r="Z2" s="113"/>
      <c r="AA2" s="113" t="s">
        <v>720</v>
      </c>
      <c r="AB2" s="113" t="s">
        <v>721</v>
      </c>
      <c r="AC2" s="113" t="s">
        <v>722</v>
      </c>
      <c r="AD2" s="113" t="s">
        <v>723</v>
      </c>
      <c r="AE2" s="113"/>
      <c r="AF2" s="113"/>
    </row>
    <row r="3" s="96" customFormat="1" ht="15.6" customHeight="1" spans="1:32">
      <c r="A3" s="115"/>
      <c r="B3" s="115"/>
      <c r="C3" s="115"/>
      <c r="D3" s="116"/>
      <c r="E3" s="117" t="s">
        <v>724</v>
      </c>
      <c r="F3" s="130"/>
      <c r="G3" s="119"/>
      <c r="H3" s="120" t="s">
        <v>725</v>
      </c>
      <c r="I3" s="120"/>
      <c r="J3" s="121" t="s">
        <v>726</v>
      </c>
      <c r="K3" s="122"/>
      <c r="L3" s="122"/>
      <c r="M3" s="131" t="s">
        <v>7</v>
      </c>
      <c r="N3" s="124"/>
      <c r="O3" s="132" t="s">
        <v>727</v>
      </c>
      <c r="P3" s="133" t="s">
        <v>728</v>
      </c>
      <c r="Q3" s="133" t="s">
        <v>728</v>
      </c>
      <c r="R3" s="134"/>
      <c r="S3" s="135"/>
      <c r="T3" s="113" t="s">
        <v>729</v>
      </c>
      <c r="U3" s="113">
        <f>P2540</f>
        <v>602809.05</v>
      </c>
      <c r="V3" s="113"/>
      <c r="W3" s="113"/>
      <c r="X3" s="113"/>
      <c r="Y3" s="113"/>
      <c r="Z3" s="113"/>
      <c r="AB3" s="113">
        <v>13</v>
      </c>
      <c r="AC3" s="113"/>
      <c r="AD3" s="113">
        <v>2</v>
      </c>
      <c r="AF3" s="113"/>
    </row>
    <row r="4" s="96" customFormat="1" ht="13.8" customHeight="1" spans="1:32">
      <c r="A4" s="115"/>
      <c r="B4" s="115"/>
      <c r="C4" s="115"/>
      <c r="D4" s="116"/>
      <c r="E4" s="117" t="s">
        <v>730</v>
      </c>
      <c r="F4" s="130"/>
      <c r="G4" s="119"/>
      <c r="H4" s="120" t="s">
        <v>731</v>
      </c>
      <c r="I4" s="120"/>
      <c r="J4" s="136" t="s">
        <v>732</v>
      </c>
      <c r="K4" s="122"/>
      <c r="L4" s="122"/>
      <c r="M4" s="131" t="s">
        <v>9</v>
      </c>
      <c r="N4" s="137"/>
      <c r="O4" s="138" t="s">
        <v>733</v>
      </c>
      <c r="P4" s="139"/>
      <c r="Q4" s="139"/>
      <c r="R4" s="140"/>
      <c r="S4" s="141"/>
      <c r="T4" s="113" t="s">
        <v>734</v>
      </c>
      <c r="U4" s="113">
        <f>Q2540</f>
        <v>593377.83</v>
      </c>
      <c r="V4" s="113">
        <f>U3-U4</f>
        <v>9431.2200000002</v>
      </c>
      <c r="W4" s="142">
        <f>V4/U3</f>
        <v>0.0156454519055416</v>
      </c>
      <c r="X4" s="113">
        <f>V2540</f>
        <v>15685.78</v>
      </c>
      <c r="Y4" s="142">
        <f>X4/U3</f>
        <v>0.0260211421842456</v>
      </c>
      <c r="Z4" s="113"/>
      <c r="AB4" s="113"/>
      <c r="AF4" s="113"/>
    </row>
    <row r="5" s="96" customFormat="1" ht="13.8" customHeight="1" spans="1:32">
      <c r="A5" s="115"/>
      <c r="B5" s="115"/>
      <c r="C5" s="115"/>
      <c r="D5" s="116"/>
      <c r="E5" s="143" t="s">
        <v>24</v>
      </c>
      <c r="F5" s="130">
        <v>1</v>
      </c>
      <c r="G5" s="119"/>
      <c r="H5" s="120" t="s">
        <v>8</v>
      </c>
      <c r="I5" s="120"/>
      <c r="J5" s="136" t="s">
        <v>735</v>
      </c>
      <c r="K5" s="122"/>
      <c r="L5" s="122"/>
      <c r="M5" s="144" t="s">
        <v>11</v>
      </c>
      <c r="N5" s="145"/>
      <c r="O5" s="146" t="s">
        <v>736</v>
      </c>
      <c r="P5" s="139"/>
      <c r="Q5" s="139"/>
      <c r="R5" s="140"/>
      <c r="S5" s="141"/>
      <c r="T5" s="113"/>
      <c r="U5" s="113"/>
      <c r="V5" s="113"/>
      <c r="W5" s="113"/>
      <c r="X5" s="113"/>
      <c r="Y5" s="113"/>
      <c r="Z5" s="113"/>
      <c r="AB5" s="113"/>
      <c r="AC5" s="113"/>
      <c r="AD5" s="113"/>
      <c r="AE5" s="113"/>
      <c r="AF5" s="113"/>
    </row>
    <row r="6" s="96" customFormat="1" ht="13.8" customHeight="1" spans="1:32">
      <c r="A6" s="115"/>
      <c r="B6" s="115"/>
      <c r="C6" s="115"/>
      <c r="D6" s="116"/>
      <c r="E6" s="143" t="s">
        <v>737</v>
      </c>
      <c r="F6" s="130"/>
      <c r="G6" s="119"/>
      <c r="H6" s="120" t="s">
        <v>738</v>
      </c>
      <c r="I6" s="120"/>
      <c r="J6" s="136" t="s">
        <v>739</v>
      </c>
      <c r="K6" s="122"/>
      <c r="L6" s="122"/>
      <c r="M6" s="144" t="s">
        <v>13</v>
      </c>
      <c r="N6" s="145"/>
      <c r="O6" s="147">
        <v>0</v>
      </c>
      <c r="P6" s="148"/>
      <c r="Q6" s="148"/>
      <c r="R6" s="148"/>
      <c r="S6" s="149"/>
      <c r="T6" s="113"/>
      <c r="U6" s="113"/>
      <c r="V6" s="113"/>
      <c r="W6" s="113"/>
      <c r="X6" s="113"/>
      <c r="Y6" s="113"/>
      <c r="Z6" s="113"/>
      <c r="AA6" s="113" t="s">
        <v>740</v>
      </c>
      <c r="AB6" s="113"/>
      <c r="AC6" s="113"/>
      <c r="AD6" s="113"/>
      <c r="AE6" s="113"/>
      <c r="AF6" s="113"/>
    </row>
    <row r="7" s="96" customFormat="1" ht="13.8" customHeight="1" outlineLevel="1" spans="1:32">
      <c r="A7" s="115"/>
      <c r="B7" s="115"/>
      <c r="C7" s="115"/>
      <c r="D7" s="116"/>
      <c r="E7" s="150" t="s">
        <v>741</v>
      </c>
      <c r="F7" s="130"/>
      <c r="G7" s="119"/>
      <c r="H7" s="120" t="s">
        <v>10</v>
      </c>
      <c r="I7" s="120"/>
      <c r="J7" s="121">
        <v>185</v>
      </c>
      <c r="K7" s="122"/>
      <c r="L7" s="122"/>
      <c r="M7" s="144"/>
      <c r="N7" s="145"/>
      <c r="O7" s="151"/>
      <c r="P7" s="151"/>
      <c r="Q7" s="151"/>
      <c r="R7" s="152"/>
      <c r="S7" s="153"/>
      <c r="T7" s="113"/>
      <c r="U7" s="154" t="s">
        <v>742</v>
      </c>
      <c r="W7" s="96">
        <v>53</v>
      </c>
      <c r="X7" s="113"/>
      <c r="Y7" s="113"/>
      <c r="Z7" s="113"/>
      <c r="AA7" s="113" t="s">
        <v>743</v>
      </c>
      <c r="AB7" s="113"/>
      <c r="AC7" s="113"/>
      <c r="AD7" s="113"/>
      <c r="AE7" s="113"/>
      <c r="AF7" s="113"/>
    </row>
    <row r="8" s="96" customFormat="1" ht="13.8" customHeight="1" outlineLevel="1" spans="1:32">
      <c r="A8" s="115"/>
      <c r="B8" s="115"/>
      <c r="C8" s="115"/>
      <c r="D8" s="116"/>
      <c r="E8" s="155" t="s">
        <v>744</v>
      </c>
      <c r="F8" s="156"/>
      <c r="G8" s="119"/>
      <c r="H8" s="120" t="s">
        <v>12</v>
      </c>
      <c r="I8" s="120"/>
      <c r="J8" s="121">
        <v>40</v>
      </c>
      <c r="K8" s="122"/>
      <c r="L8" s="122"/>
      <c r="M8" s="131" t="s">
        <v>745</v>
      </c>
      <c r="N8" s="137"/>
      <c r="O8" s="157"/>
      <c r="P8" s="158"/>
      <c r="Q8" s="158"/>
      <c r="R8" s="159"/>
      <c r="S8" s="160"/>
      <c r="T8" s="113"/>
      <c r="U8" s="161" t="s">
        <v>746</v>
      </c>
      <c r="V8" s="113"/>
      <c r="W8" s="113">
        <v>10</v>
      </c>
      <c r="X8" s="113"/>
      <c r="Y8" s="113"/>
      <c r="Z8" s="113"/>
      <c r="AA8" s="113"/>
      <c r="AB8" s="113"/>
      <c r="AC8" s="113"/>
      <c r="AD8" s="113"/>
      <c r="AE8" s="113"/>
      <c r="AF8" s="113"/>
    </row>
    <row r="9" s="96" customFormat="1" ht="13.8" customHeight="1" outlineLevel="1" spans="1:32">
      <c r="A9" s="115"/>
      <c r="B9" s="115"/>
      <c r="C9" s="115"/>
      <c r="D9" s="116"/>
      <c r="E9" s="150" t="s">
        <v>613</v>
      </c>
      <c r="F9" s="130"/>
      <c r="G9" s="119"/>
      <c r="H9" s="120" t="s">
        <v>747</v>
      </c>
      <c r="I9" s="120"/>
      <c r="J9" s="121"/>
      <c r="K9" s="122"/>
      <c r="L9" s="122"/>
      <c r="M9" s="131" t="s">
        <v>748</v>
      </c>
      <c r="N9" s="137"/>
      <c r="O9" s="157"/>
      <c r="P9" s="158"/>
      <c r="Q9" s="158"/>
      <c r="R9" s="159"/>
      <c r="S9" s="160"/>
      <c r="T9" s="113"/>
      <c r="U9" s="162" t="s">
        <v>749</v>
      </c>
      <c r="V9" s="113"/>
      <c r="W9" s="113">
        <v>148</v>
      </c>
      <c r="X9" s="113"/>
      <c r="Y9" s="113" t="s">
        <v>750</v>
      </c>
      <c r="Z9" s="113" t="s">
        <v>751</v>
      </c>
      <c r="AA9" s="113"/>
      <c r="AB9" s="113"/>
      <c r="AC9" s="113"/>
      <c r="AD9" s="113"/>
      <c r="AE9" s="113"/>
      <c r="AF9" s="113"/>
    </row>
    <row r="10" s="96" customFormat="1" ht="13.8" customHeight="1" outlineLevel="1" spans="1:32">
      <c r="A10" s="115"/>
      <c r="B10" s="115"/>
      <c r="C10" s="115"/>
      <c r="D10" s="116"/>
      <c r="E10" s="74" t="s">
        <v>752</v>
      </c>
      <c r="F10" s="163">
        <v>0.09</v>
      </c>
      <c r="G10" s="119"/>
      <c r="H10" s="120" t="s">
        <v>753</v>
      </c>
      <c r="I10" s="120"/>
      <c r="J10" s="121" t="s">
        <v>754</v>
      </c>
      <c r="K10" s="122"/>
      <c r="L10" s="122"/>
      <c r="M10" s="131" t="s">
        <v>755</v>
      </c>
      <c r="N10" s="137"/>
      <c r="O10" s="157"/>
      <c r="P10" s="158"/>
      <c r="Q10" s="158"/>
      <c r="R10" s="159"/>
      <c r="S10" s="160"/>
      <c r="T10" s="113"/>
      <c r="U10" s="164" t="s">
        <v>756</v>
      </c>
      <c r="V10" s="113"/>
      <c r="W10" s="113">
        <v>11</v>
      </c>
      <c r="X10" s="113"/>
      <c r="Y10" s="142">
        <f>W9/(W7+W8+W9+W10)</f>
        <v>0.666666666666667</v>
      </c>
      <c r="Z10" s="142">
        <f>W9/(W9+W10)</f>
        <v>0.930817610062893</v>
      </c>
      <c r="AA10" s="113"/>
      <c r="AB10" s="113"/>
      <c r="AC10" s="113"/>
      <c r="AD10" s="113"/>
      <c r="AE10" s="113"/>
      <c r="AF10" s="113"/>
    </row>
    <row r="11" s="96" customFormat="1" ht="13.8" customHeight="1" spans="1:32">
      <c r="A11" s="115"/>
      <c r="B11" s="115"/>
      <c r="C11" s="115"/>
      <c r="D11" s="116"/>
      <c r="E11" s="150"/>
      <c r="F11" s="119"/>
      <c r="G11" s="119"/>
      <c r="H11" s="119"/>
      <c r="I11" s="119"/>
      <c r="J11" s="165"/>
      <c r="K11" s="122"/>
      <c r="L11" s="122"/>
      <c r="M11" s="165"/>
      <c r="N11" s="166"/>
      <c r="O11" s="167"/>
      <c r="P11" s="167"/>
      <c r="Q11" s="167"/>
      <c r="R11" s="119"/>
      <c r="S11" s="168"/>
    </row>
    <row r="12" s="97" customFormat="1" ht="27" customHeight="1" spans="1:32">
      <c r="A12" s="169" t="s">
        <v>757</v>
      </c>
      <c r="B12" s="170" t="s">
        <v>758</v>
      </c>
      <c r="C12" s="170" t="s">
        <v>759</v>
      </c>
      <c r="D12" s="171" t="s">
        <v>760</v>
      </c>
      <c r="E12" s="172" t="s">
        <v>761</v>
      </c>
      <c r="F12" s="172" t="s">
        <v>762</v>
      </c>
      <c r="G12" s="172" t="s">
        <v>763</v>
      </c>
      <c r="H12" s="172" t="s">
        <v>764</v>
      </c>
      <c r="I12" s="173" t="s">
        <v>765</v>
      </c>
      <c r="J12" s="174" t="s">
        <v>766</v>
      </c>
      <c r="K12" s="175" t="s">
        <v>767</v>
      </c>
      <c r="L12" s="176" t="s">
        <v>768</v>
      </c>
      <c r="M12" s="172" t="s">
        <v>769</v>
      </c>
      <c r="N12" s="177" t="s">
        <v>770</v>
      </c>
      <c r="O12" s="177" t="s">
        <v>771</v>
      </c>
      <c r="P12" s="178" t="s">
        <v>772</v>
      </c>
      <c r="Q12" s="175" t="s">
        <v>773</v>
      </c>
      <c r="R12" s="179" t="s">
        <v>774</v>
      </c>
      <c r="S12" s="180" t="s">
        <v>775</v>
      </c>
      <c r="T12" s="181" t="s">
        <v>776</v>
      </c>
      <c r="U12" s="181" t="s">
        <v>777</v>
      </c>
      <c r="V12" s="181" t="s">
        <v>778</v>
      </c>
      <c r="W12" s="182" t="s">
        <v>779</v>
      </c>
      <c r="X12" s="183" t="s">
        <v>780</v>
      </c>
      <c r="Y12" s="181" t="s">
        <v>781</v>
      </c>
      <c r="Z12" s="181" t="s">
        <v>782</v>
      </c>
      <c r="AA12" s="181" t="s">
        <v>783</v>
      </c>
    </row>
    <row r="13" ht="11.4" hidden="1" customHeight="1" spans="1:32">
      <c r="A13" s="184" t="s">
        <v>786</v>
      </c>
      <c r="B13" s="184" t="s">
        <v>787</v>
      </c>
      <c r="C13" s="184" t="s">
        <v>788</v>
      </c>
      <c r="D13" s="185" t="s">
        <v>522</v>
      </c>
      <c r="E13" s="186" t="s">
        <v>789</v>
      </c>
      <c r="F13" s="186" t="s">
        <v>790</v>
      </c>
      <c r="G13" s="186" t="s">
        <v>791</v>
      </c>
      <c r="H13" s="186" t="s">
        <v>791</v>
      </c>
      <c r="I13" s="187" t="s">
        <v>792</v>
      </c>
      <c r="J13" s="187" t="s">
        <v>791</v>
      </c>
      <c r="K13" s="188"/>
      <c r="L13" s="188"/>
      <c r="M13" s="189" t="s">
        <v>793</v>
      </c>
      <c r="N13" s="190"/>
      <c r="O13" s="190">
        <f t="shared" ref="O13:O76" si="0">ROUND(N13*(1+$F$10),2)</f>
        <v>0</v>
      </c>
      <c r="P13" s="191">
        <f t="shared" ref="P13:P76" si="1">ROUND(K13*N13,2)</f>
        <v>0</v>
      </c>
      <c r="Q13" s="192">
        <f t="shared" ref="Q13:Q76" si="2">ROUND(L13*N13,2)</f>
        <v>0</v>
      </c>
      <c r="R13" s="193"/>
      <c r="S13" s="194"/>
      <c r="T13" s="195">
        <f t="shared" ref="T13:T76" si="3">K13-L13</f>
        <v>0</v>
      </c>
      <c r="U13" s="195">
        <f t="shared" ref="U13:U76" si="4">P13-Q13</f>
        <v>0</v>
      </c>
      <c r="V13" s="195">
        <f t="shared" ref="V13:V76" si="5">ABS(U13)</f>
        <v>0</v>
      </c>
      <c r="W13" s="196" t="e">
        <f t="shared" ref="W13:W76" si="6">T13/L13</f>
        <v>#DIV/0!</v>
      </c>
      <c r="X13" s="197" t="e">
        <f t="shared" ref="X13:X76" si="7">ABS(W13)</f>
        <v>#DIV/0!</v>
      </c>
    </row>
    <row r="14" ht="11.4" hidden="1" customHeight="1" spans="1:32">
      <c r="A14" s="184" t="s">
        <v>795</v>
      </c>
      <c r="B14" s="184" t="s">
        <v>796</v>
      </c>
      <c r="C14" s="184" t="s">
        <v>788</v>
      </c>
      <c r="D14" s="185" t="s">
        <v>522</v>
      </c>
      <c r="E14" s="186" t="s">
        <v>789</v>
      </c>
      <c r="F14" s="186" t="s">
        <v>790</v>
      </c>
      <c r="G14" s="186" t="s">
        <v>797</v>
      </c>
      <c r="H14" s="186" t="s">
        <v>797</v>
      </c>
      <c r="I14" s="187" t="s">
        <v>798</v>
      </c>
      <c r="J14" s="187" t="s">
        <v>797</v>
      </c>
      <c r="K14" s="188"/>
      <c r="L14" s="188"/>
      <c r="M14" s="189" t="s">
        <v>793</v>
      </c>
      <c r="N14" s="190"/>
      <c r="O14" s="190">
        <f t="shared" si="0"/>
        <v>0</v>
      </c>
      <c r="P14" s="191">
        <f t="shared" si="1"/>
        <v>0</v>
      </c>
      <c r="Q14" s="192">
        <f t="shared" si="2"/>
        <v>0</v>
      </c>
      <c r="R14" s="193"/>
      <c r="S14" s="194"/>
      <c r="T14" s="195">
        <f t="shared" si="3"/>
        <v>0</v>
      </c>
      <c r="U14" s="195">
        <f t="shared" si="4"/>
        <v>0</v>
      </c>
      <c r="V14" s="195">
        <f t="shared" si="5"/>
        <v>0</v>
      </c>
      <c r="W14" s="196" t="e">
        <f t="shared" si="6"/>
        <v>#DIV/0!</v>
      </c>
      <c r="X14" s="197" t="e">
        <f t="shared" si="7"/>
        <v>#DIV/0!</v>
      </c>
    </row>
    <row r="15" ht="11.4" hidden="1" customHeight="1" spans="1:32">
      <c r="A15" s="184" t="s">
        <v>799</v>
      </c>
      <c r="B15" s="184" t="s">
        <v>800</v>
      </c>
      <c r="C15" s="184" t="s">
        <v>801</v>
      </c>
      <c r="D15" s="185" t="s">
        <v>522</v>
      </c>
      <c r="E15" s="186" t="s">
        <v>802</v>
      </c>
      <c r="F15" s="186" t="s">
        <v>803</v>
      </c>
      <c r="G15" s="186" t="s">
        <v>804</v>
      </c>
      <c r="H15" s="186" t="s">
        <v>804</v>
      </c>
      <c r="I15" s="187" t="s">
        <v>805</v>
      </c>
      <c r="J15" s="187" t="s">
        <v>806</v>
      </c>
      <c r="K15" s="188"/>
      <c r="L15" s="188"/>
      <c r="M15" s="189" t="s">
        <v>807</v>
      </c>
      <c r="N15" s="190">
        <v>1000.44</v>
      </c>
      <c r="O15" s="190">
        <f t="shared" si="0"/>
        <v>1090.48</v>
      </c>
      <c r="P15" s="191">
        <f t="shared" si="1"/>
        <v>0</v>
      </c>
      <c r="Q15" s="192">
        <f t="shared" si="2"/>
        <v>0</v>
      </c>
      <c r="R15" s="193"/>
      <c r="S15" s="194"/>
      <c r="T15" s="195">
        <f t="shared" si="3"/>
        <v>0</v>
      </c>
      <c r="U15" s="195">
        <f t="shared" si="4"/>
        <v>0</v>
      </c>
      <c r="V15" s="195">
        <f t="shared" si="5"/>
        <v>0</v>
      </c>
      <c r="W15" s="196" t="e">
        <f t="shared" si="6"/>
        <v>#DIV/0!</v>
      </c>
      <c r="X15" s="197" t="e">
        <f t="shared" si="7"/>
        <v>#DIV/0!</v>
      </c>
    </row>
    <row r="16" ht="11.4" hidden="1" customHeight="1" spans="1:32">
      <c r="A16" s="184" t="s">
        <v>799</v>
      </c>
      <c r="B16" s="184" t="s">
        <v>800</v>
      </c>
      <c r="C16" s="184" t="s">
        <v>801</v>
      </c>
      <c r="D16" s="185" t="s">
        <v>522</v>
      </c>
      <c r="E16" s="186" t="s">
        <v>802</v>
      </c>
      <c r="F16" s="186" t="s">
        <v>803</v>
      </c>
      <c r="G16" s="186" t="s">
        <v>804</v>
      </c>
      <c r="H16" s="186" t="s">
        <v>804</v>
      </c>
      <c r="I16" s="187" t="s">
        <v>808</v>
      </c>
      <c r="J16" s="187" t="s">
        <v>809</v>
      </c>
      <c r="K16" s="188"/>
      <c r="L16" s="188"/>
      <c r="M16" s="189" t="s">
        <v>807</v>
      </c>
      <c r="N16" s="190">
        <v>872.84</v>
      </c>
      <c r="O16" s="190">
        <f t="shared" si="0"/>
        <v>951.4</v>
      </c>
      <c r="P16" s="191">
        <f t="shared" si="1"/>
        <v>0</v>
      </c>
      <c r="Q16" s="192">
        <f t="shared" si="2"/>
        <v>0</v>
      </c>
      <c r="R16" s="193"/>
      <c r="S16" s="194"/>
      <c r="T16" s="195">
        <f t="shared" si="3"/>
        <v>0</v>
      </c>
      <c r="U16" s="195">
        <f t="shared" si="4"/>
        <v>0</v>
      </c>
      <c r="V16" s="195">
        <f t="shared" si="5"/>
        <v>0</v>
      </c>
      <c r="W16" s="196" t="e">
        <f t="shared" si="6"/>
        <v>#DIV/0!</v>
      </c>
      <c r="X16" s="197" t="e">
        <f t="shared" si="7"/>
        <v>#DIV/0!</v>
      </c>
    </row>
    <row r="17" ht="11.4" hidden="1" customHeight="1" spans="1:24">
      <c r="A17" s="184" t="s">
        <v>799</v>
      </c>
      <c r="B17" s="184" t="s">
        <v>800</v>
      </c>
      <c r="C17" s="184" t="s">
        <v>801</v>
      </c>
      <c r="D17" s="185" t="s">
        <v>522</v>
      </c>
      <c r="E17" s="186" t="s">
        <v>802</v>
      </c>
      <c r="F17" s="186" t="s">
        <v>803</v>
      </c>
      <c r="G17" s="186" t="s">
        <v>804</v>
      </c>
      <c r="H17" s="186" t="s">
        <v>804</v>
      </c>
      <c r="I17" s="187" t="s">
        <v>810</v>
      </c>
      <c r="J17" s="187" t="s">
        <v>811</v>
      </c>
      <c r="K17" s="188"/>
      <c r="L17" s="188"/>
      <c r="M17" s="189" t="s">
        <v>807</v>
      </c>
      <c r="N17" s="190">
        <v>1000.44</v>
      </c>
      <c r="O17" s="190">
        <f t="shared" si="0"/>
        <v>1090.48</v>
      </c>
      <c r="P17" s="191">
        <f t="shared" si="1"/>
        <v>0</v>
      </c>
      <c r="Q17" s="192">
        <f t="shared" si="2"/>
        <v>0</v>
      </c>
      <c r="R17" s="193"/>
      <c r="S17" s="194"/>
      <c r="T17" s="195">
        <f t="shared" si="3"/>
        <v>0</v>
      </c>
      <c r="U17" s="195">
        <f t="shared" si="4"/>
        <v>0</v>
      </c>
      <c r="V17" s="195">
        <f t="shared" si="5"/>
        <v>0</v>
      </c>
      <c r="W17" s="196" t="e">
        <f t="shared" si="6"/>
        <v>#DIV/0!</v>
      </c>
      <c r="X17" s="197" t="e">
        <f t="shared" si="7"/>
        <v>#DIV/0!</v>
      </c>
    </row>
    <row r="18" ht="11.4" hidden="1" customHeight="1" spans="1:24">
      <c r="A18" s="184" t="s">
        <v>799</v>
      </c>
      <c r="B18" s="184" t="s">
        <v>800</v>
      </c>
      <c r="C18" s="184" t="s">
        <v>801</v>
      </c>
      <c r="D18" s="185" t="s">
        <v>522</v>
      </c>
      <c r="E18" s="186" t="s">
        <v>802</v>
      </c>
      <c r="F18" s="186" t="s">
        <v>803</v>
      </c>
      <c r="G18" s="186" t="s">
        <v>804</v>
      </c>
      <c r="H18" s="186" t="s">
        <v>804</v>
      </c>
      <c r="I18" s="187" t="s">
        <v>812</v>
      </c>
      <c r="J18" s="187" t="s">
        <v>813</v>
      </c>
      <c r="K18" s="188"/>
      <c r="L18" s="188"/>
      <c r="M18" s="189" t="s">
        <v>807</v>
      </c>
      <c r="N18" s="190">
        <v>872.84</v>
      </c>
      <c r="O18" s="190">
        <f t="shared" si="0"/>
        <v>951.4</v>
      </c>
      <c r="P18" s="191">
        <f t="shared" si="1"/>
        <v>0</v>
      </c>
      <c r="Q18" s="192">
        <f t="shared" si="2"/>
        <v>0</v>
      </c>
      <c r="R18" s="193"/>
      <c r="S18" s="194"/>
      <c r="T18" s="195">
        <f t="shared" si="3"/>
        <v>0</v>
      </c>
      <c r="U18" s="195">
        <f t="shared" si="4"/>
        <v>0</v>
      </c>
      <c r="V18" s="195">
        <f t="shared" si="5"/>
        <v>0</v>
      </c>
      <c r="W18" s="196" t="e">
        <f t="shared" si="6"/>
        <v>#DIV/0!</v>
      </c>
      <c r="X18" s="197" t="e">
        <f t="shared" si="7"/>
        <v>#DIV/0!</v>
      </c>
    </row>
    <row r="19" ht="11.4" hidden="1" customHeight="1" spans="1:24">
      <c r="A19" s="184" t="s">
        <v>799</v>
      </c>
      <c r="B19" s="184" t="s">
        <v>800</v>
      </c>
      <c r="C19" s="184" t="s">
        <v>801</v>
      </c>
      <c r="D19" s="185" t="s">
        <v>522</v>
      </c>
      <c r="E19" s="186" t="s">
        <v>802</v>
      </c>
      <c r="F19" s="186" t="s">
        <v>803</v>
      </c>
      <c r="G19" s="186" t="s">
        <v>804</v>
      </c>
      <c r="H19" s="186" t="s">
        <v>804</v>
      </c>
      <c r="I19" s="187" t="s">
        <v>814</v>
      </c>
      <c r="J19" s="187" t="s">
        <v>815</v>
      </c>
      <c r="K19" s="188"/>
      <c r="L19" s="188"/>
      <c r="M19" s="189" t="s">
        <v>807</v>
      </c>
      <c r="N19" s="190">
        <v>135.14</v>
      </c>
      <c r="O19" s="190">
        <f t="shared" si="0"/>
        <v>147.3</v>
      </c>
      <c r="P19" s="191">
        <f t="shared" si="1"/>
        <v>0</v>
      </c>
      <c r="Q19" s="192">
        <f t="shared" si="2"/>
        <v>0</v>
      </c>
      <c r="R19" s="193"/>
      <c r="S19" s="194"/>
      <c r="T19" s="195">
        <f t="shared" si="3"/>
        <v>0</v>
      </c>
      <c r="U19" s="195">
        <f t="shared" si="4"/>
        <v>0</v>
      </c>
      <c r="V19" s="195">
        <f t="shared" si="5"/>
        <v>0</v>
      </c>
      <c r="W19" s="196" t="e">
        <f t="shared" si="6"/>
        <v>#DIV/0!</v>
      </c>
      <c r="X19" s="197" t="e">
        <f t="shared" si="7"/>
        <v>#DIV/0!</v>
      </c>
    </row>
    <row r="20" ht="11.4" hidden="1" customHeight="1" spans="1:24">
      <c r="A20" s="184" t="s">
        <v>816</v>
      </c>
      <c r="B20" s="184" t="s">
        <v>817</v>
      </c>
      <c r="C20" s="184" t="s">
        <v>818</v>
      </c>
      <c r="D20" s="185" t="s">
        <v>522</v>
      </c>
      <c r="E20" s="186" t="s">
        <v>802</v>
      </c>
      <c r="F20" s="186" t="s">
        <v>819</v>
      </c>
      <c r="G20" s="186" t="s">
        <v>820</v>
      </c>
      <c r="H20" s="186" t="s">
        <v>820</v>
      </c>
      <c r="I20" s="187" t="s">
        <v>821</v>
      </c>
      <c r="J20" s="187" t="s">
        <v>822</v>
      </c>
      <c r="K20" s="188"/>
      <c r="L20" s="188"/>
      <c r="M20" s="189" t="s">
        <v>807</v>
      </c>
      <c r="N20" s="190">
        <v>96.36</v>
      </c>
      <c r="O20" s="190">
        <f t="shared" si="0"/>
        <v>105.03</v>
      </c>
      <c r="P20" s="191">
        <f t="shared" si="1"/>
        <v>0</v>
      </c>
      <c r="Q20" s="192">
        <f t="shared" si="2"/>
        <v>0</v>
      </c>
      <c r="R20" s="193"/>
      <c r="S20" s="194"/>
      <c r="T20" s="195">
        <f t="shared" si="3"/>
        <v>0</v>
      </c>
      <c r="U20" s="195">
        <f t="shared" si="4"/>
        <v>0</v>
      </c>
      <c r="V20" s="195">
        <f t="shared" si="5"/>
        <v>0</v>
      </c>
      <c r="W20" s="196" t="e">
        <f t="shared" si="6"/>
        <v>#DIV/0!</v>
      </c>
      <c r="X20" s="197" t="e">
        <f t="shared" si="7"/>
        <v>#DIV/0!</v>
      </c>
    </row>
    <row r="21" ht="11.4" hidden="1" customHeight="1" spans="1:24">
      <c r="A21" s="184" t="s">
        <v>816</v>
      </c>
      <c r="B21" s="184" t="s">
        <v>817</v>
      </c>
      <c r="C21" s="184" t="s">
        <v>818</v>
      </c>
      <c r="D21" s="185" t="s">
        <v>522</v>
      </c>
      <c r="E21" s="186" t="s">
        <v>802</v>
      </c>
      <c r="F21" s="186" t="s">
        <v>819</v>
      </c>
      <c r="G21" s="186" t="s">
        <v>820</v>
      </c>
      <c r="H21" s="186" t="s">
        <v>820</v>
      </c>
      <c r="I21" s="187" t="s">
        <v>823</v>
      </c>
      <c r="J21" s="187" t="s">
        <v>824</v>
      </c>
      <c r="K21" s="188"/>
      <c r="L21" s="188"/>
      <c r="M21" s="189" t="s">
        <v>807</v>
      </c>
      <c r="N21" s="190">
        <v>92.09</v>
      </c>
      <c r="O21" s="190">
        <f t="shared" si="0"/>
        <v>100.38</v>
      </c>
      <c r="P21" s="191">
        <f t="shared" si="1"/>
        <v>0</v>
      </c>
      <c r="Q21" s="192">
        <f t="shared" si="2"/>
        <v>0</v>
      </c>
      <c r="R21" s="193"/>
      <c r="S21" s="194"/>
      <c r="T21" s="195">
        <f t="shared" si="3"/>
        <v>0</v>
      </c>
      <c r="U21" s="195">
        <f t="shared" si="4"/>
        <v>0</v>
      </c>
      <c r="V21" s="195">
        <f t="shared" si="5"/>
        <v>0</v>
      </c>
      <c r="W21" s="196" t="e">
        <f t="shared" si="6"/>
        <v>#DIV/0!</v>
      </c>
      <c r="X21" s="197" t="e">
        <f t="shared" si="7"/>
        <v>#DIV/0!</v>
      </c>
    </row>
    <row r="22" ht="11.4" hidden="1" customHeight="1" spans="1:24">
      <c r="A22" s="184" t="s">
        <v>825</v>
      </c>
      <c r="B22" s="184" t="s">
        <v>826</v>
      </c>
      <c r="C22" s="184" t="s">
        <v>827</v>
      </c>
      <c r="D22" s="185" t="s">
        <v>522</v>
      </c>
      <c r="E22" s="186" t="s">
        <v>802</v>
      </c>
      <c r="F22" s="186" t="s">
        <v>828</v>
      </c>
      <c r="G22" s="186" t="s">
        <v>829</v>
      </c>
      <c r="H22" s="186" t="s">
        <v>829</v>
      </c>
      <c r="I22" s="187" t="s">
        <v>830</v>
      </c>
      <c r="J22" s="187" t="s">
        <v>829</v>
      </c>
      <c r="K22" s="188"/>
      <c r="L22" s="188"/>
      <c r="M22" s="189" t="s">
        <v>793</v>
      </c>
      <c r="N22" s="190">
        <v>1801.8</v>
      </c>
      <c r="O22" s="190">
        <f t="shared" si="0"/>
        <v>1963.96</v>
      </c>
      <c r="P22" s="191">
        <f t="shared" si="1"/>
        <v>0</v>
      </c>
      <c r="Q22" s="192">
        <f t="shared" si="2"/>
        <v>0</v>
      </c>
      <c r="R22" s="193"/>
      <c r="S22" s="194"/>
      <c r="T22" s="195">
        <f t="shared" si="3"/>
        <v>0</v>
      </c>
      <c r="U22" s="195">
        <f t="shared" si="4"/>
        <v>0</v>
      </c>
      <c r="V22" s="195">
        <f t="shared" si="5"/>
        <v>0</v>
      </c>
      <c r="W22" s="196" t="e">
        <f t="shared" si="6"/>
        <v>#DIV/0!</v>
      </c>
      <c r="X22" s="197" t="e">
        <f t="shared" si="7"/>
        <v>#DIV/0!</v>
      </c>
    </row>
    <row r="23" ht="11.4" hidden="1" customHeight="1" spans="1:24">
      <c r="A23" s="184" t="s">
        <v>831</v>
      </c>
      <c r="B23" s="184" t="s">
        <v>832</v>
      </c>
      <c r="C23" s="184" t="s">
        <v>833</v>
      </c>
      <c r="D23" s="185" t="s">
        <v>522</v>
      </c>
      <c r="E23" s="186" t="s">
        <v>802</v>
      </c>
      <c r="F23" s="186" t="s">
        <v>834</v>
      </c>
      <c r="G23" s="186" t="s">
        <v>835</v>
      </c>
      <c r="H23" s="186" t="s">
        <v>835</v>
      </c>
      <c r="I23" s="187" t="s">
        <v>836</v>
      </c>
      <c r="J23" s="187" t="s">
        <v>837</v>
      </c>
      <c r="K23" s="188"/>
      <c r="L23" s="188"/>
      <c r="M23" s="189" t="s">
        <v>793</v>
      </c>
      <c r="N23" s="190">
        <v>1351.35</v>
      </c>
      <c r="O23" s="190">
        <f t="shared" si="0"/>
        <v>1472.97</v>
      </c>
      <c r="P23" s="191">
        <f t="shared" si="1"/>
        <v>0</v>
      </c>
      <c r="Q23" s="192">
        <f t="shared" si="2"/>
        <v>0</v>
      </c>
      <c r="R23" s="193"/>
      <c r="S23" s="194"/>
      <c r="T23" s="195">
        <f t="shared" si="3"/>
        <v>0</v>
      </c>
      <c r="U23" s="195">
        <f t="shared" si="4"/>
        <v>0</v>
      </c>
      <c r="V23" s="195">
        <f t="shared" si="5"/>
        <v>0</v>
      </c>
      <c r="W23" s="196" t="e">
        <f t="shared" si="6"/>
        <v>#DIV/0!</v>
      </c>
      <c r="X23" s="197" t="e">
        <f t="shared" si="7"/>
        <v>#DIV/0!</v>
      </c>
    </row>
    <row r="24" ht="11.4" hidden="1" customHeight="1" spans="1:24">
      <c r="A24" s="184" t="s">
        <v>831</v>
      </c>
      <c r="B24" s="184" t="s">
        <v>832</v>
      </c>
      <c r="C24" s="184" t="s">
        <v>833</v>
      </c>
      <c r="D24" s="185" t="s">
        <v>522</v>
      </c>
      <c r="E24" s="186" t="s">
        <v>802</v>
      </c>
      <c r="F24" s="186" t="s">
        <v>834</v>
      </c>
      <c r="G24" s="186" t="s">
        <v>835</v>
      </c>
      <c r="H24" s="186" t="s">
        <v>835</v>
      </c>
      <c r="I24" s="187" t="s">
        <v>838</v>
      </c>
      <c r="J24" s="161" t="s">
        <v>839</v>
      </c>
      <c r="K24" s="188">
        <v>1</v>
      </c>
      <c r="L24" s="188">
        <v>1</v>
      </c>
      <c r="M24" s="189" t="s">
        <v>793</v>
      </c>
      <c r="N24" s="190">
        <v>41284.4</v>
      </c>
      <c r="O24" s="190">
        <f t="shared" si="0"/>
        <v>45000</v>
      </c>
      <c r="P24" s="191">
        <f t="shared" si="1"/>
        <v>41284.4</v>
      </c>
      <c r="Q24" s="192">
        <f t="shared" si="2"/>
        <v>41284.4</v>
      </c>
      <c r="R24" s="193"/>
      <c r="S24" s="194"/>
      <c r="T24" s="195">
        <f t="shared" si="3"/>
        <v>0</v>
      </c>
      <c r="U24" s="195">
        <f t="shared" si="4"/>
        <v>0</v>
      </c>
      <c r="V24" s="195">
        <f t="shared" si="5"/>
        <v>0</v>
      </c>
      <c r="W24" s="196">
        <f t="shared" si="6"/>
        <v>0</v>
      </c>
      <c r="X24" s="197">
        <f t="shared" si="7"/>
        <v>0</v>
      </c>
    </row>
    <row r="25" ht="11.4" hidden="1" customHeight="1" spans="1:24">
      <c r="A25" s="184" t="s">
        <v>840</v>
      </c>
      <c r="B25" s="184" t="s">
        <v>73</v>
      </c>
      <c r="C25" s="184" t="s">
        <v>841</v>
      </c>
      <c r="D25" s="185" t="s">
        <v>522</v>
      </c>
      <c r="E25" s="186" t="s">
        <v>842</v>
      </c>
      <c r="F25" s="186" t="s">
        <v>843</v>
      </c>
      <c r="G25" s="186" t="s">
        <v>844</v>
      </c>
      <c r="H25" s="186" t="s">
        <v>844</v>
      </c>
      <c r="I25" s="187" t="s">
        <v>845</v>
      </c>
      <c r="J25" s="161" t="s">
        <v>846</v>
      </c>
      <c r="K25" s="188">
        <v>185</v>
      </c>
      <c r="L25" s="188">
        <v>185</v>
      </c>
      <c r="M25" s="189" t="s">
        <v>847</v>
      </c>
      <c r="N25" s="190">
        <v>27.2</v>
      </c>
      <c r="O25" s="190">
        <f t="shared" si="0"/>
        <v>29.65</v>
      </c>
      <c r="P25" s="191">
        <f t="shared" si="1"/>
        <v>5032</v>
      </c>
      <c r="Q25" s="192">
        <f t="shared" si="2"/>
        <v>5032</v>
      </c>
      <c r="R25" s="193"/>
      <c r="S25" s="194"/>
      <c r="T25" s="195">
        <f t="shared" si="3"/>
        <v>0</v>
      </c>
      <c r="U25" s="195">
        <f t="shared" si="4"/>
        <v>0</v>
      </c>
      <c r="V25" s="195">
        <f t="shared" si="5"/>
        <v>0</v>
      </c>
      <c r="W25" s="196">
        <f t="shared" si="6"/>
        <v>0</v>
      </c>
      <c r="X25" s="197">
        <f t="shared" si="7"/>
        <v>0</v>
      </c>
    </row>
    <row r="26" ht="11.4" hidden="1" customHeight="1" spans="1:24">
      <c r="A26" s="184" t="s">
        <v>840</v>
      </c>
      <c r="B26" s="184" t="s">
        <v>73</v>
      </c>
      <c r="C26" s="184" t="s">
        <v>841</v>
      </c>
      <c r="D26" s="185" t="s">
        <v>522</v>
      </c>
      <c r="E26" s="186" t="s">
        <v>842</v>
      </c>
      <c r="F26" s="186" t="s">
        <v>843</v>
      </c>
      <c r="G26" s="186" t="s">
        <v>844</v>
      </c>
      <c r="H26" s="186" t="s">
        <v>844</v>
      </c>
      <c r="I26" s="187" t="s">
        <v>848</v>
      </c>
      <c r="J26" s="187" t="s">
        <v>849</v>
      </c>
      <c r="K26" s="188"/>
      <c r="L26" s="188"/>
      <c r="M26" s="189" t="s">
        <v>847</v>
      </c>
      <c r="N26" s="190">
        <v>73</v>
      </c>
      <c r="O26" s="190">
        <f t="shared" si="0"/>
        <v>79.57</v>
      </c>
      <c r="P26" s="191">
        <f t="shared" si="1"/>
        <v>0</v>
      </c>
      <c r="Q26" s="192">
        <f t="shared" si="2"/>
        <v>0</v>
      </c>
      <c r="R26" s="193"/>
      <c r="S26" s="194"/>
      <c r="T26" s="195">
        <f t="shared" si="3"/>
        <v>0</v>
      </c>
      <c r="U26" s="195">
        <f t="shared" si="4"/>
        <v>0</v>
      </c>
      <c r="V26" s="195">
        <f t="shared" si="5"/>
        <v>0</v>
      </c>
      <c r="W26" s="196" t="e">
        <f t="shared" si="6"/>
        <v>#DIV/0!</v>
      </c>
      <c r="X26" s="197" t="e">
        <f t="shared" si="7"/>
        <v>#DIV/0!</v>
      </c>
    </row>
    <row r="27" ht="11.4" hidden="1" customHeight="1" spans="1:24">
      <c r="A27" s="184" t="s">
        <v>840</v>
      </c>
      <c r="B27" s="184" t="s">
        <v>73</v>
      </c>
      <c r="C27" s="184" t="s">
        <v>841</v>
      </c>
      <c r="D27" s="185" t="s">
        <v>522</v>
      </c>
      <c r="E27" s="186" t="s">
        <v>842</v>
      </c>
      <c r="F27" s="186" t="s">
        <v>843</v>
      </c>
      <c r="G27" s="186" t="s">
        <v>844</v>
      </c>
      <c r="H27" s="186" t="s">
        <v>844</v>
      </c>
      <c r="I27" s="187" t="s">
        <v>850</v>
      </c>
      <c r="J27" s="187" t="s">
        <v>851</v>
      </c>
      <c r="K27" s="188"/>
      <c r="L27" s="188"/>
      <c r="M27" s="189" t="s">
        <v>847</v>
      </c>
      <c r="N27" s="190">
        <v>109</v>
      </c>
      <c r="O27" s="190">
        <f t="shared" si="0"/>
        <v>118.81</v>
      </c>
      <c r="P27" s="191">
        <f t="shared" si="1"/>
        <v>0</v>
      </c>
      <c r="Q27" s="192">
        <f t="shared" si="2"/>
        <v>0</v>
      </c>
      <c r="R27" s="193"/>
      <c r="S27" s="194"/>
      <c r="T27" s="195">
        <f t="shared" si="3"/>
        <v>0</v>
      </c>
      <c r="U27" s="195">
        <f t="shared" si="4"/>
        <v>0</v>
      </c>
      <c r="V27" s="195">
        <f t="shared" si="5"/>
        <v>0</v>
      </c>
      <c r="W27" s="196" t="e">
        <f t="shared" si="6"/>
        <v>#DIV/0!</v>
      </c>
      <c r="X27" s="197" t="e">
        <f t="shared" si="7"/>
        <v>#DIV/0!</v>
      </c>
    </row>
    <row r="28" ht="11.4" hidden="1" customHeight="1" spans="1:24">
      <c r="A28" s="184" t="s">
        <v>840</v>
      </c>
      <c r="B28" s="184" t="s">
        <v>73</v>
      </c>
      <c r="C28" s="184" t="s">
        <v>841</v>
      </c>
      <c r="D28" s="185" t="s">
        <v>522</v>
      </c>
      <c r="E28" s="186" t="s">
        <v>842</v>
      </c>
      <c r="F28" s="186" t="s">
        <v>843</v>
      </c>
      <c r="G28" s="186" t="s">
        <v>844</v>
      </c>
      <c r="H28" s="186" t="s">
        <v>844</v>
      </c>
      <c r="I28" s="187" t="s">
        <v>852</v>
      </c>
      <c r="J28" s="187" t="s">
        <v>853</v>
      </c>
      <c r="K28" s="188"/>
      <c r="L28" s="188"/>
      <c r="M28" s="189" t="s">
        <v>847</v>
      </c>
      <c r="N28" s="190">
        <v>54.5</v>
      </c>
      <c r="O28" s="190">
        <f t="shared" si="0"/>
        <v>59.41</v>
      </c>
      <c r="P28" s="191">
        <f t="shared" si="1"/>
        <v>0</v>
      </c>
      <c r="Q28" s="192">
        <f t="shared" si="2"/>
        <v>0</v>
      </c>
      <c r="R28" s="193"/>
      <c r="S28" s="194"/>
      <c r="T28" s="195">
        <f t="shared" si="3"/>
        <v>0</v>
      </c>
      <c r="U28" s="195">
        <f t="shared" si="4"/>
        <v>0</v>
      </c>
      <c r="V28" s="195">
        <f t="shared" si="5"/>
        <v>0</v>
      </c>
      <c r="W28" s="196" t="e">
        <f t="shared" si="6"/>
        <v>#DIV/0!</v>
      </c>
      <c r="X28" s="197" t="e">
        <f t="shared" si="7"/>
        <v>#DIV/0!</v>
      </c>
    </row>
    <row r="29" ht="11.4" hidden="1" customHeight="1" spans="1:24">
      <c r="A29" s="184" t="s">
        <v>840</v>
      </c>
      <c r="B29" s="184" t="s">
        <v>73</v>
      </c>
      <c r="C29" s="184" t="s">
        <v>841</v>
      </c>
      <c r="D29" s="185" t="s">
        <v>522</v>
      </c>
      <c r="E29" s="186" t="s">
        <v>842</v>
      </c>
      <c r="F29" s="186" t="s">
        <v>843</v>
      </c>
      <c r="G29" s="186" t="s">
        <v>844</v>
      </c>
      <c r="H29" s="186" t="s">
        <v>844</v>
      </c>
      <c r="I29" s="187" t="s">
        <v>854</v>
      </c>
      <c r="J29" s="187" t="s">
        <v>855</v>
      </c>
      <c r="K29" s="188"/>
      <c r="L29" s="188"/>
      <c r="M29" s="189" t="s">
        <v>847</v>
      </c>
      <c r="N29" s="190">
        <v>181.5</v>
      </c>
      <c r="O29" s="190">
        <f t="shared" si="0"/>
        <v>197.84</v>
      </c>
      <c r="P29" s="191">
        <f t="shared" si="1"/>
        <v>0</v>
      </c>
      <c r="Q29" s="192">
        <f t="shared" si="2"/>
        <v>0</v>
      </c>
      <c r="R29" s="193"/>
      <c r="S29" s="194"/>
      <c r="T29" s="195">
        <f t="shared" si="3"/>
        <v>0</v>
      </c>
      <c r="U29" s="195">
        <f t="shared" si="4"/>
        <v>0</v>
      </c>
      <c r="V29" s="195">
        <f t="shared" si="5"/>
        <v>0</v>
      </c>
      <c r="W29" s="196" t="e">
        <f t="shared" si="6"/>
        <v>#DIV/0!</v>
      </c>
      <c r="X29" s="197" t="e">
        <f t="shared" si="7"/>
        <v>#DIV/0!</v>
      </c>
    </row>
    <row r="30" ht="11.4" hidden="1" customHeight="1" spans="1:24">
      <c r="A30" s="184" t="s">
        <v>840</v>
      </c>
      <c r="B30" s="184" t="s">
        <v>73</v>
      </c>
      <c r="C30" s="184" t="s">
        <v>841</v>
      </c>
      <c r="D30" s="185" t="s">
        <v>522</v>
      </c>
      <c r="E30" s="186" t="s">
        <v>842</v>
      </c>
      <c r="F30" s="186" t="s">
        <v>843</v>
      </c>
      <c r="G30" s="186" t="s">
        <v>844</v>
      </c>
      <c r="H30" s="186" t="s">
        <v>844</v>
      </c>
      <c r="I30" s="187" t="s">
        <v>856</v>
      </c>
      <c r="J30" s="187" t="s">
        <v>857</v>
      </c>
      <c r="K30" s="188"/>
      <c r="L30" s="188"/>
      <c r="M30" s="189" t="s">
        <v>847</v>
      </c>
      <c r="N30" s="190">
        <v>284.5</v>
      </c>
      <c r="O30" s="190">
        <f t="shared" si="0"/>
        <v>310.11</v>
      </c>
      <c r="P30" s="191">
        <f t="shared" si="1"/>
        <v>0</v>
      </c>
      <c r="Q30" s="192">
        <f t="shared" si="2"/>
        <v>0</v>
      </c>
      <c r="R30" s="193"/>
      <c r="S30" s="194"/>
      <c r="T30" s="195">
        <f t="shared" si="3"/>
        <v>0</v>
      </c>
      <c r="U30" s="195">
        <f t="shared" si="4"/>
        <v>0</v>
      </c>
      <c r="V30" s="195">
        <f t="shared" si="5"/>
        <v>0</v>
      </c>
      <c r="W30" s="196" t="e">
        <f t="shared" si="6"/>
        <v>#DIV/0!</v>
      </c>
      <c r="X30" s="197" t="e">
        <f t="shared" si="7"/>
        <v>#DIV/0!</v>
      </c>
    </row>
    <row r="31" ht="11.4" hidden="1" customHeight="1" spans="1:24">
      <c r="A31" s="184" t="s">
        <v>840</v>
      </c>
      <c r="B31" s="184" t="s">
        <v>73</v>
      </c>
      <c r="C31" s="184" t="s">
        <v>841</v>
      </c>
      <c r="D31" s="185" t="s">
        <v>522</v>
      </c>
      <c r="E31" s="186" t="s">
        <v>842</v>
      </c>
      <c r="F31" s="186" t="s">
        <v>843</v>
      </c>
      <c r="G31" s="186" t="s">
        <v>844</v>
      </c>
      <c r="H31" s="186" t="s">
        <v>844</v>
      </c>
      <c r="I31" s="187" t="s">
        <v>858</v>
      </c>
      <c r="J31" s="161" t="s">
        <v>859</v>
      </c>
      <c r="K31" s="188">
        <v>185</v>
      </c>
      <c r="L31" s="188">
        <v>185</v>
      </c>
      <c r="M31" s="189" t="s">
        <v>847</v>
      </c>
      <c r="N31" s="190">
        <v>20</v>
      </c>
      <c r="O31" s="190">
        <f t="shared" si="0"/>
        <v>21.8</v>
      </c>
      <c r="P31" s="191">
        <f t="shared" si="1"/>
        <v>3700</v>
      </c>
      <c r="Q31" s="192">
        <f t="shared" si="2"/>
        <v>3700</v>
      </c>
      <c r="R31" s="193"/>
      <c r="S31" s="194"/>
      <c r="T31" s="195">
        <f t="shared" si="3"/>
        <v>0</v>
      </c>
      <c r="U31" s="195">
        <f t="shared" si="4"/>
        <v>0</v>
      </c>
      <c r="V31" s="195">
        <f t="shared" si="5"/>
        <v>0</v>
      </c>
      <c r="W31" s="196">
        <f t="shared" si="6"/>
        <v>0</v>
      </c>
      <c r="X31" s="197">
        <f t="shared" si="7"/>
        <v>0</v>
      </c>
    </row>
    <row r="32" ht="11.4" hidden="1" customHeight="1" spans="1:24">
      <c r="A32" s="184" t="s">
        <v>860</v>
      </c>
      <c r="B32" s="184" t="s">
        <v>75</v>
      </c>
      <c r="C32" s="184" t="s">
        <v>861</v>
      </c>
      <c r="D32" s="185" t="s">
        <v>522</v>
      </c>
      <c r="E32" s="186" t="s">
        <v>842</v>
      </c>
      <c r="F32" s="186" t="s">
        <v>862</v>
      </c>
      <c r="G32" s="186" t="s">
        <v>531</v>
      </c>
      <c r="H32" s="186" t="s">
        <v>531</v>
      </c>
      <c r="I32" s="187" t="s">
        <v>863</v>
      </c>
      <c r="J32" s="187" t="s">
        <v>864</v>
      </c>
      <c r="K32" s="188">
        <v>50.19</v>
      </c>
      <c r="L32" s="188">
        <v>49.9</v>
      </c>
      <c r="M32" s="189" t="s">
        <v>847</v>
      </c>
      <c r="N32" s="190">
        <v>58.7</v>
      </c>
      <c r="O32" s="190">
        <f t="shared" si="0"/>
        <v>63.98</v>
      </c>
      <c r="P32" s="191">
        <f t="shared" si="1"/>
        <v>2946.15</v>
      </c>
      <c r="Q32" s="192">
        <f t="shared" si="2"/>
        <v>2929.13</v>
      </c>
      <c r="R32" s="193"/>
      <c r="S32" s="194"/>
      <c r="T32" s="195">
        <f t="shared" si="3"/>
        <v>0.289999999999999</v>
      </c>
      <c r="U32" s="195">
        <f t="shared" si="4"/>
        <v>17.02</v>
      </c>
      <c r="V32" s="195">
        <f t="shared" si="5"/>
        <v>17.02</v>
      </c>
      <c r="W32" s="196">
        <f t="shared" si="6"/>
        <v>0.00581162324649297</v>
      </c>
      <c r="X32" s="197">
        <f t="shared" si="7"/>
        <v>0.00581162324649297</v>
      </c>
    </row>
    <row r="33" ht="11.4" hidden="1" customHeight="1" spans="1:24">
      <c r="A33" s="184" t="s">
        <v>866</v>
      </c>
      <c r="B33" s="184" t="s">
        <v>81</v>
      </c>
      <c r="C33" s="184" t="s">
        <v>867</v>
      </c>
      <c r="D33" s="185" t="s">
        <v>522</v>
      </c>
      <c r="E33" s="186" t="s">
        <v>868</v>
      </c>
      <c r="F33" s="186" t="s">
        <v>869</v>
      </c>
      <c r="G33" s="186" t="s">
        <v>870</v>
      </c>
      <c r="H33" s="186" t="s">
        <v>871</v>
      </c>
      <c r="I33" s="187" t="s">
        <v>872</v>
      </c>
      <c r="J33" s="161" t="s">
        <v>873</v>
      </c>
      <c r="K33" s="188">
        <v>1</v>
      </c>
      <c r="L33" s="188">
        <v>1</v>
      </c>
      <c r="M33" s="189" t="s">
        <v>793</v>
      </c>
      <c r="N33" s="190">
        <v>15380</v>
      </c>
      <c r="O33" s="190">
        <f t="shared" si="0"/>
        <v>16764.2</v>
      </c>
      <c r="P33" s="191">
        <f t="shared" si="1"/>
        <v>15380</v>
      </c>
      <c r="Q33" s="192">
        <f t="shared" si="2"/>
        <v>15380</v>
      </c>
      <c r="R33" s="193"/>
      <c r="S33" s="194"/>
      <c r="T33" s="195">
        <f t="shared" si="3"/>
        <v>0</v>
      </c>
      <c r="U33" s="195">
        <f t="shared" si="4"/>
        <v>0</v>
      </c>
      <c r="V33" s="195">
        <f t="shared" si="5"/>
        <v>0</v>
      </c>
      <c r="W33" s="196">
        <f t="shared" si="6"/>
        <v>0</v>
      </c>
      <c r="X33" s="197">
        <f t="shared" si="7"/>
        <v>0</v>
      </c>
    </row>
    <row r="34" ht="11.4" hidden="1" customHeight="1" spans="1:24">
      <c r="A34" s="184" t="s">
        <v>866</v>
      </c>
      <c r="B34" s="184" t="s">
        <v>81</v>
      </c>
      <c r="C34" s="184" t="s">
        <v>867</v>
      </c>
      <c r="D34" s="185" t="s">
        <v>522</v>
      </c>
      <c r="E34" s="186" t="s">
        <v>868</v>
      </c>
      <c r="F34" s="186" t="s">
        <v>869</v>
      </c>
      <c r="G34" s="186" t="s">
        <v>870</v>
      </c>
      <c r="H34" s="186" t="s">
        <v>871</v>
      </c>
      <c r="I34" s="187" t="s">
        <v>874</v>
      </c>
      <c r="J34" s="187" t="s">
        <v>875</v>
      </c>
      <c r="K34" s="188"/>
      <c r="L34" s="188"/>
      <c r="M34" s="189" t="s">
        <v>793</v>
      </c>
      <c r="N34" s="190">
        <v>26126.13</v>
      </c>
      <c r="O34" s="190">
        <f t="shared" si="0"/>
        <v>28477.48</v>
      </c>
      <c r="P34" s="191">
        <f t="shared" si="1"/>
        <v>0</v>
      </c>
      <c r="Q34" s="192">
        <f t="shared" si="2"/>
        <v>0</v>
      </c>
      <c r="R34" s="193"/>
      <c r="S34" s="194"/>
      <c r="T34" s="195">
        <f t="shared" si="3"/>
        <v>0</v>
      </c>
      <c r="U34" s="195">
        <f t="shared" si="4"/>
        <v>0</v>
      </c>
      <c r="V34" s="195">
        <f t="shared" si="5"/>
        <v>0</v>
      </c>
      <c r="W34" s="196" t="e">
        <f t="shared" si="6"/>
        <v>#DIV/0!</v>
      </c>
      <c r="X34" s="197" t="e">
        <f t="shared" si="7"/>
        <v>#DIV/0!</v>
      </c>
    </row>
    <row r="35" ht="11.4" hidden="1" customHeight="1" spans="1:24">
      <c r="A35" s="184" t="s">
        <v>866</v>
      </c>
      <c r="B35" s="184" t="s">
        <v>81</v>
      </c>
      <c r="C35" s="184" t="s">
        <v>867</v>
      </c>
      <c r="D35" s="185" t="s">
        <v>522</v>
      </c>
      <c r="E35" s="186" t="s">
        <v>868</v>
      </c>
      <c r="F35" s="186" t="s">
        <v>869</v>
      </c>
      <c r="G35" s="186" t="s">
        <v>870</v>
      </c>
      <c r="H35" s="186" t="s">
        <v>871</v>
      </c>
      <c r="I35" s="187" t="s">
        <v>876</v>
      </c>
      <c r="J35" s="187" t="s">
        <v>877</v>
      </c>
      <c r="K35" s="188"/>
      <c r="L35" s="188"/>
      <c r="M35" s="189" t="s">
        <v>793</v>
      </c>
      <c r="N35" s="190">
        <v>18018.02</v>
      </c>
      <c r="O35" s="190">
        <f t="shared" si="0"/>
        <v>19639.64</v>
      </c>
      <c r="P35" s="191">
        <f t="shared" si="1"/>
        <v>0</v>
      </c>
      <c r="Q35" s="192">
        <f t="shared" si="2"/>
        <v>0</v>
      </c>
      <c r="R35" s="193"/>
      <c r="S35" s="194"/>
      <c r="T35" s="195">
        <f t="shared" si="3"/>
        <v>0</v>
      </c>
      <c r="U35" s="195">
        <f t="shared" si="4"/>
        <v>0</v>
      </c>
      <c r="V35" s="195">
        <f t="shared" si="5"/>
        <v>0</v>
      </c>
      <c r="W35" s="196" t="e">
        <f t="shared" si="6"/>
        <v>#DIV/0!</v>
      </c>
      <c r="X35" s="197" t="e">
        <f t="shared" si="7"/>
        <v>#DIV/0!</v>
      </c>
    </row>
    <row r="36" ht="11.4" hidden="1" customHeight="1" spans="1:24">
      <c r="A36" s="184" t="s">
        <v>866</v>
      </c>
      <c r="B36" s="184" t="s">
        <v>81</v>
      </c>
      <c r="C36" s="184" t="s">
        <v>867</v>
      </c>
      <c r="D36" s="185" t="s">
        <v>522</v>
      </c>
      <c r="E36" s="186" t="s">
        <v>868</v>
      </c>
      <c r="F36" s="186" t="s">
        <v>869</v>
      </c>
      <c r="G36" s="186" t="s">
        <v>870</v>
      </c>
      <c r="H36" s="186" t="s">
        <v>871</v>
      </c>
      <c r="I36" s="187" t="s">
        <v>878</v>
      </c>
      <c r="J36" s="187" t="s">
        <v>879</v>
      </c>
      <c r="K36" s="188"/>
      <c r="L36" s="188"/>
      <c r="M36" s="189" t="s">
        <v>793</v>
      </c>
      <c r="N36" s="190"/>
      <c r="O36" s="190">
        <f t="shared" si="0"/>
        <v>0</v>
      </c>
      <c r="P36" s="191">
        <f t="shared" si="1"/>
        <v>0</v>
      </c>
      <c r="Q36" s="192">
        <f t="shared" si="2"/>
        <v>0</v>
      </c>
      <c r="R36" s="193"/>
      <c r="S36" s="194"/>
      <c r="T36" s="195">
        <f t="shared" si="3"/>
        <v>0</v>
      </c>
      <c r="U36" s="195">
        <f t="shared" si="4"/>
        <v>0</v>
      </c>
      <c r="V36" s="195">
        <f t="shared" si="5"/>
        <v>0</v>
      </c>
      <c r="W36" s="196" t="e">
        <f t="shared" si="6"/>
        <v>#DIV/0!</v>
      </c>
      <c r="X36" s="197" t="e">
        <f t="shared" si="7"/>
        <v>#DIV/0!</v>
      </c>
    </row>
    <row r="37" ht="11.4" hidden="1" customHeight="1" spans="1:24">
      <c r="A37" s="184" t="s">
        <v>866</v>
      </c>
      <c r="B37" s="184" t="s">
        <v>81</v>
      </c>
      <c r="C37" s="184" t="s">
        <v>867</v>
      </c>
      <c r="D37" s="185" t="s">
        <v>522</v>
      </c>
      <c r="E37" s="186" t="s">
        <v>868</v>
      </c>
      <c r="F37" s="186" t="s">
        <v>869</v>
      </c>
      <c r="G37" s="186" t="s">
        <v>870</v>
      </c>
      <c r="H37" s="186" t="s">
        <v>880</v>
      </c>
      <c r="I37" s="187" t="s">
        <v>881</v>
      </c>
      <c r="J37" s="187" t="s">
        <v>882</v>
      </c>
      <c r="K37" s="188"/>
      <c r="L37" s="188"/>
      <c r="M37" s="189" t="s">
        <v>847</v>
      </c>
      <c r="N37" s="190">
        <v>88.25</v>
      </c>
      <c r="O37" s="190">
        <f t="shared" si="0"/>
        <v>96.19</v>
      </c>
      <c r="P37" s="191">
        <f t="shared" si="1"/>
        <v>0</v>
      </c>
      <c r="Q37" s="192">
        <f t="shared" si="2"/>
        <v>0</v>
      </c>
      <c r="R37" s="193"/>
      <c r="S37" s="194"/>
      <c r="T37" s="195">
        <f t="shared" si="3"/>
        <v>0</v>
      </c>
      <c r="U37" s="195">
        <f t="shared" si="4"/>
        <v>0</v>
      </c>
      <c r="V37" s="195">
        <f t="shared" si="5"/>
        <v>0</v>
      </c>
      <c r="W37" s="196" t="e">
        <f t="shared" si="6"/>
        <v>#DIV/0!</v>
      </c>
      <c r="X37" s="197" t="e">
        <f t="shared" si="7"/>
        <v>#DIV/0!</v>
      </c>
    </row>
    <row r="38" ht="11.4" hidden="1" customHeight="1" spans="1:24">
      <c r="A38" s="184" t="s">
        <v>866</v>
      </c>
      <c r="B38" s="184" t="s">
        <v>81</v>
      </c>
      <c r="C38" s="184" t="s">
        <v>867</v>
      </c>
      <c r="D38" s="185" t="s">
        <v>522</v>
      </c>
      <c r="E38" s="186" t="s">
        <v>868</v>
      </c>
      <c r="F38" s="186" t="s">
        <v>869</v>
      </c>
      <c r="G38" s="186" t="s">
        <v>870</v>
      </c>
      <c r="H38" s="186" t="s">
        <v>880</v>
      </c>
      <c r="I38" s="187" t="s">
        <v>884</v>
      </c>
      <c r="J38" s="187" t="s">
        <v>885</v>
      </c>
      <c r="K38" s="188">
        <v>12.77</v>
      </c>
      <c r="L38" s="188">
        <v>12.72</v>
      </c>
      <c r="M38" s="189" t="s">
        <v>847</v>
      </c>
      <c r="N38" s="190">
        <v>52.68</v>
      </c>
      <c r="O38" s="190">
        <f t="shared" si="0"/>
        <v>57.42</v>
      </c>
      <c r="P38" s="191">
        <f t="shared" si="1"/>
        <v>672.72</v>
      </c>
      <c r="Q38" s="192">
        <f t="shared" si="2"/>
        <v>670.09</v>
      </c>
      <c r="R38" s="193"/>
      <c r="S38" s="194"/>
      <c r="T38" s="195">
        <f t="shared" si="3"/>
        <v>0.0499999999999989</v>
      </c>
      <c r="U38" s="195">
        <f t="shared" si="4"/>
        <v>2.63</v>
      </c>
      <c r="V38" s="195">
        <f t="shared" si="5"/>
        <v>2.63</v>
      </c>
      <c r="W38" s="196">
        <f t="shared" si="6"/>
        <v>0.00393081761006281</v>
      </c>
      <c r="X38" s="197">
        <f t="shared" si="7"/>
        <v>0.00393081761006281</v>
      </c>
    </row>
    <row r="39" ht="11.4" hidden="1" customHeight="1" spans="1:24">
      <c r="A39" s="184" t="s">
        <v>866</v>
      </c>
      <c r="B39" s="184" t="s">
        <v>81</v>
      </c>
      <c r="C39" s="184" t="s">
        <v>867</v>
      </c>
      <c r="D39" s="185" t="s">
        <v>522</v>
      </c>
      <c r="E39" s="186" t="s">
        <v>868</v>
      </c>
      <c r="F39" s="186" t="s">
        <v>869</v>
      </c>
      <c r="G39" s="186" t="s">
        <v>870</v>
      </c>
      <c r="H39" s="186" t="s">
        <v>886</v>
      </c>
      <c r="I39" s="187" t="s">
        <v>887</v>
      </c>
      <c r="J39" s="187" t="s">
        <v>888</v>
      </c>
      <c r="K39" s="188">
        <v>85.2</v>
      </c>
      <c r="L39" s="188">
        <v>85.17</v>
      </c>
      <c r="M39" s="189" t="s">
        <v>847</v>
      </c>
      <c r="N39" s="190">
        <v>60.46</v>
      </c>
      <c r="O39" s="190">
        <f t="shared" si="0"/>
        <v>65.9</v>
      </c>
      <c r="P39" s="191">
        <f t="shared" si="1"/>
        <v>5151.19</v>
      </c>
      <c r="Q39" s="192">
        <f t="shared" si="2"/>
        <v>5149.38</v>
      </c>
      <c r="R39" s="193"/>
      <c r="S39" s="194"/>
      <c r="T39" s="195">
        <f t="shared" si="3"/>
        <v>0.0300000000000011</v>
      </c>
      <c r="U39" s="195">
        <f t="shared" si="4"/>
        <v>1.80999999999949</v>
      </c>
      <c r="V39" s="195">
        <f t="shared" si="5"/>
        <v>1.80999999999949</v>
      </c>
      <c r="W39" s="196">
        <f t="shared" si="6"/>
        <v>0.000352236703064473</v>
      </c>
      <c r="X39" s="197">
        <f t="shared" si="7"/>
        <v>0.000352236703064473</v>
      </c>
    </row>
    <row r="40" ht="11.4" hidden="1" customHeight="1" spans="1:24">
      <c r="A40" s="184" t="s">
        <v>866</v>
      </c>
      <c r="B40" s="184" t="s">
        <v>81</v>
      </c>
      <c r="C40" s="184" t="s">
        <v>867</v>
      </c>
      <c r="D40" s="185" t="s">
        <v>522</v>
      </c>
      <c r="E40" s="186" t="s">
        <v>868</v>
      </c>
      <c r="F40" s="186" t="s">
        <v>869</v>
      </c>
      <c r="G40" s="186" t="s">
        <v>870</v>
      </c>
      <c r="H40" s="186" t="s">
        <v>886</v>
      </c>
      <c r="I40" s="187" t="s">
        <v>890</v>
      </c>
      <c r="J40" s="187" t="s">
        <v>891</v>
      </c>
      <c r="K40" s="188"/>
      <c r="L40" s="188"/>
      <c r="M40" s="189" t="s">
        <v>847</v>
      </c>
      <c r="N40" s="190">
        <v>71.58</v>
      </c>
      <c r="O40" s="190">
        <f t="shared" si="0"/>
        <v>78.02</v>
      </c>
      <c r="P40" s="191">
        <f t="shared" si="1"/>
        <v>0</v>
      </c>
      <c r="Q40" s="192">
        <f t="shared" si="2"/>
        <v>0</v>
      </c>
      <c r="R40" s="193"/>
      <c r="S40" s="194"/>
      <c r="T40" s="195">
        <f t="shared" si="3"/>
        <v>0</v>
      </c>
      <c r="U40" s="195">
        <f t="shared" si="4"/>
        <v>0</v>
      </c>
      <c r="V40" s="195">
        <f t="shared" si="5"/>
        <v>0</v>
      </c>
      <c r="W40" s="196" t="e">
        <f t="shared" si="6"/>
        <v>#DIV/0!</v>
      </c>
      <c r="X40" s="197" t="e">
        <f t="shared" si="7"/>
        <v>#DIV/0!</v>
      </c>
    </row>
    <row r="41" ht="11.4" hidden="1" customHeight="1" spans="1:24">
      <c r="A41" s="184" t="s">
        <v>866</v>
      </c>
      <c r="B41" s="184" t="s">
        <v>81</v>
      </c>
      <c r="C41" s="184" t="s">
        <v>867</v>
      </c>
      <c r="D41" s="185" t="s">
        <v>522</v>
      </c>
      <c r="E41" s="186" t="s">
        <v>868</v>
      </c>
      <c r="F41" s="186" t="s">
        <v>869</v>
      </c>
      <c r="G41" s="186" t="s">
        <v>870</v>
      </c>
      <c r="H41" s="186" t="s">
        <v>886</v>
      </c>
      <c r="I41" s="187" t="s">
        <v>893</v>
      </c>
      <c r="J41" s="187" t="s">
        <v>894</v>
      </c>
      <c r="K41" s="188"/>
      <c r="L41" s="188"/>
      <c r="M41" s="189" t="s">
        <v>895</v>
      </c>
      <c r="N41" s="190">
        <v>11207.21</v>
      </c>
      <c r="O41" s="190">
        <f t="shared" si="0"/>
        <v>12215.86</v>
      </c>
      <c r="P41" s="191">
        <f t="shared" si="1"/>
        <v>0</v>
      </c>
      <c r="Q41" s="192">
        <f t="shared" si="2"/>
        <v>0</v>
      </c>
      <c r="R41" s="193"/>
      <c r="S41" s="194"/>
      <c r="T41" s="195">
        <f t="shared" si="3"/>
        <v>0</v>
      </c>
      <c r="U41" s="195">
        <f t="shared" si="4"/>
        <v>0</v>
      </c>
      <c r="V41" s="195">
        <f t="shared" si="5"/>
        <v>0</v>
      </c>
      <c r="W41" s="196" t="e">
        <f t="shared" si="6"/>
        <v>#DIV/0!</v>
      </c>
      <c r="X41" s="197" t="e">
        <f t="shared" si="7"/>
        <v>#DIV/0!</v>
      </c>
    </row>
    <row r="42" ht="11.4" hidden="1" customHeight="1" spans="1:24">
      <c r="A42" s="184" t="s">
        <v>897</v>
      </c>
      <c r="B42" s="184" t="s">
        <v>83</v>
      </c>
      <c r="C42" s="184" t="s">
        <v>898</v>
      </c>
      <c r="D42" s="185" t="s">
        <v>522</v>
      </c>
      <c r="E42" s="186" t="s">
        <v>868</v>
      </c>
      <c r="F42" s="186" t="s">
        <v>899</v>
      </c>
      <c r="G42" s="186" t="s">
        <v>900</v>
      </c>
      <c r="H42" s="186" t="s">
        <v>901</v>
      </c>
      <c r="I42" s="187" t="s">
        <v>902</v>
      </c>
      <c r="J42" s="187" t="s">
        <v>903</v>
      </c>
      <c r="K42" s="188"/>
      <c r="L42" s="188"/>
      <c r="M42" s="189" t="s">
        <v>847</v>
      </c>
      <c r="N42" s="190">
        <v>14</v>
      </c>
      <c r="O42" s="190">
        <f t="shared" si="0"/>
        <v>15.26</v>
      </c>
      <c r="P42" s="191">
        <f t="shared" si="1"/>
        <v>0</v>
      </c>
      <c r="Q42" s="192">
        <f t="shared" si="2"/>
        <v>0</v>
      </c>
      <c r="R42" s="193"/>
      <c r="S42" s="194"/>
      <c r="T42" s="195">
        <f t="shared" si="3"/>
        <v>0</v>
      </c>
      <c r="U42" s="195">
        <f t="shared" si="4"/>
        <v>0</v>
      </c>
      <c r="V42" s="195">
        <f t="shared" si="5"/>
        <v>0</v>
      </c>
      <c r="W42" s="196" t="e">
        <f t="shared" si="6"/>
        <v>#DIV/0!</v>
      </c>
      <c r="X42" s="197" t="e">
        <f t="shared" si="7"/>
        <v>#DIV/0!</v>
      </c>
    </row>
    <row r="43" ht="11.4" hidden="1" customHeight="1" spans="1:24">
      <c r="A43" s="184" t="s">
        <v>904</v>
      </c>
      <c r="B43" s="184" t="s">
        <v>153</v>
      </c>
      <c r="C43" s="184" t="s">
        <v>905</v>
      </c>
      <c r="D43" s="185" t="s">
        <v>522</v>
      </c>
      <c r="E43" s="186" t="s">
        <v>906</v>
      </c>
      <c r="F43" s="186" t="s">
        <v>907</v>
      </c>
      <c r="G43" s="186" t="s">
        <v>908</v>
      </c>
      <c r="H43" s="186" t="s">
        <v>909</v>
      </c>
      <c r="I43" s="187" t="s">
        <v>910</v>
      </c>
      <c r="J43" s="161" t="s">
        <v>911</v>
      </c>
      <c r="K43" s="188">
        <v>0.5</v>
      </c>
      <c r="L43" s="188">
        <v>0.5</v>
      </c>
      <c r="M43" s="189" t="s">
        <v>895</v>
      </c>
      <c r="N43" s="190">
        <v>8999.8</v>
      </c>
      <c r="O43" s="190">
        <f t="shared" si="0"/>
        <v>9809.78</v>
      </c>
      <c r="P43" s="191">
        <f t="shared" si="1"/>
        <v>4499.9</v>
      </c>
      <c r="Q43" s="192">
        <f t="shared" si="2"/>
        <v>4499.9</v>
      </c>
      <c r="R43" s="193"/>
      <c r="S43" s="194"/>
      <c r="T43" s="195">
        <f t="shared" si="3"/>
        <v>0</v>
      </c>
      <c r="U43" s="195">
        <f t="shared" si="4"/>
        <v>0</v>
      </c>
      <c r="V43" s="195">
        <f t="shared" si="5"/>
        <v>0</v>
      </c>
      <c r="W43" s="196">
        <f t="shared" si="6"/>
        <v>0</v>
      </c>
      <c r="X43" s="197">
        <f t="shared" si="7"/>
        <v>0</v>
      </c>
    </row>
    <row r="44" ht="11.4" hidden="1" customHeight="1" spans="1:24">
      <c r="A44" s="184" t="s">
        <v>904</v>
      </c>
      <c r="B44" s="184" t="s">
        <v>153</v>
      </c>
      <c r="C44" s="184" t="s">
        <v>905</v>
      </c>
      <c r="D44" s="185" t="s">
        <v>522</v>
      </c>
      <c r="E44" s="186" t="s">
        <v>906</v>
      </c>
      <c r="F44" s="186" t="s">
        <v>907</v>
      </c>
      <c r="G44" s="186" t="s">
        <v>908</v>
      </c>
      <c r="H44" s="186" t="s">
        <v>909</v>
      </c>
      <c r="I44" s="187" t="s">
        <v>912</v>
      </c>
      <c r="J44" s="187" t="s">
        <v>913</v>
      </c>
      <c r="K44" s="188"/>
      <c r="L44" s="188"/>
      <c r="M44" s="189" t="s">
        <v>793</v>
      </c>
      <c r="N44" s="190">
        <v>3313.15</v>
      </c>
      <c r="O44" s="190">
        <f t="shared" si="0"/>
        <v>3611.33</v>
      </c>
      <c r="P44" s="191">
        <f t="shared" si="1"/>
        <v>0</v>
      </c>
      <c r="Q44" s="192">
        <f t="shared" si="2"/>
        <v>0</v>
      </c>
      <c r="R44" s="193"/>
      <c r="S44" s="194"/>
      <c r="T44" s="195">
        <f t="shared" si="3"/>
        <v>0</v>
      </c>
      <c r="U44" s="195">
        <f t="shared" si="4"/>
        <v>0</v>
      </c>
      <c r="V44" s="195">
        <f t="shared" si="5"/>
        <v>0</v>
      </c>
      <c r="W44" s="196" t="e">
        <f t="shared" si="6"/>
        <v>#DIV/0!</v>
      </c>
      <c r="X44" s="197" t="e">
        <f t="shared" si="7"/>
        <v>#DIV/0!</v>
      </c>
    </row>
    <row r="45" ht="11.4" hidden="1" customHeight="1" spans="1:24">
      <c r="A45" s="184" t="s">
        <v>904</v>
      </c>
      <c r="B45" s="184" t="s">
        <v>153</v>
      </c>
      <c r="C45" s="184" t="s">
        <v>905</v>
      </c>
      <c r="D45" s="185" t="s">
        <v>522</v>
      </c>
      <c r="E45" s="186" t="s">
        <v>906</v>
      </c>
      <c r="F45" s="186" t="s">
        <v>907</v>
      </c>
      <c r="G45" s="186" t="s">
        <v>908</v>
      </c>
      <c r="H45" s="186" t="s">
        <v>909</v>
      </c>
      <c r="I45" s="187" t="s">
        <v>914</v>
      </c>
      <c r="J45" s="187" t="s">
        <v>915</v>
      </c>
      <c r="K45" s="188"/>
      <c r="L45" s="188"/>
      <c r="M45" s="189" t="s">
        <v>847</v>
      </c>
      <c r="N45" s="190">
        <v>114.79</v>
      </c>
      <c r="O45" s="190">
        <f t="shared" si="0"/>
        <v>125.12</v>
      </c>
      <c r="P45" s="191">
        <f t="shared" si="1"/>
        <v>0</v>
      </c>
      <c r="Q45" s="192">
        <f t="shared" si="2"/>
        <v>0</v>
      </c>
      <c r="R45" s="193"/>
      <c r="S45" s="194"/>
      <c r="T45" s="195">
        <f t="shared" si="3"/>
        <v>0</v>
      </c>
      <c r="U45" s="195">
        <f t="shared" si="4"/>
        <v>0</v>
      </c>
      <c r="V45" s="195">
        <f t="shared" si="5"/>
        <v>0</v>
      </c>
      <c r="W45" s="196" t="e">
        <f t="shared" si="6"/>
        <v>#DIV/0!</v>
      </c>
      <c r="X45" s="197" t="e">
        <f t="shared" si="7"/>
        <v>#DIV/0!</v>
      </c>
    </row>
    <row r="46" ht="11.4" hidden="1" customHeight="1" spans="1:24">
      <c r="A46" s="184" t="s">
        <v>897</v>
      </c>
      <c r="B46" s="184" t="s">
        <v>83</v>
      </c>
      <c r="C46" s="184" t="s">
        <v>898</v>
      </c>
      <c r="D46" s="185" t="s">
        <v>522</v>
      </c>
      <c r="E46" s="186" t="s">
        <v>868</v>
      </c>
      <c r="F46" s="186" t="s">
        <v>899</v>
      </c>
      <c r="G46" s="186" t="s">
        <v>900</v>
      </c>
      <c r="H46" s="186" t="s">
        <v>901</v>
      </c>
      <c r="I46" s="187" t="s">
        <v>916</v>
      </c>
      <c r="J46" s="187" t="s">
        <v>917</v>
      </c>
      <c r="K46" s="188"/>
      <c r="L46" s="188"/>
      <c r="M46" s="189" t="s">
        <v>793</v>
      </c>
      <c r="N46" s="190"/>
      <c r="O46" s="190">
        <f t="shared" si="0"/>
        <v>0</v>
      </c>
      <c r="P46" s="191">
        <f t="shared" si="1"/>
        <v>0</v>
      </c>
      <c r="Q46" s="192">
        <f t="shared" si="2"/>
        <v>0</v>
      </c>
      <c r="R46" s="193"/>
      <c r="S46" s="194"/>
      <c r="T46" s="195">
        <f t="shared" si="3"/>
        <v>0</v>
      </c>
      <c r="U46" s="195">
        <f t="shared" si="4"/>
        <v>0</v>
      </c>
      <c r="V46" s="195">
        <f t="shared" si="5"/>
        <v>0</v>
      </c>
      <c r="W46" s="196" t="e">
        <f t="shared" si="6"/>
        <v>#DIV/0!</v>
      </c>
      <c r="X46" s="197" t="e">
        <f t="shared" si="7"/>
        <v>#DIV/0!</v>
      </c>
    </row>
    <row r="47" ht="11.4" hidden="1" customHeight="1" spans="1:24">
      <c r="A47" s="184" t="s">
        <v>897</v>
      </c>
      <c r="B47" s="184" t="s">
        <v>83</v>
      </c>
      <c r="C47" s="184" t="s">
        <v>898</v>
      </c>
      <c r="D47" s="185" t="s">
        <v>522</v>
      </c>
      <c r="E47" s="186" t="s">
        <v>868</v>
      </c>
      <c r="F47" s="186" t="s">
        <v>899</v>
      </c>
      <c r="G47" s="186" t="s">
        <v>900</v>
      </c>
      <c r="H47" s="186" t="s">
        <v>900</v>
      </c>
      <c r="I47" s="187" t="s">
        <v>918</v>
      </c>
      <c r="J47" s="187" t="s">
        <v>900</v>
      </c>
      <c r="K47" s="188"/>
      <c r="L47" s="188"/>
      <c r="M47" s="189" t="s">
        <v>793</v>
      </c>
      <c r="N47" s="190"/>
      <c r="O47" s="190">
        <f t="shared" si="0"/>
        <v>0</v>
      </c>
      <c r="P47" s="191">
        <f t="shared" si="1"/>
        <v>0</v>
      </c>
      <c r="Q47" s="192">
        <f t="shared" si="2"/>
        <v>0</v>
      </c>
      <c r="R47" s="193"/>
      <c r="S47" s="194"/>
      <c r="T47" s="195">
        <f t="shared" si="3"/>
        <v>0</v>
      </c>
      <c r="U47" s="195">
        <f t="shared" si="4"/>
        <v>0</v>
      </c>
      <c r="V47" s="195">
        <f t="shared" si="5"/>
        <v>0</v>
      </c>
      <c r="W47" s="196" t="e">
        <f t="shared" si="6"/>
        <v>#DIV/0!</v>
      </c>
      <c r="X47" s="197" t="e">
        <f t="shared" si="7"/>
        <v>#DIV/0!</v>
      </c>
    </row>
    <row r="48" ht="11.4" hidden="1" customHeight="1" spans="1:24">
      <c r="A48" s="184" t="s">
        <v>919</v>
      </c>
      <c r="B48" s="184" t="s">
        <v>85</v>
      </c>
      <c r="C48" s="184" t="s">
        <v>920</v>
      </c>
      <c r="D48" s="185" t="s">
        <v>522</v>
      </c>
      <c r="E48" s="186" t="s">
        <v>868</v>
      </c>
      <c r="F48" s="186" t="s">
        <v>921</v>
      </c>
      <c r="G48" s="186" t="s">
        <v>534</v>
      </c>
      <c r="H48" s="186" t="s">
        <v>922</v>
      </c>
      <c r="I48" s="187" t="s">
        <v>923</v>
      </c>
      <c r="J48" s="187" t="s">
        <v>924</v>
      </c>
      <c r="K48" s="188"/>
      <c r="L48" s="188"/>
      <c r="M48" s="189" t="s">
        <v>847</v>
      </c>
      <c r="N48" s="190">
        <v>174.03</v>
      </c>
      <c r="O48" s="190">
        <f t="shared" si="0"/>
        <v>189.69</v>
      </c>
      <c r="P48" s="191">
        <f t="shared" si="1"/>
        <v>0</v>
      </c>
      <c r="Q48" s="192">
        <f t="shared" si="2"/>
        <v>0</v>
      </c>
      <c r="R48" s="193"/>
      <c r="S48" s="194"/>
      <c r="T48" s="195">
        <f t="shared" si="3"/>
        <v>0</v>
      </c>
      <c r="U48" s="195">
        <f t="shared" si="4"/>
        <v>0</v>
      </c>
      <c r="V48" s="195">
        <f t="shared" si="5"/>
        <v>0</v>
      </c>
      <c r="W48" s="196" t="e">
        <f t="shared" si="6"/>
        <v>#DIV/0!</v>
      </c>
      <c r="X48" s="197" t="e">
        <f t="shared" si="7"/>
        <v>#DIV/0!</v>
      </c>
    </row>
    <row r="49" ht="11.4" hidden="1" customHeight="1" spans="1:24">
      <c r="A49" s="184" t="s">
        <v>919</v>
      </c>
      <c r="B49" s="184" t="s">
        <v>85</v>
      </c>
      <c r="C49" s="184" t="s">
        <v>920</v>
      </c>
      <c r="D49" s="185" t="s">
        <v>522</v>
      </c>
      <c r="E49" s="186" t="s">
        <v>868</v>
      </c>
      <c r="F49" s="186" t="s">
        <v>921</v>
      </c>
      <c r="G49" s="186" t="s">
        <v>534</v>
      </c>
      <c r="H49" s="186" t="s">
        <v>922</v>
      </c>
      <c r="I49" s="187" t="s">
        <v>926</v>
      </c>
      <c r="J49" s="187" t="s">
        <v>927</v>
      </c>
      <c r="K49" s="188"/>
      <c r="L49" s="188"/>
      <c r="M49" s="189" t="s">
        <v>847</v>
      </c>
      <c r="N49" s="190">
        <v>159.51</v>
      </c>
      <c r="O49" s="190">
        <f t="shared" si="0"/>
        <v>173.87</v>
      </c>
      <c r="P49" s="191">
        <f t="shared" si="1"/>
        <v>0</v>
      </c>
      <c r="Q49" s="192">
        <f t="shared" si="2"/>
        <v>0</v>
      </c>
      <c r="R49" s="193"/>
      <c r="S49" s="194"/>
      <c r="T49" s="195">
        <f t="shared" si="3"/>
        <v>0</v>
      </c>
      <c r="U49" s="195">
        <f t="shared" si="4"/>
        <v>0</v>
      </c>
      <c r="V49" s="195">
        <f t="shared" si="5"/>
        <v>0</v>
      </c>
      <c r="W49" s="196" t="e">
        <f t="shared" si="6"/>
        <v>#DIV/0!</v>
      </c>
      <c r="X49" s="197" t="e">
        <f t="shared" si="7"/>
        <v>#DIV/0!</v>
      </c>
    </row>
    <row r="50" ht="11.4" hidden="1" customHeight="1" spans="1:24">
      <c r="A50" s="184" t="s">
        <v>919</v>
      </c>
      <c r="B50" s="184" t="s">
        <v>85</v>
      </c>
      <c r="C50" s="184" t="s">
        <v>920</v>
      </c>
      <c r="D50" s="185" t="s">
        <v>522</v>
      </c>
      <c r="E50" s="186" t="s">
        <v>868</v>
      </c>
      <c r="F50" s="186" t="s">
        <v>921</v>
      </c>
      <c r="G50" s="186" t="s">
        <v>534</v>
      </c>
      <c r="H50" s="186" t="s">
        <v>922</v>
      </c>
      <c r="I50" s="187" t="s">
        <v>929</v>
      </c>
      <c r="J50" s="187" t="s">
        <v>930</v>
      </c>
      <c r="K50" s="188"/>
      <c r="L50" s="188"/>
      <c r="M50" s="189" t="s">
        <v>847</v>
      </c>
      <c r="N50" s="190">
        <v>184.92</v>
      </c>
      <c r="O50" s="190">
        <f t="shared" si="0"/>
        <v>201.56</v>
      </c>
      <c r="P50" s="191">
        <f t="shared" si="1"/>
        <v>0</v>
      </c>
      <c r="Q50" s="192">
        <f t="shared" si="2"/>
        <v>0</v>
      </c>
      <c r="R50" s="193"/>
      <c r="S50" s="194"/>
      <c r="T50" s="195">
        <f t="shared" si="3"/>
        <v>0</v>
      </c>
      <c r="U50" s="195">
        <f t="shared" si="4"/>
        <v>0</v>
      </c>
      <c r="V50" s="195">
        <f t="shared" si="5"/>
        <v>0</v>
      </c>
      <c r="W50" s="196" t="e">
        <f t="shared" si="6"/>
        <v>#DIV/0!</v>
      </c>
      <c r="X50" s="197" t="e">
        <f t="shared" si="7"/>
        <v>#DIV/0!</v>
      </c>
    </row>
    <row r="51" ht="11.4" hidden="1" customHeight="1" spans="1:24">
      <c r="A51" s="184" t="s">
        <v>919</v>
      </c>
      <c r="B51" s="184" t="s">
        <v>85</v>
      </c>
      <c r="C51" s="184" t="s">
        <v>920</v>
      </c>
      <c r="D51" s="185" t="s">
        <v>522</v>
      </c>
      <c r="E51" s="186" t="s">
        <v>868</v>
      </c>
      <c r="F51" s="186" t="s">
        <v>921</v>
      </c>
      <c r="G51" s="186" t="s">
        <v>534</v>
      </c>
      <c r="H51" s="186" t="s">
        <v>922</v>
      </c>
      <c r="I51" s="187" t="s">
        <v>931</v>
      </c>
      <c r="J51" s="187" t="s">
        <v>932</v>
      </c>
      <c r="K51" s="188"/>
      <c r="L51" s="188"/>
      <c r="M51" s="189" t="s">
        <v>847</v>
      </c>
      <c r="N51" s="190">
        <v>288.05</v>
      </c>
      <c r="O51" s="190">
        <f t="shared" si="0"/>
        <v>313.97</v>
      </c>
      <c r="P51" s="191">
        <f t="shared" si="1"/>
        <v>0</v>
      </c>
      <c r="Q51" s="192">
        <f t="shared" si="2"/>
        <v>0</v>
      </c>
      <c r="R51" s="193"/>
      <c r="S51" s="194"/>
      <c r="T51" s="195">
        <f t="shared" si="3"/>
        <v>0</v>
      </c>
      <c r="U51" s="195">
        <f t="shared" si="4"/>
        <v>0</v>
      </c>
      <c r="V51" s="195">
        <f t="shared" si="5"/>
        <v>0</v>
      </c>
      <c r="W51" s="196" t="e">
        <f t="shared" si="6"/>
        <v>#DIV/0!</v>
      </c>
      <c r="X51" s="197" t="e">
        <f t="shared" si="7"/>
        <v>#DIV/0!</v>
      </c>
    </row>
    <row r="52" ht="11.4" hidden="1" customHeight="1" spans="1:24">
      <c r="A52" s="184" t="s">
        <v>919</v>
      </c>
      <c r="B52" s="184" t="s">
        <v>85</v>
      </c>
      <c r="C52" s="184" t="s">
        <v>920</v>
      </c>
      <c r="D52" s="185" t="s">
        <v>522</v>
      </c>
      <c r="E52" s="186" t="s">
        <v>868</v>
      </c>
      <c r="F52" s="186" t="s">
        <v>921</v>
      </c>
      <c r="G52" s="186" t="s">
        <v>534</v>
      </c>
      <c r="H52" s="186" t="s">
        <v>922</v>
      </c>
      <c r="I52" s="187" t="s">
        <v>933</v>
      </c>
      <c r="J52" s="187" t="s">
        <v>934</v>
      </c>
      <c r="K52" s="188"/>
      <c r="L52" s="188"/>
      <c r="M52" s="189" t="s">
        <v>935</v>
      </c>
      <c r="N52" s="190">
        <v>531.74</v>
      </c>
      <c r="O52" s="190">
        <f t="shared" si="0"/>
        <v>579.6</v>
      </c>
      <c r="P52" s="191">
        <f t="shared" si="1"/>
        <v>0</v>
      </c>
      <c r="Q52" s="192">
        <f t="shared" si="2"/>
        <v>0</v>
      </c>
      <c r="R52" s="193"/>
      <c r="S52" s="194"/>
      <c r="T52" s="195">
        <f t="shared" si="3"/>
        <v>0</v>
      </c>
      <c r="U52" s="195">
        <f t="shared" si="4"/>
        <v>0</v>
      </c>
      <c r="V52" s="195">
        <f t="shared" si="5"/>
        <v>0</v>
      </c>
      <c r="W52" s="196" t="e">
        <f t="shared" si="6"/>
        <v>#DIV/0!</v>
      </c>
      <c r="X52" s="197" t="e">
        <f t="shared" si="7"/>
        <v>#DIV/0!</v>
      </c>
    </row>
    <row r="53" ht="11.4" hidden="1" customHeight="1" spans="1:24">
      <c r="A53" s="184" t="s">
        <v>919</v>
      </c>
      <c r="B53" s="184" t="s">
        <v>85</v>
      </c>
      <c r="C53" s="184" t="s">
        <v>920</v>
      </c>
      <c r="D53" s="185" t="s">
        <v>522</v>
      </c>
      <c r="E53" s="186" t="s">
        <v>868</v>
      </c>
      <c r="F53" s="186" t="s">
        <v>921</v>
      </c>
      <c r="G53" s="186" t="s">
        <v>534</v>
      </c>
      <c r="H53" s="186" t="s">
        <v>922</v>
      </c>
      <c r="I53" s="187" t="s">
        <v>937</v>
      </c>
      <c r="J53" s="187" t="s">
        <v>938</v>
      </c>
      <c r="K53" s="188"/>
      <c r="L53" s="188"/>
      <c r="M53" s="189" t="s">
        <v>807</v>
      </c>
      <c r="N53" s="190">
        <v>47.51</v>
      </c>
      <c r="O53" s="190">
        <f t="shared" si="0"/>
        <v>51.79</v>
      </c>
      <c r="P53" s="191">
        <f t="shared" si="1"/>
        <v>0</v>
      </c>
      <c r="Q53" s="192">
        <f t="shared" si="2"/>
        <v>0</v>
      </c>
      <c r="R53" s="193"/>
      <c r="S53" s="194"/>
      <c r="T53" s="195">
        <f t="shared" si="3"/>
        <v>0</v>
      </c>
      <c r="U53" s="195">
        <f t="shared" si="4"/>
        <v>0</v>
      </c>
      <c r="V53" s="195">
        <f t="shared" si="5"/>
        <v>0</v>
      </c>
      <c r="W53" s="196" t="e">
        <f t="shared" si="6"/>
        <v>#DIV/0!</v>
      </c>
      <c r="X53" s="197" t="e">
        <f t="shared" si="7"/>
        <v>#DIV/0!</v>
      </c>
    </row>
    <row r="54" ht="11.4" hidden="1" customHeight="1" spans="1:24">
      <c r="A54" s="184" t="s">
        <v>919</v>
      </c>
      <c r="B54" s="184" t="s">
        <v>85</v>
      </c>
      <c r="C54" s="184" t="s">
        <v>920</v>
      </c>
      <c r="D54" s="185" t="s">
        <v>522</v>
      </c>
      <c r="E54" s="186" t="s">
        <v>868</v>
      </c>
      <c r="F54" s="186" t="s">
        <v>921</v>
      </c>
      <c r="G54" s="186" t="s">
        <v>534</v>
      </c>
      <c r="H54" s="186" t="s">
        <v>922</v>
      </c>
      <c r="I54" s="187" t="s">
        <v>940</v>
      </c>
      <c r="J54" s="187" t="s">
        <v>941</v>
      </c>
      <c r="K54" s="188"/>
      <c r="L54" s="188"/>
      <c r="M54" s="189" t="s">
        <v>807</v>
      </c>
      <c r="N54" s="190">
        <v>43.88</v>
      </c>
      <c r="O54" s="190">
        <f t="shared" si="0"/>
        <v>47.83</v>
      </c>
      <c r="P54" s="191">
        <f t="shared" si="1"/>
        <v>0</v>
      </c>
      <c r="Q54" s="192">
        <f t="shared" si="2"/>
        <v>0</v>
      </c>
      <c r="R54" s="193"/>
      <c r="S54" s="194"/>
      <c r="T54" s="195">
        <f t="shared" si="3"/>
        <v>0</v>
      </c>
      <c r="U54" s="195">
        <f t="shared" si="4"/>
        <v>0</v>
      </c>
      <c r="V54" s="195">
        <f t="shared" si="5"/>
        <v>0</v>
      </c>
      <c r="W54" s="196" t="e">
        <f t="shared" si="6"/>
        <v>#DIV/0!</v>
      </c>
      <c r="X54" s="197" t="e">
        <f t="shared" si="7"/>
        <v>#DIV/0!</v>
      </c>
    </row>
    <row r="55" ht="11.4" hidden="1" customHeight="1" spans="1:24">
      <c r="A55" s="184" t="s">
        <v>919</v>
      </c>
      <c r="B55" s="184" t="s">
        <v>85</v>
      </c>
      <c r="C55" s="184" t="s">
        <v>920</v>
      </c>
      <c r="D55" s="185" t="s">
        <v>522</v>
      </c>
      <c r="E55" s="186" t="s">
        <v>868</v>
      </c>
      <c r="F55" s="186" t="s">
        <v>921</v>
      </c>
      <c r="G55" s="186" t="s">
        <v>534</v>
      </c>
      <c r="H55" s="186" t="s">
        <v>922</v>
      </c>
      <c r="I55" s="187" t="s">
        <v>942</v>
      </c>
      <c r="J55" s="187" t="s">
        <v>943</v>
      </c>
      <c r="K55" s="188"/>
      <c r="L55" s="188"/>
      <c r="M55" s="189" t="s">
        <v>807</v>
      </c>
      <c r="N55" s="190">
        <v>43.88</v>
      </c>
      <c r="O55" s="190">
        <f t="shared" si="0"/>
        <v>47.83</v>
      </c>
      <c r="P55" s="191">
        <f t="shared" si="1"/>
        <v>0</v>
      </c>
      <c r="Q55" s="192">
        <f t="shared" si="2"/>
        <v>0</v>
      </c>
      <c r="R55" s="193"/>
      <c r="S55" s="194"/>
      <c r="T55" s="195">
        <f t="shared" si="3"/>
        <v>0</v>
      </c>
      <c r="U55" s="195">
        <f t="shared" si="4"/>
        <v>0</v>
      </c>
      <c r="V55" s="195">
        <f t="shared" si="5"/>
        <v>0</v>
      </c>
      <c r="W55" s="196" t="e">
        <f t="shared" si="6"/>
        <v>#DIV/0!</v>
      </c>
      <c r="X55" s="197" t="e">
        <f t="shared" si="7"/>
        <v>#DIV/0!</v>
      </c>
    </row>
    <row r="56" ht="11.4" hidden="1" customHeight="1" spans="1:24">
      <c r="A56" s="184" t="s">
        <v>919</v>
      </c>
      <c r="B56" s="184" t="s">
        <v>85</v>
      </c>
      <c r="C56" s="184" t="s">
        <v>920</v>
      </c>
      <c r="D56" s="185" t="s">
        <v>522</v>
      </c>
      <c r="E56" s="186" t="s">
        <v>868</v>
      </c>
      <c r="F56" s="186" t="s">
        <v>921</v>
      </c>
      <c r="G56" s="186" t="s">
        <v>534</v>
      </c>
      <c r="H56" s="186" t="s">
        <v>944</v>
      </c>
      <c r="I56" s="187" t="s">
        <v>945</v>
      </c>
      <c r="J56" s="187" t="s">
        <v>946</v>
      </c>
      <c r="K56" s="188"/>
      <c r="L56" s="188"/>
      <c r="M56" s="189" t="s">
        <v>847</v>
      </c>
      <c r="N56" s="190">
        <v>167.98</v>
      </c>
      <c r="O56" s="190">
        <f t="shared" si="0"/>
        <v>183.1</v>
      </c>
      <c r="P56" s="191">
        <f t="shared" si="1"/>
        <v>0</v>
      </c>
      <c r="Q56" s="192">
        <f t="shared" si="2"/>
        <v>0</v>
      </c>
      <c r="R56" s="193"/>
      <c r="S56" s="194"/>
      <c r="T56" s="195">
        <f t="shared" si="3"/>
        <v>0</v>
      </c>
      <c r="U56" s="195">
        <f t="shared" si="4"/>
        <v>0</v>
      </c>
      <c r="V56" s="195">
        <f t="shared" si="5"/>
        <v>0</v>
      </c>
      <c r="W56" s="196" t="e">
        <f t="shared" si="6"/>
        <v>#DIV/0!</v>
      </c>
      <c r="X56" s="197" t="e">
        <f t="shared" si="7"/>
        <v>#DIV/0!</v>
      </c>
    </row>
    <row r="57" ht="11.4" hidden="1" customHeight="1" spans="1:24">
      <c r="A57" s="184" t="s">
        <v>919</v>
      </c>
      <c r="B57" s="184" t="s">
        <v>85</v>
      </c>
      <c r="C57" s="184" t="s">
        <v>920</v>
      </c>
      <c r="D57" s="185" t="s">
        <v>522</v>
      </c>
      <c r="E57" s="186" t="s">
        <v>868</v>
      </c>
      <c r="F57" s="186" t="s">
        <v>921</v>
      </c>
      <c r="G57" s="186" t="s">
        <v>534</v>
      </c>
      <c r="H57" s="186" t="s">
        <v>944</v>
      </c>
      <c r="I57" s="187" t="s">
        <v>947</v>
      </c>
      <c r="J57" s="187" t="s">
        <v>948</v>
      </c>
      <c r="K57" s="188"/>
      <c r="L57" s="188"/>
      <c r="M57" s="189" t="s">
        <v>847</v>
      </c>
      <c r="N57" s="190">
        <v>147.41</v>
      </c>
      <c r="O57" s="190">
        <f t="shared" si="0"/>
        <v>160.68</v>
      </c>
      <c r="P57" s="191">
        <f t="shared" si="1"/>
        <v>0</v>
      </c>
      <c r="Q57" s="192">
        <f t="shared" si="2"/>
        <v>0</v>
      </c>
      <c r="R57" s="193"/>
      <c r="S57" s="194"/>
      <c r="T57" s="195">
        <f t="shared" si="3"/>
        <v>0</v>
      </c>
      <c r="U57" s="195">
        <f t="shared" si="4"/>
        <v>0</v>
      </c>
      <c r="V57" s="195">
        <f t="shared" si="5"/>
        <v>0</v>
      </c>
      <c r="W57" s="196" t="e">
        <f t="shared" si="6"/>
        <v>#DIV/0!</v>
      </c>
      <c r="X57" s="197" t="e">
        <f t="shared" si="7"/>
        <v>#DIV/0!</v>
      </c>
    </row>
    <row r="58" ht="11.4" hidden="1" customHeight="1" spans="1:24">
      <c r="A58" s="184" t="s">
        <v>919</v>
      </c>
      <c r="B58" s="184" t="s">
        <v>85</v>
      </c>
      <c r="C58" s="184" t="s">
        <v>920</v>
      </c>
      <c r="D58" s="185" t="s">
        <v>522</v>
      </c>
      <c r="E58" s="186" t="s">
        <v>868</v>
      </c>
      <c r="F58" s="186" t="s">
        <v>921</v>
      </c>
      <c r="G58" s="186" t="s">
        <v>534</v>
      </c>
      <c r="H58" s="186" t="s">
        <v>944</v>
      </c>
      <c r="I58" s="187" t="s">
        <v>949</v>
      </c>
      <c r="J58" s="187" t="s">
        <v>950</v>
      </c>
      <c r="K58" s="188"/>
      <c r="L58" s="188"/>
      <c r="M58" s="189" t="s">
        <v>847</v>
      </c>
      <c r="N58" s="190">
        <v>169.19</v>
      </c>
      <c r="O58" s="190">
        <f t="shared" si="0"/>
        <v>184.42</v>
      </c>
      <c r="P58" s="191">
        <f t="shared" si="1"/>
        <v>0</v>
      </c>
      <c r="Q58" s="192">
        <f t="shared" si="2"/>
        <v>0</v>
      </c>
      <c r="R58" s="193"/>
      <c r="S58" s="194"/>
      <c r="T58" s="195">
        <f t="shared" si="3"/>
        <v>0</v>
      </c>
      <c r="U58" s="195">
        <f t="shared" si="4"/>
        <v>0</v>
      </c>
      <c r="V58" s="195">
        <f t="shared" si="5"/>
        <v>0</v>
      </c>
      <c r="W58" s="196" t="e">
        <f t="shared" si="6"/>
        <v>#DIV/0!</v>
      </c>
      <c r="X58" s="197" t="e">
        <f t="shared" si="7"/>
        <v>#DIV/0!</v>
      </c>
    </row>
    <row r="59" ht="11.4" hidden="1" customHeight="1" spans="1:24">
      <c r="A59" s="184" t="s">
        <v>919</v>
      </c>
      <c r="B59" s="184" t="s">
        <v>85</v>
      </c>
      <c r="C59" s="184" t="s">
        <v>920</v>
      </c>
      <c r="D59" s="185" t="s">
        <v>522</v>
      </c>
      <c r="E59" s="186" t="s">
        <v>868</v>
      </c>
      <c r="F59" s="186" t="s">
        <v>921</v>
      </c>
      <c r="G59" s="186" t="s">
        <v>534</v>
      </c>
      <c r="H59" s="186" t="s">
        <v>944</v>
      </c>
      <c r="I59" s="187" t="s">
        <v>951</v>
      </c>
      <c r="J59" s="187" t="s">
        <v>952</v>
      </c>
      <c r="K59" s="188"/>
      <c r="L59" s="188"/>
      <c r="M59" s="189" t="s">
        <v>847</v>
      </c>
      <c r="N59" s="190">
        <v>376.58</v>
      </c>
      <c r="O59" s="190">
        <f t="shared" si="0"/>
        <v>410.47</v>
      </c>
      <c r="P59" s="191">
        <f t="shared" si="1"/>
        <v>0</v>
      </c>
      <c r="Q59" s="192">
        <f t="shared" si="2"/>
        <v>0</v>
      </c>
      <c r="R59" s="193"/>
      <c r="S59" s="194"/>
      <c r="T59" s="195">
        <f t="shared" si="3"/>
        <v>0</v>
      </c>
      <c r="U59" s="195">
        <f t="shared" si="4"/>
        <v>0</v>
      </c>
      <c r="V59" s="195">
        <f t="shared" si="5"/>
        <v>0</v>
      </c>
      <c r="W59" s="196" t="e">
        <f t="shared" si="6"/>
        <v>#DIV/0!</v>
      </c>
      <c r="X59" s="197" t="e">
        <f t="shared" si="7"/>
        <v>#DIV/0!</v>
      </c>
    </row>
    <row r="60" ht="11.4" hidden="1" customHeight="1" spans="1:24">
      <c r="A60" s="184" t="s">
        <v>919</v>
      </c>
      <c r="B60" s="184" t="s">
        <v>85</v>
      </c>
      <c r="C60" s="184" t="s">
        <v>920</v>
      </c>
      <c r="D60" s="185" t="s">
        <v>522</v>
      </c>
      <c r="E60" s="186" t="s">
        <v>868</v>
      </c>
      <c r="F60" s="186" t="s">
        <v>921</v>
      </c>
      <c r="G60" s="186" t="s">
        <v>534</v>
      </c>
      <c r="H60" s="186" t="s">
        <v>944</v>
      </c>
      <c r="I60" s="187" t="s">
        <v>953</v>
      </c>
      <c r="J60" s="187" t="s">
        <v>954</v>
      </c>
      <c r="K60" s="188"/>
      <c r="L60" s="188"/>
      <c r="M60" s="189" t="s">
        <v>793</v>
      </c>
      <c r="N60" s="190"/>
      <c r="O60" s="190">
        <f t="shared" si="0"/>
        <v>0</v>
      </c>
      <c r="P60" s="191">
        <f t="shared" si="1"/>
        <v>0</v>
      </c>
      <c r="Q60" s="192">
        <f t="shared" si="2"/>
        <v>0</v>
      </c>
      <c r="R60" s="193"/>
      <c r="S60" s="194"/>
      <c r="T60" s="195">
        <f t="shared" si="3"/>
        <v>0</v>
      </c>
      <c r="U60" s="195">
        <f t="shared" si="4"/>
        <v>0</v>
      </c>
      <c r="V60" s="195">
        <f t="shared" si="5"/>
        <v>0</v>
      </c>
      <c r="W60" s="196" t="e">
        <f t="shared" si="6"/>
        <v>#DIV/0!</v>
      </c>
      <c r="X60" s="197" t="e">
        <f t="shared" si="7"/>
        <v>#DIV/0!</v>
      </c>
    </row>
    <row r="61" ht="11.4" hidden="1" customHeight="1" spans="1:24">
      <c r="A61" s="184" t="s">
        <v>919</v>
      </c>
      <c r="B61" s="184" t="s">
        <v>85</v>
      </c>
      <c r="C61" s="184" t="s">
        <v>920</v>
      </c>
      <c r="D61" s="185" t="s">
        <v>522</v>
      </c>
      <c r="E61" s="186" t="s">
        <v>868</v>
      </c>
      <c r="F61" s="186" t="s">
        <v>921</v>
      </c>
      <c r="G61" s="186" t="s">
        <v>534</v>
      </c>
      <c r="H61" s="186" t="s">
        <v>944</v>
      </c>
      <c r="I61" s="187" t="s">
        <v>955</v>
      </c>
      <c r="J61" s="187" t="s">
        <v>956</v>
      </c>
      <c r="K61" s="188"/>
      <c r="L61" s="188"/>
      <c r="M61" s="189" t="s">
        <v>793</v>
      </c>
      <c r="N61" s="190"/>
      <c r="O61" s="190">
        <f t="shared" si="0"/>
        <v>0</v>
      </c>
      <c r="P61" s="191">
        <f t="shared" si="1"/>
        <v>0</v>
      </c>
      <c r="Q61" s="192">
        <f t="shared" si="2"/>
        <v>0</v>
      </c>
      <c r="R61" s="193"/>
      <c r="S61" s="194"/>
      <c r="T61" s="195">
        <f t="shared" si="3"/>
        <v>0</v>
      </c>
      <c r="U61" s="195">
        <f t="shared" si="4"/>
        <v>0</v>
      </c>
      <c r="V61" s="195">
        <f t="shared" si="5"/>
        <v>0</v>
      </c>
      <c r="W61" s="196" t="e">
        <f t="shared" si="6"/>
        <v>#DIV/0!</v>
      </c>
      <c r="X61" s="197" t="e">
        <f t="shared" si="7"/>
        <v>#DIV/0!</v>
      </c>
    </row>
    <row r="62" ht="11.4" hidden="1" customHeight="1" spans="1:24">
      <c r="A62" s="184" t="s">
        <v>919</v>
      </c>
      <c r="B62" s="184" t="s">
        <v>85</v>
      </c>
      <c r="C62" s="184" t="s">
        <v>920</v>
      </c>
      <c r="D62" s="185" t="s">
        <v>522</v>
      </c>
      <c r="E62" s="186" t="s">
        <v>868</v>
      </c>
      <c r="F62" s="186" t="s">
        <v>921</v>
      </c>
      <c r="G62" s="186" t="s">
        <v>534</v>
      </c>
      <c r="H62" s="186" t="s">
        <v>957</v>
      </c>
      <c r="I62" s="187" t="s">
        <v>958</v>
      </c>
      <c r="J62" s="187" t="s">
        <v>959</v>
      </c>
      <c r="K62" s="188"/>
      <c r="L62" s="188"/>
      <c r="M62" s="189" t="s">
        <v>847</v>
      </c>
      <c r="N62" s="190">
        <v>172.07</v>
      </c>
      <c r="O62" s="190">
        <f t="shared" si="0"/>
        <v>187.56</v>
      </c>
      <c r="P62" s="191">
        <f t="shared" si="1"/>
        <v>0</v>
      </c>
      <c r="Q62" s="192">
        <f t="shared" si="2"/>
        <v>0</v>
      </c>
      <c r="R62" s="193"/>
      <c r="S62" s="194"/>
      <c r="T62" s="195">
        <f t="shared" si="3"/>
        <v>0</v>
      </c>
      <c r="U62" s="195">
        <f t="shared" si="4"/>
        <v>0</v>
      </c>
      <c r="V62" s="195">
        <f t="shared" si="5"/>
        <v>0</v>
      </c>
      <c r="W62" s="196" t="e">
        <f t="shared" si="6"/>
        <v>#DIV/0!</v>
      </c>
      <c r="X62" s="197" t="e">
        <f t="shared" si="7"/>
        <v>#DIV/0!</v>
      </c>
    </row>
    <row r="63" ht="11.4" hidden="1" customHeight="1" spans="1:24">
      <c r="A63" s="184" t="s">
        <v>919</v>
      </c>
      <c r="B63" s="184" t="s">
        <v>85</v>
      </c>
      <c r="C63" s="184" t="s">
        <v>920</v>
      </c>
      <c r="D63" s="185" t="s">
        <v>522</v>
      </c>
      <c r="E63" s="186" t="s">
        <v>868</v>
      </c>
      <c r="F63" s="186" t="s">
        <v>921</v>
      </c>
      <c r="G63" s="186" t="s">
        <v>534</v>
      </c>
      <c r="H63" s="186" t="s">
        <v>960</v>
      </c>
      <c r="I63" s="187" t="s">
        <v>961</v>
      </c>
      <c r="J63" s="187" t="s">
        <v>962</v>
      </c>
      <c r="K63" s="188"/>
      <c r="L63" s="188"/>
      <c r="M63" s="189" t="s">
        <v>963</v>
      </c>
      <c r="N63" s="190">
        <v>1635.14</v>
      </c>
      <c r="O63" s="190">
        <f t="shared" si="0"/>
        <v>1782.3</v>
      </c>
      <c r="P63" s="191">
        <f t="shared" si="1"/>
        <v>0</v>
      </c>
      <c r="Q63" s="192">
        <f t="shared" si="2"/>
        <v>0</v>
      </c>
      <c r="R63" s="193"/>
      <c r="S63" s="194"/>
      <c r="T63" s="195">
        <f t="shared" si="3"/>
        <v>0</v>
      </c>
      <c r="U63" s="195">
        <f t="shared" si="4"/>
        <v>0</v>
      </c>
      <c r="V63" s="195">
        <f t="shared" si="5"/>
        <v>0</v>
      </c>
      <c r="W63" s="196" t="e">
        <f t="shared" si="6"/>
        <v>#DIV/0!</v>
      </c>
      <c r="X63" s="197" t="e">
        <f t="shared" si="7"/>
        <v>#DIV/0!</v>
      </c>
    </row>
    <row r="64" ht="11.4" hidden="1" customHeight="1" spans="1:24">
      <c r="A64" s="184" t="s">
        <v>919</v>
      </c>
      <c r="B64" s="184" t="s">
        <v>85</v>
      </c>
      <c r="C64" s="184" t="s">
        <v>920</v>
      </c>
      <c r="D64" s="185" t="s">
        <v>522</v>
      </c>
      <c r="E64" s="186" t="s">
        <v>868</v>
      </c>
      <c r="F64" s="186" t="s">
        <v>921</v>
      </c>
      <c r="G64" s="186" t="s">
        <v>534</v>
      </c>
      <c r="H64" s="186" t="s">
        <v>964</v>
      </c>
      <c r="I64" s="187" t="s">
        <v>965</v>
      </c>
      <c r="J64" s="187" t="s">
        <v>966</v>
      </c>
      <c r="K64" s="188"/>
      <c r="L64" s="188"/>
      <c r="M64" s="189" t="s">
        <v>793</v>
      </c>
      <c r="N64" s="190">
        <v>1355</v>
      </c>
      <c r="O64" s="190">
        <f t="shared" si="0"/>
        <v>1476.95</v>
      </c>
      <c r="P64" s="191">
        <f t="shared" si="1"/>
        <v>0</v>
      </c>
      <c r="Q64" s="192">
        <f t="shared" si="2"/>
        <v>0</v>
      </c>
      <c r="R64" s="193"/>
      <c r="S64" s="194"/>
      <c r="T64" s="195">
        <f t="shared" si="3"/>
        <v>0</v>
      </c>
      <c r="U64" s="195">
        <f t="shared" si="4"/>
        <v>0</v>
      </c>
      <c r="V64" s="195">
        <f t="shared" si="5"/>
        <v>0</v>
      </c>
      <c r="W64" s="196" t="e">
        <f t="shared" si="6"/>
        <v>#DIV/0!</v>
      </c>
      <c r="X64" s="197" t="e">
        <f t="shared" si="7"/>
        <v>#DIV/0!</v>
      </c>
    </row>
    <row r="65" ht="11.4" hidden="1" customHeight="1" spans="1:24">
      <c r="A65" s="184" t="s">
        <v>967</v>
      </c>
      <c r="B65" s="184" t="s">
        <v>88</v>
      </c>
      <c r="C65" s="184" t="s">
        <v>87</v>
      </c>
      <c r="D65" s="185" t="s">
        <v>522</v>
      </c>
      <c r="E65" s="186" t="s">
        <v>868</v>
      </c>
      <c r="F65" s="186" t="s">
        <v>968</v>
      </c>
      <c r="G65" s="186" t="s">
        <v>969</v>
      </c>
      <c r="H65" s="186" t="s">
        <v>970</v>
      </c>
      <c r="I65" s="187" t="s">
        <v>971</v>
      </c>
      <c r="J65" s="187" t="s">
        <v>972</v>
      </c>
      <c r="K65" s="188"/>
      <c r="L65" s="188"/>
      <c r="M65" s="189" t="s">
        <v>793</v>
      </c>
      <c r="N65" s="190"/>
      <c r="O65" s="190">
        <f t="shared" si="0"/>
        <v>0</v>
      </c>
      <c r="P65" s="191">
        <f t="shared" si="1"/>
        <v>0</v>
      </c>
      <c r="Q65" s="192">
        <f t="shared" si="2"/>
        <v>0</v>
      </c>
      <c r="R65" s="193"/>
      <c r="S65" s="194"/>
      <c r="T65" s="195">
        <f t="shared" si="3"/>
        <v>0</v>
      </c>
      <c r="U65" s="195">
        <f t="shared" si="4"/>
        <v>0</v>
      </c>
      <c r="V65" s="195">
        <f t="shared" si="5"/>
        <v>0</v>
      </c>
      <c r="W65" s="196" t="e">
        <f t="shared" si="6"/>
        <v>#DIV/0!</v>
      </c>
      <c r="X65" s="197" t="e">
        <f t="shared" si="7"/>
        <v>#DIV/0!</v>
      </c>
    </row>
    <row r="66" ht="11.4" hidden="1" customHeight="1" spans="1:24">
      <c r="A66" s="184" t="s">
        <v>967</v>
      </c>
      <c r="B66" s="184" t="s">
        <v>88</v>
      </c>
      <c r="C66" s="184" t="s">
        <v>87</v>
      </c>
      <c r="D66" s="185" t="s">
        <v>522</v>
      </c>
      <c r="E66" s="186" t="s">
        <v>868</v>
      </c>
      <c r="F66" s="186" t="s">
        <v>968</v>
      </c>
      <c r="G66" s="186" t="s">
        <v>969</v>
      </c>
      <c r="H66" s="186" t="s">
        <v>973</v>
      </c>
      <c r="I66" s="187" t="s">
        <v>974</v>
      </c>
      <c r="J66" s="187" t="s">
        <v>975</v>
      </c>
      <c r="K66" s="188"/>
      <c r="L66" s="188"/>
      <c r="M66" s="189" t="s">
        <v>793</v>
      </c>
      <c r="N66" s="190"/>
      <c r="O66" s="190">
        <f t="shared" si="0"/>
        <v>0</v>
      </c>
      <c r="P66" s="191">
        <f t="shared" si="1"/>
        <v>0</v>
      </c>
      <c r="Q66" s="192">
        <f t="shared" si="2"/>
        <v>0</v>
      </c>
      <c r="R66" s="193"/>
      <c r="S66" s="194"/>
      <c r="T66" s="195">
        <f t="shared" si="3"/>
        <v>0</v>
      </c>
      <c r="U66" s="195">
        <f t="shared" si="4"/>
        <v>0</v>
      </c>
      <c r="V66" s="195">
        <f t="shared" si="5"/>
        <v>0</v>
      </c>
      <c r="W66" s="196" t="e">
        <f t="shared" si="6"/>
        <v>#DIV/0!</v>
      </c>
      <c r="X66" s="197" t="e">
        <f t="shared" si="7"/>
        <v>#DIV/0!</v>
      </c>
    </row>
    <row r="67" ht="11.4" hidden="1" customHeight="1" spans="1:24">
      <c r="A67" s="184" t="s">
        <v>967</v>
      </c>
      <c r="B67" s="184" t="s">
        <v>88</v>
      </c>
      <c r="C67" s="184" t="s">
        <v>87</v>
      </c>
      <c r="D67" s="185" t="s">
        <v>522</v>
      </c>
      <c r="E67" s="186" t="s">
        <v>868</v>
      </c>
      <c r="F67" s="186" t="s">
        <v>968</v>
      </c>
      <c r="G67" s="186" t="s">
        <v>969</v>
      </c>
      <c r="H67" s="186" t="s">
        <v>976</v>
      </c>
      <c r="I67" s="187" t="s">
        <v>977</v>
      </c>
      <c r="J67" s="187" t="s">
        <v>978</v>
      </c>
      <c r="K67" s="188"/>
      <c r="L67" s="188"/>
      <c r="M67" s="189" t="s">
        <v>807</v>
      </c>
      <c r="N67" s="190">
        <v>101.02</v>
      </c>
      <c r="O67" s="190">
        <f t="shared" si="0"/>
        <v>110.11</v>
      </c>
      <c r="P67" s="191">
        <f t="shared" si="1"/>
        <v>0</v>
      </c>
      <c r="Q67" s="192">
        <f t="shared" si="2"/>
        <v>0</v>
      </c>
      <c r="R67" s="193"/>
      <c r="S67" s="194"/>
      <c r="T67" s="195">
        <f t="shared" si="3"/>
        <v>0</v>
      </c>
      <c r="U67" s="195">
        <f t="shared" si="4"/>
        <v>0</v>
      </c>
      <c r="V67" s="195">
        <f t="shared" si="5"/>
        <v>0</v>
      </c>
      <c r="W67" s="196" t="e">
        <f t="shared" si="6"/>
        <v>#DIV/0!</v>
      </c>
      <c r="X67" s="197" t="e">
        <f t="shared" si="7"/>
        <v>#DIV/0!</v>
      </c>
    </row>
    <row r="68" ht="11.4" hidden="1" customHeight="1" spans="1:24">
      <c r="A68" s="184" t="s">
        <v>967</v>
      </c>
      <c r="B68" s="184" t="s">
        <v>88</v>
      </c>
      <c r="C68" s="184" t="s">
        <v>87</v>
      </c>
      <c r="D68" s="185" t="s">
        <v>522</v>
      </c>
      <c r="E68" s="186" t="s">
        <v>868</v>
      </c>
      <c r="F68" s="186" t="s">
        <v>968</v>
      </c>
      <c r="G68" s="186" t="s">
        <v>969</v>
      </c>
      <c r="H68" s="186" t="s">
        <v>976</v>
      </c>
      <c r="I68" s="187" t="s">
        <v>979</v>
      </c>
      <c r="J68" s="187" t="s">
        <v>980</v>
      </c>
      <c r="K68" s="188"/>
      <c r="L68" s="188"/>
      <c r="M68" s="189" t="s">
        <v>847</v>
      </c>
      <c r="N68" s="190">
        <v>108.25</v>
      </c>
      <c r="O68" s="190">
        <f t="shared" si="0"/>
        <v>117.99</v>
      </c>
      <c r="P68" s="191">
        <f t="shared" si="1"/>
        <v>0</v>
      </c>
      <c r="Q68" s="192">
        <f t="shared" si="2"/>
        <v>0</v>
      </c>
      <c r="R68" s="193"/>
      <c r="S68" s="194"/>
      <c r="T68" s="195">
        <f t="shared" si="3"/>
        <v>0</v>
      </c>
      <c r="U68" s="195">
        <f t="shared" si="4"/>
        <v>0</v>
      </c>
      <c r="V68" s="195">
        <f t="shared" si="5"/>
        <v>0</v>
      </c>
      <c r="W68" s="196" t="e">
        <f t="shared" si="6"/>
        <v>#DIV/0!</v>
      </c>
      <c r="X68" s="197" t="e">
        <f t="shared" si="7"/>
        <v>#DIV/0!</v>
      </c>
    </row>
    <row r="69" ht="11.4" hidden="1" customHeight="1" spans="1:24">
      <c r="A69" s="184" t="s">
        <v>967</v>
      </c>
      <c r="B69" s="184" t="s">
        <v>88</v>
      </c>
      <c r="C69" s="184" t="s">
        <v>87</v>
      </c>
      <c r="D69" s="185" t="s">
        <v>522</v>
      </c>
      <c r="E69" s="186" t="s">
        <v>868</v>
      </c>
      <c r="F69" s="186" t="s">
        <v>968</v>
      </c>
      <c r="G69" s="186" t="s">
        <v>969</v>
      </c>
      <c r="H69" s="186" t="s">
        <v>976</v>
      </c>
      <c r="I69" s="187" t="s">
        <v>981</v>
      </c>
      <c r="J69" s="187" t="s">
        <v>982</v>
      </c>
      <c r="K69" s="188"/>
      <c r="L69" s="188"/>
      <c r="M69" s="189" t="s">
        <v>847</v>
      </c>
      <c r="N69" s="190">
        <v>119.55</v>
      </c>
      <c r="O69" s="190">
        <f t="shared" si="0"/>
        <v>130.31</v>
      </c>
      <c r="P69" s="191">
        <f t="shared" si="1"/>
        <v>0</v>
      </c>
      <c r="Q69" s="192">
        <f t="shared" si="2"/>
        <v>0</v>
      </c>
      <c r="R69" s="193"/>
      <c r="S69" s="194"/>
      <c r="T69" s="195">
        <f t="shared" si="3"/>
        <v>0</v>
      </c>
      <c r="U69" s="195">
        <f t="shared" si="4"/>
        <v>0</v>
      </c>
      <c r="V69" s="195">
        <f t="shared" si="5"/>
        <v>0</v>
      </c>
      <c r="W69" s="196" t="e">
        <f t="shared" si="6"/>
        <v>#DIV/0!</v>
      </c>
      <c r="X69" s="197" t="e">
        <f t="shared" si="7"/>
        <v>#DIV/0!</v>
      </c>
    </row>
    <row r="70" ht="11.4" hidden="1" customHeight="1" spans="1:24">
      <c r="A70" s="184" t="s">
        <v>967</v>
      </c>
      <c r="B70" s="184" t="s">
        <v>88</v>
      </c>
      <c r="C70" s="184" t="s">
        <v>87</v>
      </c>
      <c r="D70" s="185" t="s">
        <v>522</v>
      </c>
      <c r="E70" s="186" t="s">
        <v>868</v>
      </c>
      <c r="F70" s="186" t="s">
        <v>968</v>
      </c>
      <c r="G70" s="186" t="s">
        <v>969</v>
      </c>
      <c r="H70" s="186" t="s">
        <v>976</v>
      </c>
      <c r="I70" s="187" t="s">
        <v>983</v>
      </c>
      <c r="J70" s="187" t="s">
        <v>984</v>
      </c>
      <c r="K70" s="188"/>
      <c r="L70" s="188"/>
      <c r="M70" s="189" t="s">
        <v>847</v>
      </c>
      <c r="N70" s="190">
        <v>140.3</v>
      </c>
      <c r="O70" s="190">
        <f t="shared" si="0"/>
        <v>152.93</v>
      </c>
      <c r="P70" s="191">
        <f t="shared" si="1"/>
        <v>0</v>
      </c>
      <c r="Q70" s="192">
        <f t="shared" si="2"/>
        <v>0</v>
      </c>
      <c r="R70" s="193"/>
      <c r="S70" s="194"/>
      <c r="T70" s="195">
        <f t="shared" si="3"/>
        <v>0</v>
      </c>
      <c r="U70" s="195">
        <f t="shared" si="4"/>
        <v>0</v>
      </c>
      <c r="V70" s="195">
        <f t="shared" si="5"/>
        <v>0</v>
      </c>
      <c r="W70" s="196" t="e">
        <f t="shared" si="6"/>
        <v>#DIV/0!</v>
      </c>
      <c r="X70" s="197" t="e">
        <f t="shared" si="7"/>
        <v>#DIV/0!</v>
      </c>
    </row>
    <row r="71" ht="11.4" hidden="1" customHeight="1" spans="1:24">
      <c r="A71" s="184" t="s">
        <v>967</v>
      </c>
      <c r="B71" s="184" t="s">
        <v>88</v>
      </c>
      <c r="C71" s="184" t="s">
        <v>87</v>
      </c>
      <c r="D71" s="185" t="s">
        <v>522</v>
      </c>
      <c r="E71" s="186" t="s">
        <v>868</v>
      </c>
      <c r="F71" s="186" t="s">
        <v>968</v>
      </c>
      <c r="G71" s="186" t="s">
        <v>969</v>
      </c>
      <c r="H71" s="186" t="s">
        <v>976</v>
      </c>
      <c r="I71" s="187" t="s">
        <v>985</v>
      </c>
      <c r="J71" s="187" t="s">
        <v>986</v>
      </c>
      <c r="K71" s="188"/>
      <c r="L71" s="188"/>
      <c r="M71" s="189" t="s">
        <v>847</v>
      </c>
      <c r="N71" s="190">
        <v>28.27</v>
      </c>
      <c r="O71" s="190">
        <f t="shared" si="0"/>
        <v>30.81</v>
      </c>
      <c r="P71" s="191">
        <f t="shared" si="1"/>
        <v>0</v>
      </c>
      <c r="Q71" s="192">
        <f t="shared" si="2"/>
        <v>0</v>
      </c>
      <c r="R71" s="193"/>
      <c r="S71" s="194"/>
      <c r="T71" s="195">
        <f t="shared" si="3"/>
        <v>0</v>
      </c>
      <c r="U71" s="195">
        <f t="shared" si="4"/>
        <v>0</v>
      </c>
      <c r="V71" s="195">
        <f t="shared" si="5"/>
        <v>0</v>
      </c>
      <c r="W71" s="196" t="e">
        <f t="shared" si="6"/>
        <v>#DIV/0!</v>
      </c>
      <c r="X71" s="197" t="e">
        <f t="shared" si="7"/>
        <v>#DIV/0!</v>
      </c>
    </row>
    <row r="72" ht="11.4" hidden="1" customHeight="1" spans="1:24">
      <c r="A72" s="184" t="s">
        <v>967</v>
      </c>
      <c r="B72" s="184" t="s">
        <v>88</v>
      </c>
      <c r="C72" s="184" t="s">
        <v>87</v>
      </c>
      <c r="D72" s="185" t="s">
        <v>522</v>
      </c>
      <c r="E72" s="186" t="s">
        <v>868</v>
      </c>
      <c r="F72" s="186" t="s">
        <v>968</v>
      </c>
      <c r="G72" s="186" t="s">
        <v>969</v>
      </c>
      <c r="H72" s="186" t="s">
        <v>976</v>
      </c>
      <c r="I72" s="187" t="s">
        <v>987</v>
      </c>
      <c r="J72" s="187" t="s">
        <v>988</v>
      </c>
      <c r="K72" s="188"/>
      <c r="L72" s="188"/>
      <c r="M72" s="189" t="s">
        <v>989</v>
      </c>
      <c r="N72" s="190">
        <v>106.03</v>
      </c>
      <c r="O72" s="190">
        <f t="shared" si="0"/>
        <v>115.57</v>
      </c>
      <c r="P72" s="191">
        <f t="shared" si="1"/>
        <v>0</v>
      </c>
      <c r="Q72" s="192">
        <f t="shared" si="2"/>
        <v>0</v>
      </c>
      <c r="R72" s="193"/>
      <c r="S72" s="194"/>
      <c r="T72" s="195">
        <f t="shared" si="3"/>
        <v>0</v>
      </c>
      <c r="U72" s="195">
        <f t="shared" si="4"/>
        <v>0</v>
      </c>
      <c r="V72" s="195">
        <f t="shared" si="5"/>
        <v>0</v>
      </c>
      <c r="W72" s="196" t="e">
        <f t="shared" si="6"/>
        <v>#DIV/0!</v>
      </c>
      <c r="X72" s="197" t="e">
        <f t="shared" si="7"/>
        <v>#DIV/0!</v>
      </c>
    </row>
    <row r="73" ht="11.4" hidden="1" customHeight="1" spans="1:24">
      <c r="A73" s="184" t="s">
        <v>967</v>
      </c>
      <c r="B73" s="184" t="s">
        <v>88</v>
      </c>
      <c r="C73" s="184" t="s">
        <v>87</v>
      </c>
      <c r="D73" s="185" t="s">
        <v>522</v>
      </c>
      <c r="E73" s="186" t="s">
        <v>868</v>
      </c>
      <c r="F73" s="186" t="s">
        <v>968</v>
      </c>
      <c r="G73" s="186" t="s">
        <v>969</v>
      </c>
      <c r="H73" s="186" t="s">
        <v>976</v>
      </c>
      <c r="I73" s="187" t="s">
        <v>991</v>
      </c>
      <c r="J73" s="187" t="s">
        <v>992</v>
      </c>
      <c r="K73" s="188"/>
      <c r="L73" s="188"/>
      <c r="M73" s="189" t="s">
        <v>793</v>
      </c>
      <c r="N73" s="190">
        <v>15300</v>
      </c>
      <c r="O73" s="190">
        <f t="shared" si="0"/>
        <v>16677</v>
      </c>
      <c r="P73" s="191">
        <f t="shared" si="1"/>
        <v>0</v>
      </c>
      <c r="Q73" s="192">
        <f t="shared" si="2"/>
        <v>0</v>
      </c>
      <c r="R73" s="193"/>
      <c r="S73" s="194"/>
      <c r="T73" s="195">
        <f t="shared" si="3"/>
        <v>0</v>
      </c>
      <c r="U73" s="195">
        <f t="shared" si="4"/>
        <v>0</v>
      </c>
      <c r="V73" s="195">
        <f t="shared" si="5"/>
        <v>0</v>
      </c>
      <c r="W73" s="196" t="e">
        <f t="shared" si="6"/>
        <v>#DIV/0!</v>
      </c>
      <c r="X73" s="197" t="e">
        <f t="shared" si="7"/>
        <v>#DIV/0!</v>
      </c>
    </row>
    <row r="74" ht="11.4" hidden="1" customHeight="1" spans="1:24">
      <c r="A74" s="184" t="s">
        <v>967</v>
      </c>
      <c r="B74" s="184" t="s">
        <v>88</v>
      </c>
      <c r="C74" s="184" t="s">
        <v>87</v>
      </c>
      <c r="D74" s="185" t="s">
        <v>522</v>
      </c>
      <c r="E74" s="186" t="s">
        <v>868</v>
      </c>
      <c r="F74" s="186" t="s">
        <v>968</v>
      </c>
      <c r="G74" s="186" t="s">
        <v>969</v>
      </c>
      <c r="H74" s="186" t="s">
        <v>976</v>
      </c>
      <c r="I74" s="187" t="s">
        <v>993</v>
      </c>
      <c r="J74" s="187" t="s">
        <v>994</v>
      </c>
      <c r="K74" s="188"/>
      <c r="L74" s="188"/>
      <c r="M74" s="189" t="s">
        <v>989</v>
      </c>
      <c r="N74" s="190">
        <v>60.99</v>
      </c>
      <c r="O74" s="190">
        <f t="shared" si="0"/>
        <v>66.48</v>
      </c>
      <c r="P74" s="191">
        <f t="shared" si="1"/>
        <v>0</v>
      </c>
      <c r="Q74" s="192">
        <f t="shared" si="2"/>
        <v>0</v>
      </c>
      <c r="R74" s="193"/>
      <c r="S74" s="194"/>
      <c r="T74" s="195">
        <f t="shared" si="3"/>
        <v>0</v>
      </c>
      <c r="U74" s="195">
        <f t="shared" si="4"/>
        <v>0</v>
      </c>
      <c r="V74" s="195">
        <f t="shared" si="5"/>
        <v>0</v>
      </c>
      <c r="W74" s="196" t="e">
        <f t="shared" si="6"/>
        <v>#DIV/0!</v>
      </c>
      <c r="X74" s="197" t="e">
        <f t="shared" si="7"/>
        <v>#DIV/0!</v>
      </c>
    </row>
    <row r="75" ht="11.4" hidden="1" customHeight="1" spans="1:24">
      <c r="A75" s="184" t="s">
        <v>967</v>
      </c>
      <c r="B75" s="184" t="s">
        <v>88</v>
      </c>
      <c r="C75" s="184" t="s">
        <v>87</v>
      </c>
      <c r="D75" s="185" t="s">
        <v>522</v>
      </c>
      <c r="E75" s="186" t="s">
        <v>868</v>
      </c>
      <c r="F75" s="186" t="s">
        <v>968</v>
      </c>
      <c r="G75" s="186" t="s">
        <v>969</v>
      </c>
      <c r="H75" s="186" t="s">
        <v>976</v>
      </c>
      <c r="I75" s="187" t="s">
        <v>995</v>
      </c>
      <c r="J75" s="187" t="s">
        <v>996</v>
      </c>
      <c r="K75" s="188"/>
      <c r="L75" s="188"/>
      <c r="M75" s="189" t="s">
        <v>807</v>
      </c>
      <c r="N75" s="190">
        <v>146.19</v>
      </c>
      <c r="O75" s="190">
        <f t="shared" si="0"/>
        <v>159.35</v>
      </c>
      <c r="P75" s="191">
        <f t="shared" si="1"/>
        <v>0</v>
      </c>
      <c r="Q75" s="192">
        <f t="shared" si="2"/>
        <v>0</v>
      </c>
      <c r="R75" s="193"/>
      <c r="S75" s="194"/>
      <c r="T75" s="195">
        <f t="shared" si="3"/>
        <v>0</v>
      </c>
      <c r="U75" s="195">
        <f t="shared" si="4"/>
        <v>0</v>
      </c>
      <c r="V75" s="195">
        <f t="shared" si="5"/>
        <v>0</v>
      </c>
      <c r="W75" s="196" t="e">
        <f t="shared" si="6"/>
        <v>#DIV/0!</v>
      </c>
      <c r="X75" s="197" t="e">
        <f t="shared" si="7"/>
        <v>#DIV/0!</v>
      </c>
    </row>
    <row r="76" ht="11.4" hidden="1" customHeight="1" spans="1:24">
      <c r="A76" s="184" t="s">
        <v>967</v>
      </c>
      <c r="B76" s="184" t="s">
        <v>88</v>
      </c>
      <c r="C76" s="184" t="s">
        <v>87</v>
      </c>
      <c r="D76" s="185" t="s">
        <v>522</v>
      </c>
      <c r="E76" s="186" t="s">
        <v>868</v>
      </c>
      <c r="F76" s="186" t="s">
        <v>968</v>
      </c>
      <c r="G76" s="186" t="s">
        <v>969</v>
      </c>
      <c r="H76" s="186" t="s">
        <v>998</v>
      </c>
      <c r="I76" s="187" t="s">
        <v>999</v>
      </c>
      <c r="J76" s="187" t="s">
        <v>1000</v>
      </c>
      <c r="K76" s="188"/>
      <c r="L76" s="188"/>
      <c r="M76" s="189" t="s">
        <v>847</v>
      </c>
      <c r="N76" s="190">
        <v>265.42</v>
      </c>
      <c r="O76" s="190">
        <f t="shared" si="0"/>
        <v>289.31</v>
      </c>
      <c r="P76" s="191">
        <f t="shared" si="1"/>
        <v>0</v>
      </c>
      <c r="Q76" s="192">
        <f t="shared" si="2"/>
        <v>0</v>
      </c>
      <c r="R76" s="193"/>
      <c r="S76" s="194"/>
      <c r="T76" s="195">
        <f t="shared" si="3"/>
        <v>0</v>
      </c>
      <c r="U76" s="195">
        <f t="shared" si="4"/>
        <v>0</v>
      </c>
      <c r="V76" s="195">
        <f t="shared" si="5"/>
        <v>0</v>
      </c>
      <c r="W76" s="196" t="e">
        <f t="shared" si="6"/>
        <v>#DIV/0!</v>
      </c>
      <c r="X76" s="197" t="e">
        <f t="shared" si="7"/>
        <v>#DIV/0!</v>
      </c>
    </row>
    <row r="77" ht="11.4" hidden="1" customHeight="1" spans="1:24">
      <c r="A77" s="184" t="s">
        <v>967</v>
      </c>
      <c r="B77" s="184" t="s">
        <v>88</v>
      </c>
      <c r="C77" s="184" t="s">
        <v>87</v>
      </c>
      <c r="D77" s="185" t="s">
        <v>522</v>
      </c>
      <c r="E77" s="186" t="s">
        <v>868</v>
      </c>
      <c r="F77" s="186" t="s">
        <v>968</v>
      </c>
      <c r="G77" s="186" t="s">
        <v>969</v>
      </c>
      <c r="H77" s="186" t="s">
        <v>998</v>
      </c>
      <c r="I77" s="187" t="s">
        <v>1001</v>
      </c>
      <c r="J77" s="187" t="s">
        <v>1002</v>
      </c>
      <c r="K77" s="188"/>
      <c r="L77" s="188"/>
      <c r="M77" s="189" t="s">
        <v>847</v>
      </c>
      <c r="N77" s="190">
        <v>40.55</v>
      </c>
      <c r="O77" s="190">
        <f t="shared" ref="O77:O140" si="8">ROUND(N77*(1+$F$10),2)</f>
        <v>44.2</v>
      </c>
      <c r="P77" s="191">
        <f t="shared" ref="P77:P140" si="9">ROUND(K77*N77,2)</f>
        <v>0</v>
      </c>
      <c r="Q77" s="192">
        <f t="shared" ref="Q77:Q140" si="10">ROUND(L77*N77,2)</f>
        <v>0</v>
      </c>
      <c r="R77" s="193"/>
      <c r="S77" s="194"/>
      <c r="T77" s="195">
        <f t="shared" ref="T77:T140" si="11">K77-L77</f>
        <v>0</v>
      </c>
      <c r="U77" s="195">
        <f t="shared" ref="U77:U140" si="12">P77-Q77</f>
        <v>0</v>
      </c>
      <c r="V77" s="195">
        <f t="shared" ref="V77:V140" si="13">ABS(U77)</f>
        <v>0</v>
      </c>
      <c r="W77" s="196" t="e">
        <f t="shared" ref="W77:W140" si="14">T77/L77</f>
        <v>#DIV/0!</v>
      </c>
      <c r="X77" s="197" t="e">
        <f t="shared" ref="X77:X140" si="15">ABS(W77)</f>
        <v>#DIV/0!</v>
      </c>
    </row>
    <row r="78" ht="11.4" hidden="1" customHeight="1" spans="1:24">
      <c r="A78" s="184" t="s">
        <v>967</v>
      </c>
      <c r="B78" s="184" t="s">
        <v>88</v>
      </c>
      <c r="C78" s="184" t="s">
        <v>87</v>
      </c>
      <c r="D78" s="185" t="s">
        <v>522</v>
      </c>
      <c r="E78" s="186" t="s">
        <v>868</v>
      </c>
      <c r="F78" s="186" t="s">
        <v>968</v>
      </c>
      <c r="G78" s="186" t="s">
        <v>969</v>
      </c>
      <c r="H78" s="186" t="s">
        <v>1003</v>
      </c>
      <c r="I78" s="187" t="s">
        <v>1004</v>
      </c>
      <c r="J78" s="187" t="s">
        <v>1005</v>
      </c>
      <c r="K78" s="188"/>
      <c r="L78" s="188"/>
      <c r="M78" s="189" t="s">
        <v>963</v>
      </c>
      <c r="N78" s="190">
        <v>257.95</v>
      </c>
      <c r="O78" s="190">
        <f t="shared" si="8"/>
        <v>281.17</v>
      </c>
      <c r="P78" s="191">
        <f t="shared" si="9"/>
        <v>0</v>
      </c>
      <c r="Q78" s="192">
        <f t="shared" si="10"/>
        <v>0</v>
      </c>
      <c r="R78" s="193"/>
      <c r="S78" s="194"/>
      <c r="T78" s="195">
        <f t="shared" si="11"/>
        <v>0</v>
      </c>
      <c r="U78" s="195">
        <f t="shared" si="12"/>
        <v>0</v>
      </c>
      <c r="V78" s="195">
        <f t="shared" si="13"/>
        <v>0</v>
      </c>
      <c r="W78" s="196" t="e">
        <f t="shared" si="14"/>
        <v>#DIV/0!</v>
      </c>
      <c r="X78" s="197" t="e">
        <f t="shared" si="15"/>
        <v>#DIV/0!</v>
      </c>
    </row>
    <row r="79" ht="11.4" hidden="1" customHeight="1" spans="1:24">
      <c r="A79" s="184" t="s">
        <v>967</v>
      </c>
      <c r="B79" s="184" t="s">
        <v>88</v>
      </c>
      <c r="C79" s="184" t="s">
        <v>87</v>
      </c>
      <c r="D79" s="185" t="s">
        <v>522</v>
      </c>
      <c r="E79" s="186" t="s">
        <v>868</v>
      </c>
      <c r="F79" s="186" t="s">
        <v>968</v>
      </c>
      <c r="G79" s="186" t="s">
        <v>969</v>
      </c>
      <c r="H79" s="186" t="s">
        <v>1003</v>
      </c>
      <c r="I79" s="187" t="s">
        <v>1006</v>
      </c>
      <c r="J79" s="187" t="s">
        <v>1007</v>
      </c>
      <c r="K79" s="188"/>
      <c r="L79" s="188"/>
      <c r="M79" s="189" t="s">
        <v>963</v>
      </c>
      <c r="N79" s="190">
        <v>81.83</v>
      </c>
      <c r="O79" s="190">
        <f t="shared" si="8"/>
        <v>89.19</v>
      </c>
      <c r="P79" s="191">
        <f t="shared" si="9"/>
        <v>0</v>
      </c>
      <c r="Q79" s="192">
        <f t="shared" si="10"/>
        <v>0</v>
      </c>
      <c r="R79" s="193"/>
      <c r="S79" s="194"/>
      <c r="T79" s="195">
        <f t="shared" si="11"/>
        <v>0</v>
      </c>
      <c r="U79" s="195">
        <f t="shared" si="12"/>
        <v>0</v>
      </c>
      <c r="V79" s="195">
        <f t="shared" si="13"/>
        <v>0</v>
      </c>
      <c r="W79" s="196" t="e">
        <f t="shared" si="14"/>
        <v>#DIV/0!</v>
      </c>
      <c r="X79" s="197" t="e">
        <f t="shared" si="15"/>
        <v>#DIV/0!</v>
      </c>
    </row>
    <row r="80" ht="11.4" hidden="1" customHeight="1" spans="1:24">
      <c r="A80" s="184" t="s">
        <v>967</v>
      </c>
      <c r="B80" s="184" t="s">
        <v>88</v>
      </c>
      <c r="C80" s="184" t="s">
        <v>87</v>
      </c>
      <c r="D80" s="185" t="s">
        <v>522</v>
      </c>
      <c r="E80" s="186" t="s">
        <v>868</v>
      </c>
      <c r="F80" s="186" t="s">
        <v>968</v>
      </c>
      <c r="G80" s="186" t="s">
        <v>969</v>
      </c>
      <c r="H80" s="186" t="s">
        <v>1008</v>
      </c>
      <c r="I80" s="187" t="s">
        <v>1009</v>
      </c>
      <c r="J80" s="187" t="s">
        <v>1010</v>
      </c>
      <c r="K80" s="188"/>
      <c r="L80" s="188"/>
      <c r="M80" s="189" t="s">
        <v>807</v>
      </c>
      <c r="N80" s="190">
        <v>35.3</v>
      </c>
      <c r="O80" s="190">
        <f t="shared" si="8"/>
        <v>38.48</v>
      </c>
      <c r="P80" s="191">
        <f t="shared" si="9"/>
        <v>0</v>
      </c>
      <c r="Q80" s="192">
        <f t="shared" si="10"/>
        <v>0</v>
      </c>
      <c r="R80" s="193"/>
      <c r="S80" s="194"/>
      <c r="T80" s="195">
        <f t="shared" si="11"/>
        <v>0</v>
      </c>
      <c r="U80" s="195">
        <f t="shared" si="12"/>
        <v>0</v>
      </c>
      <c r="V80" s="195">
        <f t="shared" si="13"/>
        <v>0</v>
      </c>
      <c r="W80" s="196" t="e">
        <f t="shared" si="14"/>
        <v>#DIV/0!</v>
      </c>
      <c r="X80" s="197" t="e">
        <f t="shared" si="15"/>
        <v>#DIV/0!</v>
      </c>
    </row>
    <row r="81" ht="11.4" hidden="1" customHeight="1" spans="1:24">
      <c r="A81" s="184" t="s">
        <v>1012</v>
      </c>
      <c r="B81" s="184" t="s">
        <v>91</v>
      </c>
      <c r="C81" s="184" t="s">
        <v>90</v>
      </c>
      <c r="D81" s="185" t="s">
        <v>522</v>
      </c>
      <c r="E81" s="186" t="s">
        <v>868</v>
      </c>
      <c r="F81" s="186" t="s">
        <v>1013</v>
      </c>
      <c r="G81" s="186" t="s">
        <v>1014</v>
      </c>
      <c r="H81" s="186" t="s">
        <v>1015</v>
      </c>
      <c r="I81" s="187" t="s">
        <v>1016</v>
      </c>
      <c r="J81" s="187" t="s">
        <v>1017</v>
      </c>
      <c r="K81" s="188"/>
      <c r="L81" s="188"/>
      <c r="M81" s="189" t="s">
        <v>1018</v>
      </c>
      <c r="N81" s="190">
        <v>723.44</v>
      </c>
      <c r="O81" s="190">
        <f t="shared" si="8"/>
        <v>788.55</v>
      </c>
      <c r="P81" s="191">
        <f t="shared" si="9"/>
        <v>0</v>
      </c>
      <c r="Q81" s="192">
        <f t="shared" si="10"/>
        <v>0</v>
      </c>
      <c r="R81" s="193"/>
      <c r="S81" s="194"/>
      <c r="T81" s="195">
        <f t="shared" si="11"/>
        <v>0</v>
      </c>
      <c r="U81" s="195">
        <f t="shared" si="12"/>
        <v>0</v>
      </c>
      <c r="V81" s="195">
        <f t="shared" si="13"/>
        <v>0</v>
      </c>
      <c r="W81" s="196" t="e">
        <f t="shared" si="14"/>
        <v>#DIV/0!</v>
      </c>
      <c r="X81" s="197" t="e">
        <f t="shared" si="15"/>
        <v>#DIV/0!</v>
      </c>
    </row>
    <row r="82" ht="11.4" hidden="1" customHeight="1" spans="1:24">
      <c r="A82" s="184" t="s">
        <v>1012</v>
      </c>
      <c r="B82" s="184" t="s">
        <v>91</v>
      </c>
      <c r="C82" s="184" t="s">
        <v>90</v>
      </c>
      <c r="D82" s="185" t="s">
        <v>522</v>
      </c>
      <c r="E82" s="186" t="s">
        <v>868</v>
      </c>
      <c r="F82" s="186" t="s">
        <v>1013</v>
      </c>
      <c r="G82" s="186" t="s">
        <v>1014</v>
      </c>
      <c r="H82" s="186" t="s">
        <v>1015</v>
      </c>
      <c r="I82" s="187" t="s">
        <v>1019</v>
      </c>
      <c r="J82" s="187" t="s">
        <v>1020</v>
      </c>
      <c r="K82" s="188"/>
      <c r="L82" s="188"/>
      <c r="M82" s="189" t="s">
        <v>1018</v>
      </c>
      <c r="N82" s="190">
        <v>723.44</v>
      </c>
      <c r="O82" s="190">
        <f t="shared" si="8"/>
        <v>788.55</v>
      </c>
      <c r="P82" s="191">
        <f t="shared" si="9"/>
        <v>0</v>
      </c>
      <c r="Q82" s="192">
        <f t="shared" si="10"/>
        <v>0</v>
      </c>
      <c r="R82" s="193"/>
      <c r="S82" s="194"/>
      <c r="T82" s="195">
        <f t="shared" si="11"/>
        <v>0</v>
      </c>
      <c r="U82" s="195">
        <f t="shared" si="12"/>
        <v>0</v>
      </c>
      <c r="V82" s="195">
        <f t="shared" si="13"/>
        <v>0</v>
      </c>
      <c r="W82" s="196" t="e">
        <f t="shared" si="14"/>
        <v>#DIV/0!</v>
      </c>
      <c r="X82" s="197" t="e">
        <f t="shared" si="15"/>
        <v>#DIV/0!</v>
      </c>
    </row>
    <row r="83" ht="11.4" hidden="1" customHeight="1" spans="1:24">
      <c r="A83" s="184" t="s">
        <v>1012</v>
      </c>
      <c r="B83" s="184" t="s">
        <v>91</v>
      </c>
      <c r="C83" s="184" t="s">
        <v>90</v>
      </c>
      <c r="D83" s="185" t="s">
        <v>522</v>
      </c>
      <c r="E83" s="186" t="s">
        <v>868</v>
      </c>
      <c r="F83" s="186" t="s">
        <v>1013</v>
      </c>
      <c r="G83" s="186" t="s">
        <v>1014</v>
      </c>
      <c r="H83" s="186" t="s">
        <v>1015</v>
      </c>
      <c r="I83" s="187" t="s">
        <v>1021</v>
      </c>
      <c r="J83" s="187" t="s">
        <v>1022</v>
      </c>
      <c r="K83" s="188"/>
      <c r="L83" s="188"/>
      <c r="M83" s="189" t="s">
        <v>1018</v>
      </c>
      <c r="N83" s="190">
        <v>137.35</v>
      </c>
      <c r="O83" s="190">
        <f t="shared" si="8"/>
        <v>149.71</v>
      </c>
      <c r="P83" s="191">
        <f t="shared" si="9"/>
        <v>0</v>
      </c>
      <c r="Q83" s="192">
        <f t="shared" si="10"/>
        <v>0</v>
      </c>
      <c r="R83" s="193"/>
      <c r="S83" s="194"/>
      <c r="T83" s="195">
        <f t="shared" si="11"/>
        <v>0</v>
      </c>
      <c r="U83" s="195">
        <f t="shared" si="12"/>
        <v>0</v>
      </c>
      <c r="V83" s="195">
        <f t="shared" si="13"/>
        <v>0</v>
      </c>
      <c r="W83" s="196" t="e">
        <f t="shared" si="14"/>
        <v>#DIV/0!</v>
      </c>
      <c r="X83" s="197" t="e">
        <f t="shared" si="15"/>
        <v>#DIV/0!</v>
      </c>
    </row>
    <row r="84" ht="11.4" hidden="1" customHeight="1" spans="1:24">
      <c r="A84" s="184" t="s">
        <v>1012</v>
      </c>
      <c r="B84" s="184" t="s">
        <v>91</v>
      </c>
      <c r="C84" s="184" t="s">
        <v>90</v>
      </c>
      <c r="D84" s="185" t="s">
        <v>522</v>
      </c>
      <c r="E84" s="186" t="s">
        <v>868</v>
      </c>
      <c r="F84" s="186" t="s">
        <v>1013</v>
      </c>
      <c r="G84" s="186" t="s">
        <v>1014</v>
      </c>
      <c r="H84" s="186" t="s">
        <v>1015</v>
      </c>
      <c r="I84" s="187" t="s">
        <v>1023</v>
      </c>
      <c r="J84" s="187" t="s">
        <v>1024</v>
      </c>
      <c r="K84" s="188"/>
      <c r="L84" s="188"/>
      <c r="M84" s="189" t="s">
        <v>1018</v>
      </c>
      <c r="N84" s="190">
        <v>151.65</v>
      </c>
      <c r="O84" s="190">
        <f t="shared" si="8"/>
        <v>165.3</v>
      </c>
      <c r="P84" s="191">
        <f t="shared" si="9"/>
        <v>0</v>
      </c>
      <c r="Q84" s="192">
        <f t="shared" si="10"/>
        <v>0</v>
      </c>
      <c r="R84" s="193"/>
      <c r="S84" s="194"/>
      <c r="T84" s="195">
        <f t="shared" si="11"/>
        <v>0</v>
      </c>
      <c r="U84" s="195">
        <f t="shared" si="12"/>
        <v>0</v>
      </c>
      <c r="V84" s="195">
        <f t="shared" si="13"/>
        <v>0</v>
      </c>
      <c r="W84" s="196" t="e">
        <f t="shared" si="14"/>
        <v>#DIV/0!</v>
      </c>
      <c r="X84" s="197" t="e">
        <f t="shared" si="15"/>
        <v>#DIV/0!</v>
      </c>
    </row>
    <row r="85" ht="11.4" hidden="1" customHeight="1" spans="1:24">
      <c r="A85" s="184" t="s">
        <v>1012</v>
      </c>
      <c r="B85" s="184" t="s">
        <v>91</v>
      </c>
      <c r="C85" s="184" t="s">
        <v>90</v>
      </c>
      <c r="D85" s="185" t="s">
        <v>522</v>
      </c>
      <c r="E85" s="186" t="s">
        <v>868</v>
      </c>
      <c r="F85" s="186" t="s">
        <v>1013</v>
      </c>
      <c r="G85" s="186" t="s">
        <v>1014</v>
      </c>
      <c r="H85" s="186" t="s">
        <v>1015</v>
      </c>
      <c r="I85" s="187" t="s">
        <v>1025</v>
      </c>
      <c r="J85" s="187" t="s">
        <v>1026</v>
      </c>
      <c r="K85" s="188"/>
      <c r="L85" s="188"/>
      <c r="M85" s="189" t="s">
        <v>1018</v>
      </c>
      <c r="N85" s="190">
        <v>151.65</v>
      </c>
      <c r="O85" s="190">
        <f t="shared" si="8"/>
        <v>165.3</v>
      </c>
      <c r="P85" s="191">
        <f t="shared" si="9"/>
        <v>0</v>
      </c>
      <c r="Q85" s="192">
        <f t="shared" si="10"/>
        <v>0</v>
      </c>
      <c r="R85" s="193"/>
      <c r="S85" s="194"/>
      <c r="T85" s="195">
        <f t="shared" si="11"/>
        <v>0</v>
      </c>
      <c r="U85" s="195">
        <f t="shared" si="12"/>
        <v>0</v>
      </c>
      <c r="V85" s="195">
        <f t="shared" si="13"/>
        <v>0</v>
      </c>
      <c r="W85" s="196" t="e">
        <f t="shared" si="14"/>
        <v>#DIV/0!</v>
      </c>
      <c r="X85" s="197" t="e">
        <f t="shared" si="15"/>
        <v>#DIV/0!</v>
      </c>
    </row>
    <row r="86" ht="11.4" hidden="1" customHeight="1" spans="1:24">
      <c r="A86" s="184" t="s">
        <v>1012</v>
      </c>
      <c r="B86" s="184" t="s">
        <v>91</v>
      </c>
      <c r="C86" s="184" t="s">
        <v>90</v>
      </c>
      <c r="D86" s="185" t="s">
        <v>522</v>
      </c>
      <c r="E86" s="186" t="s">
        <v>868</v>
      </c>
      <c r="F86" s="186" t="s">
        <v>1013</v>
      </c>
      <c r="G86" s="186" t="s">
        <v>1014</v>
      </c>
      <c r="H86" s="186" t="s">
        <v>1027</v>
      </c>
      <c r="I86" s="187" t="s">
        <v>1028</v>
      </c>
      <c r="J86" s="187" t="s">
        <v>1029</v>
      </c>
      <c r="K86" s="188"/>
      <c r="L86" s="188"/>
      <c r="M86" s="189" t="s">
        <v>807</v>
      </c>
      <c r="N86" s="190">
        <v>56.98</v>
      </c>
      <c r="O86" s="190">
        <f t="shared" si="8"/>
        <v>62.11</v>
      </c>
      <c r="P86" s="191">
        <f t="shared" si="9"/>
        <v>0</v>
      </c>
      <c r="Q86" s="192">
        <f t="shared" si="10"/>
        <v>0</v>
      </c>
      <c r="R86" s="193"/>
      <c r="S86" s="194"/>
      <c r="T86" s="195">
        <f t="shared" si="11"/>
        <v>0</v>
      </c>
      <c r="U86" s="195">
        <f t="shared" si="12"/>
        <v>0</v>
      </c>
      <c r="V86" s="195">
        <f t="shared" si="13"/>
        <v>0</v>
      </c>
      <c r="W86" s="196" t="e">
        <f t="shared" si="14"/>
        <v>#DIV/0!</v>
      </c>
      <c r="X86" s="197" t="e">
        <f t="shared" si="15"/>
        <v>#DIV/0!</v>
      </c>
    </row>
    <row r="87" ht="11.4" hidden="1" customHeight="1" spans="1:24">
      <c r="A87" s="184" t="s">
        <v>1012</v>
      </c>
      <c r="B87" s="184" t="s">
        <v>91</v>
      </c>
      <c r="C87" s="184" t="s">
        <v>90</v>
      </c>
      <c r="D87" s="185" t="s">
        <v>522</v>
      </c>
      <c r="E87" s="186" t="s">
        <v>868</v>
      </c>
      <c r="F87" s="186" t="s">
        <v>1013</v>
      </c>
      <c r="G87" s="186" t="s">
        <v>1014</v>
      </c>
      <c r="H87" s="186" t="s">
        <v>1030</v>
      </c>
      <c r="I87" s="187" t="s">
        <v>1031</v>
      </c>
      <c r="J87" s="187" t="s">
        <v>1032</v>
      </c>
      <c r="K87" s="188"/>
      <c r="L87" s="188"/>
      <c r="M87" s="189" t="s">
        <v>1018</v>
      </c>
      <c r="N87" s="190">
        <v>3230.77</v>
      </c>
      <c r="O87" s="190">
        <f t="shared" si="8"/>
        <v>3521.54</v>
      </c>
      <c r="P87" s="191">
        <f t="shared" si="9"/>
        <v>0</v>
      </c>
      <c r="Q87" s="192">
        <f t="shared" si="10"/>
        <v>0</v>
      </c>
      <c r="R87" s="193"/>
      <c r="S87" s="194"/>
      <c r="T87" s="195">
        <f t="shared" si="11"/>
        <v>0</v>
      </c>
      <c r="U87" s="195">
        <f t="shared" si="12"/>
        <v>0</v>
      </c>
      <c r="V87" s="195">
        <f t="shared" si="13"/>
        <v>0</v>
      </c>
      <c r="W87" s="196" t="e">
        <f t="shared" si="14"/>
        <v>#DIV/0!</v>
      </c>
      <c r="X87" s="197" t="e">
        <f t="shared" si="15"/>
        <v>#DIV/0!</v>
      </c>
    </row>
    <row r="88" ht="11.4" hidden="1" customHeight="1" spans="1:24">
      <c r="A88" s="184" t="s">
        <v>1012</v>
      </c>
      <c r="B88" s="184" t="s">
        <v>91</v>
      </c>
      <c r="C88" s="184" t="s">
        <v>90</v>
      </c>
      <c r="D88" s="185" t="s">
        <v>522</v>
      </c>
      <c r="E88" s="186" t="s">
        <v>868</v>
      </c>
      <c r="F88" s="186" t="s">
        <v>1013</v>
      </c>
      <c r="G88" s="186" t="s">
        <v>1014</v>
      </c>
      <c r="H88" s="186" t="s">
        <v>1030</v>
      </c>
      <c r="I88" s="187" t="s">
        <v>1033</v>
      </c>
      <c r="J88" s="187" t="s">
        <v>1034</v>
      </c>
      <c r="K88" s="188"/>
      <c r="L88" s="188"/>
      <c r="M88" s="189" t="s">
        <v>1018</v>
      </c>
      <c r="N88" s="190">
        <v>5115.38</v>
      </c>
      <c r="O88" s="190">
        <f t="shared" si="8"/>
        <v>5575.76</v>
      </c>
      <c r="P88" s="191">
        <f t="shared" si="9"/>
        <v>0</v>
      </c>
      <c r="Q88" s="192">
        <f t="shared" si="10"/>
        <v>0</v>
      </c>
      <c r="R88" s="193"/>
      <c r="S88" s="194"/>
      <c r="T88" s="195">
        <f t="shared" si="11"/>
        <v>0</v>
      </c>
      <c r="U88" s="195">
        <f t="shared" si="12"/>
        <v>0</v>
      </c>
      <c r="V88" s="195">
        <f t="shared" si="13"/>
        <v>0</v>
      </c>
      <c r="W88" s="196" t="e">
        <f t="shared" si="14"/>
        <v>#DIV/0!</v>
      </c>
      <c r="X88" s="197" t="e">
        <f t="shared" si="15"/>
        <v>#DIV/0!</v>
      </c>
    </row>
    <row r="89" ht="11.4" hidden="1" customHeight="1" spans="1:24">
      <c r="A89" s="184" t="s">
        <v>1012</v>
      </c>
      <c r="B89" s="184" t="s">
        <v>91</v>
      </c>
      <c r="C89" s="184" t="s">
        <v>90</v>
      </c>
      <c r="D89" s="185" t="s">
        <v>522</v>
      </c>
      <c r="E89" s="186" t="s">
        <v>868</v>
      </c>
      <c r="F89" s="186" t="s">
        <v>1013</v>
      </c>
      <c r="G89" s="186" t="s">
        <v>1014</v>
      </c>
      <c r="H89" s="186" t="s">
        <v>1030</v>
      </c>
      <c r="I89" s="187" t="s">
        <v>1035</v>
      </c>
      <c r="J89" s="187" t="s">
        <v>1036</v>
      </c>
      <c r="K89" s="188"/>
      <c r="L89" s="188"/>
      <c r="M89" s="189" t="s">
        <v>1018</v>
      </c>
      <c r="N89" s="190">
        <v>565.38</v>
      </c>
      <c r="O89" s="190">
        <f t="shared" si="8"/>
        <v>616.26</v>
      </c>
      <c r="P89" s="191">
        <f t="shared" si="9"/>
        <v>0</v>
      </c>
      <c r="Q89" s="192">
        <f t="shared" si="10"/>
        <v>0</v>
      </c>
      <c r="R89" s="193"/>
      <c r="S89" s="194"/>
      <c r="T89" s="195">
        <f t="shared" si="11"/>
        <v>0</v>
      </c>
      <c r="U89" s="195">
        <f t="shared" si="12"/>
        <v>0</v>
      </c>
      <c r="V89" s="195">
        <f t="shared" si="13"/>
        <v>0</v>
      </c>
      <c r="W89" s="196" t="e">
        <f t="shared" si="14"/>
        <v>#DIV/0!</v>
      </c>
      <c r="X89" s="197" t="e">
        <f t="shared" si="15"/>
        <v>#DIV/0!</v>
      </c>
    </row>
    <row r="90" ht="11.4" hidden="1" customHeight="1" spans="1:24">
      <c r="A90" s="184" t="s">
        <v>1012</v>
      </c>
      <c r="B90" s="184" t="s">
        <v>91</v>
      </c>
      <c r="C90" s="184" t="s">
        <v>90</v>
      </c>
      <c r="D90" s="185" t="s">
        <v>522</v>
      </c>
      <c r="E90" s="186" t="s">
        <v>868</v>
      </c>
      <c r="F90" s="186" t="s">
        <v>1013</v>
      </c>
      <c r="G90" s="186" t="s">
        <v>1014</v>
      </c>
      <c r="H90" s="186" t="s">
        <v>1030</v>
      </c>
      <c r="I90" s="187" t="s">
        <v>1037</v>
      </c>
      <c r="J90" s="187" t="s">
        <v>1038</v>
      </c>
      <c r="K90" s="188"/>
      <c r="L90" s="188"/>
      <c r="M90" s="189" t="s">
        <v>1018</v>
      </c>
      <c r="N90" s="190">
        <v>2789.23</v>
      </c>
      <c r="O90" s="190">
        <f t="shared" si="8"/>
        <v>3040.26</v>
      </c>
      <c r="P90" s="191">
        <f t="shared" si="9"/>
        <v>0</v>
      </c>
      <c r="Q90" s="192">
        <f t="shared" si="10"/>
        <v>0</v>
      </c>
      <c r="R90" s="193"/>
      <c r="S90" s="194"/>
      <c r="T90" s="195">
        <f t="shared" si="11"/>
        <v>0</v>
      </c>
      <c r="U90" s="195">
        <f t="shared" si="12"/>
        <v>0</v>
      </c>
      <c r="V90" s="195">
        <f t="shared" si="13"/>
        <v>0</v>
      </c>
      <c r="W90" s="196" t="e">
        <f t="shared" si="14"/>
        <v>#DIV/0!</v>
      </c>
      <c r="X90" s="197" t="e">
        <f t="shared" si="15"/>
        <v>#DIV/0!</v>
      </c>
    </row>
    <row r="91" ht="11.4" hidden="1" customHeight="1" spans="1:24">
      <c r="A91" s="184" t="s">
        <v>1012</v>
      </c>
      <c r="B91" s="184" t="s">
        <v>91</v>
      </c>
      <c r="C91" s="184" t="s">
        <v>90</v>
      </c>
      <c r="D91" s="185" t="s">
        <v>522</v>
      </c>
      <c r="E91" s="186" t="s">
        <v>868</v>
      </c>
      <c r="F91" s="186" t="s">
        <v>1013</v>
      </c>
      <c r="G91" s="186" t="s">
        <v>1014</v>
      </c>
      <c r="H91" s="186" t="s">
        <v>1030</v>
      </c>
      <c r="I91" s="187" t="s">
        <v>1039</v>
      </c>
      <c r="J91" s="187" t="s">
        <v>1040</v>
      </c>
      <c r="K91" s="188"/>
      <c r="L91" s="188"/>
      <c r="M91" s="189" t="s">
        <v>1018</v>
      </c>
      <c r="N91" s="190">
        <v>4173.08</v>
      </c>
      <c r="O91" s="190">
        <f t="shared" si="8"/>
        <v>4548.66</v>
      </c>
      <c r="P91" s="191">
        <f t="shared" si="9"/>
        <v>0</v>
      </c>
      <c r="Q91" s="192">
        <f t="shared" si="10"/>
        <v>0</v>
      </c>
      <c r="R91" s="193"/>
      <c r="S91" s="194"/>
      <c r="T91" s="195">
        <f t="shared" si="11"/>
        <v>0</v>
      </c>
      <c r="U91" s="195">
        <f t="shared" si="12"/>
        <v>0</v>
      </c>
      <c r="V91" s="195">
        <f t="shared" si="13"/>
        <v>0</v>
      </c>
      <c r="W91" s="196" t="e">
        <f t="shared" si="14"/>
        <v>#DIV/0!</v>
      </c>
      <c r="X91" s="197" t="e">
        <f t="shared" si="15"/>
        <v>#DIV/0!</v>
      </c>
    </row>
    <row r="92" ht="11.4" hidden="1" customHeight="1" spans="1:24">
      <c r="A92" s="184" t="s">
        <v>1012</v>
      </c>
      <c r="B92" s="184" t="s">
        <v>91</v>
      </c>
      <c r="C92" s="184" t="s">
        <v>90</v>
      </c>
      <c r="D92" s="185" t="s">
        <v>522</v>
      </c>
      <c r="E92" s="186" t="s">
        <v>868</v>
      </c>
      <c r="F92" s="186" t="s">
        <v>1013</v>
      </c>
      <c r="G92" s="186" t="s">
        <v>1014</v>
      </c>
      <c r="H92" s="186" t="s">
        <v>1030</v>
      </c>
      <c r="I92" s="187" t="s">
        <v>1041</v>
      </c>
      <c r="J92" s="187" t="s">
        <v>1042</v>
      </c>
      <c r="K92" s="188"/>
      <c r="L92" s="188"/>
      <c r="M92" s="189" t="s">
        <v>1018</v>
      </c>
      <c r="N92" s="190">
        <v>338.78</v>
      </c>
      <c r="O92" s="190">
        <f t="shared" si="8"/>
        <v>369.27</v>
      </c>
      <c r="P92" s="191">
        <f t="shared" si="9"/>
        <v>0</v>
      </c>
      <c r="Q92" s="192">
        <f t="shared" si="10"/>
        <v>0</v>
      </c>
      <c r="R92" s="193"/>
      <c r="S92" s="194"/>
      <c r="T92" s="195">
        <f t="shared" si="11"/>
        <v>0</v>
      </c>
      <c r="U92" s="195">
        <f t="shared" si="12"/>
        <v>0</v>
      </c>
      <c r="V92" s="195">
        <f t="shared" si="13"/>
        <v>0</v>
      </c>
      <c r="W92" s="196" t="e">
        <f t="shared" si="14"/>
        <v>#DIV/0!</v>
      </c>
      <c r="X92" s="197" t="e">
        <f t="shared" si="15"/>
        <v>#DIV/0!</v>
      </c>
    </row>
    <row r="93" ht="11.4" hidden="1" customHeight="1" spans="1:24">
      <c r="A93" s="184" t="s">
        <v>1012</v>
      </c>
      <c r="B93" s="184" t="s">
        <v>91</v>
      </c>
      <c r="C93" s="184" t="s">
        <v>90</v>
      </c>
      <c r="D93" s="185" t="s">
        <v>522</v>
      </c>
      <c r="E93" s="186" t="s">
        <v>868</v>
      </c>
      <c r="F93" s="186" t="s">
        <v>1013</v>
      </c>
      <c r="G93" s="186" t="s">
        <v>1014</v>
      </c>
      <c r="H93" s="186" t="s">
        <v>1030</v>
      </c>
      <c r="I93" s="187" t="s">
        <v>1043</v>
      </c>
      <c r="J93" s="187" t="s">
        <v>1044</v>
      </c>
      <c r="K93" s="188"/>
      <c r="L93" s="188"/>
      <c r="M93" s="189" t="s">
        <v>1018</v>
      </c>
      <c r="N93" s="190">
        <v>179.49</v>
      </c>
      <c r="O93" s="190">
        <f t="shared" si="8"/>
        <v>195.64</v>
      </c>
      <c r="P93" s="191">
        <f t="shared" si="9"/>
        <v>0</v>
      </c>
      <c r="Q93" s="192">
        <f t="shared" si="10"/>
        <v>0</v>
      </c>
      <c r="R93" s="193"/>
      <c r="S93" s="194"/>
      <c r="T93" s="195">
        <f t="shared" si="11"/>
        <v>0</v>
      </c>
      <c r="U93" s="195">
        <f t="shared" si="12"/>
        <v>0</v>
      </c>
      <c r="V93" s="195">
        <f t="shared" si="13"/>
        <v>0</v>
      </c>
      <c r="W93" s="196" t="e">
        <f t="shared" si="14"/>
        <v>#DIV/0!</v>
      </c>
      <c r="X93" s="197" t="e">
        <f t="shared" si="15"/>
        <v>#DIV/0!</v>
      </c>
    </row>
    <row r="94" ht="11.4" hidden="1" customHeight="1" spans="1:24">
      <c r="A94" s="184" t="s">
        <v>1012</v>
      </c>
      <c r="B94" s="184" t="s">
        <v>91</v>
      </c>
      <c r="C94" s="184" t="s">
        <v>90</v>
      </c>
      <c r="D94" s="185" t="s">
        <v>522</v>
      </c>
      <c r="E94" s="186" t="s">
        <v>868</v>
      </c>
      <c r="F94" s="186" t="s">
        <v>1013</v>
      </c>
      <c r="G94" s="186" t="s">
        <v>1014</v>
      </c>
      <c r="H94" s="186" t="s">
        <v>1030</v>
      </c>
      <c r="I94" s="187" t="s">
        <v>1045</v>
      </c>
      <c r="J94" s="187" t="s">
        <v>1046</v>
      </c>
      <c r="K94" s="188"/>
      <c r="L94" s="188"/>
      <c r="M94" s="189" t="s">
        <v>1018</v>
      </c>
      <c r="N94" s="190">
        <v>287.18</v>
      </c>
      <c r="O94" s="190">
        <f t="shared" si="8"/>
        <v>313.03</v>
      </c>
      <c r="P94" s="191">
        <f t="shared" si="9"/>
        <v>0</v>
      </c>
      <c r="Q94" s="192">
        <f t="shared" si="10"/>
        <v>0</v>
      </c>
      <c r="R94" s="193"/>
      <c r="S94" s="194"/>
      <c r="T94" s="195">
        <f t="shared" si="11"/>
        <v>0</v>
      </c>
      <c r="U94" s="195">
        <f t="shared" si="12"/>
        <v>0</v>
      </c>
      <c r="V94" s="195">
        <f t="shared" si="13"/>
        <v>0</v>
      </c>
      <c r="W94" s="196" t="e">
        <f t="shared" si="14"/>
        <v>#DIV/0!</v>
      </c>
      <c r="X94" s="197" t="e">
        <f t="shared" si="15"/>
        <v>#DIV/0!</v>
      </c>
    </row>
    <row r="95" ht="11.4" hidden="1" customHeight="1" spans="1:24">
      <c r="A95" s="184" t="s">
        <v>1012</v>
      </c>
      <c r="B95" s="184" t="s">
        <v>91</v>
      </c>
      <c r="C95" s="184" t="s">
        <v>90</v>
      </c>
      <c r="D95" s="185" t="s">
        <v>522</v>
      </c>
      <c r="E95" s="186" t="s">
        <v>868</v>
      </c>
      <c r="F95" s="186" t="s">
        <v>1013</v>
      </c>
      <c r="G95" s="186" t="s">
        <v>1014</v>
      </c>
      <c r="H95" s="186" t="s">
        <v>1047</v>
      </c>
      <c r="I95" s="187" t="s">
        <v>1048</v>
      </c>
      <c r="J95" s="187" t="s">
        <v>1049</v>
      </c>
      <c r="K95" s="188"/>
      <c r="L95" s="188"/>
      <c r="M95" s="189" t="s">
        <v>963</v>
      </c>
      <c r="N95" s="190">
        <v>537.89</v>
      </c>
      <c r="O95" s="190">
        <f t="shared" si="8"/>
        <v>586.3</v>
      </c>
      <c r="P95" s="191">
        <f t="shared" si="9"/>
        <v>0</v>
      </c>
      <c r="Q95" s="192">
        <f t="shared" si="10"/>
        <v>0</v>
      </c>
      <c r="R95" s="193"/>
      <c r="S95" s="194"/>
      <c r="T95" s="195">
        <f t="shared" si="11"/>
        <v>0</v>
      </c>
      <c r="U95" s="195">
        <f t="shared" si="12"/>
        <v>0</v>
      </c>
      <c r="V95" s="195">
        <f t="shared" si="13"/>
        <v>0</v>
      </c>
      <c r="W95" s="196" t="e">
        <f t="shared" si="14"/>
        <v>#DIV/0!</v>
      </c>
      <c r="X95" s="197" t="e">
        <f t="shared" si="15"/>
        <v>#DIV/0!</v>
      </c>
    </row>
    <row r="96" ht="11.4" hidden="1" customHeight="1" spans="1:24">
      <c r="A96" s="184" t="s">
        <v>1050</v>
      </c>
      <c r="B96" s="184" t="s">
        <v>94</v>
      </c>
      <c r="C96" s="184" t="s">
        <v>93</v>
      </c>
      <c r="D96" s="185" t="s">
        <v>522</v>
      </c>
      <c r="E96" s="186" t="s">
        <v>868</v>
      </c>
      <c r="F96" s="186" t="s">
        <v>1051</v>
      </c>
      <c r="G96" s="186" t="s">
        <v>1052</v>
      </c>
      <c r="H96" s="186" t="s">
        <v>1053</v>
      </c>
      <c r="I96" s="187" t="s">
        <v>1054</v>
      </c>
      <c r="J96" s="187" t="s">
        <v>1055</v>
      </c>
      <c r="K96" s="188"/>
      <c r="L96" s="188"/>
      <c r="M96" s="189" t="s">
        <v>807</v>
      </c>
      <c r="N96" s="190">
        <v>219.82</v>
      </c>
      <c r="O96" s="190">
        <f t="shared" si="8"/>
        <v>239.6</v>
      </c>
      <c r="P96" s="191">
        <f t="shared" si="9"/>
        <v>0</v>
      </c>
      <c r="Q96" s="192">
        <f t="shared" si="10"/>
        <v>0</v>
      </c>
      <c r="R96" s="193"/>
      <c r="S96" s="194"/>
      <c r="T96" s="195">
        <f t="shared" si="11"/>
        <v>0</v>
      </c>
      <c r="U96" s="195">
        <f t="shared" si="12"/>
        <v>0</v>
      </c>
      <c r="V96" s="195">
        <f t="shared" si="13"/>
        <v>0</v>
      </c>
      <c r="W96" s="196" t="e">
        <f t="shared" si="14"/>
        <v>#DIV/0!</v>
      </c>
      <c r="X96" s="197" t="e">
        <f t="shared" si="15"/>
        <v>#DIV/0!</v>
      </c>
    </row>
    <row r="97" ht="11.4" hidden="1" customHeight="1" spans="1:24">
      <c r="A97" s="184" t="s">
        <v>1050</v>
      </c>
      <c r="B97" s="184" t="s">
        <v>94</v>
      </c>
      <c r="C97" s="184" t="s">
        <v>93</v>
      </c>
      <c r="D97" s="185" t="s">
        <v>522</v>
      </c>
      <c r="E97" s="186" t="s">
        <v>868</v>
      </c>
      <c r="F97" s="186" t="s">
        <v>1051</v>
      </c>
      <c r="G97" s="186" t="s">
        <v>1052</v>
      </c>
      <c r="H97" s="186" t="s">
        <v>1053</v>
      </c>
      <c r="I97" s="187" t="s">
        <v>1057</v>
      </c>
      <c r="J97" s="187" t="s">
        <v>1058</v>
      </c>
      <c r="K97" s="188"/>
      <c r="L97" s="188"/>
      <c r="M97" s="189" t="s">
        <v>807</v>
      </c>
      <c r="N97" s="190">
        <v>135.14</v>
      </c>
      <c r="O97" s="190">
        <f t="shared" si="8"/>
        <v>147.3</v>
      </c>
      <c r="P97" s="191">
        <f t="shared" si="9"/>
        <v>0</v>
      </c>
      <c r="Q97" s="192">
        <f t="shared" si="10"/>
        <v>0</v>
      </c>
      <c r="R97" s="193"/>
      <c r="S97" s="194"/>
      <c r="T97" s="195">
        <f t="shared" si="11"/>
        <v>0</v>
      </c>
      <c r="U97" s="195">
        <f t="shared" si="12"/>
        <v>0</v>
      </c>
      <c r="V97" s="195">
        <f t="shared" si="13"/>
        <v>0</v>
      </c>
      <c r="W97" s="196" t="e">
        <f t="shared" si="14"/>
        <v>#DIV/0!</v>
      </c>
      <c r="X97" s="197" t="e">
        <f t="shared" si="15"/>
        <v>#DIV/0!</v>
      </c>
    </row>
    <row r="98" ht="11.4" hidden="1" customHeight="1" spans="1:24">
      <c r="A98" s="184" t="s">
        <v>1050</v>
      </c>
      <c r="B98" s="184" t="s">
        <v>94</v>
      </c>
      <c r="C98" s="184" t="s">
        <v>93</v>
      </c>
      <c r="D98" s="185" t="s">
        <v>522</v>
      </c>
      <c r="E98" s="186" t="s">
        <v>868</v>
      </c>
      <c r="F98" s="186" t="s">
        <v>1051</v>
      </c>
      <c r="G98" s="186" t="s">
        <v>1052</v>
      </c>
      <c r="H98" s="186" t="s">
        <v>1053</v>
      </c>
      <c r="I98" s="187" t="s">
        <v>1059</v>
      </c>
      <c r="J98" s="187" t="s">
        <v>1060</v>
      </c>
      <c r="K98" s="188"/>
      <c r="L98" s="188"/>
      <c r="M98" s="189" t="s">
        <v>807</v>
      </c>
      <c r="N98" s="190">
        <v>68.47</v>
      </c>
      <c r="O98" s="190">
        <f t="shared" si="8"/>
        <v>74.63</v>
      </c>
      <c r="P98" s="191">
        <f t="shared" si="9"/>
        <v>0</v>
      </c>
      <c r="Q98" s="192">
        <f t="shared" si="10"/>
        <v>0</v>
      </c>
      <c r="R98" s="193"/>
      <c r="S98" s="194"/>
      <c r="T98" s="195">
        <f t="shared" si="11"/>
        <v>0</v>
      </c>
      <c r="U98" s="195">
        <f t="shared" si="12"/>
        <v>0</v>
      </c>
      <c r="V98" s="195">
        <f t="shared" si="13"/>
        <v>0</v>
      </c>
      <c r="W98" s="196" t="e">
        <f t="shared" si="14"/>
        <v>#DIV/0!</v>
      </c>
      <c r="X98" s="197" t="e">
        <f t="shared" si="15"/>
        <v>#DIV/0!</v>
      </c>
    </row>
    <row r="99" ht="11.4" hidden="1" customHeight="1" spans="1:24">
      <c r="A99" s="184" t="s">
        <v>1050</v>
      </c>
      <c r="B99" s="184" t="s">
        <v>94</v>
      </c>
      <c r="C99" s="184" t="s">
        <v>93</v>
      </c>
      <c r="D99" s="185" t="s">
        <v>522</v>
      </c>
      <c r="E99" s="186" t="s">
        <v>868</v>
      </c>
      <c r="F99" s="186" t="s">
        <v>1051</v>
      </c>
      <c r="G99" s="186" t="s">
        <v>1052</v>
      </c>
      <c r="H99" s="186" t="s">
        <v>1053</v>
      </c>
      <c r="I99" s="187" t="s">
        <v>1061</v>
      </c>
      <c r="J99" s="187" t="s">
        <v>1062</v>
      </c>
      <c r="K99" s="188"/>
      <c r="L99" s="188"/>
      <c r="M99" s="189" t="s">
        <v>1018</v>
      </c>
      <c r="N99" s="190">
        <v>3154.85</v>
      </c>
      <c r="O99" s="190">
        <f t="shared" si="8"/>
        <v>3438.79</v>
      </c>
      <c r="P99" s="191">
        <f t="shared" si="9"/>
        <v>0</v>
      </c>
      <c r="Q99" s="192">
        <f t="shared" si="10"/>
        <v>0</v>
      </c>
      <c r="R99" s="193"/>
      <c r="S99" s="194"/>
      <c r="T99" s="195">
        <f t="shared" si="11"/>
        <v>0</v>
      </c>
      <c r="U99" s="195">
        <f t="shared" si="12"/>
        <v>0</v>
      </c>
      <c r="V99" s="195">
        <f t="shared" si="13"/>
        <v>0</v>
      </c>
      <c r="W99" s="196" t="e">
        <f t="shared" si="14"/>
        <v>#DIV/0!</v>
      </c>
      <c r="X99" s="197" t="e">
        <f t="shared" si="15"/>
        <v>#DIV/0!</v>
      </c>
    </row>
    <row r="100" ht="11.4" hidden="1" customHeight="1" spans="1:24">
      <c r="A100" s="184" t="s">
        <v>1050</v>
      </c>
      <c r="B100" s="184" t="s">
        <v>94</v>
      </c>
      <c r="C100" s="184" t="s">
        <v>93</v>
      </c>
      <c r="D100" s="185" t="s">
        <v>522</v>
      </c>
      <c r="E100" s="186" t="s">
        <v>868</v>
      </c>
      <c r="F100" s="186" t="s">
        <v>1051</v>
      </c>
      <c r="G100" s="186" t="s">
        <v>1052</v>
      </c>
      <c r="H100" s="186" t="s">
        <v>1063</v>
      </c>
      <c r="I100" s="187" t="s">
        <v>1064</v>
      </c>
      <c r="J100" s="187" t="s">
        <v>1065</v>
      </c>
      <c r="K100" s="188"/>
      <c r="L100" s="188"/>
      <c r="M100" s="189" t="s">
        <v>807</v>
      </c>
      <c r="N100" s="190">
        <v>219.82</v>
      </c>
      <c r="O100" s="190">
        <f t="shared" si="8"/>
        <v>239.6</v>
      </c>
      <c r="P100" s="191">
        <f t="shared" si="9"/>
        <v>0</v>
      </c>
      <c r="Q100" s="192">
        <f t="shared" si="10"/>
        <v>0</v>
      </c>
      <c r="R100" s="193"/>
      <c r="S100" s="194"/>
      <c r="T100" s="195">
        <f t="shared" si="11"/>
        <v>0</v>
      </c>
      <c r="U100" s="195">
        <f t="shared" si="12"/>
        <v>0</v>
      </c>
      <c r="V100" s="195">
        <f t="shared" si="13"/>
        <v>0</v>
      </c>
      <c r="W100" s="196" t="e">
        <f t="shared" si="14"/>
        <v>#DIV/0!</v>
      </c>
      <c r="X100" s="197" t="e">
        <f t="shared" si="15"/>
        <v>#DIV/0!</v>
      </c>
    </row>
    <row r="101" ht="11.4" hidden="1" customHeight="1" spans="1:24">
      <c r="A101" s="184" t="s">
        <v>1050</v>
      </c>
      <c r="B101" s="184" t="s">
        <v>94</v>
      </c>
      <c r="C101" s="184" t="s">
        <v>93</v>
      </c>
      <c r="D101" s="185" t="s">
        <v>522</v>
      </c>
      <c r="E101" s="186" t="s">
        <v>868</v>
      </c>
      <c r="F101" s="186" t="s">
        <v>1051</v>
      </c>
      <c r="G101" s="186" t="s">
        <v>1052</v>
      </c>
      <c r="H101" s="186" t="s">
        <v>1063</v>
      </c>
      <c r="I101" s="187" t="s">
        <v>1066</v>
      </c>
      <c r="J101" s="187" t="s">
        <v>1067</v>
      </c>
      <c r="K101" s="188"/>
      <c r="L101" s="188"/>
      <c r="M101" s="189" t="s">
        <v>807</v>
      </c>
      <c r="N101" s="190">
        <v>135.14</v>
      </c>
      <c r="O101" s="190">
        <f t="shared" si="8"/>
        <v>147.3</v>
      </c>
      <c r="P101" s="191">
        <f t="shared" si="9"/>
        <v>0</v>
      </c>
      <c r="Q101" s="192">
        <f t="shared" si="10"/>
        <v>0</v>
      </c>
      <c r="R101" s="193"/>
      <c r="S101" s="194"/>
      <c r="T101" s="195">
        <f t="shared" si="11"/>
        <v>0</v>
      </c>
      <c r="U101" s="195">
        <f t="shared" si="12"/>
        <v>0</v>
      </c>
      <c r="V101" s="195">
        <f t="shared" si="13"/>
        <v>0</v>
      </c>
      <c r="W101" s="196" t="e">
        <f t="shared" si="14"/>
        <v>#DIV/0!</v>
      </c>
      <c r="X101" s="197" t="e">
        <f t="shared" si="15"/>
        <v>#DIV/0!</v>
      </c>
    </row>
    <row r="102" ht="11.4" hidden="1" customHeight="1" spans="1:24">
      <c r="A102" s="184" t="s">
        <v>1050</v>
      </c>
      <c r="B102" s="184" t="s">
        <v>94</v>
      </c>
      <c r="C102" s="184" t="s">
        <v>93</v>
      </c>
      <c r="D102" s="185" t="s">
        <v>522</v>
      </c>
      <c r="E102" s="186" t="s">
        <v>868</v>
      </c>
      <c r="F102" s="186" t="s">
        <v>1051</v>
      </c>
      <c r="G102" s="186" t="s">
        <v>1052</v>
      </c>
      <c r="H102" s="186" t="s">
        <v>1063</v>
      </c>
      <c r="I102" s="187" t="s">
        <v>1068</v>
      </c>
      <c r="J102" s="187" t="s">
        <v>1069</v>
      </c>
      <c r="K102" s="188"/>
      <c r="L102" s="188"/>
      <c r="M102" s="189" t="s">
        <v>807</v>
      </c>
      <c r="N102" s="190">
        <v>68.47</v>
      </c>
      <c r="O102" s="190">
        <f t="shared" si="8"/>
        <v>74.63</v>
      </c>
      <c r="P102" s="191">
        <f t="shared" si="9"/>
        <v>0</v>
      </c>
      <c r="Q102" s="192">
        <f t="shared" si="10"/>
        <v>0</v>
      </c>
      <c r="R102" s="193"/>
      <c r="S102" s="194"/>
      <c r="T102" s="195">
        <f t="shared" si="11"/>
        <v>0</v>
      </c>
      <c r="U102" s="195">
        <f t="shared" si="12"/>
        <v>0</v>
      </c>
      <c r="V102" s="195">
        <f t="shared" si="13"/>
        <v>0</v>
      </c>
      <c r="W102" s="196" t="e">
        <f t="shared" si="14"/>
        <v>#DIV/0!</v>
      </c>
      <c r="X102" s="197" t="e">
        <f t="shared" si="15"/>
        <v>#DIV/0!</v>
      </c>
    </row>
    <row r="103" ht="11.4" hidden="1" customHeight="1" spans="1:24">
      <c r="A103" s="184" t="s">
        <v>1050</v>
      </c>
      <c r="B103" s="184" t="s">
        <v>94</v>
      </c>
      <c r="C103" s="184" t="s">
        <v>93</v>
      </c>
      <c r="D103" s="185" t="s">
        <v>522</v>
      </c>
      <c r="E103" s="186" t="s">
        <v>868</v>
      </c>
      <c r="F103" s="186" t="s">
        <v>1051</v>
      </c>
      <c r="G103" s="186" t="s">
        <v>1052</v>
      </c>
      <c r="H103" s="186" t="s">
        <v>1063</v>
      </c>
      <c r="I103" s="187" t="s">
        <v>1070</v>
      </c>
      <c r="J103" s="187" t="s">
        <v>1071</v>
      </c>
      <c r="K103" s="188"/>
      <c r="L103" s="188"/>
      <c r="M103" s="189" t="s">
        <v>1018</v>
      </c>
      <c r="N103" s="190">
        <v>3154.85</v>
      </c>
      <c r="O103" s="190">
        <f t="shared" si="8"/>
        <v>3438.79</v>
      </c>
      <c r="P103" s="191">
        <f t="shared" si="9"/>
        <v>0</v>
      </c>
      <c r="Q103" s="192">
        <f t="shared" si="10"/>
        <v>0</v>
      </c>
      <c r="R103" s="193"/>
      <c r="S103" s="194"/>
      <c r="T103" s="195">
        <f t="shared" si="11"/>
        <v>0</v>
      </c>
      <c r="U103" s="195">
        <f t="shared" si="12"/>
        <v>0</v>
      </c>
      <c r="V103" s="195">
        <f t="shared" si="13"/>
        <v>0</v>
      </c>
      <c r="W103" s="196" t="e">
        <f t="shared" si="14"/>
        <v>#DIV/0!</v>
      </c>
      <c r="X103" s="197" t="e">
        <f t="shared" si="15"/>
        <v>#DIV/0!</v>
      </c>
    </row>
    <row r="104" ht="11.4" hidden="1" customHeight="1" spans="1:24">
      <c r="A104" s="184" t="s">
        <v>1050</v>
      </c>
      <c r="B104" s="184" t="s">
        <v>94</v>
      </c>
      <c r="C104" s="184" t="s">
        <v>93</v>
      </c>
      <c r="D104" s="185" t="s">
        <v>522</v>
      </c>
      <c r="E104" s="186" t="s">
        <v>868</v>
      </c>
      <c r="F104" s="186" t="s">
        <v>1051</v>
      </c>
      <c r="G104" s="186" t="s">
        <v>1052</v>
      </c>
      <c r="H104" s="186" t="s">
        <v>1063</v>
      </c>
      <c r="I104" s="187" t="s">
        <v>1072</v>
      </c>
      <c r="J104" s="187" t="s">
        <v>1073</v>
      </c>
      <c r="K104" s="188"/>
      <c r="L104" s="188"/>
      <c r="M104" s="189" t="s">
        <v>1018</v>
      </c>
      <c r="N104" s="190">
        <v>63.96</v>
      </c>
      <c r="O104" s="190">
        <f t="shared" si="8"/>
        <v>69.72</v>
      </c>
      <c r="P104" s="191">
        <f t="shared" si="9"/>
        <v>0</v>
      </c>
      <c r="Q104" s="192">
        <f t="shared" si="10"/>
        <v>0</v>
      </c>
      <c r="R104" s="193"/>
      <c r="S104" s="194"/>
      <c r="T104" s="195">
        <f t="shared" si="11"/>
        <v>0</v>
      </c>
      <c r="U104" s="195">
        <f t="shared" si="12"/>
        <v>0</v>
      </c>
      <c r="V104" s="195">
        <f t="shared" si="13"/>
        <v>0</v>
      </c>
      <c r="W104" s="196" t="e">
        <f t="shared" si="14"/>
        <v>#DIV/0!</v>
      </c>
      <c r="X104" s="197" t="e">
        <f t="shared" si="15"/>
        <v>#DIV/0!</v>
      </c>
    </row>
    <row r="105" ht="11.4" hidden="1" customHeight="1" spans="1:24">
      <c r="A105" s="184" t="s">
        <v>1050</v>
      </c>
      <c r="B105" s="184" t="s">
        <v>94</v>
      </c>
      <c r="C105" s="184" t="s">
        <v>93</v>
      </c>
      <c r="D105" s="185" t="s">
        <v>522</v>
      </c>
      <c r="E105" s="186" t="s">
        <v>868</v>
      </c>
      <c r="F105" s="186" t="s">
        <v>1051</v>
      </c>
      <c r="G105" s="186" t="s">
        <v>1052</v>
      </c>
      <c r="H105" s="186" t="s">
        <v>1074</v>
      </c>
      <c r="I105" s="187" t="s">
        <v>1075</v>
      </c>
      <c r="J105" s="187" t="s">
        <v>1076</v>
      </c>
      <c r="K105" s="188"/>
      <c r="L105" s="188"/>
      <c r="M105" s="189" t="s">
        <v>807</v>
      </c>
      <c r="N105" s="190">
        <v>81.08</v>
      </c>
      <c r="O105" s="190">
        <f t="shared" si="8"/>
        <v>88.38</v>
      </c>
      <c r="P105" s="191">
        <f t="shared" si="9"/>
        <v>0</v>
      </c>
      <c r="Q105" s="192">
        <f t="shared" si="10"/>
        <v>0</v>
      </c>
      <c r="R105" s="193"/>
      <c r="S105" s="194"/>
      <c r="T105" s="195">
        <f t="shared" si="11"/>
        <v>0</v>
      </c>
      <c r="U105" s="195">
        <f t="shared" si="12"/>
        <v>0</v>
      </c>
      <c r="V105" s="195">
        <f t="shared" si="13"/>
        <v>0</v>
      </c>
      <c r="W105" s="196" t="e">
        <f t="shared" si="14"/>
        <v>#DIV/0!</v>
      </c>
      <c r="X105" s="197" t="e">
        <f t="shared" si="15"/>
        <v>#DIV/0!</v>
      </c>
    </row>
    <row r="106" ht="11.4" hidden="1" customHeight="1" spans="1:24">
      <c r="A106" s="184" t="s">
        <v>1050</v>
      </c>
      <c r="B106" s="184" t="s">
        <v>94</v>
      </c>
      <c r="C106" s="184" t="s">
        <v>93</v>
      </c>
      <c r="D106" s="185" t="s">
        <v>522</v>
      </c>
      <c r="E106" s="186" t="s">
        <v>868</v>
      </c>
      <c r="F106" s="186" t="s">
        <v>1051</v>
      </c>
      <c r="G106" s="186" t="s">
        <v>1052</v>
      </c>
      <c r="H106" s="186" t="s">
        <v>1074</v>
      </c>
      <c r="I106" s="187" t="s">
        <v>1077</v>
      </c>
      <c r="J106" s="187" t="s">
        <v>1078</v>
      </c>
      <c r="K106" s="188"/>
      <c r="L106" s="188"/>
      <c r="M106" s="189" t="s">
        <v>807</v>
      </c>
      <c r="N106" s="190">
        <v>70.27</v>
      </c>
      <c r="O106" s="190">
        <f t="shared" si="8"/>
        <v>76.59</v>
      </c>
      <c r="P106" s="191">
        <f t="shared" si="9"/>
        <v>0</v>
      </c>
      <c r="Q106" s="192">
        <f t="shared" si="10"/>
        <v>0</v>
      </c>
      <c r="R106" s="193"/>
      <c r="S106" s="194"/>
      <c r="T106" s="195">
        <f t="shared" si="11"/>
        <v>0</v>
      </c>
      <c r="U106" s="195">
        <f t="shared" si="12"/>
        <v>0</v>
      </c>
      <c r="V106" s="195">
        <f t="shared" si="13"/>
        <v>0</v>
      </c>
      <c r="W106" s="196" t="e">
        <f t="shared" si="14"/>
        <v>#DIV/0!</v>
      </c>
      <c r="X106" s="197" t="e">
        <f t="shared" si="15"/>
        <v>#DIV/0!</v>
      </c>
    </row>
    <row r="107" ht="11.4" hidden="1" customHeight="1" spans="1:24">
      <c r="A107" s="184" t="s">
        <v>1050</v>
      </c>
      <c r="B107" s="184" t="s">
        <v>94</v>
      </c>
      <c r="C107" s="184" t="s">
        <v>93</v>
      </c>
      <c r="D107" s="185" t="s">
        <v>522</v>
      </c>
      <c r="E107" s="186" t="s">
        <v>868</v>
      </c>
      <c r="F107" s="186" t="s">
        <v>1051</v>
      </c>
      <c r="G107" s="186" t="s">
        <v>1052</v>
      </c>
      <c r="H107" s="186" t="s">
        <v>1074</v>
      </c>
      <c r="I107" s="187" t="s">
        <v>1079</v>
      </c>
      <c r="J107" s="187" t="s">
        <v>1080</v>
      </c>
      <c r="K107" s="188"/>
      <c r="L107" s="188"/>
      <c r="M107" s="189" t="s">
        <v>807</v>
      </c>
      <c r="N107" s="190">
        <v>63.06</v>
      </c>
      <c r="O107" s="190">
        <f t="shared" si="8"/>
        <v>68.74</v>
      </c>
      <c r="P107" s="191">
        <f t="shared" si="9"/>
        <v>0</v>
      </c>
      <c r="Q107" s="192">
        <f t="shared" si="10"/>
        <v>0</v>
      </c>
      <c r="R107" s="193"/>
      <c r="S107" s="194"/>
      <c r="T107" s="195">
        <f t="shared" si="11"/>
        <v>0</v>
      </c>
      <c r="U107" s="195">
        <f t="shared" si="12"/>
        <v>0</v>
      </c>
      <c r="V107" s="195">
        <f t="shared" si="13"/>
        <v>0</v>
      </c>
      <c r="W107" s="196" t="e">
        <f t="shared" si="14"/>
        <v>#DIV/0!</v>
      </c>
      <c r="X107" s="197" t="e">
        <f t="shared" si="15"/>
        <v>#DIV/0!</v>
      </c>
    </row>
    <row r="108" ht="11.4" hidden="1" customHeight="1" spans="1:24">
      <c r="A108" s="184" t="s">
        <v>1050</v>
      </c>
      <c r="B108" s="184" t="s">
        <v>94</v>
      </c>
      <c r="C108" s="184" t="s">
        <v>93</v>
      </c>
      <c r="D108" s="185" t="s">
        <v>522</v>
      </c>
      <c r="E108" s="186" t="s">
        <v>868</v>
      </c>
      <c r="F108" s="186" t="s">
        <v>1051</v>
      </c>
      <c r="G108" s="186" t="s">
        <v>1052</v>
      </c>
      <c r="H108" s="186" t="s">
        <v>1074</v>
      </c>
      <c r="I108" s="187" t="s">
        <v>1081</v>
      </c>
      <c r="J108" s="187" t="s">
        <v>1082</v>
      </c>
      <c r="K108" s="188"/>
      <c r="L108" s="188"/>
      <c r="M108" s="189" t="s">
        <v>989</v>
      </c>
      <c r="N108" s="190">
        <v>891.89</v>
      </c>
      <c r="O108" s="190">
        <f t="shared" si="8"/>
        <v>972.16</v>
      </c>
      <c r="P108" s="191">
        <f t="shared" si="9"/>
        <v>0</v>
      </c>
      <c r="Q108" s="192">
        <f t="shared" si="10"/>
        <v>0</v>
      </c>
      <c r="R108" s="193"/>
      <c r="S108" s="194"/>
      <c r="T108" s="195">
        <f t="shared" si="11"/>
        <v>0</v>
      </c>
      <c r="U108" s="195">
        <f t="shared" si="12"/>
        <v>0</v>
      </c>
      <c r="V108" s="195">
        <f t="shared" si="13"/>
        <v>0</v>
      </c>
      <c r="W108" s="196" t="e">
        <f t="shared" si="14"/>
        <v>#DIV/0!</v>
      </c>
      <c r="X108" s="197" t="e">
        <f t="shared" si="15"/>
        <v>#DIV/0!</v>
      </c>
    </row>
    <row r="109" ht="11.4" hidden="1" customHeight="1" spans="1:24">
      <c r="A109" s="184" t="s">
        <v>1083</v>
      </c>
      <c r="B109" s="184" t="s">
        <v>97</v>
      </c>
      <c r="C109" s="184" t="s">
        <v>96</v>
      </c>
      <c r="D109" s="185" t="s">
        <v>522</v>
      </c>
      <c r="E109" s="186" t="s">
        <v>868</v>
      </c>
      <c r="F109" s="186" t="s">
        <v>1051</v>
      </c>
      <c r="G109" s="186" t="s">
        <v>1084</v>
      </c>
      <c r="H109" s="186" t="s">
        <v>1084</v>
      </c>
      <c r="I109" s="187" t="s">
        <v>1085</v>
      </c>
      <c r="J109" s="187" t="s">
        <v>1086</v>
      </c>
      <c r="K109" s="188"/>
      <c r="L109" s="188"/>
      <c r="M109" s="189" t="s">
        <v>847</v>
      </c>
      <c r="N109" s="190">
        <v>172.07</v>
      </c>
      <c r="O109" s="190">
        <f t="shared" si="8"/>
        <v>187.56</v>
      </c>
      <c r="P109" s="191">
        <f t="shared" si="9"/>
        <v>0</v>
      </c>
      <c r="Q109" s="192">
        <f t="shared" si="10"/>
        <v>0</v>
      </c>
      <c r="R109" s="193"/>
      <c r="S109" s="194"/>
      <c r="T109" s="195">
        <f t="shared" si="11"/>
        <v>0</v>
      </c>
      <c r="U109" s="195">
        <f t="shared" si="12"/>
        <v>0</v>
      </c>
      <c r="V109" s="195">
        <f t="shared" si="13"/>
        <v>0</v>
      </c>
      <c r="W109" s="196" t="e">
        <f t="shared" si="14"/>
        <v>#DIV/0!</v>
      </c>
      <c r="X109" s="197" t="e">
        <f t="shared" si="15"/>
        <v>#DIV/0!</v>
      </c>
    </row>
    <row r="110" ht="11.4" hidden="1" customHeight="1" spans="1:24">
      <c r="A110" s="184" t="s">
        <v>1087</v>
      </c>
      <c r="B110" s="184" t="s">
        <v>99</v>
      </c>
      <c r="C110" s="184" t="s">
        <v>1088</v>
      </c>
      <c r="D110" s="185" t="s">
        <v>522</v>
      </c>
      <c r="E110" s="186" t="s">
        <v>868</v>
      </c>
      <c r="F110" s="186" t="s">
        <v>1089</v>
      </c>
      <c r="G110" s="186" t="s">
        <v>1090</v>
      </c>
      <c r="H110" s="186" t="s">
        <v>1090</v>
      </c>
      <c r="I110" s="187" t="s">
        <v>1091</v>
      </c>
      <c r="J110" s="187" t="s">
        <v>1092</v>
      </c>
      <c r="K110" s="188"/>
      <c r="L110" s="188"/>
      <c r="M110" s="189" t="s">
        <v>895</v>
      </c>
      <c r="N110" s="190">
        <v>9020</v>
      </c>
      <c r="O110" s="190">
        <f t="shared" si="8"/>
        <v>9831.8</v>
      </c>
      <c r="P110" s="191">
        <f t="shared" si="9"/>
        <v>0</v>
      </c>
      <c r="Q110" s="192">
        <f t="shared" si="10"/>
        <v>0</v>
      </c>
      <c r="R110" s="193"/>
      <c r="S110" s="194"/>
      <c r="T110" s="195">
        <f t="shared" si="11"/>
        <v>0</v>
      </c>
      <c r="U110" s="195">
        <f t="shared" si="12"/>
        <v>0</v>
      </c>
      <c r="V110" s="195">
        <f t="shared" si="13"/>
        <v>0</v>
      </c>
      <c r="W110" s="196" t="e">
        <f t="shared" si="14"/>
        <v>#DIV/0!</v>
      </c>
      <c r="X110" s="197" t="e">
        <f t="shared" si="15"/>
        <v>#DIV/0!</v>
      </c>
    </row>
    <row r="111" ht="11.4" hidden="1" customHeight="1" spans="1:24">
      <c r="A111" s="184" t="s">
        <v>1087</v>
      </c>
      <c r="B111" s="184" t="s">
        <v>99</v>
      </c>
      <c r="C111" s="184" t="s">
        <v>1088</v>
      </c>
      <c r="D111" s="185" t="s">
        <v>522</v>
      </c>
      <c r="E111" s="186" t="s">
        <v>868</v>
      </c>
      <c r="F111" s="186" t="s">
        <v>1089</v>
      </c>
      <c r="G111" s="186" t="s">
        <v>1090</v>
      </c>
      <c r="H111" s="186" t="s">
        <v>1090</v>
      </c>
      <c r="I111" s="187" t="s">
        <v>1094</v>
      </c>
      <c r="J111" s="187" t="s">
        <v>1095</v>
      </c>
      <c r="K111" s="188"/>
      <c r="L111" s="188"/>
      <c r="M111" s="189" t="s">
        <v>793</v>
      </c>
      <c r="N111" s="190"/>
      <c r="O111" s="190">
        <f t="shared" si="8"/>
        <v>0</v>
      </c>
      <c r="P111" s="191">
        <f t="shared" si="9"/>
        <v>0</v>
      </c>
      <c r="Q111" s="192">
        <f t="shared" si="10"/>
        <v>0</v>
      </c>
      <c r="R111" s="193"/>
      <c r="S111" s="194"/>
      <c r="T111" s="195">
        <f t="shared" si="11"/>
        <v>0</v>
      </c>
      <c r="U111" s="195">
        <f t="shared" si="12"/>
        <v>0</v>
      </c>
      <c r="V111" s="195">
        <f t="shared" si="13"/>
        <v>0</v>
      </c>
      <c r="W111" s="196" t="e">
        <f t="shared" si="14"/>
        <v>#DIV/0!</v>
      </c>
      <c r="X111" s="197" t="e">
        <f t="shared" si="15"/>
        <v>#DIV/0!</v>
      </c>
    </row>
    <row r="112" ht="11.4" hidden="1" customHeight="1" spans="1:24">
      <c r="A112" s="184" t="s">
        <v>1087</v>
      </c>
      <c r="B112" s="184" t="s">
        <v>99</v>
      </c>
      <c r="C112" s="184" t="s">
        <v>1088</v>
      </c>
      <c r="D112" s="185" t="s">
        <v>522</v>
      </c>
      <c r="E112" s="186" t="s">
        <v>868</v>
      </c>
      <c r="F112" s="186" t="s">
        <v>1089</v>
      </c>
      <c r="G112" s="186" t="s">
        <v>1090</v>
      </c>
      <c r="H112" s="186" t="s">
        <v>1090</v>
      </c>
      <c r="I112" s="187" t="s">
        <v>1096</v>
      </c>
      <c r="J112" s="187" t="s">
        <v>1097</v>
      </c>
      <c r="K112" s="188"/>
      <c r="L112" s="188"/>
      <c r="M112" s="189" t="s">
        <v>793</v>
      </c>
      <c r="N112" s="190"/>
      <c r="O112" s="190">
        <f t="shared" si="8"/>
        <v>0</v>
      </c>
      <c r="P112" s="191">
        <f t="shared" si="9"/>
        <v>0</v>
      </c>
      <c r="Q112" s="192">
        <f t="shared" si="10"/>
        <v>0</v>
      </c>
      <c r="R112" s="193"/>
      <c r="S112" s="194"/>
      <c r="T112" s="195">
        <f t="shared" si="11"/>
        <v>0</v>
      </c>
      <c r="U112" s="195">
        <f t="shared" si="12"/>
        <v>0</v>
      </c>
      <c r="V112" s="195">
        <f t="shared" si="13"/>
        <v>0</v>
      </c>
      <c r="W112" s="196" t="e">
        <f t="shared" si="14"/>
        <v>#DIV/0!</v>
      </c>
      <c r="X112" s="197" t="e">
        <f t="shared" si="15"/>
        <v>#DIV/0!</v>
      </c>
    </row>
    <row r="113" ht="11.4" hidden="1" customHeight="1" spans="1:24">
      <c r="A113" s="184" t="s">
        <v>1087</v>
      </c>
      <c r="B113" s="184" t="s">
        <v>99</v>
      </c>
      <c r="C113" s="184" t="s">
        <v>1088</v>
      </c>
      <c r="D113" s="185" t="s">
        <v>522</v>
      </c>
      <c r="E113" s="186" t="s">
        <v>868</v>
      </c>
      <c r="F113" s="186" t="s">
        <v>1089</v>
      </c>
      <c r="G113" s="186" t="s">
        <v>1090</v>
      </c>
      <c r="H113" s="186" t="s">
        <v>1090</v>
      </c>
      <c r="I113" s="187" t="s">
        <v>1098</v>
      </c>
      <c r="J113" s="187" t="s">
        <v>1099</v>
      </c>
      <c r="K113" s="188"/>
      <c r="L113" s="188"/>
      <c r="M113" s="189" t="s">
        <v>793</v>
      </c>
      <c r="N113" s="190"/>
      <c r="O113" s="190">
        <f t="shared" si="8"/>
        <v>0</v>
      </c>
      <c r="P113" s="191">
        <f t="shared" si="9"/>
        <v>0</v>
      </c>
      <c r="Q113" s="192">
        <f t="shared" si="10"/>
        <v>0</v>
      </c>
      <c r="R113" s="193"/>
      <c r="S113" s="194"/>
      <c r="T113" s="195">
        <f t="shared" si="11"/>
        <v>0</v>
      </c>
      <c r="U113" s="195">
        <f t="shared" si="12"/>
        <v>0</v>
      </c>
      <c r="V113" s="195">
        <f t="shared" si="13"/>
        <v>0</v>
      </c>
      <c r="W113" s="196" t="e">
        <f t="shared" si="14"/>
        <v>#DIV/0!</v>
      </c>
      <c r="X113" s="197" t="e">
        <f t="shared" si="15"/>
        <v>#DIV/0!</v>
      </c>
    </row>
    <row r="114" ht="11.4" hidden="1" customHeight="1" spans="1:24">
      <c r="A114" s="184" t="s">
        <v>1100</v>
      </c>
      <c r="B114" s="184" t="s">
        <v>111</v>
      </c>
      <c r="C114" s="184" t="s">
        <v>1101</v>
      </c>
      <c r="D114" s="185" t="s">
        <v>522</v>
      </c>
      <c r="E114" s="186" t="s">
        <v>906</v>
      </c>
      <c r="F114" s="186" t="s">
        <v>907</v>
      </c>
      <c r="G114" s="186" t="s">
        <v>1102</v>
      </c>
      <c r="H114" s="186" t="s">
        <v>1103</v>
      </c>
      <c r="I114" s="187" t="s">
        <v>1104</v>
      </c>
      <c r="J114" s="187" t="s">
        <v>1105</v>
      </c>
      <c r="K114" s="188"/>
      <c r="L114" s="188"/>
      <c r="M114" s="189" t="s">
        <v>847</v>
      </c>
      <c r="N114" s="190">
        <v>180.78</v>
      </c>
      <c r="O114" s="190">
        <f t="shared" si="8"/>
        <v>197.05</v>
      </c>
      <c r="P114" s="191">
        <f t="shared" si="9"/>
        <v>0</v>
      </c>
      <c r="Q114" s="192">
        <f t="shared" si="10"/>
        <v>0</v>
      </c>
      <c r="R114" s="193"/>
      <c r="S114" s="194"/>
      <c r="T114" s="195">
        <f t="shared" si="11"/>
        <v>0</v>
      </c>
      <c r="U114" s="195">
        <f t="shared" si="12"/>
        <v>0</v>
      </c>
      <c r="V114" s="195">
        <f t="shared" si="13"/>
        <v>0</v>
      </c>
      <c r="W114" s="196" t="e">
        <f t="shared" si="14"/>
        <v>#DIV/0!</v>
      </c>
      <c r="X114" s="197" t="e">
        <f t="shared" si="15"/>
        <v>#DIV/0!</v>
      </c>
    </row>
    <row r="115" ht="11.4" hidden="1" customHeight="1" spans="1:24">
      <c r="A115" s="184" t="s">
        <v>1100</v>
      </c>
      <c r="B115" s="184" t="s">
        <v>111</v>
      </c>
      <c r="C115" s="184" t="s">
        <v>1101</v>
      </c>
      <c r="D115" s="185" t="s">
        <v>522</v>
      </c>
      <c r="E115" s="186" t="s">
        <v>906</v>
      </c>
      <c r="F115" s="186" t="s">
        <v>907</v>
      </c>
      <c r="G115" s="186" t="s">
        <v>1102</v>
      </c>
      <c r="H115" s="186" t="s">
        <v>1103</v>
      </c>
      <c r="I115" s="187" t="s">
        <v>1106</v>
      </c>
      <c r="J115" s="187" t="s">
        <v>1107</v>
      </c>
      <c r="K115" s="188"/>
      <c r="L115" s="188"/>
      <c r="M115" s="189" t="s">
        <v>807</v>
      </c>
      <c r="N115" s="190">
        <v>41.36</v>
      </c>
      <c r="O115" s="190">
        <f t="shared" si="8"/>
        <v>45.08</v>
      </c>
      <c r="P115" s="191">
        <f t="shared" si="9"/>
        <v>0</v>
      </c>
      <c r="Q115" s="192">
        <f t="shared" si="10"/>
        <v>0</v>
      </c>
      <c r="R115" s="193"/>
      <c r="S115" s="194"/>
      <c r="T115" s="195">
        <f t="shared" si="11"/>
        <v>0</v>
      </c>
      <c r="U115" s="195">
        <f t="shared" si="12"/>
        <v>0</v>
      </c>
      <c r="V115" s="195">
        <f t="shared" si="13"/>
        <v>0</v>
      </c>
      <c r="W115" s="196" t="e">
        <f t="shared" si="14"/>
        <v>#DIV/0!</v>
      </c>
      <c r="X115" s="197" t="e">
        <f t="shared" si="15"/>
        <v>#DIV/0!</v>
      </c>
    </row>
    <row r="116" ht="11.4" hidden="1" customHeight="1" spans="1:24">
      <c r="A116" s="184" t="s">
        <v>1100</v>
      </c>
      <c r="B116" s="184" t="s">
        <v>111</v>
      </c>
      <c r="C116" s="184" t="s">
        <v>1101</v>
      </c>
      <c r="D116" s="185" t="s">
        <v>522</v>
      </c>
      <c r="E116" s="186" t="s">
        <v>906</v>
      </c>
      <c r="F116" s="186" t="s">
        <v>907</v>
      </c>
      <c r="G116" s="186" t="s">
        <v>1102</v>
      </c>
      <c r="H116" s="186" t="s">
        <v>1103</v>
      </c>
      <c r="I116" s="187" t="s">
        <v>1109</v>
      </c>
      <c r="J116" s="187" t="s">
        <v>1110</v>
      </c>
      <c r="K116" s="188"/>
      <c r="L116" s="188"/>
      <c r="M116" s="189" t="s">
        <v>847</v>
      </c>
      <c r="N116" s="190">
        <v>160.21</v>
      </c>
      <c r="O116" s="190">
        <f t="shared" si="8"/>
        <v>174.63</v>
      </c>
      <c r="P116" s="191">
        <f t="shared" si="9"/>
        <v>0</v>
      </c>
      <c r="Q116" s="192">
        <f t="shared" si="10"/>
        <v>0</v>
      </c>
      <c r="R116" s="193"/>
      <c r="S116" s="194"/>
      <c r="T116" s="195">
        <f t="shared" si="11"/>
        <v>0</v>
      </c>
      <c r="U116" s="195">
        <f t="shared" si="12"/>
        <v>0</v>
      </c>
      <c r="V116" s="195">
        <f t="shared" si="13"/>
        <v>0</v>
      </c>
      <c r="W116" s="196" t="e">
        <f t="shared" si="14"/>
        <v>#DIV/0!</v>
      </c>
      <c r="X116" s="197" t="e">
        <f t="shared" si="15"/>
        <v>#DIV/0!</v>
      </c>
    </row>
    <row r="117" ht="11.4" hidden="1" customHeight="1" spans="1:24">
      <c r="A117" s="184" t="s">
        <v>1100</v>
      </c>
      <c r="B117" s="184" t="s">
        <v>111</v>
      </c>
      <c r="C117" s="184" t="s">
        <v>1101</v>
      </c>
      <c r="D117" s="185" t="s">
        <v>522</v>
      </c>
      <c r="E117" s="186" t="s">
        <v>906</v>
      </c>
      <c r="F117" s="186" t="s">
        <v>907</v>
      </c>
      <c r="G117" s="186" t="s">
        <v>1102</v>
      </c>
      <c r="H117" s="186" t="s">
        <v>1103</v>
      </c>
      <c r="I117" s="187" t="s">
        <v>1111</v>
      </c>
      <c r="J117" s="187" t="s">
        <v>1112</v>
      </c>
      <c r="K117" s="188"/>
      <c r="L117" s="188"/>
      <c r="M117" s="189" t="s">
        <v>807</v>
      </c>
      <c r="N117" s="190">
        <v>38.94</v>
      </c>
      <c r="O117" s="190">
        <f t="shared" si="8"/>
        <v>42.44</v>
      </c>
      <c r="P117" s="191">
        <f t="shared" si="9"/>
        <v>0</v>
      </c>
      <c r="Q117" s="192">
        <f t="shared" si="10"/>
        <v>0</v>
      </c>
      <c r="R117" s="193"/>
      <c r="S117" s="194"/>
      <c r="T117" s="195">
        <f t="shared" si="11"/>
        <v>0</v>
      </c>
      <c r="U117" s="195">
        <f t="shared" si="12"/>
        <v>0</v>
      </c>
      <c r="V117" s="195">
        <f t="shared" si="13"/>
        <v>0</v>
      </c>
      <c r="W117" s="196" t="e">
        <f t="shared" si="14"/>
        <v>#DIV/0!</v>
      </c>
      <c r="X117" s="197" t="e">
        <f t="shared" si="15"/>
        <v>#DIV/0!</v>
      </c>
    </row>
    <row r="118" ht="11.4" hidden="1" customHeight="1" spans="1:24">
      <c r="A118" s="184" t="s">
        <v>1100</v>
      </c>
      <c r="B118" s="184" t="s">
        <v>111</v>
      </c>
      <c r="C118" s="184" t="s">
        <v>1101</v>
      </c>
      <c r="D118" s="185" t="s">
        <v>522</v>
      </c>
      <c r="E118" s="186" t="s">
        <v>906</v>
      </c>
      <c r="F118" s="186" t="s">
        <v>907</v>
      </c>
      <c r="G118" s="186" t="s">
        <v>1102</v>
      </c>
      <c r="H118" s="186" t="s">
        <v>1103</v>
      </c>
      <c r="I118" s="187" t="s">
        <v>1113</v>
      </c>
      <c r="J118" s="187" t="s">
        <v>1114</v>
      </c>
      <c r="K118" s="188"/>
      <c r="L118" s="188"/>
      <c r="M118" s="189" t="s">
        <v>847</v>
      </c>
      <c r="N118" s="190">
        <v>181.99</v>
      </c>
      <c r="O118" s="190">
        <f t="shared" si="8"/>
        <v>198.37</v>
      </c>
      <c r="P118" s="191">
        <f t="shared" si="9"/>
        <v>0</v>
      </c>
      <c r="Q118" s="192">
        <f t="shared" si="10"/>
        <v>0</v>
      </c>
      <c r="R118" s="193"/>
      <c r="S118" s="194"/>
      <c r="T118" s="195">
        <f t="shared" si="11"/>
        <v>0</v>
      </c>
      <c r="U118" s="195">
        <f t="shared" si="12"/>
        <v>0</v>
      </c>
      <c r="V118" s="195">
        <f t="shared" si="13"/>
        <v>0</v>
      </c>
      <c r="W118" s="196" t="e">
        <f t="shared" si="14"/>
        <v>#DIV/0!</v>
      </c>
      <c r="X118" s="197" t="e">
        <f t="shared" si="15"/>
        <v>#DIV/0!</v>
      </c>
    </row>
    <row r="119" ht="11.4" hidden="1" customHeight="1" spans="1:24">
      <c r="A119" s="184" t="s">
        <v>1100</v>
      </c>
      <c r="B119" s="184" t="s">
        <v>111</v>
      </c>
      <c r="C119" s="184" t="s">
        <v>1101</v>
      </c>
      <c r="D119" s="185" t="s">
        <v>522</v>
      </c>
      <c r="E119" s="186" t="s">
        <v>906</v>
      </c>
      <c r="F119" s="186" t="s">
        <v>907</v>
      </c>
      <c r="G119" s="186" t="s">
        <v>1102</v>
      </c>
      <c r="H119" s="186" t="s">
        <v>1103</v>
      </c>
      <c r="I119" s="187" t="s">
        <v>1115</v>
      </c>
      <c r="J119" s="187" t="s">
        <v>1116</v>
      </c>
      <c r="K119" s="188"/>
      <c r="L119" s="188"/>
      <c r="M119" s="189" t="s">
        <v>807</v>
      </c>
      <c r="N119" s="190">
        <v>42.57</v>
      </c>
      <c r="O119" s="190">
        <f t="shared" si="8"/>
        <v>46.4</v>
      </c>
      <c r="P119" s="191">
        <f t="shared" si="9"/>
        <v>0</v>
      </c>
      <c r="Q119" s="192">
        <f t="shared" si="10"/>
        <v>0</v>
      </c>
      <c r="R119" s="193"/>
      <c r="S119" s="194"/>
      <c r="T119" s="195">
        <f t="shared" si="11"/>
        <v>0</v>
      </c>
      <c r="U119" s="195">
        <f t="shared" si="12"/>
        <v>0</v>
      </c>
      <c r="V119" s="195">
        <f t="shared" si="13"/>
        <v>0</v>
      </c>
      <c r="W119" s="196" t="e">
        <f t="shared" si="14"/>
        <v>#DIV/0!</v>
      </c>
      <c r="X119" s="197" t="e">
        <f t="shared" si="15"/>
        <v>#DIV/0!</v>
      </c>
    </row>
    <row r="120" ht="11.4" hidden="1" customHeight="1" spans="1:24">
      <c r="A120" s="184" t="s">
        <v>1100</v>
      </c>
      <c r="B120" s="184" t="s">
        <v>111</v>
      </c>
      <c r="C120" s="184" t="s">
        <v>1101</v>
      </c>
      <c r="D120" s="185" t="s">
        <v>522</v>
      </c>
      <c r="E120" s="186" t="s">
        <v>906</v>
      </c>
      <c r="F120" s="186" t="s">
        <v>907</v>
      </c>
      <c r="G120" s="186" t="s">
        <v>1102</v>
      </c>
      <c r="H120" s="186" t="s">
        <v>1103</v>
      </c>
      <c r="I120" s="187" t="s">
        <v>1117</v>
      </c>
      <c r="J120" s="187" t="s">
        <v>1118</v>
      </c>
      <c r="K120" s="188"/>
      <c r="L120" s="188"/>
      <c r="M120" s="189" t="s">
        <v>847</v>
      </c>
      <c r="N120" s="190">
        <v>187.98</v>
      </c>
      <c r="O120" s="190">
        <f t="shared" si="8"/>
        <v>204.9</v>
      </c>
      <c r="P120" s="191">
        <f t="shared" si="9"/>
        <v>0</v>
      </c>
      <c r="Q120" s="192">
        <f t="shared" si="10"/>
        <v>0</v>
      </c>
      <c r="R120" s="193"/>
      <c r="S120" s="194"/>
      <c r="T120" s="195">
        <f t="shared" si="11"/>
        <v>0</v>
      </c>
      <c r="U120" s="195">
        <f t="shared" si="12"/>
        <v>0</v>
      </c>
      <c r="V120" s="195">
        <f t="shared" si="13"/>
        <v>0</v>
      </c>
      <c r="W120" s="196" t="e">
        <f t="shared" si="14"/>
        <v>#DIV/0!</v>
      </c>
      <c r="X120" s="197" t="e">
        <f t="shared" si="15"/>
        <v>#DIV/0!</v>
      </c>
    </row>
    <row r="121" ht="11.4" hidden="1" customHeight="1" spans="1:24">
      <c r="A121" s="184" t="s">
        <v>1100</v>
      </c>
      <c r="B121" s="184" t="s">
        <v>111</v>
      </c>
      <c r="C121" s="184" t="s">
        <v>1101</v>
      </c>
      <c r="D121" s="185" t="s">
        <v>522</v>
      </c>
      <c r="E121" s="186" t="s">
        <v>906</v>
      </c>
      <c r="F121" s="186" t="s">
        <v>907</v>
      </c>
      <c r="G121" s="186" t="s">
        <v>1102</v>
      </c>
      <c r="H121" s="186" t="s">
        <v>1103</v>
      </c>
      <c r="I121" s="187" t="s">
        <v>1119</v>
      </c>
      <c r="J121" s="187" t="s">
        <v>1120</v>
      </c>
      <c r="K121" s="188"/>
      <c r="L121" s="188"/>
      <c r="M121" s="189" t="s">
        <v>847</v>
      </c>
      <c r="N121" s="190">
        <v>171.66</v>
      </c>
      <c r="O121" s="190">
        <f t="shared" si="8"/>
        <v>187.11</v>
      </c>
      <c r="P121" s="191">
        <f t="shared" si="9"/>
        <v>0</v>
      </c>
      <c r="Q121" s="192">
        <f t="shared" si="10"/>
        <v>0</v>
      </c>
      <c r="R121" s="193"/>
      <c r="S121" s="194"/>
      <c r="T121" s="195">
        <f t="shared" si="11"/>
        <v>0</v>
      </c>
      <c r="U121" s="195">
        <f t="shared" si="12"/>
        <v>0</v>
      </c>
      <c r="V121" s="195">
        <f t="shared" si="13"/>
        <v>0</v>
      </c>
      <c r="W121" s="196" t="e">
        <f t="shared" si="14"/>
        <v>#DIV/0!</v>
      </c>
      <c r="X121" s="197" t="e">
        <f t="shared" si="15"/>
        <v>#DIV/0!</v>
      </c>
    </row>
    <row r="122" ht="11.4" hidden="1" customHeight="1" spans="1:24">
      <c r="A122" s="184" t="s">
        <v>1100</v>
      </c>
      <c r="B122" s="184" t="s">
        <v>111</v>
      </c>
      <c r="C122" s="184" t="s">
        <v>1101</v>
      </c>
      <c r="D122" s="185" t="s">
        <v>522</v>
      </c>
      <c r="E122" s="186" t="s">
        <v>906</v>
      </c>
      <c r="F122" s="186" t="s">
        <v>907</v>
      </c>
      <c r="G122" s="186" t="s">
        <v>1102</v>
      </c>
      <c r="H122" s="186" t="s">
        <v>1103</v>
      </c>
      <c r="I122" s="187" t="s">
        <v>1121</v>
      </c>
      <c r="J122" s="187" t="s">
        <v>1122</v>
      </c>
      <c r="K122" s="188"/>
      <c r="L122" s="188"/>
      <c r="M122" s="189" t="s">
        <v>847</v>
      </c>
      <c r="N122" s="190">
        <v>189.15</v>
      </c>
      <c r="O122" s="190">
        <f t="shared" si="8"/>
        <v>206.17</v>
      </c>
      <c r="P122" s="191">
        <f t="shared" si="9"/>
        <v>0</v>
      </c>
      <c r="Q122" s="192">
        <f t="shared" si="10"/>
        <v>0</v>
      </c>
      <c r="R122" s="193"/>
      <c r="S122" s="194"/>
      <c r="T122" s="195">
        <f t="shared" si="11"/>
        <v>0</v>
      </c>
      <c r="U122" s="195">
        <f t="shared" si="12"/>
        <v>0</v>
      </c>
      <c r="V122" s="195">
        <f t="shared" si="13"/>
        <v>0</v>
      </c>
      <c r="W122" s="196" t="e">
        <f t="shared" si="14"/>
        <v>#DIV/0!</v>
      </c>
      <c r="X122" s="197" t="e">
        <f t="shared" si="15"/>
        <v>#DIV/0!</v>
      </c>
    </row>
    <row r="123" ht="11.4" hidden="1" customHeight="1" spans="1:24">
      <c r="A123" s="184" t="s">
        <v>1100</v>
      </c>
      <c r="B123" s="184" t="s">
        <v>111</v>
      </c>
      <c r="C123" s="184" t="s">
        <v>1101</v>
      </c>
      <c r="D123" s="185" t="s">
        <v>522</v>
      </c>
      <c r="E123" s="186" t="s">
        <v>906</v>
      </c>
      <c r="F123" s="186" t="s">
        <v>907</v>
      </c>
      <c r="G123" s="186" t="s">
        <v>1102</v>
      </c>
      <c r="H123" s="186" t="s">
        <v>1103</v>
      </c>
      <c r="I123" s="187" t="s">
        <v>1123</v>
      </c>
      <c r="J123" s="187" t="s">
        <v>1124</v>
      </c>
      <c r="K123" s="188"/>
      <c r="L123" s="188"/>
      <c r="M123" s="189" t="s">
        <v>807</v>
      </c>
      <c r="N123" s="190">
        <v>41.36</v>
      </c>
      <c r="O123" s="190">
        <f t="shared" si="8"/>
        <v>45.08</v>
      </c>
      <c r="P123" s="191">
        <f t="shared" si="9"/>
        <v>0</v>
      </c>
      <c r="Q123" s="192">
        <f t="shared" si="10"/>
        <v>0</v>
      </c>
      <c r="R123" s="193"/>
      <c r="S123" s="194"/>
      <c r="T123" s="195">
        <f t="shared" si="11"/>
        <v>0</v>
      </c>
      <c r="U123" s="195">
        <f t="shared" si="12"/>
        <v>0</v>
      </c>
      <c r="V123" s="195">
        <f t="shared" si="13"/>
        <v>0</v>
      </c>
      <c r="W123" s="196" t="e">
        <f t="shared" si="14"/>
        <v>#DIV/0!</v>
      </c>
      <c r="X123" s="197" t="e">
        <f t="shared" si="15"/>
        <v>#DIV/0!</v>
      </c>
    </row>
    <row r="124" ht="11.4" hidden="1" customHeight="1" spans="1:24">
      <c r="A124" s="184" t="s">
        <v>1100</v>
      </c>
      <c r="B124" s="184" t="s">
        <v>111</v>
      </c>
      <c r="C124" s="184" t="s">
        <v>1101</v>
      </c>
      <c r="D124" s="185" t="s">
        <v>522</v>
      </c>
      <c r="E124" s="186" t="s">
        <v>906</v>
      </c>
      <c r="F124" s="186" t="s">
        <v>907</v>
      </c>
      <c r="G124" s="186" t="s">
        <v>1102</v>
      </c>
      <c r="H124" s="186" t="s">
        <v>1103</v>
      </c>
      <c r="I124" s="187" t="s">
        <v>1125</v>
      </c>
      <c r="J124" s="187" t="s">
        <v>1126</v>
      </c>
      <c r="K124" s="188"/>
      <c r="L124" s="188"/>
      <c r="M124" s="189" t="s">
        <v>807</v>
      </c>
      <c r="N124" s="190">
        <v>38.94</v>
      </c>
      <c r="O124" s="190">
        <f t="shared" si="8"/>
        <v>42.44</v>
      </c>
      <c r="P124" s="191">
        <f t="shared" si="9"/>
        <v>0</v>
      </c>
      <c r="Q124" s="192">
        <f t="shared" si="10"/>
        <v>0</v>
      </c>
      <c r="R124" s="193"/>
      <c r="S124" s="194"/>
      <c r="T124" s="195">
        <f t="shared" si="11"/>
        <v>0</v>
      </c>
      <c r="U124" s="195">
        <f t="shared" si="12"/>
        <v>0</v>
      </c>
      <c r="V124" s="195">
        <f t="shared" si="13"/>
        <v>0</v>
      </c>
      <c r="W124" s="196" t="e">
        <f t="shared" si="14"/>
        <v>#DIV/0!</v>
      </c>
      <c r="X124" s="197" t="e">
        <f t="shared" si="15"/>
        <v>#DIV/0!</v>
      </c>
    </row>
    <row r="125" ht="11.4" hidden="1" customHeight="1" spans="1:24">
      <c r="A125" s="184" t="s">
        <v>1100</v>
      </c>
      <c r="B125" s="184" t="s">
        <v>111</v>
      </c>
      <c r="C125" s="184" t="s">
        <v>1101</v>
      </c>
      <c r="D125" s="185" t="s">
        <v>522</v>
      </c>
      <c r="E125" s="186" t="s">
        <v>906</v>
      </c>
      <c r="F125" s="186" t="s">
        <v>907</v>
      </c>
      <c r="G125" s="186" t="s">
        <v>1102</v>
      </c>
      <c r="H125" s="186" t="s">
        <v>1103</v>
      </c>
      <c r="I125" s="187" t="s">
        <v>1127</v>
      </c>
      <c r="J125" s="187" t="s">
        <v>1128</v>
      </c>
      <c r="K125" s="188"/>
      <c r="L125" s="188"/>
      <c r="M125" s="189" t="s">
        <v>807</v>
      </c>
      <c r="N125" s="190">
        <v>40.15</v>
      </c>
      <c r="O125" s="190">
        <f t="shared" si="8"/>
        <v>43.76</v>
      </c>
      <c r="P125" s="191">
        <f t="shared" si="9"/>
        <v>0</v>
      </c>
      <c r="Q125" s="192">
        <f t="shared" si="10"/>
        <v>0</v>
      </c>
      <c r="R125" s="193"/>
      <c r="S125" s="194"/>
      <c r="T125" s="195">
        <f t="shared" si="11"/>
        <v>0</v>
      </c>
      <c r="U125" s="195">
        <f t="shared" si="12"/>
        <v>0</v>
      </c>
      <c r="V125" s="195">
        <f t="shared" si="13"/>
        <v>0</v>
      </c>
      <c r="W125" s="196" t="e">
        <f t="shared" si="14"/>
        <v>#DIV/0!</v>
      </c>
      <c r="X125" s="197" t="e">
        <f t="shared" si="15"/>
        <v>#DIV/0!</v>
      </c>
    </row>
    <row r="126" ht="11.4" hidden="1" customHeight="1" spans="1:24">
      <c r="A126" s="184" t="s">
        <v>1100</v>
      </c>
      <c r="B126" s="184" t="s">
        <v>111</v>
      </c>
      <c r="C126" s="184" t="s">
        <v>1101</v>
      </c>
      <c r="D126" s="185" t="s">
        <v>522</v>
      </c>
      <c r="E126" s="186" t="s">
        <v>906</v>
      </c>
      <c r="F126" s="186" t="s">
        <v>907</v>
      </c>
      <c r="G126" s="186" t="s">
        <v>1102</v>
      </c>
      <c r="H126" s="186" t="s">
        <v>1103</v>
      </c>
      <c r="I126" s="187" t="s">
        <v>1129</v>
      </c>
      <c r="J126" s="187" t="s">
        <v>1130</v>
      </c>
      <c r="K126" s="188"/>
      <c r="L126" s="188"/>
      <c r="M126" s="189" t="s">
        <v>847</v>
      </c>
      <c r="N126" s="190">
        <v>219.86</v>
      </c>
      <c r="O126" s="190">
        <f t="shared" si="8"/>
        <v>239.65</v>
      </c>
      <c r="P126" s="191">
        <f t="shared" si="9"/>
        <v>0</v>
      </c>
      <c r="Q126" s="192">
        <f t="shared" si="10"/>
        <v>0</v>
      </c>
      <c r="R126" s="193"/>
      <c r="S126" s="194"/>
      <c r="T126" s="195">
        <f t="shared" si="11"/>
        <v>0</v>
      </c>
      <c r="U126" s="195">
        <f t="shared" si="12"/>
        <v>0</v>
      </c>
      <c r="V126" s="195">
        <f t="shared" si="13"/>
        <v>0</v>
      </c>
      <c r="W126" s="196" t="e">
        <f t="shared" si="14"/>
        <v>#DIV/0!</v>
      </c>
      <c r="X126" s="197" t="e">
        <f t="shared" si="15"/>
        <v>#DIV/0!</v>
      </c>
    </row>
    <row r="127" ht="11.4" hidden="1" customHeight="1" spans="1:24">
      <c r="A127" s="184" t="s">
        <v>1100</v>
      </c>
      <c r="B127" s="184" t="s">
        <v>111</v>
      </c>
      <c r="C127" s="184" t="s">
        <v>1101</v>
      </c>
      <c r="D127" s="185" t="s">
        <v>522</v>
      </c>
      <c r="E127" s="186" t="s">
        <v>906</v>
      </c>
      <c r="F127" s="186" t="s">
        <v>907</v>
      </c>
      <c r="G127" s="186" t="s">
        <v>1102</v>
      </c>
      <c r="H127" s="186" t="s">
        <v>1103</v>
      </c>
      <c r="I127" s="187" t="s">
        <v>1131</v>
      </c>
      <c r="J127" s="187" t="s">
        <v>1132</v>
      </c>
      <c r="K127" s="188"/>
      <c r="L127" s="188"/>
      <c r="M127" s="189" t="s">
        <v>847</v>
      </c>
      <c r="N127" s="190">
        <v>203.42</v>
      </c>
      <c r="O127" s="190">
        <f t="shared" si="8"/>
        <v>221.73</v>
      </c>
      <c r="P127" s="191">
        <f t="shared" si="9"/>
        <v>0</v>
      </c>
      <c r="Q127" s="192">
        <f t="shared" si="10"/>
        <v>0</v>
      </c>
      <c r="R127" s="193"/>
      <c r="S127" s="194"/>
      <c r="T127" s="195">
        <f t="shared" si="11"/>
        <v>0</v>
      </c>
      <c r="U127" s="195">
        <f t="shared" si="12"/>
        <v>0</v>
      </c>
      <c r="V127" s="195">
        <f t="shared" si="13"/>
        <v>0</v>
      </c>
      <c r="W127" s="196" t="e">
        <f t="shared" si="14"/>
        <v>#DIV/0!</v>
      </c>
      <c r="X127" s="197" t="e">
        <f t="shared" si="15"/>
        <v>#DIV/0!</v>
      </c>
    </row>
    <row r="128" ht="11.4" hidden="1" customHeight="1" spans="1:24">
      <c r="A128" s="184" t="s">
        <v>1100</v>
      </c>
      <c r="B128" s="184" t="s">
        <v>111</v>
      </c>
      <c r="C128" s="184" t="s">
        <v>1101</v>
      </c>
      <c r="D128" s="185" t="s">
        <v>522</v>
      </c>
      <c r="E128" s="186" t="s">
        <v>906</v>
      </c>
      <c r="F128" s="186" t="s">
        <v>907</v>
      </c>
      <c r="G128" s="186" t="s">
        <v>1102</v>
      </c>
      <c r="H128" s="186" t="s">
        <v>1103</v>
      </c>
      <c r="I128" s="187" t="s">
        <v>1133</v>
      </c>
      <c r="J128" s="187" t="s">
        <v>1134</v>
      </c>
      <c r="K128" s="188">
        <v>81.33</v>
      </c>
      <c r="L128" s="188">
        <v>81.12</v>
      </c>
      <c r="M128" s="189" t="s">
        <v>847</v>
      </c>
      <c r="N128" s="190">
        <v>222.39</v>
      </c>
      <c r="O128" s="190">
        <f t="shared" si="8"/>
        <v>242.41</v>
      </c>
      <c r="P128" s="191">
        <f t="shared" si="9"/>
        <v>18086.98</v>
      </c>
      <c r="Q128" s="192">
        <f t="shared" si="10"/>
        <v>18040.28</v>
      </c>
      <c r="R128" s="193"/>
      <c r="S128" s="194"/>
      <c r="T128" s="195">
        <f t="shared" si="11"/>
        <v>0.209999999999994</v>
      </c>
      <c r="U128" s="195">
        <f t="shared" si="12"/>
        <v>46.7000000000007</v>
      </c>
      <c r="V128" s="195">
        <f t="shared" si="13"/>
        <v>46.7000000000007</v>
      </c>
      <c r="W128" s="196">
        <f t="shared" si="14"/>
        <v>0.00258875739644963</v>
      </c>
      <c r="X128" s="197">
        <f t="shared" si="15"/>
        <v>0.00258875739644963</v>
      </c>
    </row>
    <row r="129" ht="11.4" hidden="1" customHeight="1" spans="1:24">
      <c r="A129" s="184" t="s">
        <v>1100</v>
      </c>
      <c r="B129" s="184" t="s">
        <v>111</v>
      </c>
      <c r="C129" s="184" t="s">
        <v>1101</v>
      </c>
      <c r="D129" s="185" t="s">
        <v>522</v>
      </c>
      <c r="E129" s="186" t="s">
        <v>906</v>
      </c>
      <c r="F129" s="186" t="s">
        <v>907</v>
      </c>
      <c r="G129" s="186" t="s">
        <v>1102</v>
      </c>
      <c r="H129" s="186" t="s">
        <v>1103</v>
      </c>
      <c r="I129" s="187" t="s">
        <v>1135</v>
      </c>
      <c r="J129" s="187" t="s">
        <v>1136</v>
      </c>
      <c r="K129" s="188"/>
      <c r="L129" s="188"/>
      <c r="M129" s="189" t="s">
        <v>807</v>
      </c>
      <c r="N129" s="190">
        <v>41.36</v>
      </c>
      <c r="O129" s="190">
        <f t="shared" si="8"/>
        <v>45.08</v>
      </c>
      <c r="P129" s="191">
        <f t="shared" si="9"/>
        <v>0</v>
      </c>
      <c r="Q129" s="192">
        <f t="shared" si="10"/>
        <v>0</v>
      </c>
      <c r="R129" s="193"/>
      <c r="S129" s="194"/>
      <c r="T129" s="195">
        <f t="shared" si="11"/>
        <v>0</v>
      </c>
      <c r="U129" s="195">
        <f t="shared" si="12"/>
        <v>0</v>
      </c>
      <c r="V129" s="195">
        <f t="shared" si="13"/>
        <v>0</v>
      </c>
      <c r="W129" s="196" t="e">
        <f t="shared" si="14"/>
        <v>#DIV/0!</v>
      </c>
      <c r="X129" s="197" t="e">
        <f t="shared" si="15"/>
        <v>#DIV/0!</v>
      </c>
    </row>
    <row r="130" ht="11.4" hidden="1" customHeight="1" spans="1:24">
      <c r="A130" s="184" t="s">
        <v>1100</v>
      </c>
      <c r="B130" s="184" t="s">
        <v>111</v>
      </c>
      <c r="C130" s="184" t="s">
        <v>1101</v>
      </c>
      <c r="D130" s="185" t="s">
        <v>522</v>
      </c>
      <c r="E130" s="186" t="s">
        <v>906</v>
      </c>
      <c r="F130" s="186" t="s">
        <v>907</v>
      </c>
      <c r="G130" s="186" t="s">
        <v>1102</v>
      </c>
      <c r="H130" s="186" t="s">
        <v>1103</v>
      </c>
      <c r="I130" s="187" t="s">
        <v>1137</v>
      </c>
      <c r="J130" s="187" t="s">
        <v>1138</v>
      </c>
      <c r="K130" s="188"/>
      <c r="L130" s="188"/>
      <c r="M130" s="189" t="s">
        <v>807</v>
      </c>
      <c r="N130" s="190">
        <v>40.15</v>
      </c>
      <c r="O130" s="190">
        <f t="shared" si="8"/>
        <v>43.76</v>
      </c>
      <c r="P130" s="191">
        <f t="shared" si="9"/>
        <v>0</v>
      </c>
      <c r="Q130" s="192">
        <f t="shared" si="10"/>
        <v>0</v>
      </c>
      <c r="R130" s="193"/>
      <c r="S130" s="194"/>
      <c r="T130" s="195">
        <f t="shared" si="11"/>
        <v>0</v>
      </c>
      <c r="U130" s="195">
        <f t="shared" si="12"/>
        <v>0</v>
      </c>
      <c r="V130" s="195">
        <f t="shared" si="13"/>
        <v>0</v>
      </c>
      <c r="W130" s="196" t="e">
        <f t="shared" si="14"/>
        <v>#DIV/0!</v>
      </c>
      <c r="X130" s="197" t="e">
        <f t="shared" si="15"/>
        <v>#DIV/0!</v>
      </c>
    </row>
    <row r="131" ht="11.4" hidden="1" customHeight="1" spans="1:24">
      <c r="A131" s="184" t="s">
        <v>1100</v>
      </c>
      <c r="B131" s="184" t="s">
        <v>111</v>
      </c>
      <c r="C131" s="184" t="s">
        <v>1101</v>
      </c>
      <c r="D131" s="185" t="s">
        <v>522</v>
      </c>
      <c r="E131" s="186" t="s">
        <v>906</v>
      </c>
      <c r="F131" s="186" t="s">
        <v>907</v>
      </c>
      <c r="G131" s="186" t="s">
        <v>1102</v>
      </c>
      <c r="H131" s="186" t="s">
        <v>1103</v>
      </c>
      <c r="I131" s="187" t="s">
        <v>1139</v>
      </c>
      <c r="J131" s="198" t="s">
        <v>1140</v>
      </c>
      <c r="K131" s="188">
        <f>72.34+6.49+0.36+8.32</f>
        <v>87.51</v>
      </c>
      <c r="L131" s="188">
        <f>77.15+0.31+10.04</f>
        <v>87.5</v>
      </c>
      <c r="M131" s="189" t="s">
        <v>807</v>
      </c>
      <c r="N131" s="190">
        <v>41.36</v>
      </c>
      <c r="O131" s="190">
        <f t="shared" si="8"/>
        <v>45.08</v>
      </c>
      <c r="P131" s="191">
        <f t="shared" si="9"/>
        <v>3619.41</v>
      </c>
      <c r="Q131" s="192">
        <f t="shared" si="10"/>
        <v>3619</v>
      </c>
      <c r="R131" s="193"/>
      <c r="S131" s="194"/>
      <c r="T131" s="195">
        <f t="shared" si="11"/>
        <v>0.00999999999999091</v>
      </c>
      <c r="U131" s="195">
        <f t="shared" si="12"/>
        <v>0.409999999999854</v>
      </c>
      <c r="V131" s="195">
        <f t="shared" si="13"/>
        <v>0.409999999999854</v>
      </c>
      <c r="W131" s="196">
        <f t="shared" si="14"/>
        <v>0.00011428571428561</v>
      </c>
      <c r="X131" s="199">
        <f t="shared" si="15"/>
        <v>0.00011428571428561</v>
      </c>
    </row>
    <row r="132" ht="11.4" hidden="1" customHeight="1" spans="1:24">
      <c r="A132" s="184" t="s">
        <v>1100</v>
      </c>
      <c r="B132" s="184" t="s">
        <v>111</v>
      </c>
      <c r="C132" s="184" t="s">
        <v>1101</v>
      </c>
      <c r="D132" s="185" t="s">
        <v>522</v>
      </c>
      <c r="E132" s="186" t="s">
        <v>906</v>
      </c>
      <c r="F132" s="186" t="s">
        <v>907</v>
      </c>
      <c r="G132" s="186" t="s">
        <v>1102</v>
      </c>
      <c r="H132" s="186" t="s">
        <v>1103</v>
      </c>
      <c r="I132" s="187" t="s">
        <v>1141</v>
      </c>
      <c r="J132" s="187" t="s">
        <v>1142</v>
      </c>
      <c r="K132" s="188"/>
      <c r="L132" s="188"/>
      <c r="M132" s="189" t="s">
        <v>847</v>
      </c>
      <c r="N132" s="190">
        <v>196.14</v>
      </c>
      <c r="O132" s="190">
        <f t="shared" si="8"/>
        <v>213.79</v>
      </c>
      <c r="P132" s="191">
        <f t="shared" si="9"/>
        <v>0</v>
      </c>
      <c r="Q132" s="192">
        <f t="shared" si="10"/>
        <v>0</v>
      </c>
      <c r="R132" s="193"/>
      <c r="S132" s="194"/>
      <c r="T132" s="195">
        <f t="shared" si="11"/>
        <v>0</v>
      </c>
      <c r="U132" s="195">
        <f t="shared" si="12"/>
        <v>0</v>
      </c>
      <c r="V132" s="195">
        <f t="shared" si="13"/>
        <v>0</v>
      </c>
      <c r="W132" s="196" t="e">
        <f t="shared" si="14"/>
        <v>#DIV/0!</v>
      </c>
      <c r="X132" s="197" t="e">
        <f t="shared" si="15"/>
        <v>#DIV/0!</v>
      </c>
    </row>
    <row r="133" ht="11.4" hidden="1" customHeight="1" spans="1:24">
      <c r="A133" s="184" t="s">
        <v>1100</v>
      </c>
      <c r="B133" s="184" t="s">
        <v>111</v>
      </c>
      <c r="C133" s="184" t="s">
        <v>1101</v>
      </c>
      <c r="D133" s="185" t="s">
        <v>522</v>
      </c>
      <c r="E133" s="186" t="s">
        <v>906</v>
      </c>
      <c r="F133" s="186" t="s">
        <v>907</v>
      </c>
      <c r="G133" s="186" t="s">
        <v>1102</v>
      </c>
      <c r="H133" s="186" t="s">
        <v>1103</v>
      </c>
      <c r="I133" s="187" t="s">
        <v>1143</v>
      </c>
      <c r="J133" s="187" t="s">
        <v>1144</v>
      </c>
      <c r="K133" s="188"/>
      <c r="L133" s="188"/>
      <c r="M133" s="189" t="s">
        <v>807</v>
      </c>
      <c r="N133" s="190">
        <v>41.47</v>
      </c>
      <c r="O133" s="190">
        <f t="shared" si="8"/>
        <v>45.2</v>
      </c>
      <c r="P133" s="191">
        <f t="shared" si="9"/>
        <v>0</v>
      </c>
      <c r="Q133" s="192">
        <f t="shared" si="10"/>
        <v>0</v>
      </c>
      <c r="R133" s="193"/>
      <c r="S133" s="194"/>
      <c r="T133" s="195">
        <f t="shared" si="11"/>
        <v>0</v>
      </c>
      <c r="U133" s="195">
        <f t="shared" si="12"/>
        <v>0</v>
      </c>
      <c r="V133" s="195">
        <f t="shared" si="13"/>
        <v>0</v>
      </c>
      <c r="W133" s="196" t="e">
        <f t="shared" si="14"/>
        <v>#DIV/0!</v>
      </c>
      <c r="X133" s="197" t="e">
        <f t="shared" si="15"/>
        <v>#DIV/0!</v>
      </c>
    </row>
    <row r="134" ht="11.4" hidden="1" customHeight="1" spans="1:24">
      <c r="A134" s="184" t="s">
        <v>1100</v>
      </c>
      <c r="B134" s="184" t="s">
        <v>111</v>
      </c>
      <c r="C134" s="184" t="s">
        <v>1101</v>
      </c>
      <c r="D134" s="185" t="s">
        <v>522</v>
      </c>
      <c r="E134" s="186" t="s">
        <v>906</v>
      </c>
      <c r="F134" s="186" t="s">
        <v>907</v>
      </c>
      <c r="G134" s="186" t="s">
        <v>1102</v>
      </c>
      <c r="H134" s="186" t="s">
        <v>1103</v>
      </c>
      <c r="I134" s="187" t="s">
        <v>1145</v>
      </c>
      <c r="J134" s="187" t="s">
        <v>1146</v>
      </c>
      <c r="K134" s="188"/>
      <c r="L134" s="188"/>
      <c r="M134" s="189" t="s">
        <v>847</v>
      </c>
      <c r="N134" s="190">
        <v>179.82</v>
      </c>
      <c r="O134" s="190">
        <f t="shared" si="8"/>
        <v>196</v>
      </c>
      <c r="P134" s="191">
        <f t="shared" si="9"/>
        <v>0</v>
      </c>
      <c r="Q134" s="192">
        <f t="shared" si="10"/>
        <v>0</v>
      </c>
      <c r="R134" s="193"/>
      <c r="S134" s="194"/>
      <c r="T134" s="195">
        <f t="shared" si="11"/>
        <v>0</v>
      </c>
      <c r="U134" s="195">
        <f t="shared" si="12"/>
        <v>0</v>
      </c>
      <c r="V134" s="195">
        <f t="shared" si="13"/>
        <v>0</v>
      </c>
      <c r="W134" s="196" t="e">
        <f t="shared" si="14"/>
        <v>#DIV/0!</v>
      </c>
      <c r="X134" s="197" t="e">
        <f t="shared" si="15"/>
        <v>#DIV/0!</v>
      </c>
    </row>
    <row r="135" ht="11.4" hidden="1" customHeight="1" spans="1:24">
      <c r="A135" s="184" t="s">
        <v>1100</v>
      </c>
      <c r="B135" s="184" t="s">
        <v>111</v>
      </c>
      <c r="C135" s="184" t="s">
        <v>1101</v>
      </c>
      <c r="D135" s="185" t="s">
        <v>522</v>
      </c>
      <c r="E135" s="186" t="s">
        <v>906</v>
      </c>
      <c r="F135" s="186" t="s">
        <v>907</v>
      </c>
      <c r="G135" s="186" t="s">
        <v>1102</v>
      </c>
      <c r="H135" s="186" t="s">
        <v>1103</v>
      </c>
      <c r="I135" s="187" t="s">
        <v>1147</v>
      </c>
      <c r="J135" s="187" t="s">
        <v>1148</v>
      </c>
      <c r="K135" s="188"/>
      <c r="L135" s="188"/>
      <c r="M135" s="189" t="s">
        <v>807</v>
      </c>
      <c r="N135" s="190">
        <v>37.84</v>
      </c>
      <c r="O135" s="190">
        <f t="shared" si="8"/>
        <v>41.25</v>
      </c>
      <c r="P135" s="191">
        <f t="shared" si="9"/>
        <v>0</v>
      </c>
      <c r="Q135" s="192">
        <f t="shared" si="10"/>
        <v>0</v>
      </c>
      <c r="R135" s="193"/>
      <c r="S135" s="194"/>
      <c r="T135" s="195">
        <f t="shared" si="11"/>
        <v>0</v>
      </c>
      <c r="U135" s="195">
        <f t="shared" si="12"/>
        <v>0</v>
      </c>
      <c r="V135" s="195">
        <f t="shared" si="13"/>
        <v>0</v>
      </c>
      <c r="W135" s="196" t="e">
        <f t="shared" si="14"/>
        <v>#DIV/0!</v>
      </c>
      <c r="X135" s="197" t="e">
        <f t="shared" si="15"/>
        <v>#DIV/0!</v>
      </c>
    </row>
    <row r="136" ht="11.4" hidden="1" customHeight="1" spans="1:24">
      <c r="A136" s="184" t="s">
        <v>1100</v>
      </c>
      <c r="B136" s="184" t="s">
        <v>111</v>
      </c>
      <c r="C136" s="184" t="s">
        <v>1101</v>
      </c>
      <c r="D136" s="185" t="s">
        <v>522</v>
      </c>
      <c r="E136" s="186" t="s">
        <v>906</v>
      </c>
      <c r="F136" s="186" t="s">
        <v>907</v>
      </c>
      <c r="G136" s="186" t="s">
        <v>1102</v>
      </c>
      <c r="H136" s="186" t="s">
        <v>1103</v>
      </c>
      <c r="I136" s="187" t="s">
        <v>1149</v>
      </c>
      <c r="J136" s="187" t="s">
        <v>1150</v>
      </c>
      <c r="K136" s="188"/>
      <c r="L136" s="188"/>
      <c r="M136" s="189" t="s">
        <v>847</v>
      </c>
      <c r="N136" s="190">
        <v>193.81</v>
      </c>
      <c r="O136" s="190">
        <f t="shared" si="8"/>
        <v>211.25</v>
      </c>
      <c r="P136" s="191">
        <f t="shared" si="9"/>
        <v>0</v>
      </c>
      <c r="Q136" s="192">
        <f t="shared" si="10"/>
        <v>0</v>
      </c>
      <c r="R136" s="193"/>
      <c r="S136" s="194"/>
      <c r="T136" s="195">
        <f t="shared" si="11"/>
        <v>0</v>
      </c>
      <c r="U136" s="195">
        <f t="shared" si="12"/>
        <v>0</v>
      </c>
      <c r="V136" s="195">
        <f t="shared" si="13"/>
        <v>0</v>
      </c>
      <c r="W136" s="196" t="e">
        <f t="shared" si="14"/>
        <v>#DIV/0!</v>
      </c>
      <c r="X136" s="197" t="e">
        <f t="shared" si="15"/>
        <v>#DIV/0!</v>
      </c>
    </row>
    <row r="137" ht="11.4" hidden="1" customHeight="1" spans="1:24">
      <c r="A137" s="184" t="s">
        <v>1100</v>
      </c>
      <c r="B137" s="184" t="s">
        <v>111</v>
      </c>
      <c r="C137" s="184" t="s">
        <v>1101</v>
      </c>
      <c r="D137" s="185" t="s">
        <v>522</v>
      </c>
      <c r="E137" s="186" t="s">
        <v>906</v>
      </c>
      <c r="F137" s="186" t="s">
        <v>907</v>
      </c>
      <c r="G137" s="186" t="s">
        <v>1102</v>
      </c>
      <c r="H137" s="186" t="s">
        <v>1103</v>
      </c>
      <c r="I137" s="187" t="s">
        <v>1151</v>
      </c>
      <c r="J137" s="187" t="s">
        <v>1152</v>
      </c>
      <c r="K137" s="188"/>
      <c r="L137" s="188"/>
      <c r="M137" s="189" t="s">
        <v>807</v>
      </c>
      <c r="N137" s="190">
        <v>39.05</v>
      </c>
      <c r="O137" s="190">
        <f t="shared" si="8"/>
        <v>42.56</v>
      </c>
      <c r="P137" s="191">
        <f t="shared" si="9"/>
        <v>0</v>
      </c>
      <c r="Q137" s="192">
        <f t="shared" si="10"/>
        <v>0</v>
      </c>
      <c r="R137" s="193"/>
      <c r="S137" s="194"/>
      <c r="T137" s="195">
        <f t="shared" si="11"/>
        <v>0</v>
      </c>
      <c r="U137" s="195">
        <f t="shared" si="12"/>
        <v>0</v>
      </c>
      <c r="V137" s="195">
        <f t="shared" si="13"/>
        <v>0</v>
      </c>
      <c r="W137" s="196" t="e">
        <f t="shared" si="14"/>
        <v>#DIV/0!</v>
      </c>
      <c r="X137" s="197" t="e">
        <f t="shared" si="15"/>
        <v>#DIV/0!</v>
      </c>
    </row>
    <row r="138" ht="11.4" hidden="1" customHeight="1" spans="1:24">
      <c r="A138" s="184" t="s">
        <v>1100</v>
      </c>
      <c r="B138" s="184" t="s">
        <v>111</v>
      </c>
      <c r="C138" s="184" t="s">
        <v>1101</v>
      </c>
      <c r="D138" s="185" t="s">
        <v>522</v>
      </c>
      <c r="E138" s="186" t="s">
        <v>906</v>
      </c>
      <c r="F138" s="186" t="s">
        <v>907</v>
      </c>
      <c r="G138" s="186" t="s">
        <v>1102</v>
      </c>
      <c r="H138" s="186" t="s">
        <v>1103</v>
      </c>
      <c r="I138" s="187" t="s">
        <v>1153</v>
      </c>
      <c r="J138" s="187" t="s">
        <v>1154</v>
      </c>
      <c r="K138" s="188"/>
      <c r="L138" s="188"/>
      <c r="M138" s="189" t="s">
        <v>847</v>
      </c>
      <c r="N138" s="190">
        <v>178.2</v>
      </c>
      <c r="O138" s="190">
        <f t="shared" si="8"/>
        <v>194.24</v>
      </c>
      <c r="P138" s="191">
        <f t="shared" si="9"/>
        <v>0</v>
      </c>
      <c r="Q138" s="192">
        <f t="shared" si="10"/>
        <v>0</v>
      </c>
      <c r="R138" s="193"/>
      <c r="S138" s="194"/>
      <c r="T138" s="195">
        <f t="shared" si="11"/>
        <v>0</v>
      </c>
      <c r="U138" s="195">
        <f t="shared" si="12"/>
        <v>0</v>
      </c>
      <c r="V138" s="195">
        <f t="shared" si="13"/>
        <v>0</v>
      </c>
      <c r="W138" s="196" t="e">
        <f t="shared" si="14"/>
        <v>#DIV/0!</v>
      </c>
      <c r="X138" s="197" t="e">
        <f t="shared" si="15"/>
        <v>#DIV/0!</v>
      </c>
    </row>
    <row r="139" ht="11.4" hidden="1" customHeight="1" spans="1:24">
      <c r="A139" s="184" t="s">
        <v>1100</v>
      </c>
      <c r="B139" s="184" t="s">
        <v>111</v>
      </c>
      <c r="C139" s="184" t="s">
        <v>1101</v>
      </c>
      <c r="D139" s="185" t="s">
        <v>522</v>
      </c>
      <c r="E139" s="186" t="s">
        <v>906</v>
      </c>
      <c r="F139" s="186" t="s">
        <v>907</v>
      </c>
      <c r="G139" s="186" t="s">
        <v>1102</v>
      </c>
      <c r="H139" s="186" t="s">
        <v>1103</v>
      </c>
      <c r="I139" s="187" t="s">
        <v>1155</v>
      </c>
      <c r="J139" s="187" t="s">
        <v>1156</v>
      </c>
      <c r="K139" s="188"/>
      <c r="L139" s="188"/>
      <c r="M139" s="189" t="s">
        <v>847</v>
      </c>
      <c r="N139" s="190">
        <v>170.67</v>
      </c>
      <c r="O139" s="190">
        <f t="shared" si="8"/>
        <v>186.03</v>
      </c>
      <c r="P139" s="191">
        <f t="shared" si="9"/>
        <v>0</v>
      </c>
      <c r="Q139" s="192">
        <f t="shared" si="10"/>
        <v>0</v>
      </c>
      <c r="R139" s="193"/>
      <c r="S139" s="194"/>
      <c r="T139" s="195">
        <f t="shared" si="11"/>
        <v>0</v>
      </c>
      <c r="U139" s="195">
        <f t="shared" si="12"/>
        <v>0</v>
      </c>
      <c r="V139" s="195">
        <f t="shared" si="13"/>
        <v>0</v>
      </c>
      <c r="W139" s="196" t="e">
        <f t="shared" si="14"/>
        <v>#DIV/0!</v>
      </c>
      <c r="X139" s="197" t="e">
        <f t="shared" si="15"/>
        <v>#DIV/0!</v>
      </c>
    </row>
    <row r="140" ht="11.4" hidden="1" customHeight="1" spans="1:24">
      <c r="A140" s="184" t="s">
        <v>1100</v>
      </c>
      <c r="B140" s="184" t="s">
        <v>111</v>
      </c>
      <c r="C140" s="184" t="s">
        <v>1101</v>
      </c>
      <c r="D140" s="185" t="s">
        <v>522</v>
      </c>
      <c r="E140" s="186" t="s">
        <v>906</v>
      </c>
      <c r="F140" s="186" t="s">
        <v>907</v>
      </c>
      <c r="G140" s="186" t="s">
        <v>1102</v>
      </c>
      <c r="H140" s="186" t="s">
        <v>1103</v>
      </c>
      <c r="I140" s="187" t="s">
        <v>1157</v>
      </c>
      <c r="J140" s="187" t="s">
        <v>1158</v>
      </c>
      <c r="K140" s="188"/>
      <c r="L140" s="188"/>
      <c r="M140" s="189" t="s">
        <v>847</v>
      </c>
      <c r="N140" s="190">
        <v>181.7</v>
      </c>
      <c r="O140" s="190">
        <f t="shared" si="8"/>
        <v>198.05</v>
      </c>
      <c r="P140" s="191">
        <f t="shared" si="9"/>
        <v>0</v>
      </c>
      <c r="Q140" s="192">
        <f t="shared" si="10"/>
        <v>0</v>
      </c>
      <c r="R140" s="193"/>
      <c r="S140" s="194"/>
      <c r="T140" s="195">
        <f t="shared" si="11"/>
        <v>0</v>
      </c>
      <c r="U140" s="195">
        <f t="shared" si="12"/>
        <v>0</v>
      </c>
      <c r="V140" s="195">
        <f t="shared" si="13"/>
        <v>0</v>
      </c>
      <c r="W140" s="196" t="e">
        <f t="shared" si="14"/>
        <v>#DIV/0!</v>
      </c>
      <c r="X140" s="197" t="e">
        <f t="shared" si="15"/>
        <v>#DIV/0!</v>
      </c>
    </row>
    <row r="141" ht="11.4" hidden="1" customHeight="1" spans="1:24">
      <c r="A141" s="184" t="s">
        <v>1100</v>
      </c>
      <c r="B141" s="184" t="s">
        <v>111</v>
      </c>
      <c r="C141" s="184" t="s">
        <v>1101</v>
      </c>
      <c r="D141" s="185" t="s">
        <v>522</v>
      </c>
      <c r="E141" s="186" t="s">
        <v>906</v>
      </c>
      <c r="F141" s="186" t="s">
        <v>907</v>
      </c>
      <c r="G141" s="186" t="s">
        <v>1102</v>
      </c>
      <c r="H141" s="186" t="s">
        <v>1103</v>
      </c>
      <c r="I141" s="187" t="s">
        <v>1159</v>
      </c>
      <c r="J141" s="187" t="s">
        <v>1160</v>
      </c>
      <c r="K141" s="188"/>
      <c r="L141" s="188"/>
      <c r="M141" s="189" t="s">
        <v>847</v>
      </c>
      <c r="N141" s="190">
        <v>180.78</v>
      </c>
      <c r="O141" s="190">
        <f t="shared" ref="O141:O204" si="16">ROUND(N141*(1+$F$10),2)</f>
        <v>197.05</v>
      </c>
      <c r="P141" s="191">
        <f t="shared" ref="P141:P204" si="17">ROUND(K141*N141,2)</f>
        <v>0</v>
      </c>
      <c r="Q141" s="192">
        <f t="shared" ref="Q141:Q204" si="18">ROUND(L141*N141,2)</f>
        <v>0</v>
      </c>
      <c r="R141" s="193"/>
      <c r="S141" s="194"/>
      <c r="T141" s="195">
        <f t="shared" ref="T141:T204" si="19">K141-L141</f>
        <v>0</v>
      </c>
      <c r="U141" s="195">
        <f t="shared" ref="U141:U204" si="20">P141-Q141</f>
        <v>0</v>
      </c>
      <c r="V141" s="195">
        <f t="shared" ref="V141:V204" si="21">ABS(U141)</f>
        <v>0</v>
      </c>
      <c r="W141" s="196" t="e">
        <f t="shared" ref="W141:W204" si="22">T141/L141</f>
        <v>#DIV/0!</v>
      </c>
      <c r="X141" s="197" t="e">
        <f t="shared" ref="X141:X204" si="23">ABS(W141)</f>
        <v>#DIV/0!</v>
      </c>
    </row>
    <row r="142" ht="11.4" hidden="1" customHeight="1" spans="1:24">
      <c r="A142" s="184" t="s">
        <v>1100</v>
      </c>
      <c r="B142" s="184" t="s">
        <v>111</v>
      </c>
      <c r="C142" s="184" t="s">
        <v>1101</v>
      </c>
      <c r="D142" s="185" t="s">
        <v>522</v>
      </c>
      <c r="E142" s="186" t="s">
        <v>906</v>
      </c>
      <c r="F142" s="186" t="s">
        <v>907</v>
      </c>
      <c r="G142" s="186" t="s">
        <v>1102</v>
      </c>
      <c r="H142" s="186" t="s">
        <v>1103</v>
      </c>
      <c r="I142" s="187" t="s">
        <v>1161</v>
      </c>
      <c r="J142" s="187" t="s">
        <v>1162</v>
      </c>
      <c r="K142" s="188"/>
      <c r="L142" s="188"/>
      <c r="M142" s="189" t="s">
        <v>847</v>
      </c>
      <c r="N142" s="190">
        <v>162.63</v>
      </c>
      <c r="O142" s="190">
        <f t="shared" si="16"/>
        <v>177.27</v>
      </c>
      <c r="P142" s="191">
        <f t="shared" si="17"/>
        <v>0</v>
      </c>
      <c r="Q142" s="192">
        <f t="shared" si="18"/>
        <v>0</v>
      </c>
      <c r="R142" s="193"/>
      <c r="S142" s="194"/>
      <c r="T142" s="195">
        <f t="shared" si="19"/>
        <v>0</v>
      </c>
      <c r="U142" s="195">
        <f t="shared" si="20"/>
        <v>0</v>
      </c>
      <c r="V142" s="195">
        <f t="shared" si="21"/>
        <v>0</v>
      </c>
      <c r="W142" s="196" t="e">
        <f t="shared" si="22"/>
        <v>#DIV/0!</v>
      </c>
      <c r="X142" s="197" t="e">
        <f t="shared" si="23"/>
        <v>#DIV/0!</v>
      </c>
    </row>
    <row r="143" ht="11.4" hidden="1" customHeight="1" spans="1:24">
      <c r="A143" s="184" t="s">
        <v>1100</v>
      </c>
      <c r="B143" s="184" t="s">
        <v>111</v>
      </c>
      <c r="C143" s="184" t="s">
        <v>1101</v>
      </c>
      <c r="D143" s="185" t="s">
        <v>522</v>
      </c>
      <c r="E143" s="186" t="s">
        <v>906</v>
      </c>
      <c r="F143" s="186" t="s">
        <v>907</v>
      </c>
      <c r="G143" s="186" t="s">
        <v>1102</v>
      </c>
      <c r="H143" s="186" t="s">
        <v>1103</v>
      </c>
      <c r="I143" s="187" t="s">
        <v>1163</v>
      </c>
      <c r="J143" s="187" t="s">
        <v>1164</v>
      </c>
      <c r="K143" s="188"/>
      <c r="L143" s="188"/>
      <c r="M143" s="189" t="s">
        <v>847</v>
      </c>
      <c r="N143" s="190">
        <v>183.2</v>
      </c>
      <c r="O143" s="190">
        <f t="shared" si="16"/>
        <v>199.69</v>
      </c>
      <c r="P143" s="191">
        <f t="shared" si="17"/>
        <v>0</v>
      </c>
      <c r="Q143" s="192">
        <f t="shared" si="18"/>
        <v>0</v>
      </c>
      <c r="R143" s="193"/>
      <c r="S143" s="194"/>
      <c r="T143" s="195">
        <f t="shared" si="19"/>
        <v>0</v>
      </c>
      <c r="U143" s="195">
        <f t="shared" si="20"/>
        <v>0</v>
      </c>
      <c r="V143" s="195">
        <f t="shared" si="21"/>
        <v>0</v>
      </c>
      <c r="W143" s="196" t="e">
        <f t="shared" si="22"/>
        <v>#DIV/0!</v>
      </c>
      <c r="X143" s="197" t="e">
        <f t="shared" si="23"/>
        <v>#DIV/0!</v>
      </c>
    </row>
    <row r="144" ht="11.4" hidden="1" customHeight="1" spans="1:24">
      <c r="A144" s="184" t="s">
        <v>1100</v>
      </c>
      <c r="B144" s="184" t="s">
        <v>111</v>
      </c>
      <c r="C144" s="184" t="s">
        <v>1101</v>
      </c>
      <c r="D144" s="185" t="s">
        <v>522</v>
      </c>
      <c r="E144" s="186" t="s">
        <v>906</v>
      </c>
      <c r="F144" s="186" t="s">
        <v>907</v>
      </c>
      <c r="G144" s="186" t="s">
        <v>1102</v>
      </c>
      <c r="H144" s="186" t="s">
        <v>1103</v>
      </c>
      <c r="I144" s="187" t="s">
        <v>1165</v>
      </c>
      <c r="J144" s="187" t="s">
        <v>1166</v>
      </c>
      <c r="K144" s="188"/>
      <c r="L144" s="188"/>
      <c r="M144" s="189" t="s">
        <v>847</v>
      </c>
      <c r="N144" s="190">
        <v>205.46</v>
      </c>
      <c r="O144" s="190">
        <f t="shared" si="16"/>
        <v>223.95</v>
      </c>
      <c r="P144" s="191">
        <f t="shared" si="17"/>
        <v>0</v>
      </c>
      <c r="Q144" s="192">
        <f t="shared" si="18"/>
        <v>0</v>
      </c>
      <c r="R144" s="193"/>
      <c r="S144" s="194"/>
      <c r="T144" s="195">
        <f t="shared" si="19"/>
        <v>0</v>
      </c>
      <c r="U144" s="195">
        <f t="shared" si="20"/>
        <v>0</v>
      </c>
      <c r="V144" s="195">
        <f t="shared" si="21"/>
        <v>0</v>
      </c>
      <c r="W144" s="196" t="e">
        <f t="shared" si="22"/>
        <v>#DIV/0!</v>
      </c>
      <c r="X144" s="197" t="e">
        <f t="shared" si="23"/>
        <v>#DIV/0!</v>
      </c>
    </row>
    <row r="145" ht="11.4" hidden="1" customHeight="1" spans="1:24">
      <c r="A145" s="184" t="s">
        <v>1100</v>
      </c>
      <c r="B145" s="184" t="s">
        <v>111</v>
      </c>
      <c r="C145" s="184" t="s">
        <v>1101</v>
      </c>
      <c r="D145" s="185" t="s">
        <v>522</v>
      </c>
      <c r="E145" s="186" t="s">
        <v>906</v>
      </c>
      <c r="F145" s="186" t="s">
        <v>907</v>
      </c>
      <c r="G145" s="186" t="s">
        <v>1102</v>
      </c>
      <c r="H145" s="186" t="s">
        <v>1103</v>
      </c>
      <c r="I145" s="187" t="s">
        <v>1167</v>
      </c>
      <c r="J145" s="187" t="s">
        <v>1168</v>
      </c>
      <c r="K145" s="188"/>
      <c r="L145" s="188"/>
      <c r="M145" s="189" t="s">
        <v>847</v>
      </c>
      <c r="N145" s="190">
        <v>195.26</v>
      </c>
      <c r="O145" s="190">
        <f t="shared" si="16"/>
        <v>212.83</v>
      </c>
      <c r="P145" s="191">
        <f t="shared" si="17"/>
        <v>0</v>
      </c>
      <c r="Q145" s="192">
        <f t="shared" si="18"/>
        <v>0</v>
      </c>
      <c r="R145" s="193"/>
      <c r="S145" s="194"/>
      <c r="T145" s="195">
        <f t="shared" si="19"/>
        <v>0</v>
      </c>
      <c r="U145" s="195">
        <f t="shared" si="20"/>
        <v>0</v>
      </c>
      <c r="V145" s="195">
        <f t="shared" si="21"/>
        <v>0</v>
      </c>
      <c r="W145" s="196" t="e">
        <f t="shared" si="22"/>
        <v>#DIV/0!</v>
      </c>
      <c r="X145" s="197" t="e">
        <f t="shared" si="23"/>
        <v>#DIV/0!</v>
      </c>
    </row>
    <row r="146" ht="11.4" hidden="1" customHeight="1" spans="1:24">
      <c r="A146" s="184" t="s">
        <v>1100</v>
      </c>
      <c r="B146" s="184" t="s">
        <v>111</v>
      </c>
      <c r="C146" s="184" t="s">
        <v>1101</v>
      </c>
      <c r="D146" s="185" t="s">
        <v>522</v>
      </c>
      <c r="E146" s="186" t="s">
        <v>906</v>
      </c>
      <c r="F146" s="186" t="s">
        <v>907</v>
      </c>
      <c r="G146" s="186" t="s">
        <v>1102</v>
      </c>
      <c r="H146" s="186" t="s">
        <v>1103</v>
      </c>
      <c r="I146" s="187" t="s">
        <v>1169</v>
      </c>
      <c r="J146" s="187" t="s">
        <v>1170</v>
      </c>
      <c r="K146" s="188"/>
      <c r="L146" s="188"/>
      <c r="M146" s="189" t="s">
        <v>847</v>
      </c>
      <c r="N146" s="190">
        <v>205.46</v>
      </c>
      <c r="O146" s="190">
        <f t="shared" si="16"/>
        <v>223.95</v>
      </c>
      <c r="P146" s="191">
        <f t="shared" si="17"/>
        <v>0</v>
      </c>
      <c r="Q146" s="192">
        <f t="shared" si="18"/>
        <v>0</v>
      </c>
      <c r="R146" s="193"/>
      <c r="S146" s="194"/>
      <c r="T146" s="195">
        <f t="shared" si="19"/>
        <v>0</v>
      </c>
      <c r="U146" s="195">
        <f t="shared" si="20"/>
        <v>0</v>
      </c>
      <c r="V146" s="195">
        <f t="shared" si="21"/>
        <v>0</v>
      </c>
      <c r="W146" s="196" t="e">
        <f t="shared" si="22"/>
        <v>#DIV/0!</v>
      </c>
      <c r="X146" s="197" t="e">
        <f t="shared" si="23"/>
        <v>#DIV/0!</v>
      </c>
    </row>
    <row r="147" ht="11.4" hidden="1" customHeight="1" spans="1:24">
      <c r="A147" s="184" t="s">
        <v>1100</v>
      </c>
      <c r="B147" s="184" t="s">
        <v>111</v>
      </c>
      <c r="C147" s="184" t="s">
        <v>1101</v>
      </c>
      <c r="D147" s="185" t="s">
        <v>522</v>
      </c>
      <c r="E147" s="186" t="s">
        <v>906</v>
      </c>
      <c r="F147" s="186" t="s">
        <v>907</v>
      </c>
      <c r="G147" s="186" t="s">
        <v>1102</v>
      </c>
      <c r="H147" s="186" t="s">
        <v>1103</v>
      </c>
      <c r="I147" s="187" t="s">
        <v>1171</v>
      </c>
      <c r="J147" s="187" t="s">
        <v>1172</v>
      </c>
      <c r="K147" s="188"/>
      <c r="L147" s="188"/>
      <c r="M147" s="189" t="s">
        <v>847</v>
      </c>
      <c r="N147" s="190">
        <v>607.91</v>
      </c>
      <c r="O147" s="190">
        <f t="shared" si="16"/>
        <v>662.62</v>
      </c>
      <c r="P147" s="191">
        <f t="shared" si="17"/>
        <v>0</v>
      </c>
      <c r="Q147" s="192">
        <f t="shared" si="18"/>
        <v>0</v>
      </c>
      <c r="R147" s="193"/>
      <c r="S147" s="194"/>
      <c r="T147" s="195">
        <f t="shared" si="19"/>
        <v>0</v>
      </c>
      <c r="U147" s="195">
        <f t="shared" si="20"/>
        <v>0</v>
      </c>
      <c r="V147" s="195">
        <f t="shared" si="21"/>
        <v>0</v>
      </c>
      <c r="W147" s="196" t="e">
        <f t="shared" si="22"/>
        <v>#DIV/0!</v>
      </c>
      <c r="X147" s="197" t="e">
        <f t="shared" si="23"/>
        <v>#DIV/0!</v>
      </c>
    </row>
    <row r="148" ht="11.4" hidden="1" customHeight="1" spans="1:24">
      <c r="A148" s="184" t="s">
        <v>1173</v>
      </c>
      <c r="B148" s="184" t="s">
        <v>113</v>
      </c>
      <c r="C148" s="184" t="s">
        <v>1101</v>
      </c>
      <c r="D148" s="185" t="s">
        <v>522</v>
      </c>
      <c r="E148" s="186" t="s">
        <v>906</v>
      </c>
      <c r="F148" s="186" t="s">
        <v>907</v>
      </c>
      <c r="G148" s="186" t="s">
        <v>1102</v>
      </c>
      <c r="H148" s="186" t="s">
        <v>1174</v>
      </c>
      <c r="I148" s="187" t="s">
        <v>1175</v>
      </c>
      <c r="J148" s="187" t="s">
        <v>1176</v>
      </c>
      <c r="K148" s="188">
        <v>89.34</v>
      </c>
      <c r="L148" s="188">
        <v>90.12</v>
      </c>
      <c r="M148" s="189" t="s">
        <v>847</v>
      </c>
      <c r="N148" s="190">
        <v>114.06</v>
      </c>
      <c r="O148" s="190">
        <f t="shared" si="16"/>
        <v>124.33</v>
      </c>
      <c r="P148" s="191">
        <f t="shared" si="17"/>
        <v>10190.12</v>
      </c>
      <c r="Q148" s="192">
        <f t="shared" si="18"/>
        <v>10279.09</v>
      </c>
      <c r="R148" s="193"/>
      <c r="S148" s="194"/>
      <c r="T148" s="195">
        <f t="shared" si="19"/>
        <v>-0.780000000000001</v>
      </c>
      <c r="U148" s="195">
        <f t="shared" si="20"/>
        <v>-88.9699999999993</v>
      </c>
      <c r="V148" s="195">
        <f t="shared" si="21"/>
        <v>88.9699999999993</v>
      </c>
      <c r="W148" s="196">
        <f t="shared" si="22"/>
        <v>-0.00865512649800267</v>
      </c>
      <c r="X148" s="197">
        <f t="shared" si="23"/>
        <v>0.00865512649800267</v>
      </c>
    </row>
    <row r="149" ht="11.4" hidden="1" customHeight="1" spans="1:24">
      <c r="A149" s="184" t="s">
        <v>1173</v>
      </c>
      <c r="B149" s="184" t="s">
        <v>113</v>
      </c>
      <c r="C149" s="184" t="s">
        <v>1101</v>
      </c>
      <c r="D149" s="185" t="s">
        <v>522</v>
      </c>
      <c r="E149" s="186" t="s">
        <v>906</v>
      </c>
      <c r="F149" s="186" t="s">
        <v>907</v>
      </c>
      <c r="G149" s="186" t="s">
        <v>1102</v>
      </c>
      <c r="H149" s="186" t="s">
        <v>1174</v>
      </c>
      <c r="I149" s="187" t="s">
        <v>1178</v>
      </c>
      <c r="J149" s="187" t="s">
        <v>1179</v>
      </c>
      <c r="K149" s="188"/>
      <c r="L149" s="188"/>
      <c r="M149" s="189" t="s">
        <v>847</v>
      </c>
      <c r="N149" s="190">
        <v>197.83</v>
      </c>
      <c r="O149" s="190">
        <f t="shared" si="16"/>
        <v>215.63</v>
      </c>
      <c r="P149" s="191">
        <f t="shared" si="17"/>
        <v>0</v>
      </c>
      <c r="Q149" s="192">
        <f t="shared" si="18"/>
        <v>0</v>
      </c>
      <c r="R149" s="193"/>
      <c r="S149" s="194"/>
      <c r="T149" s="195">
        <f t="shared" si="19"/>
        <v>0</v>
      </c>
      <c r="U149" s="195">
        <f t="shared" si="20"/>
        <v>0</v>
      </c>
      <c r="V149" s="195">
        <f t="shared" si="21"/>
        <v>0</v>
      </c>
      <c r="W149" s="196" t="e">
        <f t="shared" si="22"/>
        <v>#DIV/0!</v>
      </c>
      <c r="X149" s="197" t="e">
        <f t="shared" si="23"/>
        <v>#DIV/0!</v>
      </c>
    </row>
    <row r="150" ht="11.4" hidden="1" customHeight="1" spans="1:24">
      <c r="A150" s="184" t="s">
        <v>1173</v>
      </c>
      <c r="B150" s="184" t="s">
        <v>113</v>
      </c>
      <c r="C150" s="184" t="s">
        <v>1101</v>
      </c>
      <c r="D150" s="185" t="s">
        <v>522</v>
      </c>
      <c r="E150" s="186" t="s">
        <v>906</v>
      </c>
      <c r="F150" s="186" t="s">
        <v>907</v>
      </c>
      <c r="G150" s="186" t="s">
        <v>1102</v>
      </c>
      <c r="H150" s="186" t="s">
        <v>1174</v>
      </c>
      <c r="I150" s="187" t="s">
        <v>1181</v>
      </c>
      <c r="J150" s="187" t="s">
        <v>1182</v>
      </c>
      <c r="K150" s="188"/>
      <c r="L150" s="188"/>
      <c r="M150" s="189" t="s">
        <v>847</v>
      </c>
      <c r="N150" s="190">
        <v>182.9</v>
      </c>
      <c r="O150" s="190">
        <f t="shared" si="16"/>
        <v>199.36</v>
      </c>
      <c r="P150" s="191">
        <f t="shared" si="17"/>
        <v>0</v>
      </c>
      <c r="Q150" s="192">
        <f t="shared" si="18"/>
        <v>0</v>
      </c>
      <c r="R150" s="193"/>
      <c r="S150" s="194"/>
      <c r="T150" s="195">
        <f t="shared" si="19"/>
        <v>0</v>
      </c>
      <c r="U150" s="195">
        <f t="shared" si="20"/>
        <v>0</v>
      </c>
      <c r="V150" s="195">
        <f t="shared" si="21"/>
        <v>0</v>
      </c>
      <c r="W150" s="196" t="e">
        <f t="shared" si="22"/>
        <v>#DIV/0!</v>
      </c>
      <c r="X150" s="197" t="e">
        <f t="shared" si="23"/>
        <v>#DIV/0!</v>
      </c>
    </row>
    <row r="151" ht="11.4" hidden="1" customHeight="1" spans="1:24">
      <c r="A151" s="184" t="s">
        <v>1173</v>
      </c>
      <c r="B151" s="184" t="s">
        <v>113</v>
      </c>
      <c r="C151" s="184" t="s">
        <v>1101</v>
      </c>
      <c r="D151" s="185" t="s">
        <v>522</v>
      </c>
      <c r="E151" s="186" t="s">
        <v>906</v>
      </c>
      <c r="F151" s="186" t="s">
        <v>907</v>
      </c>
      <c r="G151" s="186" t="s">
        <v>1102</v>
      </c>
      <c r="H151" s="186" t="s">
        <v>1174</v>
      </c>
      <c r="I151" s="187" t="s">
        <v>1183</v>
      </c>
      <c r="J151" s="187" t="s">
        <v>1184</v>
      </c>
      <c r="K151" s="188">
        <v>89.34</v>
      </c>
      <c r="L151" s="188">
        <v>90.12</v>
      </c>
      <c r="M151" s="189" t="s">
        <v>847</v>
      </c>
      <c r="N151" s="190">
        <v>186.66</v>
      </c>
      <c r="O151" s="190">
        <f t="shared" si="16"/>
        <v>203.46</v>
      </c>
      <c r="P151" s="191">
        <f t="shared" si="17"/>
        <v>16676.2</v>
      </c>
      <c r="Q151" s="192">
        <f t="shared" si="18"/>
        <v>16821.8</v>
      </c>
      <c r="R151" s="193"/>
      <c r="S151" s="194"/>
      <c r="T151" s="195">
        <f t="shared" si="19"/>
        <v>-0.780000000000001</v>
      </c>
      <c r="U151" s="195">
        <f t="shared" si="20"/>
        <v>-145.599999999999</v>
      </c>
      <c r="V151" s="195">
        <f t="shared" si="21"/>
        <v>145.599999999999</v>
      </c>
      <c r="W151" s="196">
        <f t="shared" si="22"/>
        <v>-0.00865512649800267</v>
      </c>
      <c r="X151" s="197">
        <f t="shared" si="23"/>
        <v>0.00865512649800267</v>
      </c>
    </row>
    <row r="152" ht="11.4" hidden="1" customHeight="1" spans="1:24">
      <c r="A152" s="184" t="s">
        <v>1173</v>
      </c>
      <c r="B152" s="184" t="s">
        <v>113</v>
      </c>
      <c r="C152" s="184" t="s">
        <v>1101</v>
      </c>
      <c r="D152" s="185" t="s">
        <v>522</v>
      </c>
      <c r="E152" s="186" t="s">
        <v>906</v>
      </c>
      <c r="F152" s="186" t="s">
        <v>907</v>
      </c>
      <c r="G152" s="186" t="s">
        <v>1102</v>
      </c>
      <c r="H152" s="186" t="s">
        <v>1174</v>
      </c>
      <c r="I152" s="187" t="s">
        <v>1185</v>
      </c>
      <c r="J152" s="187" t="s">
        <v>1186</v>
      </c>
      <c r="K152" s="188"/>
      <c r="L152" s="188"/>
      <c r="M152" s="189" t="s">
        <v>847</v>
      </c>
      <c r="N152" s="190">
        <v>174.35</v>
      </c>
      <c r="O152" s="190">
        <f t="shared" si="16"/>
        <v>190.04</v>
      </c>
      <c r="P152" s="191">
        <f t="shared" si="17"/>
        <v>0</v>
      </c>
      <c r="Q152" s="192">
        <f t="shared" si="18"/>
        <v>0</v>
      </c>
      <c r="R152" s="193"/>
      <c r="S152" s="194"/>
      <c r="T152" s="195">
        <f t="shared" si="19"/>
        <v>0</v>
      </c>
      <c r="U152" s="195">
        <f t="shared" si="20"/>
        <v>0</v>
      </c>
      <c r="V152" s="195">
        <f t="shared" si="21"/>
        <v>0</v>
      </c>
      <c r="W152" s="196" t="e">
        <f t="shared" si="22"/>
        <v>#DIV/0!</v>
      </c>
      <c r="X152" s="197" t="e">
        <f t="shared" si="23"/>
        <v>#DIV/0!</v>
      </c>
    </row>
    <row r="153" ht="11.4" hidden="1" customHeight="1" spans="1:24">
      <c r="A153" s="184" t="s">
        <v>1173</v>
      </c>
      <c r="B153" s="184" t="s">
        <v>113</v>
      </c>
      <c r="C153" s="184" t="s">
        <v>1101</v>
      </c>
      <c r="D153" s="185" t="s">
        <v>522</v>
      </c>
      <c r="E153" s="186" t="s">
        <v>906</v>
      </c>
      <c r="F153" s="186" t="s">
        <v>907</v>
      </c>
      <c r="G153" s="186" t="s">
        <v>1102</v>
      </c>
      <c r="H153" s="186" t="s">
        <v>1174</v>
      </c>
      <c r="I153" s="187" t="s">
        <v>1187</v>
      </c>
      <c r="J153" s="187" t="s">
        <v>1188</v>
      </c>
      <c r="K153" s="188"/>
      <c r="L153" s="188"/>
      <c r="M153" s="189" t="s">
        <v>847</v>
      </c>
      <c r="N153" s="190">
        <v>379.89</v>
      </c>
      <c r="O153" s="190">
        <f t="shared" si="16"/>
        <v>414.08</v>
      </c>
      <c r="P153" s="191">
        <f t="shared" si="17"/>
        <v>0</v>
      </c>
      <c r="Q153" s="192">
        <f t="shared" si="18"/>
        <v>0</v>
      </c>
      <c r="R153" s="193"/>
      <c r="S153" s="194"/>
      <c r="T153" s="195">
        <f t="shared" si="19"/>
        <v>0</v>
      </c>
      <c r="U153" s="195">
        <f t="shared" si="20"/>
        <v>0</v>
      </c>
      <c r="V153" s="195">
        <f t="shared" si="21"/>
        <v>0</v>
      </c>
      <c r="W153" s="196" t="e">
        <f t="shared" si="22"/>
        <v>#DIV/0!</v>
      </c>
      <c r="X153" s="197" t="e">
        <f t="shared" si="23"/>
        <v>#DIV/0!</v>
      </c>
    </row>
    <row r="154" ht="11.4" hidden="1" customHeight="1" spans="1:24">
      <c r="A154" s="184" t="s">
        <v>1173</v>
      </c>
      <c r="B154" s="184" t="s">
        <v>113</v>
      </c>
      <c r="C154" s="184" t="s">
        <v>1101</v>
      </c>
      <c r="D154" s="185" t="s">
        <v>522</v>
      </c>
      <c r="E154" s="186" t="s">
        <v>906</v>
      </c>
      <c r="F154" s="186" t="s">
        <v>907</v>
      </c>
      <c r="G154" s="186" t="s">
        <v>1102</v>
      </c>
      <c r="H154" s="186" t="s">
        <v>1174</v>
      </c>
      <c r="I154" s="187" t="s">
        <v>1189</v>
      </c>
      <c r="J154" s="187" t="s">
        <v>1190</v>
      </c>
      <c r="K154" s="188"/>
      <c r="L154" s="188"/>
      <c r="M154" s="189" t="s">
        <v>847</v>
      </c>
      <c r="N154" s="190">
        <v>219.2</v>
      </c>
      <c r="O154" s="190">
        <f t="shared" si="16"/>
        <v>238.93</v>
      </c>
      <c r="P154" s="191">
        <f t="shared" si="17"/>
        <v>0</v>
      </c>
      <c r="Q154" s="192">
        <f t="shared" si="18"/>
        <v>0</v>
      </c>
      <c r="R154" s="193"/>
      <c r="S154" s="194"/>
      <c r="T154" s="195">
        <f t="shared" si="19"/>
        <v>0</v>
      </c>
      <c r="U154" s="195">
        <f t="shared" si="20"/>
        <v>0</v>
      </c>
      <c r="V154" s="195">
        <f t="shared" si="21"/>
        <v>0</v>
      </c>
      <c r="W154" s="196" t="e">
        <f t="shared" si="22"/>
        <v>#DIV/0!</v>
      </c>
      <c r="X154" s="197" t="e">
        <f t="shared" si="23"/>
        <v>#DIV/0!</v>
      </c>
    </row>
    <row r="155" ht="11.4" hidden="1" customHeight="1" spans="1:24">
      <c r="A155" s="184" t="s">
        <v>1173</v>
      </c>
      <c r="B155" s="184" t="s">
        <v>113</v>
      </c>
      <c r="C155" s="184" t="s">
        <v>1101</v>
      </c>
      <c r="D155" s="185" t="s">
        <v>522</v>
      </c>
      <c r="E155" s="186" t="s">
        <v>906</v>
      </c>
      <c r="F155" s="186" t="s">
        <v>907</v>
      </c>
      <c r="G155" s="186" t="s">
        <v>1102</v>
      </c>
      <c r="H155" s="186" t="s">
        <v>1174</v>
      </c>
      <c r="I155" s="187" t="s">
        <v>1191</v>
      </c>
      <c r="J155" s="187" t="s">
        <v>1192</v>
      </c>
      <c r="K155" s="188"/>
      <c r="L155" s="188"/>
      <c r="M155" s="189" t="s">
        <v>847</v>
      </c>
      <c r="N155" s="190">
        <v>402.43</v>
      </c>
      <c r="O155" s="190">
        <f t="shared" si="16"/>
        <v>438.65</v>
      </c>
      <c r="P155" s="191">
        <f t="shared" si="17"/>
        <v>0</v>
      </c>
      <c r="Q155" s="192">
        <f t="shared" si="18"/>
        <v>0</v>
      </c>
      <c r="R155" s="193"/>
      <c r="S155" s="194"/>
      <c r="T155" s="195">
        <f t="shared" si="19"/>
        <v>0</v>
      </c>
      <c r="U155" s="195">
        <f t="shared" si="20"/>
        <v>0</v>
      </c>
      <c r="V155" s="195">
        <f t="shared" si="21"/>
        <v>0</v>
      </c>
      <c r="W155" s="196" t="e">
        <f t="shared" si="22"/>
        <v>#DIV/0!</v>
      </c>
      <c r="X155" s="197" t="e">
        <f t="shared" si="23"/>
        <v>#DIV/0!</v>
      </c>
    </row>
    <row r="156" ht="11.4" hidden="1" customHeight="1" spans="1:24">
      <c r="A156" s="184" t="s">
        <v>1173</v>
      </c>
      <c r="B156" s="184" t="s">
        <v>113</v>
      </c>
      <c r="C156" s="184" t="s">
        <v>1101</v>
      </c>
      <c r="D156" s="185" t="s">
        <v>522</v>
      </c>
      <c r="E156" s="186" t="s">
        <v>906</v>
      </c>
      <c r="F156" s="186" t="s">
        <v>907</v>
      </c>
      <c r="G156" s="186" t="s">
        <v>1102</v>
      </c>
      <c r="H156" s="186" t="s">
        <v>1174</v>
      </c>
      <c r="I156" s="187" t="s">
        <v>1193</v>
      </c>
      <c r="J156" s="187" t="s">
        <v>1194</v>
      </c>
      <c r="K156" s="188"/>
      <c r="L156" s="188"/>
      <c r="M156" s="189" t="s">
        <v>847</v>
      </c>
      <c r="N156" s="190">
        <v>70.85</v>
      </c>
      <c r="O156" s="190">
        <f t="shared" si="16"/>
        <v>77.23</v>
      </c>
      <c r="P156" s="191">
        <f t="shared" si="17"/>
        <v>0</v>
      </c>
      <c r="Q156" s="192">
        <f t="shared" si="18"/>
        <v>0</v>
      </c>
      <c r="R156" s="193"/>
      <c r="S156" s="194"/>
      <c r="T156" s="195">
        <f t="shared" si="19"/>
        <v>0</v>
      </c>
      <c r="U156" s="195">
        <f t="shared" si="20"/>
        <v>0</v>
      </c>
      <c r="V156" s="195">
        <f t="shared" si="21"/>
        <v>0</v>
      </c>
      <c r="W156" s="196" t="e">
        <f t="shared" si="22"/>
        <v>#DIV/0!</v>
      </c>
      <c r="X156" s="197" t="e">
        <f t="shared" si="23"/>
        <v>#DIV/0!</v>
      </c>
    </row>
    <row r="157" ht="11.4" hidden="1" customHeight="1" spans="1:24">
      <c r="A157" s="184" t="s">
        <v>1173</v>
      </c>
      <c r="B157" s="184" t="s">
        <v>113</v>
      </c>
      <c r="C157" s="184" t="s">
        <v>1101</v>
      </c>
      <c r="D157" s="185" t="s">
        <v>522</v>
      </c>
      <c r="E157" s="186" t="s">
        <v>906</v>
      </c>
      <c r="F157" s="186" t="s">
        <v>907</v>
      </c>
      <c r="G157" s="186" t="s">
        <v>1102</v>
      </c>
      <c r="H157" s="186" t="s">
        <v>1174</v>
      </c>
      <c r="I157" s="187" t="s">
        <v>1195</v>
      </c>
      <c r="J157" s="187" t="s">
        <v>1196</v>
      </c>
      <c r="K157" s="188"/>
      <c r="L157" s="188"/>
      <c r="M157" s="189" t="s">
        <v>847</v>
      </c>
      <c r="N157" s="190">
        <v>307.56</v>
      </c>
      <c r="O157" s="190">
        <f t="shared" si="16"/>
        <v>335.24</v>
      </c>
      <c r="P157" s="191">
        <f t="shared" si="17"/>
        <v>0</v>
      </c>
      <c r="Q157" s="192">
        <f t="shared" si="18"/>
        <v>0</v>
      </c>
      <c r="R157" s="193"/>
      <c r="S157" s="194"/>
      <c r="T157" s="195">
        <f t="shared" si="19"/>
        <v>0</v>
      </c>
      <c r="U157" s="195">
        <f t="shared" si="20"/>
        <v>0</v>
      </c>
      <c r="V157" s="195">
        <f t="shared" si="21"/>
        <v>0</v>
      </c>
      <c r="W157" s="196" t="e">
        <f t="shared" si="22"/>
        <v>#DIV/0!</v>
      </c>
      <c r="X157" s="197" t="e">
        <f t="shared" si="23"/>
        <v>#DIV/0!</v>
      </c>
    </row>
    <row r="158" ht="11.4" hidden="1" customHeight="1" spans="1:24">
      <c r="A158" s="184" t="s">
        <v>1173</v>
      </c>
      <c r="B158" s="184" t="s">
        <v>113</v>
      </c>
      <c r="C158" s="184" t="s">
        <v>1101</v>
      </c>
      <c r="D158" s="185" t="s">
        <v>522</v>
      </c>
      <c r="E158" s="186" t="s">
        <v>906</v>
      </c>
      <c r="F158" s="186" t="s">
        <v>907</v>
      </c>
      <c r="G158" s="186" t="s">
        <v>1102</v>
      </c>
      <c r="H158" s="186" t="s">
        <v>1174</v>
      </c>
      <c r="I158" s="187" t="s">
        <v>1197</v>
      </c>
      <c r="J158" s="187" t="s">
        <v>1198</v>
      </c>
      <c r="K158" s="188"/>
      <c r="L158" s="188"/>
      <c r="M158" s="189" t="s">
        <v>847</v>
      </c>
      <c r="N158" s="190">
        <v>39.59</v>
      </c>
      <c r="O158" s="190">
        <f t="shared" si="16"/>
        <v>43.15</v>
      </c>
      <c r="P158" s="191">
        <f t="shared" si="17"/>
        <v>0</v>
      </c>
      <c r="Q158" s="192">
        <f t="shared" si="18"/>
        <v>0</v>
      </c>
      <c r="R158" s="193"/>
      <c r="S158" s="194"/>
      <c r="T158" s="195">
        <f t="shared" si="19"/>
        <v>0</v>
      </c>
      <c r="U158" s="195">
        <f t="shared" si="20"/>
        <v>0</v>
      </c>
      <c r="V158" s="195">
        <f t="shared" si="21"/>
        <v>0</v>
      </c>
      <c r="W158" s="196" t="e">
        <f t="shared" si="22"/>
        <v>#DIV/0!</v>
      </c>
      <c r="X158" s="197" t="e">
        <f t="shared" si="23"/>
        <v>#DIV/0!</v>
      </c>
    </row>
    <row r="159" ht="11.4" hidden="1" customHeight="1" spans="1:24">
      <c r="A159" s="184" t="s">
        <v>1173</v>
      </c>
      <c r="B159" s="184" t="s">
        <v>113</v>
      </c>
      <c r="C159" s="184" t="s">
        <v>1101</v>
      </c>
      <c r="D159" s="185" t="s">
        <v>522</v>
      </c>
      <c r="E159" s="186" t="s">
        <v>906</v>
      </c>
      <c r="F159" s="186" t="s">
        <v>907</v>
      </c>
      <c r="G159" s="186" t="s">
        <v>1102</v>
      </c>
      <c r="H159" s="186" t="s">
        <v>1174</v>
      </c>
      <c r="I159" s="187" t="s">
        <v>1199</v>
      </c>
      <c r="J159" s="187" t="s">
        <v>1200</v>
      </c>
      <c r="K159" s="188"/>
      <c r="L159" s="188"/>
      <c r="M159" s="189" t="s">
        <v>847</v>
      </c>
      <c r="N159" s="190">
        <v>203.22</v>
      </c>
      <c r="O159" s="190">
        <f t="shared" si="16"/>
        <v>221.51</v>
      </c>
      <c r="P159" s="191">
        <f t="shared" si="17"/>
        <v>0</v>
      </c>
      <c r="Q159" s="192">
        <f t="shared" si="18"/>
        <v>0</v>
      </c>
      <c r="R159" s="193"/>
      <c r="S159" s="194"/>
      <c r="T159" s="195">
        <f t="shared" si="19"/>
        <v>0</v>
      </c>
      <c r="U159" s="195">
        <f t="shared" si="20"/>
        <v>0</v>
      </c>
      <c r="V159" s="195">
        <f t="shared" si="21"/>
        <v>0</v>
      </c>
      <c r="W159" s="196" t="e">
        <f t="shared" si="22"/>
        <v>#DIV/0!</v>
      </c>
      <c r="X159" s="197" t="e">
        <f t="shared" si="23"/>
        <v>#DIV/0!</v>
      </c>
    </row>
    <row r="160" ht="11.4" hidden="1" customHeight="1" spans="1:24">
      <c r="A160" s="184" t="s">
        <v>1173</v>
      </c>
      <c r="B160" s="184" t="s">
        <v>113</v>
      </c>
      <c r="C160" s="184" t="s">
        <v>1101</v>
      </c>
      <c r="D160" s="185" t="s">
        <v>522</v>
      </c>
      <c r="E160" s="186" t="s">
        <v>906</v>
      </c>
      <c r="F160" s="186" t="s">
        <v>907</v>
      </c>
      <c r="G160" s="186" t="s">
        <v>1102</v>
      </c>
      <c r="H160" s="186" t="s">
        <v>1174</v>
      </c>
      <c r="I160" s="187" t="s">
        <v>1201</v>
      </c>
      <c r="J160" s="187" t="s">
        <v>1202</v>
      </c>
      <c r="K160" s="188"/>
      <c r="L160" s="188"/>
      <c r="M160" s="189" t="s">
        <v>847</v>
      </c>
      <c r="N160" s="190">
        <v>268.9</v>
      </c>
      <c r="O160" s="190">
        <f t="shared" si="16"/>
        <v>293.1</v>
      </c>
      <c r="P160" s="191">
        <f t="shared" si="17"/>
        <v>0</v>
      </c>
      <c r="Q160" s="192">
        <f t="shared" si="18"/>
        <v>0</v>
      </c>
      <c r="R160" s="193"/>
      <c r="S160" s="194"/>
      <c r="T160" s="195">
        <f t="shared" si="19"/>
        <v>0</v>
      </c>
      <c r="U160" s="195">
        <f t="shared" si="20"/>
        <v>0</v>
      </c>
      <c r="V160" s="195">
        <f t="shared" si="21"/>
        <v>0</v>
      </c>
      <c r="W160" s="196" t="e">
        <f t="shared" si="22"/>
        <v>#DIV/0!</v>
      </c>
      <c r="X160" s="197" t="e">
        <f t="shared" si="23"/>
        <v>#DIV/0!</v>
      </c>
    </row>
    <row r="161" ht="11.4" hidden="1" customHeight="1" spans="1:24">
      <c r="A161" s="184" t="s">
        <v>1173</v>
      </c>
      <c r="B161" s="184" t="s">
        <v>113</v>
      </c>
      <c r="C161" s="184" t="s">
        <v>1101</v>
      </c>
      <c r="D161" s="185" t="s">
        <v>522</v>
      </c>
      <c r="E161" s="186" t="s">
        <v>906</v>
      </c>
      <c r="F161" s="186" t="s">
        <v>907</v>
      </c>
      <c r="G161" s="186" t="s">
        <v>1102</v>
      </c>
      <c r="H161" s="186" t="s">
        <v>1174</v>
      </c>
      <c r="I161" s="187" t="s">
        <v>1203</v>
      </c>
      <c r="J161" s="187" t="s">
        <v>1204</v>
      </c>
      <c r="K161" s="188"/>
      <c r="L161" s="188"/>
      <c r="M161" s="189" t="s">
        <v>847</v>
      </c>
      <c r="N161" s="190">
        <v>17.39</v>
      </c>
      <c r="O161" s="190">
        <f t="shared" si="16"/>
        <v>18.96</v>
      </c>
      <c r="P161" s="191">
        <f t="shared" si="17"/>
        <v>0</v>
      </c>
      <c r="Q161" s="192">
        <f t="shared" si="18"/>
        <v>0</v>
      </c>
      <c r="R161" s="193"/>
      <c r="S161" s="194"/>
      <c r="T161" s="195">
        <f t="shared" si="19"/>
        <v>0</v>
      </c>
      <c r="U161" s="195">
        <f t="shared" si="20"/>
        <v>0</v>
      </c>
      <c r="V161" s="195">
        <f t="shared" si="21"/>
        <v>0</v>
      </c>
      <c r="W161" s="196" t="e">
        <f t="shared" si="22"/>
        <v>#DIV/0!</v>
      </c>
      <c r="X161" s="197" t="e">
        <f t="shared" si="23"/>
        <v>#DIV/0!</v>
      </c>
    </row>
    <row r="162" ht="11.4" hidden="1" customHeight="1" spans="1:24">
      <c r="A162" s="184" t="s">
        <v>1173</v>
      </c>
      <c r="B162" s="184" t="s">
        <v>113</v>
      </c>
      <c r="C162" s="184" t="s">
        <v>1101</v>
      </c>
      <c r="D162" s="185" t="s">
        <v>522</v>
      </c>
      <c r="E162" s="186" t="s">
        <v>906</v>
      </c>
      <c r="F162" s="186" t="s">
        <v>907</v>
      </c>
      <c r="G162" s="186" t="s">
        <v>1102</v>
      </c>
      <c r="H162" s="186" t="s">
        <v>1174</v>
      </c>
      <c r="I162" s="187" t="s">
        <v>1206</v>
      </c>
      <c r="J162" s="187" t="s">
        <v>1207</v>
      </c>
      <c r="K162" s="188"/>
      <c r="L162" s="188"/>
      <c r="M162" s="189" t="s">
        <v>847</v>
      </c>
      <c r="N162" s="190">
        <v>266.78</v>
      </c>
      <c r="O162" s="190">
        <f t="shared" si="16"/>
        <v>290.79</v>
      </c>
      <c r="P162" s="191">
        <f t="shared" si="17"/>
        <v>0</v>
      </c>
      <c r="Q162" s="192">
        <f t="shared" si="18"/>
        <v>0</v>
      </c>
      <c r="R162" s="193"/>
      <c r="S162" s="194"/>
      <c r="T162" s="195">
        <f t="shared" si="19"/>
        <v>0</v>
      </c>
      <c r="U162" s="195">
        <f t="shared" si="20"/>
        <v>0</v>
      </c>
      <c r="V162" s="195">
        <f t="shared" si="21"/>
        <v>0</v>
      </c>
      <c r="W162" s="196" t="e">
        <f t="shared" si="22"/>
        <v>#DIV/0!</v>
      </c>
      <c r="X162" s="197" t="e">
        <f t="shared" si="23"/>
        <v>#DIV/0!</v>
      </c>
    </row>
    <row r="163" ht="11.4" hidden="1" customHeight="1" spans="1:24">
      <c r="A163" s="184" t="s">
        <v>1173</v>
      </c>
      <c r="B163" s="184" t="s">
        <v>113</v>
      </c>
      <c r="C163" s="184" t="s">
        <v>1101</v>
      </c>
      <c r="D163" s="185" t="s">
        <v>522</v>
      </c>
      <c r="E163" s="186" t="s">
        <v>906</v>
      </c>
      <c r="F163" s="186" t="s">
        <v>907</v>
      </c>
      <c r="G163" s="186" t="s">
        <v>1102</v>
      </c>
      <c r="H163" s="186" t="s">
        <v>1174</v>
      </c>
      <c r="I163" s="187" t="s">
        <v>1208</v>
      </c>
      <c r="J163" s="187" t="s">
        <v>1209</v>
      </c>
      <c r="K163" s="188"/>
      <c r="L163" s="188"/>
      <c r="M163" s="189" t="s">
        <v>847</v>
      </c>
      <c r="N163" s="190">
        <v>283.28</v>
      </c>
      <c r="O163" s="190">
        <f t="shared" si="16"/>
        <v>308.78</v>
      </c>
      <c r="P163" s="191">
        <f t="shared" si="17"/>
        <v>0</v>
      </c>
      <c r="Q163" s="192">
        <f t="shared" si="18"/>
        <v>0</v>
      </c>
      <c r="R163" s="193"/>
      <c r="S163" s="194"/>
      <c r="T163" s="195">
        <f t="shared" si="19"/>
        <v>0</v>
      </c>
      <c r="U163" s="195">
        <f t="shared" si="20"/>
        <v>0</v>
      </c>
      <c r="V163" s="195">
        <f t="shared" si="21"/>
        <v>0</v>
      </c>
      <c r="W163" s="196" t="e">
        <f t="shared" si="22"/>
        <v>#DIV/0!</v>
      </c>
      <c r="X163" s="197" t="e">
        <f t="shared" si="23"/>
        <v>#DIV/0!</v>
      </c>
    </row>
    <row r="164" ht="11.4" hidden="1" customHeight="1" spans="1:24">
      <c r="A164" s="184" t="s">
        <v>1173</v>
      </c>
      <c r="B164" s="184" t="s">
        <v>113</v>
      </c>
      <c r="C164" s="184" t="s">
        <v>1101</v>
      </c>
      <c r="D164" s="185" t="s">
        <v>522</v>
      </c>
      <c r="E164" s="186" t="s">
        <v>906</v>
      </c>
      <c r="F164" s="186" t="s">
        <v>907</v>
      </c>
      <c r="G164" s="186" t="s">
        <v>1102</v>
      </c>
      <c r="H164" s="186" t="s">
        <v>1174</v>
      </c>
      <c r="I164" s="187" t="s">
        <v>1210</v>
      </c>
      <c r="J164" s="187" t="s">
        <v>1211</v>
      </c>
      <c r="K164" s="188"/>
      <c r="L164" s="188"/>
      <c r="M164" s="189" t="s">
        <v>847</v>
      </c>
      <c r="N164" s="190">
        <v>288.72</v>
      </c>
      <c r="O164" s="190">
        <f t="shared" si="16"/>
        <v>314.7</v>
      </c>
      <c r="P164" s="191">
        <f t="shared" si="17"/>
        <v>0</v>
      </c>
      <c r="Q164" s="192">
        <f t="shared" si="18"/>
        <v>0</v>
      </c>
      <c r="R164" s="193"/>
      <c r="S164" s="194"/>
      <c r="T164" s="195">
        <f t="shared" si="19"/>
        <v>0</v>
      </c>
      <c r="U164" s="195">
        <f t="shared" si="20"/>
        <v>0</v>
      </c>
      <c r="V164" s="195">
        <f t="shared" si="21"/>
        <v>0</v>
      </c>
      <c r="W164" s="196" t="e">
        <f t="shared" si="22"/>
        <v>#DIV/0!</v>
      </c>
      <c r="X164" s="197" t="e">
        <f t="shared" si="23"/>
        <v>#DIV/0!</v>
      </c>
    </row>
    <row r="165" ht="11.4" hidden="1" customHeight="1" spans="1:24">
      <c r="A165" s="184" t="s">
        <v>1173</v>
      </c>
      <c r="B165" s="184" t="s">
        <v>113</v>
      </c>
      <c r="C165" s="184" t="s">
        <v>1101</v>
      </c>
      <c r="D165" s="185" t="s">
        <v>522</v>
      </c>
      <c r="E165" s="186" t="s">
        <v>906</v>
      </c>
      <c r="F165" s="186" t="s">
        <v>907</v>
      </c>
      <c r="G165" s="186" t="s">
        <v>1102</v>
      </c>
      <c r="H165" s="186" t="s">
        <v>1174</v>
      </c>
      <c r="I165" s="187" t="s">
        <v>1212</v>
      </c>
      <c r="J165" s="187" t="s">
        <v>1213</v>
      </c>
      <c r="K165" s="188"/>
      <c r="L165" s="188"/>
      <c r="M165" s="189" t="s">
        <v>847</v>
      </c>
      <c r="N165" s="190">
        <v>267.97</v>
      </c>
      <c r="O165" s="190">
        <f t="shared" si="16"/>
        <v>292.09</v>
      </c>
      <c r="P165" s="191">
        <f t="shared" si="17"/>
        <v>0</v>
      </c>
      <c r="Q165" s="192">
        <f t="shared" si="18"/>
        <v>0</v>
      </c>
      <c r="R165" s="193"/>
      <c r="S165" s="194"/>
      <c r="T165" s="195">
        <f t="shared" si="19"/>
        <v>0</v>
      </c>
      <c r="U165" s="195">
        <f t="shared" si="20"/>
        <v>0</v>
      </c>
      <c r="V165" s="195">
        <f t="shared" si="21"/>
        <v>0</v>
      </c>
      <c r="W165" s="196" t="e">
        <f t="shared" si="22"/>
        <v>#DIV/0!</v>
      </c>
      <c r="X165" s="197" t="e">
        <f t="shared" si="23"/>
        <v>#DIV/0!</v>
      </c>
    </row>
    <row r="166" ht="11.4" hidden="1" customHeight="1" spans="1:24">
      <c r="A166" s="184" t="s">
        <v>1173</v>
      </c>
      <c r="B166" s="184" t="s">
        <v>113</v>
      </c>
      <c r="C166" s="184" t="s">
        <v>1101</v>
      </c>
      <c r="D166" s="185" t="s">
        <v>522</v>
      </c>
      <c r="E166" s="186" t="s">
        <v>906</v>
      </c>
      <c r="F166" s="186" t="s">
        <v>907</v>
      </c>
      <c r="G166" s="186" t="s">
        <v>1102</v>
      </c>
      <c r="H166" s="186" t="s">
        <v>1174</v>
      </c>
      <c r="I166" s="187" t="s">
        <v>1214</v>
      </c>
      <c r="J166" s="187" t="s">
        <v>1215</v>
      </c>
      <c r="K166" s="188"/>
      <c r="L166" s="188"/>
      <c r="M166" s="189" t="s">
        <v>847</v>
      </c>
      <c r="N166" s="190">
        <v>284.47</v>
      </c>
      <c r="O166" s="190">
        <f t="shared" si="16"/>
        <v>310.07</v>
      </c>
      <c r="P166" s="191">
        <f t="shared" si="17"/>
        <v>0</v>
      </c>
      <c r="Q166" s="192">
        <f t="shared" si="18"/>
        <v>0</v>
      </c>
      <c r="R166" s="193"/>
      <c r="S166" s="194"/>
      <c r="T166" s="195">
        <f t="shared" si="19"/>
        <v>0</v>
      </c>
      <c r="U166" s="195">
        <f t="shared" si="20"/>
        <v>0</v>
      </c>
      <c r="V166" s="195">
        <f t="shared" si="21"/>
        <v>0</v>
      </c>
      <c r="W166" s="196" t="e">
        <f t="shared" si="22"/>
        <v>#DIV/0!</v>
      </c>
      <c r="X166" s="197" t="e">
        <f t="shared" si="23"/>
        <v>#DIV/0!</v>
      </c>
    </row>
    <row r="167" ht="11.4" hidden="1" customHeight="1" spans="1:24">
      <c r="A167" s="184" t="s">
        <v>1173</v>
      </c>
      <c r="B167" s="184" t="s">
        <v>113</v>
      </c>
      <c r="C167" s="184" t="s">
        <v>1101</v>
      </c>
      <c r="D167" s="185" t="s">
        <v>522</v>
      </c>
      <c r="E167" s="186" t="s">
        <v>906</v>
      </c>
      <c r="F167" s="186" t="s">
        <v>907</v>
      </c>
      <c r="G167" s="186" t="s">
        <v>1102</v>
      </c>
      <c r="H167" s="186" t="s">
        <v>1174</v>
      </c>
      <c r="I167" s="187" t="s">
        <v>1216</v>
      </c>
      <c r="J167" s="187" t="s">
        <v>1217</v>
      </c>
      <c r="K167" s="188"/>
      <c r="L167" s="188"/>
      <c r="M167" s="189" t="s">
        <v>847</v>
      </c>
      <c r="N167" s="190">
        <v>288.72</v>
      </c>
      <c r="O167" s="190">
        <f t="shared" si="16"/>
        <v>314.7</v>
      </c>
      <c r="P167" s="191">
        <f t="shared" si="17"/>
        <v>0</v>
      </c>
      <c r="Q167" s="192">
        <f t="shared" si="18"/>
        <v>0</v>
      </c>
      <c r="R167" s="193"/>
      <c r="S167" s="194"/>
      <c r="T167" s="195">
        <f t="shared" si="19"/>
        <v>0</v>
      </c>
      <c r="U167" s="195">
        <f t="shared" si="20"/>
        <v>0</v>
      </c>
      <c r="V167" s="195">
        <f t="shared" si="21"/>
        <v>0</v>
      </c>
      <c r="W167" s="196" t="e">
        <f t="shared" si="22"/>
        <v>#DIV/0!</v>
      </c>
      <c r="X167" s="197" t="e">
        <f t="shared" si="23"/>
        <v>#DIV/0!</v>
      </c>
    </row>
    <row r="168" ht="11.4" hidden="1" customHeight="1" spans="1:24">
      <c r="A168" s="184" t="s">
        <v>1173</v>
      </c>
      <c r="B168" s="184" t="s">
        <v>113</v>
      </c>
      <c r="C168" s="184" t="s">
        <v>1101</v>
      </c>
      <c r="D168" s="185" t="s">
        <v>522</v>
      </c>
      <c r="E168" s="186" t="s">
        <v>906</v>
      </c>
      <c r="F168" s="186" t="s">
        <v>907</v>
      </c>
      <c r="G168" s="186" t="s">
        <v>1102</v>
      </c>
      <c r="H168" s="186" t="s">
        <v>1174</v>
      </c>
      <c r="I168" s="187" t="s">
        <v>1218</v>
      </c>
      <c r="J168" s="187" t="s">
        <v>1219</v>
      </c>
      <c r="K168" s="188"/>
      <c r="L168" s="188"/>
      <c r="M168" s="189" t="s">
        <v>847</v>
      </c>
      <c r="N168" s="190">
        <v>250.15</v>
      </c>
      <c r="O168" s="190">
        <f t="shared" si="16"/>
        <v>272.66</v>
      </c>
      <c r="P168" s="191">
        <f t="shared" si="17"/>
        <v>0</v>
      </c>
      <c r="Q168" s="192">
        <f t="shared" si="18"/>
        <v>0</v>
      </c>
      <c r="R168" s="193"/>
      <c r="S168" s="194"/>
      <c r="T168" s="195">
        <f t="shared" si="19"/>
        <v>0</v>
      </c>
      <c r="U168" s="195">
        <f t="shared" si="20"/>
        <v>0</v>
      </c>
      <c r="V168" s="195">
        <f t="shared" si="21"/>
        <v>0</v>
      </c>
      <c r="W168" s="196" t="e">
        <f t="shared" si="22"/>
        <v>#DIV/0!</v>
      </c>
      <c r="X168" s="197" t="e">
        <f t="shared" si="23"/>
        <v>#DIV/0!</v>
      </c>
    </row>
    <row r="169" ht="11.4" hidden="1" customHeight="1" spans="1:24">
      <c r="A169" s="184" t="s">
        <v>1173</v>
      </c>
      <c r="B169" s="184" t="s">
        <v>113</v>
      </c>
      <c r="C169" s="184" t="s">
        <v>1101</v>
      </c>
      <c r="D169" s="185" t="s">
        <v>522</v>
      </c>
      <c r="E169" s="186" t="s">
        <v>906</v>
      </c>
      <c r="F169" s="186" t="s">
        <v>907</v>
      </c>
      <c r="G169" s="186" t="s">
        <v>1102</v>
      </c>
      <c r="H169" s="186" t="s">
        <v>1174</v>
      </c>
      <c r="I169" s="187" t="s">
        <v>1220</v>
      </c>
      <c r="J169" s="187" t="s">
        <v>1221</v>
      </c>
      <c r="K169" s="188"/>
      <c r="L169" s="188"/>
      <c r="M169" s="189" t="s">
        <v>847</v>
      </c>
      <c r="N169" s="190">
        <v>288.04</v>
      </c>
      <c r="O169" s="190">
        <f t="shared" si="16"/>
        <v>313.96</v>
      </c>
      <c r="P169" s="191">
        <f t="shared" si="17"/>
        <v>0</v>
      </c>
      <c r="Q169" s="192">
        <f t="shared" si="18"/>
        <v>0</v>
      </c>
      <c r="R169" s="193"/>
      <c r="S169" s="194"/>
      <c r="T169" s="195">
        <f t="shared" si="19"/>
        <v>0</v>
      </c>
      <c r="U169" s="195">
        <f t="shared" si="20"/>
        <v>0</v>
      </c>
      <c r="V169" s="195">
        <f t="shared" si="21"/>
        <v>0</v>
      </c>
      <c r="W169" s="196" t="e">
        <f t="shared" si="22"/>
        <v>#DIV/0!</v>
      </c>
      <c r="X169" s="197" t="e">
        <f t="shared" si="23"/>
        <v>#DIV/0!</v>
      </c>
    </row>
    <row r="170" ht="11.4" hidden="1" customHeight="1" spans="1:24">
      <c r="A170" s="184" t="s">
        <v>1173</v>
      </c>
      <c r="B170" s="184" t="s">
        <v>113</v>
      </c>
      <c r="C170" s="184" t="s">
        <v>1101</v>
      </c>
      <c r="D170" s="185" t="s">
        <v>522</v>
      </c>
      <c r="E170" s="186" t="s">
        <v>906</v>
      </c>
      <c r="F170" s="186" t="s">
        <v>907</v>
      </c>
      <c r="G170" s="186" t="s">
        <v>1102</v>
      </c>
      <c r="H170" s="186" t="s">
        <v>1174</v>
      </c>
      <c r="I170" s="187" t="s">
        <v>1222</v>
      </c>
      <c r="J170" s="187" t="s">
        <v>1223</v>
      </c>
      <c r="K170" s="188"/>
      <c r="L170" s="188"/>
      <c r="M170" s="189" t="s">
        <v>847</v>
      </c>
      <c r="N170" s="190">
        <v>270.9</v>
      </c>
      <c r="O170" s="190">
        <f t="shared" si="16"/>
        <v>295.28</v>
      </c>
      <c r="P170" s="191">
        <f t="shared" si="17"/>
        <v>0</v>
      </c>
      <c r="Q170" s="192">
        <f t="shared" si="18"/>
        <v>0</v>
      </c>
      <c r="R170" s="193"/>
      <c r="S170" s="194"/>
      <c r="T170" s="195">
        <f t="shared" si="19"/>
        <v>0</v>
      </c>
      <c r="U170" s="195">
        <f t="shared" si="20"/>
        <v>0</v>
      </c>
      <c r="V170" s="195">
        <f t="shared" si="21"/>
        <v>0</v>
      </c>
      <c r="W170" s="196" t="e">
        <f t="shared" si="22"/>
        <v>#DIV/0!</v>
      </c>
      <c r="X170" s="197" t="e">
        <f t="shared" si="23"/>
        <v>#DIV/0!</v>
      </c>
    </row>
    <row r="171" ht="11.4" hidden="1" customHeight="1" spans="1:24">
      <c r="A171" s="184" t="s">
        <v>1173</v>
      </c>
      <c r="B171" s="184" t="s">
        <v>113</v>
      </c>
      <c r="C171" s="184" t="s">
        <v>1101</v>
      </c>
      <c r="D171" s="185" t="s">
        <v>522</v>
      </c>
      <c r="E171" s="186" t="s">
        <v>906</v>
      </c>
      <c r="F171" s="186" t="s">
        <v>907</v>
      </c>
      <c r="G171" s="186" t="s">
        <v>1102</v>
      </c>
      <c r="H171" s="186" t="s">
        <v>1174</v>
      </c>
      <c r="I171" s="187" t="s">
        <v>1224</v>
      </c>
      <c r="J171" s="187" t="s">
        <v>1225</v>
      </c>
      <c r="K171" s="188"/>
      <c r="L171" s="188"/>
      <c r="M171" s="189" t="s">
        <v>847</v>
      </c>
      <c r="N171" s="190">
        <v>385.58</v>
      </c>
      <c r="O171" s="190">
        <f t="shared" si="16"/>
        <v>420.28</v>
      </c>
      <c r="P171" s="191">
        <f t="shared" si="17"/>
        <v>0</v>
      </c>
      <c r="Q171" s="192">
        <f t="shared" si="18"/>
        <v>0</v>
      </c>
      <c r="R171" s="193"/>
      <c r="S171" s="194"/>
      <c r="T171" s="195">
        <f t="shared" si="19"/>
        <v>0</v>
      </c>
      <c r="U171" s="195">
        <f t="shared" si="20"/>
        <v>0</v>
      </c>
      <c r="V171" s="195">
        <f t="shared" si="21"/>
        <v>0</v>
      </c>
      <c r="W171" s="196" t="e">
        <f t="shared" si="22"/>
        <v>#DIV/0!</v>
      </c>
      <c r="X171" s="197" t="e">
        <f t="shared" si="23"/>
        <v>#DIV/0!</v>
      </c>
    </row>
    <row r="172" ht="11.4" hidden="1" customHeight="1" spans="1:24">
      <c r="A172" s="184" t="s">
        <v>1173</v>
      </c>
      <c r="B172" s="184" t="s">
        <v>113</v>
      </c>
      <c r="C172" s="184" t="s">
        <v>1101</v>
      </c>
      <c r="D172" s="185" t="s">
        <v>522</v>
      </c>
      <c r="E172" s="186" t="s">
        <v>906</v>
      </c>
      <c r="F172" s="186" t="s">
        <v>907</v>
      </c>
      <c r="G172" s="186" t="s">
        <v>1102</v>
      </c>
      <c r="H172" s="186" t="s">
        <v>1174</v>
      </c>
      <c r="I172" s="187" t="s">
        <v>1226</v>
      </c>
      <c r="J172" s="187" t="s">
        <v>1227</v>
      </c>
      <c r="K172" s="188"/>
      <c r="L172" s="188"/>
      <c r="M172" s="189" t="s">
        <v>847</v>
      </c>
      <c r="N172" s="190">
        <v>454.36</v>
      </c>
      <c r="O172" s="190">
        <f t="shared" si="16"/>
        <v>495.25</v>
      </c>
      <c r="P172" s="191">
        <f t="shared" si="17"/>
        <v>0</v>
      </c>
      <c r="Q172" s="192">
        <f t="shared" si="18"/>
        <v>0</v>
      </c>
      <c r="R172" s="193"/>
      <c r="S172" s="194"/>
      <c r="T172" s="195">
        <f t="shared" si="19"/>
        <v>0</v>
      </c>
      <c r="U172" s="195">
        <f t="shared" si="20"/>
        <v>0</v>
      </c>
      <c r="V172" s="195">
        <f t="shared" si="21"/>
        <v>0</v>
      </c>
      <c r="W172" s="196" t="e">
        <f t="shared" si="22"/>
        <v>#DIV/0!</v>
      </c>
      <c r="X172" s="197" t="e">
        <f t="shared" si="23"/>
        <v>#DIV/0!</v>
      </c>
    </row>
    <row r="173" ht="11.4" hidden="1" customHeight="1" spans="1:24">
      <c r="A173" s="184" t="s">
        <v>1173</v>
      </c>
      <c r="B173" s="184" t="s">
        <v>113</v>
      </c>
      <c r="C173" s="184" t="s">
        <v>1101</v>
      </c>
      <c r="D173" s="185" t="s">
        <v>522</v>
      </c>
      <c r="E173" s="186" t="s">
        <v>906</v>
      </c>
      <c r="F173" s="186" t="s">
        <v>907</v>
      </c>
      <c r="G173" s="186" t="s">
        <v>1102</v>
      </c>
      <c r="H173" s="186" t="s">
        <v>1174</v>
      </c>
      <c r="I173" s="187" t="s">
        <v>1228</v>
      </c>
      <c r="J173" s="187" t="s">
        <v>1229</v>
      </c>
      <c r="K173" s="188"/>
      <c r="L173" s="188"/>
      <c r="M173" s="189" t="s">
        <v>847</v>
      </c>
      <c r="N173" s="190">
        <v>406.33</v>
      </c>
      <c r="O173" s="190">
        <f t="shared" si="16"/>
        <v>442.9</v>
      </c>
      <c r="P173" s="191">
        <f t="shared" si="17"/>
        <v>0</v>
      </c>
      <c r="Q173" s="192">
        <f t="shared" si="18"/>
        <v>0</v>
      </c>
      <c r="R173" s="193"/>
      <c r="S173" s="194"/>
      <c r="T173" s="195">
        <f t="shared" si="19"/>
        <v>0</v>
      </c>
      <c r="U173" s="195">
        <f t="shared" si="20"/>
        <v>0</v>
      </c>
      <c r="V173" s="195">
        <f t="shared" si="21"/>
        <v>0</v>
      </c>
      <c r="W173" s="196" t="e">
        <f t="shared" si="22"/>
        <v>#DIV/0!</v>
      </c>
      <c r="X173" s="197" t="e">
        <f t="shared" si="23"/>
        <v>#DIV/0!</v>
      </c>
    </row>
    <row r="174" ht="11.4" hidden="1" customHeight="1" spans="1:24">
      <c r="A174" s="184" t="s">
        <v>1173</v>
      </c>
      <c r="B174" s="184" t="s">
        <v>113</v>
      </c>
      <c r="C174" s="184" t="s">
        <v>1101</v>
      </c>
      <c r="D174" s="185" t="s">
        <v>522</v>
      </c>
      <c r="E174" s="186" t="s">
        <v>906</v>
      </c>
      <c r="F174" s="186" t="s">
        <v>907</v>
      </c>
      <c r="G174" s="186" t="s">
        <v>1102</v>
      </c>
      <c r="H174" s="186" t="s">
        <v>1174</v>
      </c>
      <c r="I174" s="187" t="s">
        <v>1230</v>
      </c>
      <c r="J174" s="187" t="s">
        <v>1231</v>
      </c>
      <c r="K174" s="188"/>
      <c r="L174" s="188"/>
      <c r="M174" s="189" t="s">
        <v>847</v>
      </c>
      <c r="N174" s="190">
        <v>387.96</v>
      </c>
      <c r="O174" s="190">
        <f t="shared" si="16"/>
        <v>422.88</v>
      </c>
      <c r="P174" s="191">
        <f t="shared" si="17"/>
        <v>0</v>
      </c>
      <c r="Q174" s="192">
        <f t="shared" si="18"/>
        <v>0</v>
      </c>
      <c r="R174" s="193"/>
      <c r="S174" s="194"/>
      <c r="T174" s="195">
        <f t="shared" si="19"/>
        <v>0</v>
      </c>
      <c r="U174" s="195">
        <f t="shared" si="20"/>
        <v>0</v>
      </c>
      <c r="V174" s="195">
        <f t="shared" si="21"/>
        <v>0</v>
      </c>
      <c r="W174" s="196" t="e">
        <f t="shared" si="22"/>
        <v>#DIV/0!</v>
      </c>
      <c r="X174" s="197" t="e">
        <f t="shared" si="23"/>
        <v>#DIV/0!</v>
      </c>
    </row>
    <row r="175" ht="11.4" hidden="1" customHeight="1" spans="1:24">
      <c r="A175" s="184" t="s">
        <v>1173</v>
      </c>
      <c r="B175" s="184" t="s">
        <v>113</v>
      </c>
      <c r="C175" s="184" t="s">
        <v>1101</v>
      </c>
      <c r="D175" s="185" t="s">
        <v>522</v>
      </c>
      <c r="E175" s="186" t="s">
        <v>906</v>
      </c>
      <c r="F175" s="186" t="s">
        <v>907</v>
      </c>
      <c r="G175" s="186" t="s">
        <v>1102</v>
      </c>
      <c r="H175" s="186" t="s">
        <v>1174</v>
      </c>
      <c r="I175" s="187" t="s">
        <v>1232</v>
      </c>
      <c r="J175" s="187" t="s">
        <v>1233</v>
      </c>
      <c r="K175" s="188"/>
      <c r="L175" s="188"/>
      <c r="M175" s="189" t="s">
        <v>847</v>
      </c>
      <c r="N175" s="190">
        <v>404.46</v>
      </c>
      <c r="O175" s="190">
        <f t="shared" si="16"/>
        <v>440.86</v>
      </c>
      <c r="P175" s="191">
        <f t="shared" si="17"/>
        <v>0</v>
      </c>
      <c r="Q175" s="192">
        <f t="shared" si="18"/>
        <v>0</v>
      </c>
      <c r="R175" s="193"/>
      <c r="S175" s="194"/>
      <c r="T175" s="195">
        <f t="shared" si="19"/>
        <v>0</v>
      </c>
      <c r="U175" s="195">
        <f t="shared" si="20"/>
        <v>0</v>
      </c>
      <c r="V175" s="195">
        <f t="shared" si="21"/>
        <v>0</v>
      </c>
      <c r="W175" s="196" t="e">
        <f t="shared" si="22"/>
        <v>#DIV/0!</v>
      </c>
      <c r="X175" s="197" t="e">
        <f t="shared" si="23"/>
        <v>#DIV/0!</v>
      </c>
    </row>
    <row r="176" ht="11.4" hidden="1" customHeight="1" spans="1:24">
      <c r="A176" s="184" t="s">
        <v>1173</v>
      </c>
      <c r="B176" s="184" t="s">
        <v>113</v>
      </c>
      <c r="C176" s="184" t="s">
        <v>1101</v>
      </c>
      <c r="D176" s="185" t="s">
        <v>522</v>
      </c>
      <c r="E176" s="186" t="s">
        <v>906</v>
      </c>
      <c r="F176" s="186" t="s">
        <v>907</v>
      </c>
      <c r="G176" s="186" t="s">
        <v>1102</v>
      </c>
      <c r="H176" s="186" t="s">
        <v>1174</v>
      </c>
      <c r="I176" s="187" t="s">
        <v>1234</v>
      </c>
      <c r="J176" s="187" t="s">
        <v>1235</v>
      </c>
      <c r="K176" s="188"/>
      <c r="L176" s="188"/>
      <c r="M176" s="189" t="s">
        <v>847</v>
      </c>
      <c r="N176" s="190">
        <v>408.71</v>
      </c>
      <c r="O176" s="190">
        <f t="shared" si="16"/>
        <v>445.49</v>
      </c>
      <c r="P176" s="191">
        <f t="shared" si="17"/>
        <v>0</v>
      </c>
      <c r="Q176" s="192">
        <f t="shared" si="18"/>
        <v>0</v>
      </c>
      <c r="R176" s="193"/>
      <c r="S176" s="194"/>
      <c r="T176" s="195">
        <f t="shared" si="19"/>
        <v>0</v>
      </c>
      <c r="U176" s="195">
        <f t="shared" si="20"/>
        <v>0</v>
      </c>
      <c r="V176" s="195">
        <f t="shared" si="21"/>
        <v>0</v>
      </c>
      <c r="W176" s="196" t="e">
        <f t="shared" si="22"/>
        <v>#DIV/0!</v>
      </c>
      <c r="X176" s="197" t="e">
        <f t="shared" si="23"/>
        <v>#DIV/0!</v>
      </c>
    </row>
    <row r="177" ht="11.4" hidden="1" customHeight="1" spans="1:24">
      <c r="A177" s="184" t="s">
        <v>1173</v>
      </c>
      <c r="B177" s="184" t="s">
        <v>113</v>
      </c>
      <c r="C177" s="184" t="s">
        <v>1101</v>
      </c>
      <c r="D177" s="185" t="s">
        <v>522</v>
      </c>
      <c r="E177" s="186" t="s">
        <v>906</v>
      </c>
      <c r="F177" s="186" t="s">
        <v>907</v>
      </c>
      <c r="G177" s="186" t="s">
        <v>1102</v>
      </c>
      <c r="H177" s="186" t="s">
        <v>1174</v>
      </c>
      <c r="I177" s="187" t="s">
        <v>1236</v>
      </c>
      <c r="J177" s="187" t="s">
        <v>1237</v>
      </c>
      <c r="K177" s="188"/>
      <c r="L177" s="188"/>
      <c r="M177" s="189" t="s">
        <v>847</v>
      </c>
      <c r="N177" s="190">
        <v>385.58</v>
      </c>
      <c r="O177" s="190">
        <f t="shared" si="16"/>
        <v>420.28</v>
      </c>
      <c r="P177" s="191">
        <f t="shared" si="17"/>
        <v>0</v>
      </c>
      <c r="Q177" s="192">
        <f t="shared" si="18"/>
        <v>0</v>
      </c>
      <c r="R177" s="193"/>
      <c r="S177" s="194"/>
      <c r="T177" s="195">
        <f t="shared" si="19"/>
        <v>0</v>
      </c>
      <c r="U177" s="195">
        <f t="shared" si="20"/>
        <v>0</v>
      </c>
      <c r="V177" s="195">
        <f t="shared" si="21"/>
        <v>0</v>
      </c>
      <c r="W177" s="196" t="e">
        <f t="shared" si="22"/>
        <v>#DIV/0!</v>
      </c>
      <c r="X177" s="197" t="e">
        <f t="shared" si="23"/>
        <v>#DIV/0!</v>
      </c>
    </row>
    <row r="178" ht="11.4" hidden="1" customHeight="1" spans="1:24">
      <c r="A178" s="184" t="s">
        <v>1173</v>
      </c>
      <c r="B178" s="184" t="s">
        <v>113</v>
      </c>
      <c r="C178" s="184" t="s">
        <v>1101</v>
      </c>
      <c r="D178" s="185" t="s">
        <v>522</v>
      </c>
      <c r="E178" s="186" t="s">
        <v>906</v>
      </c>
      <c r="F178" s="186" t="s">
        <v>907</v>
      </c>
      <c r="G178" s="186" t="s">
        <v>1102</v>
      </c>
      <c r="H178" s="186" t="s">
        <v>1174</v>
      </c>
      <c r="I178" s="187" t="s">
        <v>1238</v>
      </c>
      <c r="J178" s="187" t="s">
        <v>1239</v>
      </c>
      <c r="K178" s="188"/>
      <c r="L178" s="188"/>
      <c r="M178" s="189" t="s">
        <v>847</v>
      </c>
      <c r="N178" s="190">
        <v>402.08</v>
      </c>
      <c r="O178" s="190">
        <f t="shared" si="16"/>
        <v>438.27</v>
      </c>
      <c r="P178" s="191">
        <f t="shared" si="17"/>
        <v>0</v>
      </c>
      <c r="Q178" s="192">
        <f t="shared" si="18"/>
        <v>0</v>
      </c>
      <c r="R178" s="193"/>
      <c r="S178" s="194"/>
      <c r="T178" s="195">
        <f t="shared" si="19"/>
        <v>0</v>
      </c>
      <c r="U178" s="195">
        <f t="shared" si="20"/>
        <v>0</v>
      </c>
      <c r="V178" s="195">
        <f t="shared" si="21"/>
        <v>0</v>
      </c>
      <c r="W178" s="196" t="e">
        <f t="shared" si="22"/>
        <v>#DIV/0!</v>
      </c>
      <c r="X178" s="197" t="e">
        <f t="shared" si="23"/>
        <v>#DIV/0!</v>
      </c>
    </row>
    <row r="179" ht="11.4" hidden="1" customHeight="1" spans="1:24">
      <c r="A179" s="184" t="s">
        <v>1173</v>
      </c>
      <c r="B179" s="184" t="s">
        <v>113</v>
      </c>
      <c r="C179" s="184" t="s">
        <v>1101</v>
      </c>
      <c r="D179" s="185" t="s">
        <v>522</v>
      </c>
      <c r="E179" s="186" t="s">
        <v>906</v>
      </c>
      <c r="F179" s="186" t="s">
        <v>907</v>
      </c>
      <c r="G179" s="186" t="s">
        <v>1102</v>
      </c>
      <c r="H179" s="186" t="s">
        <v>1174</v>
      </c>
      <c r="I179" s="187" t="s">
        <v>1240</v>
      </c>
      <c r="J179" s="187" t="s">
        <v>1241</v>
      </c>
      <c r="K179" s="188"/>
      <c r="L179" s="188"/>
      <c r="M179" s="189" t="s">
        <v>847</v>
      </c>
      <c r="N179" s="190">
        <v>406.33</v>
      </c>
      <c r="O179" s="190">
        <f t="shared" si="16"/>
        <v>442.9</v>
      </c>
      <c r="P179" s="191">
        <f t="shared" si="17"/>
        <v>0</v>
      </c>
      <c r="Q179" s="192">
        <f t="shared" si="18"/>
        <v>0</v>
      </c>
      <c r="R179" s="193"/>
      <c r="S179" s="194"/>
      <c r="T179" s="195">
        <f t="shared" si="19"/>
        <v>0</v>
      </c>
      <c r="U179" s="195">
        <f t="shared" si="20"/>
        <v>0</v>
      </c>
      <c r="V179" s="195">
        <f t="shared" si="21"/>
        <v>0</v>
      </c>
      <c r="W179" s="196" t="e">
        <f t="shared" si="22"/>
        <v>#DIV/0!</v>
      </c>
      <c r="X179" s="197" t="e">
        <f t="shared" si="23"/>
        <v>#DIV/0!</v>
      </c>
    </row>
    <row r="180" ht="11.4" hidden="1" customHeight="1" spans="1:24">
      <c r="A180" s="184" t="s">
        <v>1173</v>
      </c>
      <c r="B180" s="184" t="s">
        <v>113</v>
      </c>
      <c r="C180" s="184" t="s">
        <v>1101</v>
      </c>
      <c r="D180" s="185" t="s">
        <v>522</v>
      </c>
      <c r="E180" s="186" t="s">
        <v>906</v>
      </c>
      <c r="F180" s="186" t="s">
        <v>907</v>
      </c>
      <c r="G180" s="186" t="s">
        <v>1102</v>
      </c>
      <c r="H180" s="186" t="s">
        <v>1174</v>
      </c>
      <c r="I180" s="187" t="s">
        <v>1242</v>
      </c>
      <c r="J180" s="187" t="s">
        <v>1243</v>
      </c>
      <c r="K180" s="188"/>
      <c r="L180" s="188"/>
      <c r="M180" s="189" t="s">
        <v>847</v>
      </c>
      <c r="N180" s="190">
        <v>676.14</v>
      </c>
      <c r="O180" s="190">
        <f t="shared" si="16"/>
        <v>736.99</v>
      </c>
      <c r="P180" s="191">
        <f t="shared" si="17"/>
        <v>0</v>
      </c>
      <c r="Q180" s="192">
        <f t="shared" si="18"/>
        <v>0</v>
      </c>
      <c r="R180" s="193"/>
      <c r="S180" s="194"/>
      <c r="T180" s="195">
        <f t="shared" si="19"/>
        <v>0</v>
      </c>
      <c r="U180" s="195">
        <f t="shared" si="20"/>
        <v>0</v>
      </c>
      <c r="V180" s="195">
        <f t="shared" si="21"/>
        <v>0</v>
      </c>
      <c r="W180" s="196" t="e">
        <f t="shared" si="22"/>
        <v>#DIV/0!</v>
      </c>
      <c r="X180" s="197" t="e">
        <f t="shared" si="23"/>
        <v>#DIV/0!</v>
      </c>
    </row>
    <row r="181" ht="11.4" hidden="1" customHeight="1" spans="1:24">
      <c r="A181" s="184" t="s">
        <v>1173</v>
      </c>
      <c r="B181" s="184" t="s">
        <v>113</v>
      </c>
      <c r="C181" s="184" t="s">
        <v>1101</v>
      </c>
      <c r="D181" s="185" t="s">
        <v>522</v>
      </c>
      <c r="E181" s="186" t="s">
        <v>906</v>
      </c>
      <c r="F181" s="186" t="s">
        <v>907</v>
      </c>
      <c r="G181" s="186" t="s">
        <v>1102</v>
      </c>
      <c r="H181" s="186" t="s">
        <v>1174</v>
      </c>
      <c r="I181" s="187" t="s">
        <v>1244</v>
      </c>
      <c r="J181" s="187" t="s">
        <v>1245</v>
      </c>
      <c r="K181" s="188"/>
      <c r="L181" s="188"/>
      <c r="M181" s="189" t="s">
        <v>847</v>
      </c>
      <c r="N181" s="190">
        <v>214.82</v>
      </c>
      <c r="O181" s="190">
        <f t="shared" si="16"/>
        <v>234.15</v>
      </c>
      <c r="P181" s="191">
        <f t="shared" si="17"/>
        <v>0</v>
      </c>
      <c r="Q181" s="192">
        <f t="shared" si="18"/>
        <v>0</v>
      </c>
      <c r="R181" s="193"/>
      <c r="S181" s="194"/>
      <c r="T181" s="195">
        <f t="shared" si="19"/>
        <v>0</v>
      </c>
      <c r="U181" s="195">
        <f t="shared" si="20"/>
        <v>0</v>
      </c>
      <c r="V181" s="195">
        <f t="shared" si="21"/>
        <v>0</v>
      </c>
      <c r="W181" s="196" t="e">
        <f t="shared" si="22"/>
        <v>#DIV/0!</v>
      </c>
      <c r="X181" s="197" t="e">
        <f t="shared" si="23"/>
        <v>#DIV/0!</v>
      </c>
    </row>
    <row r="182" ht="11.4" hidden="1" customHeight="1" spans="1:24">
      <c r="A182" s="184" t="s">
        <v>1173</v>
      </c>
      <c r="B182" s="184" t="s">
        <v>113</v>
      </c>
      <c r="C182" s="184" t="s">
        <v>1101</v>
      </c>
      <c r="D182" s="185" t="s">
        <v>522</v>
      </c>
      <c r="E182" s="186" t="s">
        <v>906</v>
      </c>
      <c r="F182" s="186" t="s">
        <v>907</v>
      </c>
      <c r="G182" s="186" t="s">
        <v>1102</v>
      </c>
      <c r="H182" s="186" t="s">
        <v>1174</v>
      </c>
      <c r="I182" s="187" t="s">
        <v>1246</v>
      </c>
      <c r="J182" s="187" t="s">
        <v>1247</v>
      </c>
      <c r="K182" s="188"/>
      <c r="L182" s="188"/>
      <c r="M182" s="189" t="s">
        <v>847</v>
      </c>
      <c r="N182" s="190">
        <v>241.44</v>
      </c>
      <c r="O182" s="190">
        <f t="shared" si="16"/>
        <v>263.17</v>
      </c>
      <c r="P182" s="191">
        <f t="shared" si="17"/>
        <v>0</v>
      </c>
      <c r="Q182" s="192">
        <f t="shared" si="18"/>
        <v>0</v>
      </c>
      <c r="R182" s="193"/>
      <c r="S182" s="194"/>
      <c r="T182" s="195">
        <f t="shared" si="19"/>
        <v>0</v>
      </c>
      <c r="U182" s="195">
        <f t="shared" si="20"/>
        <v>0</v>
      </c>
      <c r="V182" s="195">
        <f t="shared" si="21"/>
        <v>0</v>
      </c>
      <c r="W182" s="196" t="e">
        <f t="shared" si="22"/>
        <v>#DIV/0!</v>
      </c>
      <c r="X182" s="197" t="e">
        <f t="shared" si="23"/>
        <v>#DIV/0!</v>
      </c>
    </row>
    <row r="183" ht="11.4" hidden="1" customHeight="1" spans="1:24">
      <c r="A183" s="184" t="s">
        <v>1173</v>
      </c>
      <c r="B183" s="184" t="s">
        <v>113</v>
      </c>
      <c r="C183" s="184" t="s">
        <v>1101</v>
      </c>
      <c r="D183" s="185" t="s">
        <v>522</v>
      </c>
      <c r="E183" s="186" t="s">
        <v>906</v>
      </c>
      <c r="F183" s="186" t="s">
        <v>907</v>
      </c>
      <c r="G183" s="186" t="s">
        <v>1102</v>
      </c>
      <c r="H183" s="186" t="s">
        <v>1174</v>
      </c>
      <c r="I183" s="187" t="s">
        <v>1248</v>
      </c>
      <c r="J183" s="187" t="s">
        <v>1249</v>
      </c>
      <c r="K183" s="188"/>
      <c r="L183" s="188"/>
      <c r="M183" s="189" t="s">
        <v>847</v>
      </c>
      <c r="N183" s="190">
        <v>224.5</v>
      </c>
      <c r="O183" s="190">
        <f t="shared" si="16"/>
        <v>244.71</v>
      </c>
      <c r="P183" s="191">
        <f t="shared" si="17"/>
        <v>0</v>
      </c>
      <c r="Q183" s="192">
        <f t="shared" si="18"/>
        <v>0</v>
      </c>
      <c r="R183" s="193"/>
      <c r="S183" s="194"/>
      <c r="T183" s="195">
        <f t="shared" si="19"/>
        <v>0</v>
      </c>
      <c r="U183" s="195">
        <f t="shared" si="20"/>
        <v>0</v>
      </c>
      <c r="V183" s="195">
        <f t="shared" si="21"/>
        <v>0</v>
      </c>
      <c r="W183" s="196" t="e">
        <f t="shared" si="22"/>
        <v>#DIV/0!</v>
      </c>
      <c r="X183" s="197" t="e">
        <f t="shared" si="23"/>
        <v>#DIV/0!</v>
      </c>
    </row>
    <row r="184" ht="11.4" hidden="1" customHeight="1" spans="1:24">
      <c r="A184" s="184" t="s">
        <v>1173</v>
      </c>
      <c r="B184" s="184" t="s">
        <v>113</v>
      </c>
      <c r="C184" s="184" t="s">
        <v>1101</v>
      </c>
      <c r="D184" s="185" t="s">
        <v>522</v>
      </c>
      <c r="E184" s="186" t="s">
        <v>906</v>
      </c>
      <c r="F184" s="186" t="s">
        <v>907</v>
      </c>
      <c r="G184" s="186" t="s">
        <v>1102</v>
      </c>
      <c r="H184" s="186" t="s">
        <v>1174</v>
      </c>
      <c r="I184" s="187" t="s">
        <v>1250</v>
      </c>
      <c r="J184" s="187" t="s">
        <v>1251</v>
      </c>
      <c r="K184" s="188"/>
      <c r="L184" s="188"/>
      <c r="M184" s="189" t="s">
        <v>847</v>
      </c>
      <c r="N184" s="190">
        <v>195.76</v>
      </c>
      <c r="O184" s="190">
        <f t="shared" si="16"/>
        <v>213.38</v>
      </c>
      <c r="P184" s="191">
        <f t="shared" si="17"/>
        <v>0</v>
      </c>
      <c r="Q184" s="192">
        <f t="shared" si="18"/>
        <v>0</v>
      </c>
      <c r="R184" s="193"/>
      <c r="S184" s="194"/>
      <c r="T184" s="195">
        <f t="shared" si="19"/>
        <v>0</v>
      </c>
      <c r="U184" s="195">
        <f t="shared" si="20"/>
        <v>0</v>
      </c>
      <c r="V184" s="195">
        <f t="shared" si="21"/>
        <v>0</v>
      </c>
      <c r="W184" s="196" t="e">
        <f t="shared" si="22"/>
        <v>#DIV/0!</v>
      </c>
      <c r="X184" s="197" t="e">
        <f t="shared" si="23"/>
        <v>#DIV/0!</v>
      </c>
    </row>
    <row r="185" ht="11.4" hidden="1" customHeight="1" spans="1:24">
      <c r="A185" s="184" t="s">
        <v>1173</v>
      </c>
      <c r="B185" s="184" t="s">
        <v>113</v>
      </c>
      <c r="C185" s="184" t="s">
        <v>1101</v>
      </c>
      <c r="D185" s="185" t="s">
        <v>522</v>
      </c>
      <c r="E185" s="186" t="s">
        <v>906</v>
      </c>
      <c r="F185" s="186" t="s">
        <v>907</v>
      </c>
      <c r="G185" s="186" t="s">
        <v>1102</v>
      </c>
      <c r="H185" s="186" t="s">
        <v>1174</v>
      </c>
      <c r="I185" s="187" t="s">
        <v>1252</v>
      </c>
      <c r="J185" s="187" t="s">
        <v>1253</v>
      </c>
      <c r="K185" s="188"/>
      <c r="L185" s="188"/>
      <c r="M185" s="189" t="s">
        <v>847</v>
      </c>
      <c r="N185" s="190">
        <v>223.29</v>
      </c>
      <c r="O185" s="190">
        <f t="shared" si="16"/>
        <v>243.39</v>
      </c>
      <c r="P185" s="191">
        <f t="shared" si="17"/>
        <v>0</v>
      </c>
      <c r="Q185" s="192">
        <f t="shared" si="18"/>
        <v>0</v>
      </c>
      <c r="R185" s="193"/>
      <c r="S185" s="194"/>
      <c r="T185" s="195">
        <f t="shared" si="19"/>
        <v>0</v>
      </c>
      <c r="U185" s="195">
        <f t="shared" si="20"/>
        <v>0</v>
      </c>
      <c r="V185" s="195">
        <f t="shared" si="21"/>
        <v>0</v>
      </c>
      <c r="W185" s="196" t="e">
        <f t="shared" si="22"/>
        <v>#DIV/0!</v>
      </c>
      <c r="X185" s="197" t="e">
        <f t="shared" si="23"/>
        <v>#DIV/0!</v>
      </c>
    </row>
    <row r="186" ht="11.4" hidden="1" customHeight="1" spans="1:24">
      <c r="A186" s="184" t="s">
        <v>1173</v>
      </c>
      <c r="B186" s="184" t="s">
        <v>113</v>
      </c>
      <c r="C186" s="184" t="s">
        <v>1101</v>
      </c>
      <c r="D186" s="185" t="s">
        <v>522</v>
      </c>
      <c r="E186" s="186" t="s">
        <v>906</v>
      </c>
      <c r="F186" s="186" t="s">
        <v>907</v>
      </c>
      <c r="G186" s="186" t="s">
        <v>1102</v>
      </c>
      <c r="H186" s="186" t="s">
        <v>1174</v>
      </c>
      <c r="I186" s="187" t="s">
        <v>1254</v>
      </c>
      <c r="J186" s="187" t="s">
        <v>1255</v>
      </c>
      <c r="K186" s="188"/>
      <c r="L186" s="188"/>
      <c r="M186" s="189" t="s">
        <v>847</v>
      </c>
      <c r="N186" s="190">
        <v>195.76</v>
      </c>
      <c r="O186" s="190">
        <f t="shared" si="16"/>
        <v>213.38</v>
      </c>
      <c r="P186" s="191">
        <f t="shared" si="17"/>
        <v>0</v>
      </c>
      <c r="Q186" s="192">
        <f t="shared" si="18"/>
        <v>0</v>
      </c>
      <c r="R186" s="193"/>
      <c r="S186" s="194"/>
      <c r="T186" s="195">
        <f t="shared" si="19"/>
        <v>0</v>
      </c>
      <c r="U186" s="195">
        <f t="shared" si="20"/>
        <v>0</v>
      </c>
      <c r="V186" s="195">
        <f t="shared" si="21"/>
        <v>0</v>
      </c>
      <c r="W186" s="196" t="e">
        <f t="shared" si="22"/>
        <v>#DIV/0!</v>
      </c>
      <c r="X186" s="197" t="e">
        <f t="shared" si="23"/>
        <v>#DIV/0!</v>
      </c>
    </row>
    <row r="187" ht="11.4" hidden="1" customHeight="1" spans="1:24">
      <c r="A187" s="184" t="s">
        <v>1173</v>
      </c>
      <c r="B187" s="184" t="s">
        <v>113</v>
      </c>
      <c r="C187" s="184" t="s">
        <v>1101</v>
      </c>
      <c r="D187" s="185" t="s">
        <v>522</v>
      </c>
      <c r="E187" s="186" t="s">
        <v>906</v>
      </c>
      <c r="F187" s="186" t="s">
        <v>907</v>
      </c>
      <c r="G187" s="186" t="s">
        <v>1102</v>
      </c>
      <c r="H187" s="186" t="s">
        <v>1174</v>
      </c>
      <c r="I187" s="187" t="s">
        <v>1256</v>
      </c>
      <c r="J187" s="187" t="s">
        <v>1257</v>
      </c>
      <c r="K187" s="188"/>
      <c r="L187" s="188"/>
      <c r="M187" s="189" t="s">
        <v>847</v>
      </c>
      <c r="N187" s="190">
        <v>214.82</v>
      </c>
      <c r="O187" s="190">
        <f t="shared" si="16"/>
        <v>234.15</v>
      </c>
      <c r="P187" s="191">
        <f t="shared" si="17"/>
        <v>0</v>
      </c>
      <c r="Q187" s="192">
        <f t="shared" si="18"/>
        <v>0</v>
      </c>
      <c r="R187" s="193"/>
      <c r="S187" s="194"/>
      <c r="T187" s="195">
        <f t="shared" si="19"/>
        <v>0</v>
      </c>
      <c r="U187" s="195">
        <f t="shared" si="20"/>
        <v>0</v>
      </c>
      <c r="V187" s="195">
        <f t="shared" si="21"/>
        <v>0</v>
      </c>
      <c r="W187" s="196" t="e">
        <f t="shared" si="22"/>
        <v>#DIV/0!</v>
      </c>
      <c r="X187" s="197" t="e">
        <f t="shared" si="23"/>
        <v>#DIV/0!</v>
      </c>
    </row>
    <row r="188" ht="11.4" hidden="1" customHeight="1" spans="1:24">
      <c r="A188" s="184" t="s">
        <v>1173</v>
      </c>
      <c r="B188" s="184" t="s">
        <v>113</v>
      </c>
      <c r="C188" s="184" t="s">
        <v>1101</v>
      </c>
      <c r="D188" s="185" t="s">
        <v>522</v>
      </c>
      <c r="E188" s="186" t="s">
        <v>906</v>
      </c>
      <c r="F188" s="186" t="s">
        <v>907</v>
      </c>
      <c r="G188" s="186" t="s">
        <v>1102</v>
      </c>
      <c r="H188" s="186" t="s">
        <v>1174</v>
      </c>
      <c r="I188" s="187" t="s">
        <v>1258</v>
      </c>
      <c r="J188" s="187" t="s">
        <v>1259</v>
      </c>
      <c r="K188" s="188"/>
      <c r="L188" s="188"/>
      <c r="M188" s="189" t="s">
        <v>847</v>
      </c>
      <c r="N188" s="190">
        <v>236.6</v>
      </c>
      <c r="O188" s="190">
        <f t="shared" si="16"/>
        <v>257.89</v>
      </c>
      <c r="P188" s="191">
        <f t="shared" si="17"/>
        <v>0</v>
      </c>
      <c r="Q188" s="192">
        <f t="shared" si="18"/>
        <v>0</v>
      </c>
      <c r="R188" s="193"/>
      <c r="S188" s="194"/>
      <c r="T188" s="195">
        <f t="shared" si="19"/>
        <v>0</v>
      </c>
      <c r="U188" s="195">
        <f t="shared" si="20"/>
        <v>0</v>
      </c>
      <c r="V188" s="195">
        <f t="shared" si="21"/>
        <v>0</v>
      </c>
      <c r="W188" s="196" t="e">
        <f t="shared" si="22"/>
        <v>#DIV/0!</v>
      </c>
      <c r="X188" s="197" t="e">
        <f t="shared" si="23"/>
        <v>#DIV/0!</v>
      </c>
    </row>
    <row r="189" ht="11.4" hidden="1" customHeight="1" spans="1:24">
      <c r="A189" s="184" t="s">
        <v>1173</v>
      </c>
      <c r="B189" s="184" t="s">
        <v>113</v>
      </c>
      <c r="C189" s="184" t="s">
        <v>1101</v>
      </c>
      <c r="D189" s="185" t="s">
        <v>522</v>
      </c>
      <c r="E189" s="186" t="s">
        <v>906</v>
      </c>
      <c r="F189" s="186" t="s">
        <v>907</v>
      </c>
      <c r="G189" s="186" t="s">
        <v>1102</v>
      </c>
      <c r="H189" s="186" t="s">
        <v>1174</v>
      </c>
      <c r="I189" s="187" t="s">
        <v>1260</v>
      </c>
      <c r="J189" s="187" t="s">
        <v>1261</v>
      </c>
      <c r="K189" s="188"/>
      <c r="L189" s="188"/>
      <c r="M189" s="189" t="s">
        <v>847</v>
      </c>
      <c r="N189" s="190">
        <v>224.5</v>
      </c>
      <c r="O189" s="190">
        <f t="shared" si="16"/>
        <v>244.71</v>
      </c>
      <c r="P189" s="191">
        <f t="shared" si="17"/>
        <v>0</v>
      </c>
      <c r="Q189" s="192">
        <f t="shared" si="18"/>
        <v>0</v>
      </c>
      <c r="R189" s="193"/>
      <c r="S189" s="194"/>
      <c r="T189" s="195">
        <f t="shared" si="19"/>
        <v>0</v>
      </c>
      <c r="U189" s="195">
        <f t="shared" si="20"/>
        <v>0</v>
      </c>
      <c r="V189" s="195">
        <f t="shared" si="21"/>
        <v>0</v>
      </c>
      <c r="W189" s="196" t="e">
        <f t="shared" si="22"/>
        <v>#DIV/0!</v>
      </c>
      <c r="X189" s="197" t="e">
        <f t="shared" si="23"/>
        <v>#DIV/0!</v>
      </c>
    </row>
    <row r="190" ht="11.4" hidden="1" customHeight="1" spans="1:24">
      <c r="A190" s="184" t="s">
        <v>1173</v>
      </c>
      <c r="B190" s="184" t="s">
        <v>113</v>
      </c>
      <c r="C190" s="184" t="s">
        <v>1101</v>
      </c>
      <c r="D190" s="185" t="s">
        <v>522</v>
      </c>
      <c r="E190" s="186" t="s">
        <v>906</v>
      </c>
      <c r="F190" s="186" t="s">
        <v>907</v>
      </c>
      <c r="G190" s="186" t="s">
        <v>1102</v>
      </c>
      <c r="H190" s="186" t="s">
        <v>1174</v>
      </c>
      <c r="I190" s="187" t="s">
        <v>1262</v>
      </c>
      <c r="J190" s="187" t="s">
        <v>1263</v>
      </c>
      <c r="K190" s="188"/>
      <c r="L190" s="188"/>
      <c r="M190" s="189" t="s">
        <v>807</v>
      </c>
      <c r="N190" s="190">
        <v>56.04</v>
      </c>
      <c r="O190" s="190">
        <f t="shared" si="16"/>
        <v>61.08</v>
      </c>
      <c r="P190" s="191">
        <f t="shared" si="17"/>
        <v>0</v>
      </c>
      <c r="Q190" s="192">
        <f t="shared" si="18"/>
        <v>0</v>
      </c>
      <c r="R190" s="193"/>
      <c r="S190" s="194"/>
      <c r="T190" s="195">
        <f t="shared" si="19"/>
        <v>0</v>
      </c>
      <c r="U190" s="195">
        <f t="shared" si="20"/>
        <v>0</v>
      </c>
      <c r="V190" s="195">
        <f t="shared" si="21"/>
        <v>0</v>
      </c>
      <c r="W190" s="196" t="e">
        <f t="shared" si="22"/>
        <v>#DIV/0!</v>
      </c>
      <c r="X190" s="197" t="e">
        <f t="shared" si="23"/>
        <v>#DIV/0!</v>
      </c>
    </row>
    <row r="191" ht="11.4" hidden="1" customHeight="1" spans="1:24">
      <c r="A191" s="184" t="s">
        <v>1173</v>
      </c>
      <c r="B191" s="184" t="s">
        <v>113</v>
      </c>
      <c r="C191" s="184" t="s">
        <v>1101</v>
      </c>
      <c r="D191" s="185" t="s">
        <v>522</v>
      </c>
      <c r="E191" s="186" t="s">
        <v>906</v>
      </c>
      <c r="F191" s="186" t="s">
        <v>907</v>
      </c>
      <c r="G191" s="186" t="s">
        <v>1102</v>
      </c>
      <c r="H191" s="186" t="s">
        <v>1174</v>
      </c>
      <c r="I191" s="187" t="s">
        <v>1264</v>
      </c>
      <c r="J191" s="187" t="s">
        <v>1265</v>
      </c>
      <c r="K191" s="188"/>
      <c r="L191" s="188"/>
      <c r="M191" s="189" t="s">
        <v>847</v>
      </c>
      <c r="N191" s="190">
        <v>93.15</v>
      </c>
      <c r="O191" s="190">
        <f t="shared" si="16"/>
        <v>101.53</v>
      </c>
      <c r="P191" s="191">
        <f t="shared" si="17"/>
        <v>0</v>
      </c>
      <c r="Q191" s="192">
        <f t="shared" si="18"/>
        <v>0</v>
      </c>
      <c r="R191" s="193"/>
      <c r="S191" s="194"/>
      <c r="T191" s="195">
        <f t="shared" si="19"/>
        <v>0</v>
      </c>
      <c r="U191" s="195">
        <f t="shared" si="20"/>
        <v>0</v>
      </c>
      <c r="V191" s="195">
        <f t="shared" si="21"/>
        <v>0</v>
      </c>
      <c r="W191" s="196" t="e">
        <f t="shared" si="22"/>
        <v>#DIV/0!</v>
      </c>
      <c r="X191" s="197" t="e">
        <f t="shared" si="23"/>
        <v>#DIV/0!</v>
      </c>
    </row>
    <row r="192" ht="11.4" hidden="1" customHeight="1" spans="1:24">
      <c r="A192" s="184" t="s">
        <v>1173</v>
      </c>
      <c r="B192" s="184" t="s">
        <v>113</v>
      </c>
      <c r="C192" s="184" t="s">
        <v>1101</v>
      </c>
      <c r="D192" s="185" t="s">
        <v>522</v>
      </c>
      <c r="E192" s="186" t="s">
        <v>906</v>
      </c>
      <c r="F192" s="186" t="s">
        <v>907</v>
      </c>
      <c r="G192" s="186" t="s">
        <v>1102</v>
      </c>
      <c r="H192" s="186" t="s">
        <v>1174</v>
      </c>
      <c r="I192" s="187" t="s">
        <v>1266</v>
      </c>
      <c r="J192" s="187" t="s">
        <v>1267</v>
      </c>
      <c r="K192" s="188"/>
      <c r="L192" s="188"/>
      <c r="M192" s="189" t="s">
        <v>847</v>
      </c>
      <c r="N192" s="190">
        <v>197.35</v>
      </c>
      <c r="O192" s="190">
        <f t="shared" si="16"/>
        <v>215.11</v>
      </c>
      <c r="P192" s="191">
        <f t="shared" si="17"/>
        <v>0</v>
      </c>
      <c r="Q192" s="192">
        <f t="shared" si="18"/>
        <v>0</v>
      </c>
      <c r="R192" s="193"/>
      <c r="S192" s="194"/>
      <c r="T192" s="195">
        <f t="shared" si="19"/>
        <v>0</v>
      </c>
      <c r="U192" s="195">
        <f t="shared" si="20"/>
        <v>0</v>
      </c>
      <c r="V192" s="195">
        <f t="shared" si="21"/>
        <v>0</v>
      </c>
      <c r="W192" s="196" t="e">
        <f t="shared" si="22"/>
        <v>#DIV/0!</v>
      </c>
      <c r="X192" s="197" t="e">
        <f t="shared" si="23"/>
        <v>#DIV/0!</v>
      </c>
    </row>
    <row r="193" ht="11.4" hidden="1" customHeight="1" spans="1:27">
      <c r="A193" s="184" t="s">
        <v>1173</v>
      </c>
      <c r="B193" s="184" t="s">
        <v>113</v>
      </c>
      <c r="C193" s="184" t="s">
        <v>1101</v>
      </c>
      <c r="D193" s="185" t="s">
        <v>522</v>
      </c>
      <c r="E193" s="186" t="s">
        <v>906</v>
      </c>
      <c r="F193" s="186" t="s">
        <v>907</v>
      </c>
      <c r="G193" s="186" t="s">
        <v>1102</v>
      </c>
      <c r="H193" s="186" t="s">
        <v>1174</v>
      </c>
      <c r="I193" s="187" t="s">
        <v>1268</v>
      </c>
      <c r="J193" s="187" t="s">
        <v>1269</v>
      </c>
      <c r="K193" s="188"/>
      <c r="L193" s="188"/>
      <c r="M193" s="189" t="s">
        <v>847</v>
      </c>
      <c r="N193" s="190">
        <v>189.53</v>
      </c>
      <c r="O193" s="190">
        <f t="shared" si="16"/>
        <v>206.59</v>
      </c>
      <c r="P193" s="191">
        <f t="shared" si="17"/>
        <v>0</v>
      </c>
      <c r="Q193" s="192">
        <f t="shared" si="18"/>
        <v>0</v>
      </c>
      <c r="R193" s="193"/>
      <c r="S193" s="194"/>
      <c r="T193" s="195">
        <f t="shared" si="19"/>
        <v>0</v>
      </c>
      <c r="U193" s="195">
        <f t="shared" si="20"/>
        <v>0</v>
      </c>
      <c r="V193" s="195">
        <f t="shared" si="21"/>
        <v>0</v>
      </c>
      <c r="W193" s="196" t="e">
        <f t="shared" si="22"/>
        <v>#DIV/0!</v>
      </c>
      <c r="X193" s="197" t="e">
        <f t="shared" si="23"/>
        <v>#DIV/0!</v>
      </c>
    </row>
    <row r="194" ht="11.4" hidden="1" customHeight="1" spans="1:27">
      <c r="A194" s="184" t="s">
        <v>1173</v>
      </c>
      <c r="B194" s="184" t="s">
        <v>113</v>
      </c>
      <c r="C194" s="184" t="s">
        <v>1101</v>
      </c>
      <c r="D194" s="185" t="s">
        <v>522</v>
      </c>
      <c r="E194" s="186" t="s">
        <v>906</v>
      </c>
      <c r="F194" s="186" t="s">
        <v>907</v>
      </c>
      <c r="G194" s="186" t="s">
        <v>1102</v>
      </c>
      <c r="H194" s="186" t="s">
        <v>1174</v>
      </c>
      <c r="I194" s="187" t="s">
        <v>1270</v>
      </c>
      <c r="J194" s="187" t="s">
        <v>1271</v>
      </c>
      <c r="K194" s="188"/>
      <c r="L194" s="188"/>
      <c r="M194" s="189" t="s">
        <v>847</v>
      </c>
      <c r="N194" s="190">
        <v>200.98</v>
      </c>
      <c r="O194" s="190">
        <f t="shared" si="16"/>
        <v>219.07</v>
      </c>
      <c r="P194" s="191">
        <f t="shared" si="17"/>
        <v>0</v>
      </c>
      <c r="Q194" s="192">
        <f t="shared" si="18"/>
        <v>0</v>
      </c>
      <c r="R194" s="193"/>
      <c r="S194" s="194"/>
      <c r="T194" s="195">
        <f t="shared" si="19"/>
        <v>0</v>
      </c>
      <c r="U194" s="195">
        <f t="shared" si="20"/>
        <v>0</v>
      </c>
      <c r="V194" s="195">
        <f t="shared" si="21"/>
        <v>0</v>
      </c>
      <c r="W194" s="196" t="e">
        <f t="shared" si="22"/>
        <v>#DIV/0!</v>
      </c>
      <c r="X194" s="197" t="e">
        <f t="shared" si="23"/>
        <v>#DIV/0!</v>
      </c>
    </row>
    <row r="195" ht="11.4" hidden="1" customHeight="1" spans="1:27">
      <c r="A195" s="184" t="s">
        <v>1173</v>
      </c>
      <c r="B195" s="184" t="s">
        <v>113</v>
      </c>
      <c r="C195" s="184" t="s">
        <v>1101</v>
      </c>
      <c r="D195" s="185" t="s">
        <v>522</v>
      </c>
      <c r="E195" s="186" t="s">
        <v>906</v>
      </c>
      <c r="F195" s="186" t="s">
        <v>907</v>
      </c>
      <c r="G195" s="186" t="s">
        <v>1102</v>
      </c>
      <c r="H195" s="186" t="s">
        <v>1174</v>
      </c>
      <c r="I195" s="187" t="s">
        <v>1272</v>
      </c>
      <c r="J195" s="187" t="s">
        <v>1273</v>
      </c>
      <c r="K195" s="188"/>
      <c r="L195" s="188"/>
      <c r="M195" s="189" t="s">
        <v>847</v>
      </c>
      <c r="N195" s="190">
        <v>187.67</v>
      </c>
      <c r="O195" s="190">
        <f t="shared" si="16"/>
        <v>204.56</v>
      </c>
      <c r="P195" s="191">
        <f t="shared" si="17"/>
        <v>0</v>
      </c>
      <c r="Q195" s="192">
        <f t="shared" si="18"/>
        <v>0</v>
      </c>
      <c r="R195" s="193"/>
      <c r="S195" s="194"/>
      <c r="T195" s="195">
        <f t="shared" si="19"/>
        <v>0</v>
      </c>
      <c r="U195" s="195">
        <f t="shared" si="20"/>
        <v>0</v>
      </c>
      <c r="V195" s="195">
        <f t="shared" si="21"/>
        <v>0</v>
      </c>
      <c r="W195" s="196" t="e">
        <f t="shared" si="22"/>
        <v>#DIV/0!</v>
      </c>
      <c r="X195" s="197" t="e">
        <f t="shared" si="23"/>
        <v>#DIV/0!</v>
      </c>
    </row>
    <row r="196" ht="11.4" hidden="1" customHeight="1" spans="1:27">
      <c r="A196" s="184" t="s">
        <v>1173</v>
      </c>
      <c r="B196" s="184" t="s">
        <v>113</v>
      </c>
      <c r="C196" s="184" t="s">
        <v>1101</v>
      </c>
      <c r="D196" s="185" t="s">
        <v>522</v>
      </c>
      <c r="E196" s="186" t="s">
        <v>906</v>
      </c>
      <c r="F196" s="186" t="s">
        <v>907</v>
      </c>
      <c r="G196" s="186" t="s">
        <v>1102</v>
      </c>
      <c r="H196" s="186" t="s">
        <v>1174</v>
      </c>
      <c r="I196" s="187" t="s">
        <v>1274</v>
      </c>
      <c r="J196" s="187" t="s">
        <v>1275</v>
      </c>
      <c r="K196" s="188"/>
      <c r="L196" s="188"/>
      <c r="M196" s="189" t="s">
        <v>847</v>
      </c>
      <c r="N196" s="190">
        <v>187.67</v>
      </c>
      <c r="O196" s="190">
        <f t="shared" si="16"/>
        <v>204.56</v>
      </c>
      <c r="P196" s="191">
        <f t="shared" si="17"/>
        <v>0</v>
      </c>
      <c r="Q196" s="192">
        <f t="shared" si="18"/>
        <v>0</v>
      </c>
      <c r="R196" s="193"/>
      <c r="S196" s="194"/>
      <c r="T196" s="195">
        <f t="shared" si="19"/>
        <v>0</v>
      </c>
      <c r="U196" s="195">
        <f t="shared" si="20"/>
        <v>0</v>
      </c>
      <c r="V196" s="195">
        <f t="shared" si="21"/>
        <v>0</v>
      </c>
      <c r="W196" s="196" t="e">
        <f t="shared" si="22"/>
        <v>#DIV/0!</v>
      </c>
      <c r="X196" s="197" t="e">
        <f t="shared" si="23"/>
        <v>#DIV/0!</v>
      </c>
    </row>
    <row r="197" ht="11.4" hidden="1" customHeight="1" spans="1:27">
      <c r="A197" s="184" t="s">
        <v>1173</v>
      </c>
      <c r="B197" s="184" t="s">
        <v>113</v>
      </c>
      <c r="C197" s="184" t="s">
        <v>1101</v>
      </c>
      <c r="D197" s="185" t="s">
        <v>522</v>
      </c>
      <c r="E197" s="186" t="s">
        <v>906</v>
      </c>
      <c r="F197" s="186" t="s">
        <v>907</v>
      </c>
      <c r="G197" s="186" t="s">
        <v>1102</v>
      </c>
      <c r="H197" s="186" t="s">
        <v>1174</v>
      </c>
      <c r="I197" s="187" t="s">
        <v>1276</v>
      </c>
      <c r="J197" s="187" t="s">
        <v>1277</v>
      </c>
      <c r="K197" s="188">
        <v>33.2</v>
      </c>
      <c r="L197" s="188">
        <v>33.39</v>
      </c>
      <c r="M197" s="189" t="s">
        <v>847</v>
      </c>
      <c r="N197" s="190">
        <v>187.67</v>
      </c>
      <c r="O197" s="190">
        <f t="shared" si="16"/>
        <v>204.56</v>
      </c>
      <c r="P197" s="191">
        <f t="shared" si="17"/>
        <v>6230.64</v>
      </c>
      <c r="Q197" s="192">
        <f t="shared" si="18"/>
        <v>6266.3</v>
      </c>
      <c r="R197" s="193"/>
      <c r="S197" s="194"/>
      <c r="T197" s="195">
        <f t="shared" si="19"/>
        <v>-0.189999999999998</v>
      </c>
      <c r="U197" s="195">
        <f t="shared" si="20"/>
        <v>-35.6599999999999</v>
      </c>
      <c r="V197" s="195">
        <f t="shared" si="21"/>
        <v>35.6599999999999</v>
      </c>
      <c r="W197" s="196">
        <f t="shared" si="22"/>
        <v>-0.00569032644504336</v>
      </c>
      <c r="X197" s="197">
        <f t="shared" si="23"/>
        <v>0.00569032644504336</v>
      </c>
    </row>
    <row r="198" ht="11.4" hidden="1" customHeight="1" spans="1:27">
      <c r="A198" s="184" t="s">
        <v>1173</v>
      </c>
      <c r="B198" s="184" t="s">
        <v>113</v>
      </c>
      <c r="C198" s="184" t="s">
        <v>1101</v>
      </c>
      <c r="D198" s="185" t="s">
        <v>522</v>
      </c>
      <c r="E198" s="186" t="s">
        <v>906</v>
      </c>
      <c r="F198" s="186" t="s">
        <v>907</v>
      </c>
      <c r="G198" s="186" t="s">
        <v>1102</v>
      </c>
      <c r="H198" s="186" t="s">
        <v>1174</v>
      </c>
      <c r="I198" s="187" t="s">
        <v>1278</v>
      </c>
      <c r="J198" s="187" t="s">
        <v>1279</v>
      </c>
      <c r="K198" s="188"/>
      <c r="L198" s="188"/>
      <c r="M198" s="189" t="s">
        <v>847</v>
      </c>
      <c r="N198" s="190">
        <v>127.13</v>
      </c>
      <c r="O198" s="190">
        <f t="shared" si="16"/>
        <v>138.57</v>
      </c>
      <c r="P198" s="191">
        <f t="shared" si="17"/>
        <v>0</v>
      </c>
      <c r="Q198" s="192">
        <f t="shared" si="18"/>
        <v>0</v>
      </c>
      <c r="R198" s="193"/>
      <c r="S198" s="194"/>
      <c r="T198" s="195">
        <f t="shared" si="19"/>
        <v>0</v>
      </c>
      <c r="U198" s="195">
        <f t="shared" si="20"/>
        <v>0</v>
      </c>
      <c r="V198" s="195">
        <f t="shared" si="21"/>
        <v>0</v>
      </c>
      <c r="W198" s="196" t="e">
        <f t="shared" si="22"/>
        <v>#DIV/0!</v>
      </c>
      <c r="X198" s="197" t="e">
        <f t="shared" si="23"/>
        <v>#DIV/0!</v>
      </c>
    </row>
    <row r="199" ht="11.4" hidden="1" customHeight="1" spans="1:27">
      <c r="A199" s="184" t="s">
        <v>1173</v>
      </c>
      <c r="B199" s="184" t="s">
        <v>113</v>
      </c>
      <c r="C199" s="184" t="s">
        <v>1101</v>
      </c>
      <c r="D199" s="185" t="s">
        <v>522</v>
      </c>
      <c r="E199" s="186" t="s">
        <v>906</v>
      </c>
      <c r="F199" s="186" t="s">
        <v>907</v>
      </c>
      <c r="G199" s="186" t="s">
        <v>1102</v>
      </c>
      <c r="H199" s="186" t="s">
        <v>1174</v>
      </c>
      <c r="I199" s="187" t="s">
        <v>1280</v>
      </c>
      <c r="J199" s="187" t="s">
        <v>1281</v>
      </c>
      <c r="K199" s="188"/>
      <c r="L199" s="188"/>
      <c r="M199" s="189" t="s">
        <v>847</v>
      </c>
      <c r="N199" s="190">
        <v>115.53</v>
      </c>
      <c r="O199" s="190">
        <f t="shared" si="16"/>
        <v>125.93</v>
      </c>
      <c r="P199" s="191">
        <f t="shared" si="17"/>
        <v>0</v>
      </c>
      <c r="Q199" s="192">
        <f t="shared" si="18"/>
        <v>0</v>
      </c>
      <c r="R199" s="193"/>
      <c r="S199" s="194"/>
      <c r="T199" s="195">
        <f t="shared" si="19"/>
        <v>0</v>
      </c>
      <c r="U199" s="195">
        <f t="shared" si="20"/>
        <v>0</v>
      </c>
      <c r="V199" s="195">
        <f t="shared" si="21"/>
        <v>0</v>
      </c>
      <c r="W199" s="196" t="e">
        <f t="shared" si="22"/>
        <v>#DIV/0!</v>
      </c>
      <c r="X199" s="197" t="e">
        <f t="shared" si="23"/>
        <v>#DIV/0!</v>
      </c>
    </row>
    <row r="200" ht="11.4" hidden="1" customHeight="1" spans="1:27">
      <c r="A200" s="184" t="s">
        <v>1173</v>
      </c>
      <c r="B200" s="184" t="s">
        <v>113</v>
      </c>
      <c r="C200" s="184" t="s">
        <v>1101</v>
      </c>
      <c r="D200" s="185" t="s">
        <v>522</v>
      </c>
      <c r="E200" s="186" t="s">
        <v>906</v>
      </c>
      <c r="F200" s="186" t="s">
        <v>907</v>
      </c>
      <c r="G200" s="186" t="s">
        <v>1102</v>
      </c>
      <c r="H200" s="186" t="s">
        <v>1174</v>
      </c>
      <c r="I200" s="187" t="s">
        <v>1282</v>
      </c>
      <c r="J200" s="187" t="s">
        <v>1283</v>
      </c>
      <c r="K200" s="188"/>
      <c r="L200" s="188"/>
      <c r="M200" s="189" t="s">
        <v>847</v>
      </c>
      <c r="N200" s="190">
        <v>131.37</v>
      </c>
      <c r="O200" s="190">
        <f t="shared" si="16"/>
        <v>143.19</v>
      </c>
      <c r="P200" s="191">
        <f t="shared" si="17"/>
        <v>0</v>
      </c>
      <c r="Q200" s="192">
        <f t="shared" si="18"/>
        <v>0</v>
      </c>
      <c r="R200" s="193"/>
      <c r="S200" s="194"/>
      <c r="T200" s="195">
        <f t="shared" si="19"/>
        <v>0</v>
      </c>
      <c r="U200" s="195">
        <f t="shared" si="20"/>
        <v>0</v>
      </c>
      <c r="V200" s="195">
        <f t="shared" si="21"/>
        <v>0</v>
      </c>
      <c r="W200" s="196" t="e">
        <f t="shared" si="22"/>
        <v>#DIV/0!</v>
      </c>
      <c r="X200" s="197" t="e">
        <f t="shared" si="23"/>
        <v>#DIV/0!</v>
      </c>
    </row>
    <row r="201" ht="11.4" customHeight="1" spans="1:27">
      <c r="A201" s="184" t="s">
        <v>1173</v>
      </c>
      <c r="B201" s="184" t="s">
        <v>113</v>
      </c>
      <c r="C201" s="184" t="s">
        <v>1101</v>
      </c>
      <c r="D201" s="185" t="s">
        <v>522</v>
      </c>
      <c r="E201" s="186" t="s">
        <v>906</v>
      </c>
      <c r="F201" s="186" t="s">
        <v>907</v>
      </c>
      <c r="G201" s="186" t="s">
        <v>1102</v>
      </c>
      <c r="H201" s="186" t="s">
        <v>1174</v>
      </c>
      <c r="I201" s="187" t="s">
        <v>1284</v>
      </c>
      <c r="J201" s="187" t="s">
        <v>1285</v>
      </c>
      <c r="K201" s="188"/>
      <c r="L201" s="188"/>
      <c r="M201" s="189" t="s">
        <v>847</v>
      </c>
      <c r="N201" s="190">
        <v>139.83</v>
      </c>
      <c r="O201" s="190">
        <f t="shared" si="16"/>
        <v>152.41</v>
      </c>
      <c r="P201" s="191">
        <f t="shared" si="17"/>
        <v>0</v>
      </c>
      <c r="Q201" s="192">
        <f t="shared" si="18"/>
        <v>0</v>
      </c>
      <c r="R201" s="193"/>
      <c r="S201" s="194"/>
      <c r="T201" s="195">
        <f t="shared" si="19"/>
        <v>0</v>
      </c>
      <c r="U201" s="195">
        <f t="shared" si="20"/>
        <v>0</v>
      </c>
      <c r="V201" s="195">
        <f t="shared" si="21"/>
        <v>0</v>
      </c>
      <c r="W201" s="196" t="e">
        <f t="shared" si="22"/>
        <v>#DIV/0!</v>
      </c>
      <c r="X201" s="197" t="e">
        <f t="shared" si="23"/>
        <v>#DIV/0!</v>
      </c>
    </row>
    <row r="202" ht="11.4" customHeight="1" spans="1:27">
      <c r="A202" s="184" t="s">
        <v>1173</v>
      </c>
      <c r="B202" s="184" t="s">
        <v>113</v>
      </c>
      <c r="C202" s="184" t="s">
        <v>1101</v>
      </c>
      <c r="D202" s="185" t="s">
        <v>522</v>
      </c>
      <c r="E202" s="186" t="s">
        <v>906</v>
      </c>
      <c r="F202" s="186" t="s">
        <v>907</v>
      </c>
      <c r="G202" s="186" t="s">
        <v>1102</v>
      </c>
      <c r="H202" s="186" t="s">
        <v>1174</v>
      </c>
      <c r="I202" s="187" t="s">
        <v>1286</v>
      </c>
      <c r="J202" s="187" t="s">
        <v>1287</v>
      </c>
      <c r="K202" s="188"/>
      <c r="L202" s="188"/>
      <c r="M202" s="189" t="s">
        <v>847</v>
      </c>
      <c r="N202" s="190">
        <v>129.44</v>
      </c>
      <c r="O202" s="190">
        <f t="shared" si="16"/>
        <v>141.09</v>
      </c>
      <c r="P202" s="191">
        <f t="shared" si="17"/>
        <v>0</v>
      </c>
      <c r="Q202" s="192">
        <f t="shared" si="18"/>
        <v>0</v>
      </c>
      <c r="R202" s="193"/>
      <c r="S202" s="194"/>
      <c r="T202" s="195">
        <f t="shared" si="19"/>
        <v>0</v>
      </c>
      <c r="U202" s="195">
        <f t="shared" si="20"/>
        <v>0</v>
      </c>
      <c r="V202" s="195">
        <f t="shared" si="21"/>
        <v>0</v>
      </c>
      <c r="W202" s="196" t="e">
        <f t="shared" si="22"/>
        <v>#DIV/0!</v>
      </c>
      <c r="X202" s="197" t="e">
        <f t="shared" si="23"/>
        <v>#DIV/0!</v>
      </c>
    </row>
    <row r="203" ht="11.4" customHeight="1" spans="1:27">
      <c r="A203" s="184" t="s">
        <v>1173</v>
      </c>
      <c r="B203" s="184" t="s">
        <v>113</v>
      </c>
      <c r="C203" s="184" t="s">
        <v>1101</v>
      </c>
      <c r="D203" s="185" t="s">
        <v>522</v>
      </c>
      <c r="E203" s="186" t="s">
        <v>906</v>
      </c>
      <c r="F203" s="186" t="s">
        <v>907</v>
      </c>
      <c r="G203" s="186" t="s">
        <v>1102</v>
      </c>
      <c r="H203" s="186" t="s">
        <v>1174</v>
      </c>
      <c r="I203" s="187" t="s">
        <v>1288</v>
      </c>
      <c r="J203" s="187" t="s">
        <v>1289</v>
      </c>
      <c r="K203" s="188">
        <v>36.39</v>
      </c>
      <c r="L203" s="188">
        <v>36.6</v>
      </c>
      <c r="M203" s="189" t="s">
        <v>847</v>
      </c>
      <c r="N203" s="190">
        <v>139.83</v>
      </c>
      <c r="O203" s="190">
        <f t="shared" si="16"/>
        <v>152.41</v>
      </c>
      <c r="P203" s="191">
        <f t="shared" si="17"/>
        <v>5088.41</v>
      </c>
      <c r="Q203" s="192">
        <f t="shared" si="18"/>
        <v>5117.78</v>
      </c>
      <c r="R203" s="193"/>
      <c r="S203" s="194"/>
      <c r="T203" s="195">
        <f t="shared" si="19"/>
        <v>-0.210000000000001</v>
      </c>
      <c r="U203" s="195">
        <f t="shared" si="20"/>
        <v>-29.3699999999999</v>
      </c>
      <c r="V203" s="195">
        <f t="shared" si="21"/>
        <v>29.3699999999999</v>
      </c>
      <c r="W203" s="196">
        <f t="shared" si="22"/>
        <v>-0.00573770491803281</v>
      </c>
      <c r="X203" s="197">
        <f t="shared" si="23"/>
        <v>0.00573770491803281</v>
      </c>
    </row>
    <row r="204" ht="11.4" hidden="1" customHeight="1" spans="1:27">
      <c r="A204" s="184" t="s">
        <v>1173</v>
      </c>
      <c r="B204" s="184" t="s">
        <v>113</v>
      </c>
      <c r="C204" s="184" t="s">
        <v>1101</v>
      </c>
      <c r="D204" s="185" t="s">
        <v>522</v>
      </c>
      <c r="E204" s="186" t="s">
        <v>906</v>
      </c>
      <c r="F204" s="186" t="s">
        <v>907</v>
      </c>
      <c r="G204" s="186" t="s">
        <v>1102</v>
      </c>
      <c r="H204" s="186" t="s">
        <v>1174</v>
      </c>
      <c r="I204" s="187" t="s">
        <v>1290</v>
      </c>
      <c r="J204" s="187" t="s">
        <v>1291</v>
      </c>
      <c r="K204" s="188"/>
      <c r="L204" s="188"/>
      <c r="M204" s="189" t="s">
        <v>847</v>
      </c>
      <c r="N204" s="190">
        <v>167.98</v>
      </c>
      <c r="O204" s="190">
        <f t="shared" si="16"/>
        <v>183.1</v>
      </c>
      <c r="P204" s="191">
        <f t="shared" si="17"/>
        <v>0</v>
      </c>
      <c r="Q204" s="192">
        <f t="shared" si="18"/>
        <v>0</v>
      </c>
      <c r="R204" s="193"/>
      <c r="S204" s="194"/>
      <c r="T204" s="195">
        <f t="shared" si="19"/>
        <v>0</v>
      </c>
      <c r="U204" s="195">
        <f t="shared" si="20"/>
        <v>0</v>
      </c>
      <c r="V204" s="195">
        <f t="shared" si="21"/>
        <v>0</v>
      </c>
      <c r="W204" s="196" t="e">
        <f t="shared" si="22"/>
        <v>#DIV/0!</v>
      </c>
      <c r="X204" s="197" t="e">
        <f t="shared" si="23"/>
        <v>#DIV/0!</v>
      </c>
    </row>
    <row r="205" ht="11.4" hidden="1" customHeight="1" spans="1:27">
      <c r="A205" s="184" t="s">
        <v>1173</v>
      </c>
      <c r="B205" s="184" t="s">
        <v>113</v>
      </c>
      <c r="C205" s="184" t="s">
        <v>1101</v>
      </c>
      <c r="D205" s="185" t="s">
        <v>522</v>
      </c>
      <c r="E205" s="186" t="s">
        <v>906</v>
      </c>
      <c r="F205" s="186" t="s">
        <v>907</v>
      </c>
      <c r="G205" s="186" t="s">
        <v>1102</v>
      </c>
      <c r="H205" s="186" t="s">
        <v>1174</v>
      </c>
      <c r="I205" s="187" t="s">
        <v>1292</v>
      </c>
      <c r="J205" s="187" t="s">
        <v>1293</v>
      </c>
      <c r="K205" s="188"/>
      <c r="L205" s="188"/>
      <c r="M205" s="189" t="s">
        <v>847</v>
      </c>
      <c r="N205" s="190">
        <v>147.41</v>
      </c>
      <c r="O205" s="190">
        <f t="shared" ref="O205:O268" si="24">ROUND(N205*(1+$F$10),2)</f>
        <v>160.68</v>
      </c>
      <c r="P205" s="191">
        <f t="shared" ref="P205:P268" si="25">ROUND(K205*N205,2)</f>
        <v>0</v>
      </c>
      <c r="Q205" s="192">
        <f t="shared" ref="Q205:Q268" si="26">ROUND(L205*N205,2)</f>
        <v>0</v>
      </c>
      <c r="R205" s="193"/>
      <c r="S205" s="194"/>
      <c r="T205" s="195">
        <f t="shared" ref="T205:T268" si="27">K205-L205</f>
        <v>0</v>
      </c>
      <c r="U205" s="195">
        <f t="shared" ref="U205:U268" si="28">P205-Q205</f>
        <v>0</v>
      </c>
      <c r="V205" s="195">
        <f t="shared" ref="V205:V268" si="29">ABS(U205)</f>
        <v>0</v>
      </c>
      <c r="W205" s="196" t="e">
        <f t="shared" ref="W205:W268" si="30">T205/L205</f>
        <v>#DIV/0!</v>
      </c>
      <c r="X205" s="197" t="e">
        <f t="shared" ref="X205:X268" si="31">ABS(W205)</f>
        <v>#DIV/0!</v>
      </c>
    </row>
    <row r="206" ht="11.4" hidden="1" customHeight="1" spans="1:27">
      <c r="A206" s="184" t="s">
        <v>1173</v>
      </c>
      <c r="B206" s="184" t="s">
        <v>113</v>
      </c>
      <c r="C206" s="184" t="s">
        <v>1101</v>
      </c>
      <c r="D206" s="185" t="s">
        <v>522</v>
      </c>
      <c r="E206" s="186" t="s">
        <v>906</v>
      </c>
      <c r="F206" s="186" t="s">
        <v>907</v>
      </c>
      <c r="G206" s="186" t="s">
        <v>1102</v>
      </c>
      <c r="H206" s="186" t="s">
        <v>1174</v>
      </c>
      <c r="I206" s="187" t="s">
        <v>1294</v>
      </c>
      <c r="J206" s="198" t="s">
        <v>1295</v>
      </c>
      <c r="K206" s="200">
        <v>16.82</v>
      </c>
      <c r="L206" s="188">
        <v>14.09</v>
      </c>
      <c r="M206" s="189" t="s">
        <v>847</v>
      </c>
      <c r="N206" s="190">
        <v>169.19</v>
      </c>
      <c r="O206" s="190">
        <f t="shared" si="24"/>
        <v>184.42</v>
      </c>
      <c r="P206" s="191">
        <f t="shared" si="25"/>
        <v>2845.78</v>
      </c>
      <c r="Q206" s="192">
        <f t="shared" si="26"/>
        <v>2383.89</v>
      </c>
      <c r="R206" s="193"/>
      <c r="S206" s="194"/>
      <c r="T206" s="195">
        <f t="shared" si="27"/>
        <v>2.73</v>
      </c>
      <c r="U206" s="195">
        <f t="shared" si="28"/>
        <v>461.89</v>
      </c>
      <c r="V206" s="195">
        <f t="shared" si="29"/>
        <v>461.89</v>
      </c>
      <c r="W206" s="196">
        <f t="shared" si="30"/>
        <v>0.19375443577005</v>
      </c>
      <c r="X206" s="197">
        <f t="shared" si="31"/>
        <v>0.19375443577005</v>
      </c>
      <c r="AA206" s="201" t="s">
        <v>3253</v>
      </c>
    </row>
    <row r="207" ht="11.4" hidden="1" customHeight="1" spans="1:27">
      <c r="A207" s="184" t="s">
        <v>1173</v>
      </c>
      <c r="B207" s="184" t="s">
        <v>113</v>
      </c>
      <c r="C207" s="184" t="s">
        <v>1101</v>
      </c>
      <c r="D207" s="185" t="s">
        <v>522</v>
      </c>
      <c r="E207" s="186" t="s">
        <v>906</v>
      </c>
      <c r="F207" s="186" t="s">
        <v>907</v>
      </c>
      <c r="G207" s="186" t="s">
        <v>1102</v>
      </c>
      <c r="H207" s="186" t="s">
        <v>1174</v>
      </c>
      <c r="I207" s="187" t="s">
        <v>1296</v>
      </c>
      <c r="J207" s="187" t="s">
        <v>1297</v>
      </c>
      <c r="K207" s="188"/>
      <c r="L207" s="188"/>
      <c r="M207" s="189" t="s">
        <v>847</v>
      </c>
      <c r="N207" s="190">
        <v>194.93</v>
      </c>
      <c r="O207" s="190">
        <f t="shared" si="24"/>
        <v>212.47</v>
      </c>
      <c r="P207" s="191">
        <f t="shared" si="25"/>
        <v>0</v>
      </c>
      <c r="Q207" s="192">
        <f t="shared" si="26"/>
        <v>0</v>
      </c>
      <c r="R207" s="193"/>
      <c r="S207" s="194"/>
      <c r="T207" s="195">
        <f t="shared" si="27"/>
        <v>0</v>
      </c>
      <c r="U207" s="195">
        <f t="shared" si="28"/>
        <v>0</v>
      </c>
      <c r="V207" s="195">
        <f t="shared" si="29"/>
        <v>0</v>
      </c>
      <c r="W207" s="196" t="e">
        <f t="shared" si="30"/>
        <v>#DIV/0!</v>
      </c>
      <c r="X207" s="197" t="e">
        <f t="shared" si="31"/>
        <v>#DIV/0!</v>
      </c>
    </row>
    <row r="208" ht="11.4" hidden="1" customHeight="1" spans="1:27">
      <c r="A208" s="184" t="s">
        <v>1173</v>
      </c>
      <c r="B208" s="184" t="s">
        <v>113</v>
      </c>
      <c r="C208" s="184" t="s">
        <v>1101</v>
      </c>
      <c r="D208" s="185" t="s">
        <v>522</v>
      </c>
      <c r="E208" s="186" t="s">
        <v>906</v>
      </c>
      <c r="F208" s="186" t="s">
        <v>907</v>
      </c>
      <c r="G208" s="186" t="s">
        <v>1102</v>
      </c>
      <c r="H208" s="186" t="s">
        <v>1174</v>
      </c>
      <c r="I208" s="187" t="s">
        <v>1298</v>
      </c>
      <c r="J208" s="187" t="s">
        <v>1299</v>
      </c>
      <c r="K208" s="188"/>
      <c r="L208" s="188"/>
      <c r="M208" s="189" t="s">
        <v>847</v>
      </c>
      <c r="N208" s="190">
        <v>177.99</v>
      </c>
      <c r="O208" s="190">
        <f t="shared" si="24"/>
        <v>194.01</v>
      </c>
      <c r="P208" s="191">
        <f t="shared" si="25"/>
        <v>0</v>
      </c>
      <c r="Q208" s="192">
        <f t="shared" si="26"/>
        <v>0</v>
      </c>
      <c r="R208" s="193"/>
      <c r="S208" s="194"/>
      <c r="T208" s="195">
        <f t="shared" si="27"/>
        <v>0</v>
      </c>
      <c r="U208" s="195">
        <f t="shared" si="28"/>
        <v>0</v>
      </c>
      <c r="V208" s="195">
        <f t="shared" si="29"/>
        <v>0</v>
      </c>
      <c r="W208" s="196" t="e">
        <f t="shared" si="30"/>
        <v>#DIV/0!</v>
      </c>
      <c r="X208" s="197" t="e">
        <f t="shared" si="31"/>
        <v>#DIV/0!</v>
      </c>
    </row>
    <row r="209" ht="11.4" hidden="1" customHeight="1" spans="1:24">
      <c r="A209" s="184" t="s">
        <v>1173</v>
      </c>
      <c r="B209" s="184" t="s">
        <v>113</v>
      </c>
      <c r="C209" s="184" t="s">
        <v>1101</v>
      </c>
      <c r="D209" s="185" t="s">
        <v>522</v>
      </c>
      <c r="E209" s="186" t="s">
        <v>906</v>
      </c>
      <c r="F209" s="186" t="s">
        <v>907</v>
      </c>
      <c r="G209" s="186" t="s">
        <v>1102</v>
      </c>
      <c r="H209" s="186" t="s">
        <v>1174</v>
      </c>
      <c r="I209" s="187" t="s">
        <v>1300</v>
      </c>
      <c r="J209" s="187" t="s">
        <v>1301</v>
      </c>
      <c r="K209" s="188"/>
      <c r="L209" s="188"/>
      <c r="M209" s="189" t="s">
        <v>847</v>
      </c>
      <c r="N209" s="190">
        <v>196.14</v>
      </c>
      <c r="O209" s="190">
        <f t="shared" si="24"/>
        <v>213.79</v>
      </c>
      <c r="P209" s="191">
        <f t="shared" si="25"/>
        <v>0</v>
      </c>
      <c r="Q209" s="192">
        <f t="shared" si="26"/>
        <v>0</v>
      </c>
      <c r="R209" s="193"/>
      <c r="S209" s="194"/>
      <c r="T209" s="195">
        <f t="shared" si="27"/>
        <v>0</v>
      </c>
      <c r="U209" s="195">
        <f t="shared" si="28"/>
        <v>0</v>
      </c>
      <c r="V209" s="195">
        <f t="shared" si="29"/>
        <v>0</v>
      </c>
      <c r="W209" s="196" t="e">
        <f t="shared" si="30"/>
        <v>#DIV/0!</v>
      </c>
      <c r="X209" s="197" t="e">
        <f t="shared" si="31"/>
        <v>#DIV/0!</v>
      </c>
    </row>
    <row r="210" ht="11.4" hidden="1" customHeight="1" spans="1:24">
      <c r="A210" s="184" t="s">
        <v>1173</v>
      </c>
      <c r="B210" s="184" t="s">
        <v>113</v>
      </c>
      <c r="C210" s="184" t="s">
        <v>1101</v>
      </c>
      <c r="D210" s="185" t="s">
        <v>522</v>
      </c>
      <c r="E210" s="186" t="s">
        <v>906</v>
      </c>
      <c r="F210" s="186" t="s">
        <v>907</v>
      </c>
      <c r="G210" s="186" t="s">
        <v>1102</v>
      </c>
      <c r="H210" s="186" t="s">
        <v>1174</v>
      </c>
      <c r="I210" s="187" t="s">
        <v>1302</v>
      </c>
      <c r="J210" s="187" t="s">
        <v>1303</v>
      </c>
      <c r="K210" s="188"/>
      <c r="L210" s="188"/>
      <c r="M210" s="189" t="s">
        <v>847</v>
      </c>
      <c r="N210" s="190">
        <v>194.93</v>
      </c>
      <c r="O210" s="190">
        <f t="shared" si="24"/>
        <v>212.47</v>
      </c>
      <c r="P210" s="191">
        <f t="shared" si="25"/>
        <v>0</v>
      </c>
      <c r="Q210" s="192">
        <f t="shared" si="26"/>
        <v>0</v>
      </c>
      <c r="R210" s="193"/>
      <c r="S210" s="194"/>
      <c r="T210" s="195">
        <f t="shared" si="27"/>
        <v>0</v>
      </c>
      <c r="U210" s="195">
        <f t="shared" si="28"/>
        <v>0</v>
      </c>
      <c r="V210" s="195">
        <f t="shared" si="29"/>
        <v>0</v>
      </c>
      <c r="W210" s="196" t="e">
        <f t="shared" si="30"/>
        <v>#DIV/0!</v>
      </c>
      <c r="X210" s="197" t="e">
        <f t="shared" si="31"/>
        <v>#DIV/0!</v>
      </c>
    </row>
    <row r="211" ht="11.4" hidden="1" customHeight="1" spans="1:24">
      <c r="A211" s="184" t="s">
        <v>1173</v>
      </c>
      <c r="B211" s="184" t="s">
        <v>113</v>
      </c>
      <c r="C211" s="184" t="s">
        <v>1101</v>
      </c>
      <c r="D211" s="185" t="s">
        <v>522</v>
      </c>
      <c r="E211" s="186" t="s">
        <v>906</v>
      </c>
      <c r="F211" s="186" t="s">
        <v>907</v>
      </c>
      <c r="G211" s="186" t="s">
        <v>1102</v>
      </c>
      <c r="H211" s="186" t="s">
        <v>1174</v>
      </c>
      <c r="I211" s="187" t="s">
        <v>1304</v>
      </c>
      <c r="J211" s="187" t="s">
        <v>1305</v>
      </c>
      <c r="K211" s="188"/>
      <c r="L211" s="188"/>
      <c r="M211" s="189" t="s">
        <v>847</v>
      </c>
      <c r="N211" s="190">
        <v>180.41</v>
      </c>
      <c r="O211" s="190">
        <f t="shared" si="24"/>
        <v>196.65</v>
      </c>
      <c r="P211" s="191">
        <f t="shared" si="25"/>
        <v>0</v>
      </c>
      <c r="Q211" s="192">
        <f t="shared" si="26"/>
        <v>0</v>
      </c>
      <c r="R211" s="193"/>
      <c r="S211" s="194"/>
      <c r="T211" s="195">
        <f t="shared" si="27"/>
        <v>0</v>
      </c>
      <c r="U211" s="195">
        <f t="shared" si="28"/>
        <v>0</v>
      </c>
      <c r="V211" s="195">
        <f t="shared" si="29"/>
        <v>0</v>
      </c>
      <c r="W211" s="196" t="e">
        <f t="shared" si="30"/>
        <v>#DIV/0!</v>
      </c>
      <c r="X211" s="197" t="e">
        <f t="shared" si="31"/>
        <v>#DIV/0!</v>
      </c>
    </row>
    <row r="212" ht="11.4" hidden="1" customHeight="1" spans="1:24">
      <c r="A212" s="184" t="s">
        <v>1173</v>
      </c>
      <c r="B212" s="184" t="s">
        <v>113</v>
      </c>
      <c r="C212" s="184" t="s">
        <v>1101</v>
      </c>
      <c r="D212" s="185" t="s">
        <v>522</v>
      </c>
      <c r="E212" s="186" t="s">
        <v>906</v>
      </c>
      <c r="F212" s="186" t="s">
        <v>907</v>
      </c>
      <c r="G212" s="186" t="s">
        <v>1102</v>
      </c>
      <c r="H212" s="186" t="s">
        <v>1174</v>
      </c>
      <c r="I212" s="187" t="s">
        <v>1306</v>
      </c>
      <c r="J212" s="187" t="s">
        <v>1307</v>
      </c>
      <c r="K212" s="188"/>
      <c r="L212" s="188"/>
      <c r="M212" s="189" t="s">
        <v>847</v>
      </c>
      <c r="N212" s="190">
        <v>194.93</v>
      </c>
      <c r="O212" s="190">
        <f t="shared" si="24"/>
        <v>212.47</v>
      </c>
      <c r="P212" s="191">
        <f t="shared" si="25"/>
        <v>0</v>
      </c>
      <c r="Q212" s="192">
        <f t="shared" si="26"/>
        <v>0</v>
      </c>
      <c r="R212" s="193"/>
      <c r="S212" s="194"/>
      <c r="T212" s="195">
        <f t="shared" si="27"/>
        <v>0</v>
      </c>
      <c r="U212" s="195">
        <f t="shared" si="28"/>
        <v>0</v>
      </c>
      <c r="V212" s="195">
        <f t="shared" si="29"/>
        <v>0</v>
      </c>
      <c r="W212" s="196" t="e">
        <f t="shared" si="30"/>
        <v>#DIV/0!</v>
      </c>
      <c r="X212" s="197" t="e">
        <f t="shared" si="31"/>
        <v>#DIV/0!</v>
      </c>
    </row>
    <row r="213" ht="11.4" hidden="1" customHeight="1" spans="1:24">
      <c r="A213" s="184" t="s">
        <v>1173</v>
      </c>
      <c r="B213" s="184" t="s">
        <v>113</v>
      </c>
      <c r="C213" s="184" t="s">
        <v>1101</v>
      </c>
      <c r="D213" s="185" t="s">
        <v>522</v>
      </c>
      <c r="E213" s="186" t="s">
        <v>906</v>
      </c>
      <c r="F213" s="186" t="s">
        <v>907</v>
      </c>
      <c r="G213" s="186" t="s">
        <v>1102</v>
      </c>
      <c r="H213" s="186" t="s">
        <v>1174</v>
      </c>
      <c r="I213" s="187" t="s">
        <v>1308</v>
      </c>
      <c r="J213" s="187" t="s">
        <v>1309</v>
      </c>
      <c r="K213" s="188"/>
      <c r="L213" s="188"/>
      <c r="M213" s="189" t="s">
        <v>847</v>
      </c>
      <c r="N213" s="190">
        <v>237.28</v>
      </c>
      <c r="O213" s="190">
        <f t="shared" si="24"/>
        <v>258.64</v>
      </c>
      <c r="P213" s="191">
        <f t="shared" si="25"/>
        <v>0</v>
      </c>
      <c r="Q213" s="192">
        <f t="shared" si="26"/>
        <v>0</v>
      </c>
      <c r="R213" s="193"/>
      <c r="S213" s="194"/>
      <c r="T213" s="195">
        <f t="shared" si="27"/>
        <v>0</v>
      </c>
      <c r="U213" s="195">
        <f t="shared" si="28"/>
        <v>0</v>
      </c>
      <c r="V213" s="195">
        <f t="shared" si="29"/>
        <v>0</v>
      </c>
      <c r="W213" s="196" t="e">
        <f t="shared" si="30"/>
        <v>#DIV/0!</v>
      </c>
      <c r="X213" s="197" t="e">
        <f t="shared" si="31"/>
        <v>#DIV/0!</v>
      </c>
    </row>
    <row r="214" ht="11.4" hidden="1" customHeight="1" spans="1:24">
      <c r="A214" s="184" t="s">
        <v>1173</v>
      </c>
      <c r="B214" s="184" t="s">
        <v>113</v>
      </c>
      <c r="C214" s="184" t="s">
        <v>1101</v>
      </c>
      <c r="D214" s="185" t="s">
        <v>522</v>
      </c>
      <c r="E214" s="186" t="s">
        <v>906</v>
      </c>
      <c r="F214" s="186" t="s">
        <v>907</v>
      </c>
      <c r="G214" s="186" t="s">
        <v>1102</v>
      </c>
      <c r="H214" s="186" t="s">
        <v>1174</v>
      </c>
      <c r="I214" s="187" t="s">
        <v>1310</v>
      </c>
      <c r="J214" s="187" t="s">
        <v>1311</v>
      </c>
      <c r="K214" s="188"/>
      <c r="L214" s="188"/>
      <c r="M214" s="189" t="s">
        <v>847</v>
      </c>
      <c r="N214" s="190">
        <v>208.24</v>
      </c>
      <c r="O214" s="190">
        <f t="shared" si="24"/>
        <v>226.98</v>
      </c>
      <c r="P214" s="191">
        <f t="shared" si="25"/>
        <v>0</v>
      </c>
      <c r="Q214" s="192">
        <f t="shared" si="26"/>
        <v>0</v>
      </c>
      <c r="R214" s="193"/>
      <c r="S214" s="194"/>
      <c r="T214" s="195">
        <f t="shared" si="27"/>
        <v>0</v>
      </c>
      <c r="U214" s="195">
        <f t="shared" si="28"/>
        <v>0</v>
      </c>
      <c r="V214" s="195">
        <f t="shared" si="29"/>
        <v>0</v>
      </c>
      <c r="W214" s="196" t="e">
        <f t="shared" si="30"/>
        <v>#DIV/0!</v>
      </c>
      <c r="X214" s="197" t="e">
        <f t="shared" si="31"/>
        <v>#DIV/0!</v>
      </c>
    </row>
    <row r="215" ht="11.4" hidden="1" customHeight="1" spans="1:24">
      <c r="A215" s="184" t="s">
        <v>1173</v>
      </c>
      <c r="B215" s="184" t="s">
        <v>113</v>
      </c>
      <c r="C215" s="184" t="s">
        <v>1101</v>
      </c>
      <c r="D215" s="185" t="s">
        <v>522</v>
      </c>
      <c r="E215" s="186" t="s">
        <v>906</v>
      </c>
      <c r="F215" s="186" t="s">
        <v>907</v>
      </c>
      <c r="G215" s="186" t="s">
        <v>1102</v>
      </c>
      <c r="H215" s="186" t="s">
        <v>1174</v>
      </c>
      <c r="I215" s="187" t="s">
        <v>1312</v>
      </c>
      <c r="J215" s="187" t="s">
        <v>1313</v>
      </c>
      <c r="K215" s="188"/>
      <c r="L215" s="188"/>
      <c r="M215" s="189" t="s">
        <v>847</v>
      </c>
      <c r="N215" s="190">
        <v>237.28</v>
      </c>
      <c r="O215" s="190">
        <f t="shared" si="24"/>
        <v>258.64</v>
      </c>
      <c r="P215" s="191">
        <f t="shared" si="25"/>
        <v>0</v>
      </c>
      <c r="Q215" s="192">
        <f t="shared" si="26"/>
        <v>0</v>
      </c>
      <c r="R215" s="193"/>
      <c r="S215" s="194"/>
      <c r="T215" s="195">
        <f t="shared" si="27"/>
        <v>0</v>
      </c>
      <c r="U215" s="195">
        <f t="shared" si="28"/>
        <v>0</v>
      </c>
      <c r="V215" s="195">
        <f t="shared" si="29"/>
        <v>0</v>
      </c>
      <c r="W215" s="196" t="e">
        <f t="shared" si="30"/>
        <v>#DIV/0!</v>
      </c>
      <c r="X215" s="197" t="e">
        <f t="shared" si="31"/>
        <v>#DIV/0!</v>
      </c>
    </row>
    <row r="216" ht="11.4" hidden="1" customHeight="1" spans="1:24">
      <c r="A216" s="184" t="s">
        <v>1173</v>
      </c>
      <c r="B216" s="184" t="s">
        <v>113</v>
      </c>
      <c r="C216" s="184" t="s">
        <v>1101</v>
      </c>
      <c r="D216" s="185" t="s">
        <v>522</v>
      </c>
      <c r="E216" s="186" t="s">
        <v>906</v>
      </c>
      <c r="F216" s="186" t="s">
        <v>907</v>
      </c>
      <c r="G216" s="186" t="s">
        <v>1102</v>
      </c>
      <c r="H216" s="186" t="s">
        <v>1174</v>
      </c>
      <c r="I216" s="187" t="s">
        <v>1314</v>
      </c>
      <c r="J216" s="187" t="s">
        <v>1315</v>
      </c>
      <c r="K216" s="188"/>
      <c r="L216" s="188"/>
      <c r="M216" s="189" t="s">
        <v>847</v>
      </c>
      <c r="N216" s="190">
        <v>179.53</v>
      </c>
      <c r="O216" s="190">
        <f t="shared" si="24"/>
        <v>195.69</v>
      </c>
      <c r="P216" s="191">
        <f t="shared" si="25"/>
        <v>0</v>
      </c>
      <c r="Q216" s="192">
        <f t="shared" si="26"/>
        <v>0</v>
      </c>
      <c r="R216" s="193"/>
      <c r="S216" s="194"/>
      <c r="T216" s="195">
        <f t="shared" si="27"/>
        <v>0</v>
      </c>
      <c r="U216" s="195">
        <f t="shared" si="28"/>
        <v>0</v>
      </c>
      <c r="V216" s="195">
        <f t="shared" si="29"/>
        <v>0</v>
      </c>
      <c r="W216" s="196" t="e">
        <f t="shared" si="30"/>
        <v>#DIV/0!</v>
      </c>
      <c r="X216" s="197" t="e">
        <f t="shared" si="31"/>
        <v>#DIV/0!</v>
      </c>
    </row>
    <row r="217" ht="11.4" hidden="1" customHeight="1" spans="1:24">
      <c r="A217" s="184" t="s">
        <v>1173</v>
      </c>
      <c r="B217" s="184" t="s">
        <v>113</v>
      </c>
      <c r="C217" s="184" t="s">
        <v>1101</v>
      </c>
      <c r="D217" s="185" t="s">
        <v>522</v>
      </c>
      <c r="E217" s="186" t="s">
        <v>906</v>
      </c>
      <c r="F217" s="186" t="s">
        <v>907</v>
      </c>
      <c r="G217" s="186" t="s">
        <v>1102</v>
      </c>
      <c r="H217" s="186" t="s">
        <v>1174</v>
      </c>
      <c r="I217" s="187" t="s">
        <v>1316</v>
      </c>
      <c r="J217" s="187" t="s">
        <v>1317</v>
      </c>
      <c r="K217" s="188"/>
      <c r="L217" s="188"/>
      <c r="M217" s="189" t="s">
        <v>847</v>
      </c>
      <c r="N217" s="190">
        <v>168.64</v>
      </c>
      <c r="O217" s="190">
        <f t="shared" si="24"/>
        <v>183.82</v>
      </c>
      <c r="P217" s="191">
        <f t="shared" si="25"/>
        <v>0</v>
      </c>
      <c r="Q217" s="192">
        <f t="shared" si="26"/>
        <v>0</v>
      </c>
      <c r="R217" s="193"/>
      <c r="S217" s="194"/>
      <c r="T217" s="195">
        <f t="shared" si="27"/>
        <v>0</v>
      </c>
      <c r="U217" s="195">
        <f t="shared" si="28"/>
        <v>0</v>
      </c>
      <c r="V217" s="195">
        <f t="shared" si="29"/>
        <v>0</v>
      </c>
      <c r="W217" s="196" t="e">
        <f t="shared" si="30"/>
        <v>#DIV/0!</v>
      </c>
      <c r="X217" s="197" t="e">
        <f t="shared" si="31"/>
        <v>#DIV/0!</v>
      </c>
    </row>
    <row r="218" ht="11.4" hidden="1" customHeight="1" spans="1:24">
      <c r="A218" s="184" t="s">
        <v>1173</v>
      </c>
      <c r="B218" s="184" t="s">
        <v>113</v>
      </c>
      <c r="C218" s="184" t="s">
        <v>1101</v>
      </c>
      <c r="D218" s="185" t="s">
        <v>522</v>
      </c>
      <c r="E218" s="186" t="s">
        <v>906</v>
      </c>
      <c r="F218" s="186" t="s">
        <v>907</v>
      </c>
      <c r="G218" s="186" t="s">
        <v>1102</v>
      </c>
      <c r="H218" s="186" t="s">
        <v>1174</v>
      </c>
      <c r="I218" s="187" t="s">
        <v>1318</v>
      </c>
      <c r="J218" s="187" t="s">
        <v>1319</v>
      </c>
      <c r="K218" s="188"/>
      <c r="L218" s="188"/>
      <c r="M218" s="189" t="s">
        <v>847</v>
      </c>
      <c r="N218" s="190">
        <v>179.53</v>
      </c>
      <c r="O218" s="190">
        <f t="shared" si="24"/>
        <v>195.69</v>
      </c>
      <c r="P218" s="191">
        <f t="shared" si="25"/>
        <v>0</v>
      </c>
      <c r="Q218" s="192">
        <f t="shared" si="26"/>
        <v>0</v>
      </c>
      <c r="R218" s="193"/>
      <c r="S218" s="194"/>
      <c r="T218" s="195">
        <f t="shared" si="27"/>
        <v>0</v>
      </c>
      <c r="U218" s="195">
        <f t="shared" si="28"/>
        <v>0</v>
      </c>
      <c r="V218" s="195">
        <f t="shared" si="29"/>
        <v>0</v>
      </c>
      <c r="W218" s="196" t="e">
        <f t="shared" si="30"/>
        <v>#DIV/0!</v>
      </c>
      <c r="X218" s="197" t="e">
        <f t="shared" si="31"/>
        <v>#DIV/0!</v>
      </c>
    </row>
    <row r="219" ht="11.4" hidden="1" customHeight="1" spans="1:24">
      <c r="A219" s="184" t="s">
        <v>1173</v>
      </c>
      <c r="B219" s="184" t="s">
        <v>113</v>
      </c>
      <c r="C219" s="184" t="s">
        <v>1101</v>
      </c>
      <c r="D219" s="185" t="s">
        <v>522</v>
      </c>
      <c r="E219" s="186" t="s">
        <v>906</v>
      </c>
      <c r="F219" s="186" t="s">
        <v>907</v>
      </c>
      <c r="G219" s="186" t="s">
        <v>1102</v>
      </c>
      <c r="H219" s="186" t="s">
        <v>1174</v>
      </c>
      <c r="I219" s="187" t="s">
        <v>1320</v>
      </c>
      <c r="J219" s="187" t="s">
        <v>1321</v>
      </c>
      <c r="K219" s="188"/>
      <c r="L219" s="188"/>
      <c r="M219" s="189" t="s">
        <v>847</v>
      </c>
      <c r="N219" s="190">
        <v>169.85</v>
      </c>
      <c r="O219" s="190">
        <f t="shared" si="24"/>
        <v>185.14</v>
      </c>
      <c r="P219" s="191">
        <f t="shared" si="25"/>
        <v>0</v>
      </c>
      <c r="Q219" s="192">
        <f t="shared" si="26"/>
        <v>0</v>
      </c>
      <c r="R219" s="193"/>
      <c r="S219" s="194"/>
      <c r="T219" s="195">
        <f t="shared" si="27"/>
        <v>0</v>
      </c>
      <c r="U219" s="195">
        <f t="shared" si="28"/>
        <v>0</v>
      </c>
      <c r="V219" s="195">
        <f t="shared" si="29"/>
        <v>0</v>
      </c>
      <c r="W219" s="196" t="e">
        <f t="shared" si="30"/>
        <v>#DIV/0!</v>
      </c>
      <c r="X219" s="197" t="e">
        <f t="shared" si="31"/>
        <v>#DIV/0!</v>
      </c>
    </row>
    <row r="220" ht="11.4" hidden="1" customHeight="1" spans="1:24">
      <c r="A220" s="184" t="s">
        <v>1173</v>
      </c>
      <c r="B220" s="184" t="s">
        <v>113</v>
      </c>
      <c r="C220" s="184" t="s">
        <v>1101</v>
      </c>
      <c r="D220" s="185" t="s">
        <v>522</v>
      </c>
      <c r="E220" s="186" t="s">
        <v>906</v>
      </c>
      <c r="F220" s="186" t="s">
        <v>907</v>
      </c>
      <c r="G220" s="186" t="s">
        <v>1102</v>
      </c>
      <c r="H220" s="186" t="s">
        <v>1174</v>
      </c>
      <c r="I220" s="187" t="s">
        <v>1322</v>
      </c>
      <c r="J220" s="187" t="s">
        <v>1323</v>
      </c>
      <c r="K220" s="188"/>
      <c r="L220" s="188"/>
      <c r="M220" s="189" t="s">
        <v>847</v>
      </c>
      <c r="N220" s="190">
        <v>165.01</v>
      </c>
      <c r="O220" s="190">
        <f t="shared" si="24"/>
        <v>179.86</v>
      </c>
      <c r="P220" s="191">
        <f t="shared" si="25"/>
        <v>0</v>
      </c>
      <c r="Q220" s="192">
        <f t="shared" si="26"/>
        <v>0</v>
      </c>
      <c r="R220" s="193"/>
      <c r="S220" s="194"/>
      <c r="T220" s="195">
        <f t="shared" si="27"/>
        <v>0</v>
      </c>
      <c r="U220" s="195">
        <f t="shared" si="28"/>
        <v>0</v>
      </c>
      <c r="V220" s="195">
        <f t="shared" si="29"/>
        <v>0</v>
      </c>
      <c r="W220" s="196" t="e">
        <f t="shared" si="30"/>
        <v>#DIV/0!</v>
      </c>
      <c r="X220" s="197" t="e">
        <f t="shared" si="31"/>
        <v>#DIV/0!</v>
      </c>
    </row>
    <row r="221" ht="11.4" hidden="1" customHeight="1" spans="1:24">
      <c r="A221" s="184" t="s">
        <v>1173</v>
      </c>
      <c r="B221" s="184" t="s">
        <v>113</v>
      </c>
      <c r="C221" s="184" t="s">
        <v>1101</v>
      </c>
      <c r="D221" s="185" t="s">
        <v>522</v>
      </c>
      <c r="E221" s="186" t="s">
        <v>906</v>
      </c>
      <c r="F221" s="186" t="s">
        <v>907</v>
      </c>
      <c r="G221" s="186" t="s">
        <v>1102</v>
      </c>
      <c r="H221" s="186" t="s">
        <v>1174</v>
      </c>
      <c r="I221" s="187" t="s">
        <v>1324</v>
      </c>
      <c r="J221" s="187" t="s">
        <v>3254</v>
      </c>
      <c r="K221" s="200">
        <f>15.46+6.39+1.5</f>
        <v>23.35</v>
      </c>
      <c r="L221" s="188">
        <f>23.63+1.14</f>
        <v>24.77</v>
      </c>
      <c r="M221" s="189" t="s">
        <v>847</v>
      </c>
      <c r="N221" s="190">
        <v>169.85</v>
      </c>
      <c r="O221" s="190">
        <f t="shared" si="24"/>
        <v>185.14</v>
      </c>
      <c r="P221" s="191">
        <f t="shared" si="25"/>
        <v>3966</v>
      </c>
      <c r="Q221" s="192">
        <f t="shared" si="26"/>
        <v>4207.18</v>
      </c>
      <c r="R221" s="193"/>
      <c r="S221" s="194"/>
      <c r="T221" s="195">
        <f t="shared" si="27"/>
        <v>-1.42</v>
      </c>
      <c r="U221" s="195">
        <f t="shared" si="28"/>
        <v>-241.18</v>
      </c>
      <c r="V221" s="195">
        <f t="shared" si="29"/>
        <v>241.18</v>
      </c>
      <c r="W221" s="196">
        <f t="shared" si="30"/>
        <v>-0.0573274121921679</v>
      </c>
      <c r="X221" s="197">
        <f t="shared" si="31"/>
        <v>0.0573274121921679</v>
      </c>
    </row>
    <row r="222" ht="11.4" hidden="1" customHeight="1" spans="1:24">
      <c r="A222" s="184" t="s">
        <v>1173</v>
      </c>
      <c r="B222" s="184" t="s">
        <v>113</v>
      </c>
      <c r="C222" s="184" t="s">
        <v>1101</v>
      </c>
      <c r="D222" s="185" t="s">
        <v>522</v>
      </c>
      <c r="E222" s="186" t="s">
        <v>906</v>
      </c>
      <c r="F222" s="186" t="s">
        <v>907</v>
      </c>
      <c r="G222" s="186" t="s">
        <v>1102</v>
      </c>
      <c r="H222" s="186" t="s">
        <v>1174</v>
      </c>
      <c r="I222" s="187" t="s">
        <v>1326</v>
      </c>
      <c r="J222" s="187" t="s">
        <v>1327</v>
      </c>
      <c r="K222" s="188"/>
      <c r="L222" s="188"/>
      <c r="M222" s="189" t="s">
        <v>847</v>
      </c>
      <c r="N222" s="190">
        <v>206.06</v>
      </c>
      <c r="O222" s="190">
        <f t="shared" si="24"/>
        <v>224.61</v>
      </c>
      <c r="P222" s="191">
        <f t="shared" si="25"/>
        <v>0</v>
      </c>
      <c r="Q222" s="192">
        <f t="shared" si="26"/>
        <v>0</v>
      </c>
      <c r="R222" s="193"/>
      <c r="S222" s="194"/>
      <c r="T222" s="195">
        <f t="shared" si="27"/>
        <v>0</v>
      </c>
      <c r="U222" s="195">
        <f t="shared" si="28"/>
        <v>0</v>
      </c>
      <c r="V222" s="195">
        <f t="shared" si="29"/>
        <v>0</v>
      </c>
      <c r="W222" s="196" t="e">
        <f t="shared" si="30"/>
        <v>#DIV/0!</v>
      </c>
      <c r="X222" s="197" t="e">
        <f t="shared" si="31"/>
        <v>#DIV/0!</v>
      </c>
    </row>
    <row r="223" ht="11.4" hidden="1" customHeight="1" spans="1:24">
      <c r="A223" s="184" t="s">
        <v>1173</v>
      </c>
      <c r="B223" s="184" t="s">
        <v>113</v>
      </c>
      <c r="C223" s="184" t="s">
        <v>1101</v>
      </c>
      <c r="D223" s="185" t="s">
        <v>522</v>
      </c>
      <c r="E223" s="186" t="s">
        <v>906</v>
      </c>
      <c r="F223" s="186" t="s">
        <v>907</v>
      </c>
      <c r="G223" s="186" t="s">
        <v>1102</v>
      </c>
      <c r="H223" s="186" t="s">
        <v>1174</v>
      </c>
      <c r="I223" s="187" t="s">
        <v>1328</v>
      </c>
      <c r="J223" s="187" t="s">
        <v>1329</v>
      </c>
      <c r="K223" s="188"/>
      <c r="L223" s="188"/>
      <c r="M223" s="189" t="s">
        <v>847</v>
      </c>
      <c r="N223" s="190">
        <v>193.96</v>
      </c>
      <c r="O223" s="190">
        <f t="shared" si="24"/>
        <v>211.42</v>
      </c>
      <c r="P223" s="191">
        <f t="shared" si="25"/>
        <v>0</v>
      </c>
      <c r="Q223" s="192">
        <f t="shared" si="26"/>
        <v>0</v>
      </c>
      <c r="R223" s="193"/>
      <c r="S223" s="194"/>
      <c r="T223" s="195">
        <f t="shared" si="27"/>
        <v>0</v>
      </c>
      <c r="U223" s="195">
        <f t="shared" si="28"/>
        <v>0</v>
      </c>
      <c r="V223" s="195">
        <f t="shared" si="29"/>
        <v>0</v>
      </c>
      <c r="W223" s="196" t="e">
        <f t="shared" si="30"/>
        <v>#DIV/0!</v>
      </c>
      <c r="X223" s="197" t="e">
        <f t="shared" si="31"/>
        <v>#DIV/0!</v>
      </c>
    </row>
    <row r="224" ht="11.4" hidden="1" customHeight="1" spans="1:24">
      <c r="A224" s="184" t="s">
        <v>1173</v>
      </c>
      <c r="B224" s="184" t="s">
        <v>113</v>
      </c>
      <c r="C224" s="184" t="s">
        <v>1101</v>
      </c>
      <c r="D224" s="185" t="s">
        <v>522</v>
      </c>
      <c r="E224" s="186" t="s">
        <v>906</v>
      </c>
      <c r="F224" s="186" t="s">
        <v>907</v>
      </c>
      <c r="G224" s="186" t="s">
        <v>1102</v>
      </c>
      <c r="H224" s="186" t="s">
        <v>1174</v>
      </c>
      <c r="I224" s="187" t="s">
        <v>1330</v>
      </c>
      <c r="J224" s="187" t="s">
        <v>1331</v>
      </c>
      <c r="K224" s="188"/>
      <c r="L224" s="188"/>
      <c r="M224" s="189" t="s">
        <v>847</v>
      </c>
      <c r="N224" s="190">
        <v>215.74</v>
      </c>
      <c r="O224" s="190">
        <f t="shared" si="24"/>
        <v>235.16</v>
      </c>
      <c r="P224" s="191">
        <f t="shared" si="25"/>
        <v>0</v>
      </c>
      <c r="Q224" s="192">
        <f t="shared" si="26"/>
        <v>0</v>
      </c>
      <c r="R224" s="193"/>
      <c r="S224" s="194"/>
      <c r="T224" s="195">
        <f t="shared" si="27"/>
        <v>0</v>
      </c>
      <c r="U224" s="195">
        <f t="shared" si="28"/>
        <v>0</v>
      </c>
      <c r="V224" s="195">
        <f t="shared" si="29"/>
        <v>0</v>
      </c>
      <c r="W224" s="196" t="e">
        <f t="shared" si="30"/>
        <v>#DIV/0!</v>
      </c>
      <c r="X224" s="197" t="e">
        <f t="shared" si="31"/>
        <v>#DIV/0!</v>
      </c>
    </row>
    <row r="225" ht="11.4" hidden="1" customHeight="1" spans="1:24">
      <c r="A225" s="184" t="s">
        <v>1173</v>
      </c>
      <c r="B225" s="184" t="s">
        <v>113</v>
      </c>
      <c r="C225" s="184" t="s">
        <v>1101</v>
      </c>
      <c r="D225" s="185" t="s">
        <v>522</v>
      </c>
      <c r="E225" s="186" t="s">
        <v>906</v>
      </c>
      <c r="F225" s="186" t="s">
        <v>907</v>
      </c>
      <c r="G225" s="186" t="s">
        <v>1102</v>
      </c>
      <c r="H225" s="186" t="s">
        <v>1174</v>
      </c>
      <c r="I225" s="187" t="s">
        <v>1332</v>
      </c>
      <c r="J225" s="187" t="s">
        <v>1333</v>
      </c>
      <c r="K225" s="188"/>
      <c r="L225" s="188"/>
      <c r="M225" s="189" t="s">
        <v>793</v>
      </c>
      <c r="N225" s="190">
        <v>1376</v>
      </c>
      <c r="O225" s="190">
        <f t="shared" si="24"/>
        <v>1499.84</v>
      </c>
      <c r="P225" s="191">
        <f t="shared" si="25"/>
        <v>0</v>
      </c>
      <c r="Q225" s="192">
        <f t="shared" si="26"/>
        <v>0</v>
      </c>
      <c r="R225" s="193"/>
      <c r="S225" s="194"/>
      <c r="T225" s="195">
        <f t="shared" si="27"/>
        <v>0</v>
      </c>
      <c r="U225" s="195">
        <f t="shared" si="28"/>
        <v>0</v>
      </c>
      <c r="V225" s="195">
        <f t="shared" si="29"/>
        <v>0</v>
      </c>
      <c r="W225" s="196" t="e">
        <f t="shared" si="30"/>
        <v>#DIV/0!</v>
      </c>
      <c r="X225" s="197" t="e">
        <f t="shared" si="31"/>
        <v>#DIV/0!</v>
      </c>
    </row>
    <row r="226" ht="11.4" hidden="1" customHeight="1" spans="1:24">
      <c r="A226" s="184" t="s">
        <v>1173</v>
      </c>
      <c r="B226" s="184" t="s">
        <v>113</v>
      </c>
      <c r="C226" s="184" t="s">
        <v>1101</v>
      </c>
      <c r="D226" s="185" t="s">
        <v>522</v>
      </c>
      <c r="E226" s="186" t="s">
        <v>906</v>
      </c>
      <c r="F226" s="186" t="s">
        <v>907</v>
      </c>
      <c r="G226" s="186" t="s">
        <v>1102</v>
      </c>
      <c r="H226" s="186" t="s">
        <v>1174</v>
      </c>
      <c r="I226" s="187" t="s">
        <v>1334</v>
      </c>
      <c r="J226" s="187" t="s">
        <v>1335</v>
      </c>
      <c r="K226" s="188"/>
      <c r="L226" s="188"/>
      <c r="M226" s="189" t="s">
        <v>847</v>
      </c>
      <c r="N226" s="190">
        <v>1134.73</v>
      </c>
      <c r="O226" s="190">
        <f t="shared" si="24"/>
        <v>1236.86</v>
      </c>
      <c r="P226" s="191">
        <f t="shared" si="25"/>
        <v>0</v>
      </c>
      <c r="Q226" s="192">
        <f t="shared" si="26"/>
        <v>0</v>
      </c>
      <c r="R226" s="193"/>
      <c r="S226" s="194"/>
      <c r="T226" s="195">
        <f t="shared" si="27"/>
        <v>0</v>
      </c>
      <c r="U226" s="195">
        <f t="shared" si="28"/>
        <v>0</v>
      </c>
      <c r="V226" s="195">
        <f t="shared" si="29"/>
        <v>0</v>
      </c>
      <c r="W226" s="196" t="e">
        <f t="shared" si="30"/>
        <v>#DIV/0!</v>
      </c>
      <c r="X226" s="197" t="e">
        <f t="shared" si="31"/>
        <v>#DIV/0!</v>
      </c>
    </row>
    <row r="227" ht="11.4" hidden="1" customHeight="1" spans="1:24">
      <c r="A227" s="184" t="s">
        <v>1173</v>
      </c>
      <c r="B227" s="184" t="s">
        <v>113</v>
      </c>
      <c r="C227" s="184" t="s">
        <v>1101</v>
      </c>
      <c r="D227" s="185" t="s">
        <v>522</v>
      </c>
      <c r="E227" s="186" t="s">
        <v>906</v>
      </c>
      <c r="F227" s="186" t="s">
        <v>907</v>
      </c>
      <c r="G227" s="186" t="s">
        <v>1102</v>
      </c>
      <c r="H227" s="186" t="s">
        <v>1174</v>
      </c>
      <c r="I227" s="187" t="s">
        <v>1336</v>
      </c>
      <c r="J227" s="187" t="s">
        <v>1337</v>
      </c>
      <c r="K227" s="188"/>
      <c r="L227" s="188"/>
      <c r="M227" s="189" t="s">
        <v>847</v>
      </c>
      <c r="N227" s="190">
        <v>62.19</v>
      </c>
      <c r="O227" s="190">
        <f t="shared" si="24"/>
        <v>67.79</v>
      </c>
      <c r="P227" s="191">
        <f t="shared" si="25"/>
        <v>0</v>
      </c>
      <c r="Q227" s="192">
        <f t="shared" si="26"/>
        <v>0</v>
      </c>
      <c r="R227" s="193"/>
      <c r="S227" s="194"/>
      <c r="T227" s="195">
        <f t="shared" si="27"/>
        <v>0</v>
      </c>
      <c r="U227" s="195">
        <f t="shared" si="28"/>
        <v>0</v>
      </c>
      <c r="V227" s="195">
        <f t="shared" si="29"/>
        <v>0</v>
      </c>
      <c r="W227" s="196" t="e">
        <f t="shared" si="30"/>
        <v>#DIV/0!</v>
      </c>
      <c r="X227" s="197" t="e">
        <f t="shared" si="31"/>
        <v>#DIV/0!</v>
      </c>
    </row>
    <row r="228" ht="11.4" hidden="1" customHeight="1" spans="1:24">
      <c r="A228" s="184" t="s">
        <v>1173</v>
      </c>
      <c r="B228" s="184" t="s">
        <v>113</v>
      </c>
      <c r="C228" s="184" t="s">
        <v>1101</v>
      </c>
      <c r="D228" s="185" t="s">
        <v>522</v>
      </c>
      <c r="E228" s="186" t="s">
        <v>906</v>
      </c>
      <c r="F228" s="186" t="s">
        <v>907</v>
      </c>
      <c r="G228" s="186" t="s">
        <v>1102</v>
      </c>
      <c r="H228" s="186" t="s">
        <v>1174</v>
      </c>
      <c r="I228" s="187" t="s">
        <v>1338</v>
      </c>
      <c r="J228" s="187" t="s">
        <v>1339</v>
      </c>
      <c r="K228" s="188"/>
      <c r="L228" s="188"/>
      <c r="M228" s="189" t="s">
        <v>847</v>
      </c>
      <c r="N228" s="190">
        <v>205.04</v>
      </c>
      <c r="O228" s="190">
        <f t="shared" si="24"/>
        <v>223.49</v>
      </c>
      <c r="P228" s="191">
        <f t="shared" si="25"/>
        <v>0</v>
      </c>
      <c r="Q228" s="192">
        <f t="shared" si="26"/>
        <v>0</v>
      </c>
      <c r="R228" s="193"/>
      <c r="S228" s="194"/>
      <c r="T228" s="195">
        <f t="shared" si="27"/>
        <v>0</v>
      </c>
      <c r="U228" s="195">
        <f t="shared" si="28"/>
        <v>0</v>
      </c>
      <c r="V228" s="195">
        <f t="shared" si="29"/>
        <v>0</v>
      </c>
      <c r="W228" s="196" t="e">
        <f t="shared" si="30"/>
        <v>#DIV/0!</v>
      </c>
      <c r="X228" s="197" t="e">
        <f t="shared" si="31"/>
        <v>#DIV/0!</v>
      </c>
    </row>
    <row r="229" ht="11.4" hidden="1" customHeight="1" spans="1:24">
      <c r="A229" s="184" t="s">
        <v>1340</v>
      </c>
      <c r="B229" s="184" t="s">
        <v>133</v>
      </c>
      <c r="C229" s="184" t="s">
        <v>1341</v>
      </c>
      <c r="D229" s="185" t="s">
        <v>522</v>
      </c>
      <c r="E229" s="186" t="s">
        <v>906</v>
      </c>
      <c r="F229" s="186" t="s">
        <v>907</v>
      </c>
      <c r="G229" s="186" t="s">
        <v>1102</v>
      </c>
      <c r="H229" s="186" t="s">
        <v>1342</v>
      </c>
      <c r="I229" s="187" t="s">
        <v>1343</v>
      </c>
      <c r="J229" s="187" t="s">
        <v>1344</v>
      </c>
      <c r="K229" s="188"/>
      <c r="L229" s="188"/>
      <c r="M229" s="189" t="s">
        <v>847</v>
      </c>
      <c r="N229" s="190"/>
      <c r="O229" s="190">
        <f t="shared" si="24"/>
        <v>0</v>
      </c>
      <c r="P229" s="191">
        <f t="shared" si="25"/>
        <v>0</v>
      </c>
      <c r="Q229" s="192">
        <f t="shared" si="26"/>
        <v>0</v>
      </c>
      <c r="R229" s="193"/>
      <c r="S229" s="194"/>
      <c r="T229" s="195">
        <f t="shared" si="27"/>
        <v>0</v>
      </c>
      <c r="U229" s="195">
        <f t="shared" si="28"/>
        <v>0</v>
      </c>
      <c r="V229" s="195">
        <f t="shared" si="29"/>
        <v>0</v>
      </c>
      <c r="W229" s="196" t="e">
        <f t="shared" si="30"/>
        <v>#DIV/0!</v>
      </c>
      <c r="X229" s="197" t="e">
        <f t="shared" si="31"/>
        <v>#DIV/0!</v>
      </c>
    </row>
    <row r="230" ht="11.4" hidden="1" customHeight="1" spans="1:24">
      <c r="A230" s="184" t="s">
        <v>1340</v>
      </c>
      <c r="B230" s="184" t="s">
        <v>133</v>
      </c>
      <c r="C230" s="184" t="s">
        <v>1341</v>
      </c>
      <c r="D230" s="185" t="s">
        <v>522</v>
      </c>
      <c r="E230" s="186" t="s">
        <v>906</v>
      </c>
      <c r="F230" s="186" t="s">
        <v>907</v>
      </c>
      <c r="G230" s="186" t="s">
        <v>1102</v>
      </c>
      <c r="H230" s="186" t="s">
        <v>1342</v>
      </c>
      <c r="I230" s="187" t="s">
        <v>1345</v>
      </c>
      <c r="J230" s="187" t="s">
        <v>1346</v>
      </c>
      <c r="K230" s="188"/>
      <c r="L230" s="188"/>
      <c r="M230" s="189" t="s">
        <v>847</v>
      </c>
      <c r="N230" s="190"/>
      <c r="O230" s="190">
        <f t="shared" si="24"/>
        <v>0</v>
      </c>
      <c r="P230" s="191">
        <f t="shared" si="25"/>
        <v>0</v>
      </c>
      <c r="Q230" s="192">
        <f t="shared" si="26"/>
        <v>0</v>
      </c>
      <c r="R230" s="193"/>
      <c r="S230" s="194"/>
      <c r="T230" s="195">
        <f t="shared" si="27"/>
        <v>0</v>
      </c>
      <c r="U230" s="195">
        <f t="shared" si="28"/>
        <v>0</v>
      </c>
      <c r="V230" s="195">
        <f t="shared" si="29"/>
        <v>0</v>
      </c>
      <c r="W230" s="196" t="e">
        <f t="shared" si="30"/>
        <v>#DIV/0!</v>
      </c>
      <c r="X230" s="197" t="e">
        <f t="shared" si="31"/>
        <v>#DIV/0!</v>
      </c>
    </row>
    <row r="231" ht="11.4" hidden="1" customHeight="1" spans="1:24">
      <c r="A231" s="184" t="s">
        <v>1340</v>
      </c>
      <c r="B231" s="184" t="s">
        <v>133</v>
      </c>
      <c r="C231" s="184" t="s">
        <v>1341</v>
      </c>
      <c r="D231" s="185" t="s">
        <v>522</v>
      </c>
      <c r="E231" s="186" t="s">
        <v>906</v>
      </c>
      <c r="F231" s="186" t="s">
        <v>907</v>
      </c>
      <c r="G231" s="186" t="s">
        <v>1102</v>
      </c>
      <c r="H231" s="186" t="s">
        <v>1342</v>
      </c>
      <c r="I231" s="187" t="s">
        <v>1347</v>
      </c>
      <c r="J231" s="187" t="s">
        <v>1348</v>
      </c>
      <c r="K231" s="188"/>
      <c r="L231" s="188"/>
      <c r="M231" s="189" t="s">
        <v>847</v>
      </c>
      <c r="N231" s="190"/>
      <c r="O231" s="190">
        <f t="shared" si="24"/>
        <v>0</v>
      </c>
      <c r="P231" s="191">
        <f t="shared" si="25"/>
        <v>0</v>
      </c>
      <c r="Q231" s="192">
        <f t="shared" si="26"/>
        <v>0</v>
      </c>
      <c r="R231" s="193"/>
      <c r="S231" s="194"/>
      <c r="T231" s="195">
        <f t="shared" si="27"/>
        <v>0</v>
      </c>
      <c r="U231" s="195">
        <f t="shared" si="28"/>
        <v>0</v>
      </c>
      <c r="V231" s="195">
        <f t="shared" si="29"/>
        <v>0</v>
      </c>
      <c r="W231" s="196" t="e">
        <f t="shared" si="30"/>
        <v>#DIV/0!</v>
      </c>
      <c r="X231" s="197" t="e">
        <f t="shared" si="31"/>
        <v>#DIV/0!</v>
      </c>
    </row>
    <row r="232" ht="11.4" hidden="1" customHeight="1" spans="1:24">
      <c r="A232" s="184" t="s">
        <v>1340</v>
      </c>
      <c r="B232" s="184" t="s">
        <v>133</v>
      </c>
      <c r="C232" s="184" t="s">
        <v>1341</v>
      </c>
      <c r="D232" s="185" t="s">
        <v>522</v>
      </c>
      <c r="E232" s="186" t="s">
        <v>906</v>
      </c>
      <c r="F232" s="186" t="s">
        <v>907</v>
      </c>
      <c r="G232" s="186" t="s">
        <v>1102</v>
      </c>
      <c r="H232" s="186" t="s">
        <v>1342</v>
      </c>
      <c r="I232" s="187" t="s">
        <v>1349</v>
      </c>
      <c r="J232" s="187" t="s">
        <v>1350</v>
      </c>
      <c r="K232" s="188"/>
      <c r="L232" s="188"/>
      <c r="M232" s="189" t="s">
        <v>847</v>
      </c>
      <c r="N232" s="190">
        <v>58</v>
      </c>
      <c r="O232" s="190">
        <f t="shared" si="24"/>
        <v>63.22</v>
      </c>
      <c r="P232" s="191">
        <f t="shared" si="25"/>
        <v>0</v>
      </c>
      <c r="Q232" s="192">
        <f t="shared" si="26"/>
        <v>0</v>
      </c>
      <c r="R232" s="193"/>
      <c r="S232" s="194"/>
      <c r="T232" s="195">
        <f t="shared" si="27"/>
        <v>0</v>
      </c>
      <c r="U232" s="195">
        <f t="shared" si="28"/>
        <v>0</v>
      </c>
      <c r="V232" s="195">
        <f t="shared" si="29"/>
        <v>0</v>
      </c>
      <c r="W232" s="196" t="e">
        <f t="shared" si="30"/>
        <v>#DIV/0!</v>
      </c>
      <c r="X232" s="197" t="e">
        <f t="shared" si="31"/>
        <v>#DIV/0!</v>
      </c>
    </row>
    <row r="233" ht="11.4" hidden="1" customHeight="1" spans="1:24">
      <c r="A233" s="184" t="s">
        <v>1340</v>
      </c>
      <c r="B233" s="184" t="s">
        <v>133</v>
      </c>
      <c r="C233" s="184" t="s">
        <v>1341</v>
      </c>
      <c r="D233" s="185" t="s">
        <v>522</v>
      </c>
      <c r="E233" s="186" t="s">
        <v>906</v>
      </c>
      <c r="F233" s="186" t="s">
        <v>907</v>
      </c>
      <c r="G233" s="186" t="s">
        <v>1102</v>
      </c>
      <c r="H233" s="186" t="s">
        <v>1342</v>
      </c>
      <c r="I233" s="187" t="s">
        <v>1351</v>
      </c>
      <c r="J233" s="187" t="s">
        <v>1352</v>
      </c>
      <c r="K233" s="188"/>
      <c r="L233" s="188"/>
      <c r="M233" s="189" t="s">
        <v>847</v>
      </c>
      <c r="N233" s="190"/>
      <c r="O233" s="190">
        <f t="shared" si="24"/>
        <v>0</v>
      </c>
      <c r="P233" s="191">
        <f t="shared" si="25"/>
        <v>0</v>
      </c>
      <c r="Q233" s="192">
        <f t="shared" si="26"/>
        <v>0</v>
      </c>
      <c r="R233" s="193"/>
      <c r="S233" s="194"/>
      <c r="T233" s="195">
        <f t="shared" si="27"/>
        <v>0</v>
      </c>
      <c r="U233" s="195">
        <f t="shared" si="28"/>
        <v>0</v>
      </c>
      <c r="V233" s="195">
        <f t="shared" si="29"/>
        <v>0</v>
      </c>
      <c r="W233" s="196" t="e">
        <f t="shared" si="30"/>
        <v>#DIV/0!</v>
      </c>
      <c r="X233" s="197" t="e">
        <f t="shared" si="31"/>
        <v>#DIV/0!</v>
      </c>
    </row>
    <row r="234" ht="11.4" hidden="1" customHeight="1" spans="1:24">
      <c r="A234" s="184" t="s">
        <v>1340</v>
      </c>
      <c r="B234" s="184" t="s">
        <v>133</v>
      </c>
      <c r="C234" s="184" t="s">
        <v>1341</v>
      </c>
      <c r="D234" s="185" t="s">
        <v>522</v>
      </c>
      <c r="E234" s="186" t="s">
        <v>906</v>
      </c>
      <c r="F234" s="186" t="s">
        <v>907</v>
      </c>
      <c r="G234" s="186" t="s">
        <v>1102</v>
      </c>
      <c r="H234" s="186" t="s">
        <v>1342</v>
      </c>
      <c r="I234" s="187" t="s">
        <v>1353</v>
      </c>
      <c r="J234" s="187" t="s">
        <v>1354</v>
      </c>
      <c r="K234" s="188"/>
      <c r="L234" s="188"/>
      <c r="M234" s="189" t="s">
        <v>847</v>
      </c>
      <c r="N234" s="190">
        <v>78.07</v>
      </c>
      <c r="O234" s="190">
        <f t="shared" si="24"/>
        <v>85.1</v>
      </c>
      <c r="P234" s="191">
        <f t="shared" si="25"/>
        <v>0</v>
      </c>
      <c r="Q234" s="192">
        <f t="shared" si="26"/>
        <v>0</v>
      </c>
      <c r="R234" s="193"/>
      <c r="S234" s="194"/>
      <c r="T234" s="195">
        <f t="shared" si="27"/>
        <v>0</v>
      </c>
      <c r="U234" s="195">
        <f t="shared" si="28"/>
        <v>0</v>
      </c>
      <c r="V234" s="195">
        <f t="shared" si="29"/>
        <v>0</v>
      </c>
      <c r="W234" s="196" t="e">
        <f t="shared" si="30"/>
        <v>#DIV/0!</v>
      </c>
      <c r="X234" s="197" t="e">
        <f t="shared" si="31"/>
        <v>#DIV/0!</v>
      </c>
    </row>
    <row r="235" ht="11.4" hidden="1" customHeight="1" spans="1:24">
      <c r="A235" s="184" t="s">
        <v>1340</v>
      </c>
      <c r="B235" s="184" t="s">
        <v>133</v>
      </c>
      <c r="C235" s="184" t="s">
        <v>1341</v>
      </c>
      <c r="D235" s="185" t="s">
        <v>522</v>
      </c>
      <c r="E235" s="186" t="s">
        <v>906</v>
      </c>
      <c r="F235" s="186" t="s">
        <v>907</v>
      </c>
      <c r="G235" s="186" t="s">
        <v>1102</v>
      </c>
      <c r="H235" s="186" t="s">
        <v>1342</v>
      </c>
      <c r="I235" s="187" t="s">
        <v>1355</v>
      </c>
      <c r="J235" s="187" t="s">
        <v>1356</v>
      </c>
      <c r="K235" s="188"/>
      <c r="L235" s="188"/>
      <c r="M235" s="189" t="s">
        <v>847</v>
      </c>
      <c r="N235" s="190">
        <v>358.52</v>
      </c>
      <c r="O235" s="190">
        <f t="shared" si="24"/>
        <v>390.79</v>
      </c>
      <c r="P235" s="191">
        <f t="shared" si="25"/>
        <v>0</v>
      </c>
      <c r="Q235" s="192">
        <f t="shared" si="26"/>
        <v>0</v>
      </c>
      <c r="R235" s="193"/>
      <c r="S235" s="194"/>
      <c r="T235" s="195">
        <f t="shared" si="27"/>
        <v>0</v>
      </c>
      <c r="U235" s="195">
        <f t="shared" si="28"/>
        <v>0</v>
      </c>
      <c r="V235" s="195">
        <f t="shared" si="29"/>
        <v>0</v>
      </c>
      <c r="W235" s="196" t="e">
        <f t="shared" si="30"/>
        <v>#DIV/0!</v>
      </c>
      <c r="X235" s="197" t="e">
        <f t="shared" si="31"/>
        <v>#DIV/0!</v>
      </c>
    </row>
    <row r="236" ht="11.4" hidden="1" customHeight="1" spans="1:24">
      <c r="A236" s="184" t="s">
        <v>1357</v>
      </c>
      <c r="B236" s="184" t="s">
        <v>115</v>
      </c>
      <c r="C236" s="184" t="s">
        <v>1101</v>
      </c>
      <c r="D236" s="185" t="s">
        <v>522</v>
      </c>
      <c r="E236" s="186" t="s">
        <v>906</v>
      </c>
      <c r="F236" s="186" t="s">
        <v>907</v>
      </c>
      <c r="G236" s="186" t="s">
        <v>1102</v>
      </c>
      <c r="H236" s="186" t="s">
        <v>1358</v>
      </c>
      <c r="I236" s="187" t="s">
        <v>1359</v>
      </c>
      <c r="J236" s="187" t="s">
        <v>1360</v>
      </c>
      <c r="K236" s="188"/>
      <c r="L236" s="188"/>
      <c r="M236" s="189" t="s">
        <v>847</v>
      </c>
      <c r="N236" s="190">
        <v>127.36</v>
      </c>
      <c r="O236" s="190">
        <f t="shared" si="24"/>
        <v>138.82</v>
      </c>
      <c r="P236" s="191">
        <f t="shared" si="25"/>
        <v>0</v>
      </c>
      <c r="Q236" s="192">
        <f t="shared" si="26"/>
        <v>0</v>
      </c>
      <c r="R236" s="193"/>
      <c r="S236" s="194"/>
      <c r="T236" s="195">
        <f t="shared" si="27"/>
        <v>0</v>
      </c>
      <c r="U236" s="195">
        <f t="shared" si="28"/>
        <v>0</v>
      </c>
      <c r="V236" s="195">
        <f t="shared" si="29"/>
        <v>0</v>
      </c>
      <c r="W236" s="196" t="e">
        <f t="shared" si="30"/>
        <v>#DIV/0!</v>
      </c>
      <c r="X236" s="197" t="e">
        <f t="shared" si="31"/>
        <v>#DIV/0!</v>
      </c>
    </row>
    <row r="237" ht="11.4" hidden="1" customHeight="1" spans="1:24">
      <c r="A237" s="184" t="s">
        <v>1357</v>
      </c>
      <c r="B237" s="184" t="s">
        <v>115</v>
      </c>
      <c r="C237" s="184" t="s">
        <v>1101</v>
      </c>
      <c r="D237" s="185" t="s">
        <v>522</v>
      </c>
      <c r="E237" s="186" t="s">
        <v>906</v>
      </c>
      <c r="F237" s="186" t="s">
        <v>907</v>
      </c>
      <c r="G237" s="186" t="s">
        <v>1102</v>
      </c>
      <c r="H237" s="186" t="s">
        <v>1358</v>
      </c>
      <c r="I237" s="187" t="s">
        <v>1362</v>
      </c>
      <c r="J237" s="187" t="s">
        <v>1363</v>
      </c>
      <c r="K237" s="188"/>
      <c r="L237" s="188"/>
      <c r="M237" s="189" t="s">
        <v>847</v>
      </c>
      <c r="N237" s="190">
        <v>138.36</v>
      </c>
      <c r="O237" s="190">
        <f t="shared" si="24"/>
        <v>150.81</v>
      </c>
      <c r="P237" s="191">
        <f t="shared" si="25"/>
        <v>0</v>
      </c>
      <c r="Q237" s="192">
        <f t="shared" si="26"/>
        <v>0</v>
      </c>
      <c r="R237" s="193"/>
      <c r="S237" s="194"/>
      <c r="T237" s="195">
        <f t="shared" si="27"/>
        <v>0</v>
      </c>
      <c r="U237" s="195">
        <f t="shared" si="28"/>
        <v>0</v>
      </c>
      <c r="V237" s="195">
        <f t="shared" si="29"/>
        <v>0</v>
      </c>
      <c r="W237" s="196" t="e">
        <f t="shared" si="30"/>
        <v>#DIV/0!</v>
      </c>
      <c r="X237" s="197" t="e">
        <f t="shared" si="31"/>
        <v>#DIV/0!</v>
      </c>
    </row>
    <row r="238" ht="11.4" hidden="1" customHeight="1" spans="1:24">
      <c r="A238" s="184" t="s">
        <v>1357</v>
      </c>
      <c r="B238" s="184" t="s">
        <v>115</v>
      </c>
      <c r="C238" s="184" t="s">
        <v>1101</v>
      </c>
      <c r="D238" s="185" t="s">
        <v>522</v>
      </c>
      <c r="E238" s="186" t="s">
        <v>906</v>
      </c>
      <c r="F238" s="186" t="s">
        <v>907</v>
      </c>
      <c r="G238" s="186" t="s">
        <v>1102</v>
      </c>
      <c r="H238" s="186" t="s">
        <v>1358</v>
      </c>
      <c r="I238" s="187" t="s">
        <v>1364</v>
      </c>
      <c r="J238" s="187" t="s">
        <v>1365</v>
      </c>
      <c r="K238" s="188"/>
      <c r="L238" s="188"/>
      <c r="M238" s="189" t="s">
        <v>847</v>
      </c>
      <c r="N238" s="190">
        <v>138.36</v>
      </c>
      <c r="O238" s="190">
        <f t="shared" si="24"/>
        <v>150.81</v>
      </c>
      <c r="P238" s="191">
        <f t="shared" si="25"/>
        <v>0</v>
      </c>
      <c r="Q238" s="192">
        <f t="shared" si="26"/>
        <v>0</v>
      </c>
      <c r="R238" s="193"/>
      <c r="S238" s="194"/>
      <c r="T238" s="195">
        <f t="shared" si="27"/>
        <v>0</v>
      </c>
      <c r="U238" s="195">
        <f t="shared" si="28"/>
        <v>0</v>
      </c>
      <c r="V238" s="195">
        <f t="shared" si="29"/>
        <v>0</v>
      </c>
      <c r="W238" s="196" t="e">
        <f t="shared" si="30"/>
        <v>#DIV/0!</v>
      </c>
      <c r="X238" s="197" t="e">
        <f t="shared" si="31"/>
        <v>#DIV/0!</v>
      </c>
    </row>
    <row r="239" ht="11.4" hidden="1" customHeight="1" spans="1:24">
      <c r="A239" s="184" t="s">
        <v>1357</v>
      </c>
      <c r="B239" s="184" t="s">
        <v>115</v>
      </c>
      <c r="C239" s="184" t="s">
        <v>1101</v>
      </c>
      <c r="D239" s="185" t="s">
        <v>522</v>
      </c>
      <c r="E239" s="186" t="s">
        <v>906</v>
      </c>
      <c r="F239" s="186" t="s">
        <v>907</v>
      </c>
      <c r="G239" s="186" t="s">
        <v>1102</v>
      </c>
      <c r="H239" s="186" t="s">
        <v>1358</v>
      </c>
      <c r="I239" s="187" t="s">
        <v>1366</v>
      </c>
      <c r="J239" s="187" t="s">
        <v>1367</v>
      </c>
      <c r="K239" s="188">
        <v>66.6</v>
      </c>
      <c r="L239" s="188">
        <v>67.12</v>
      </c>
      <c r="M239" s="189" t="s">
        <v>847</v>
      </c>
      <c r="N239" s="190">
        <v>205.49</v>
      </c>
      <c r="O239" s="190">
        <f t="shared" si="24"/>
        <v>223.98</v>
      </c>
      <c r="P239" s="191">
        <f t="shared" si="25"/>
        <v>13685.63</v>
      </c>
      <c r="Q239" s="192">
        <f t="shared" si="26"/>
        <v>13792.49</v>
      </c>
      <c r="R239" s="193"/>
      <c r="S239" s="194"/>
      <c r="T239" s="195">
        <f t="shared" si="27"/>
        <v>-0.52000000000001</v>
      </c>
      <c r="U239" s="195">
        <f t="shared" si="28"/>
        <v>-106.860000000001</v>
      </c>
      <c r="V239" s="195">
        <f t="shared" si="29"/>
        <v>106.860000000001</v>
      </c>
      <c r="W239" s="196">
        <f t="shared" si="30"/>
        <v>-0.00774731823599538</v>
      </c>
      <c r="X239" s="197">
        <f t="shared" si="31"/>
        <v>0.00774731823599538</v>
      </c>
    </row>
    <row r="240" ht="11.4" hidden="1" customHeight="1" spans="1:24">
      <c r="A240" s="184" t="s">
        <v>1357</v>
      </c>
      <c r="B240" s="184" t="s">
        <v>115</v>
      </c>
      <c r="C240" s="184" t="s">
        <v>1101</v>
      </c>
      <c r="D240" s="185" t="s">
        <v>522</v>
      </c>
      <c r="E240" s="186" t="s">
        <v>906</v>
      </c>
      <c r="F240" s="186" t="s">
        <v>907</v>
      </c>
      <c r="G240" s="186" t="s">
        <v>1102</v>
      </c>
      <c r="H240" s="186" t="s">
        <v>1358</v>
      </c>
      <c r="I240" s="187" t="s">
        <v>1368</v>
      </c>
      <c r="J240" s="187" t="s">
        <v>1369</v>
      </c>
      <c r="K240" s="188"/>
      <c r="L240" s="188"/>
      <c r="M240" s="189" t="s">
        <v>847</v>
      </c>
      <c r="N240" s="190">
        <v>263.1</v>
      </c>
      <c r="O240" s="190">
        <f t="shared" si="24"/>
        <v>286.78</v>
      </c>
      <c r="P240" s="191">
        <f t="shared" si="25"/>
        <v>0</v>
      </c>
      <c r="Q240" s="192">
        <f t="shared" si="26"/>
        <v>0</v>
      </c>
      <c r="R240" s="193"/>
      <c r="S240" s="194"/>
      <c r="T240" s="195">
        <f t="shared" si="27"/>
        <v>0</v>
      </c>
      <c r="U240" s="195">
        <f t="shared" si="28"/>
        <v>0</v>
      </c>
      <c r="V240" s="195">
        <f t="shared" si="29"/>
        <v>0</v>
      </c>
      <c r="W240" s="196" t="e">
        <f t="shared" si="30"/>
        <v>#DIV/0!</v>
      </c>
      <c r="X240" s="197" t="e">
        <f t="shared" si="31"/>
        <v>#DIV/0!</v>
      </c>
    </row>
    <row r="241" ht="11.4" hidden="1" customHeight="1" spans="1:27">
      <c r="A241" s="184" t="s">
        <v>1357</v>
      </c>
      <c r="B241" s="184" t="s">
        <v>115</v>
      </c>
      <c r="C241" s="184" t="s">
        <v>1101</v>
      </c>
      <c r="D241" s="185" t="s">
        <v>522</v>
      </c>
      <c r="E241" s="186" t="s">
        <v>906</v>
      </c>
      <c r="F241" s="186" t="s">
        <v>907</v>
      </c>
      <c r="G241" s="186" t="s">
        <v>1102</v>
      </c>
      <c r="H241" s="186" t="s">
        <v>1358</v>
      </c>
      <c r="I241" s="187" t="s">
        <v>1370</v>
      </c>
      <c r="J241" s="187" t="s">
        <v>1371</v>
      </c>
      <c r="K241" s="188"/>
      <c r="L241" s="188"/>
      <c r="M241" s="189" t="s">
        <v>847</v>
      </c>
      <c r="N241" s="190">
        <v>2280.18</v>
      </c>
      <c r="O241" s="190">
        <f t="shared" si="24"/>
        <v>2485.4</v>
      </c>
      <c r="P241" s="191">
        <f t="shared" si="25"/>
        <v>0</v>
      </c>
      <c r="Q241" s="192">
        <f t="shared" si="26"/>
        <v>0</v>
      </c>
      <c r="R241" s="193"/>
      <c r="S241" s="194"/>
      <c r="T241" s="195">
        <f t="shared" si="27"/>
        <v>0</v>
      </c>
      <c r="U241" s="195">
        <f t="shared" si="28"/>
        <v>0</v>
      </c>
      <c r="V241" s="195">
        <f t="shared" si="29"/>
        <v>0</v>
      </c>
      <c r="W241" s="196" t="e">
        <f t="shared" si="30"/>
        <v>#DIV/0!</v>
      </c>
      <c r="X241" s="197" t="e">
        <f t="shared" si="31"/>
        <v>#DIV/0!</v>
      </c>
    </row>
    <row r="242" ht="11.4" hidden="1" customHeight="1" spans="1:27">
      <c r="A242" s="184" t="s">
        <v>1357</v>
      </c>
      <c r="B242" s="184" t="s">
        <v>115</v>
      </c>
      <c r="C242" s="184" t="s">
        <v>1101</v>
      </c>
      <c r="D242" s="185" t="s">
        <v>522</v>
      </c>
      <c r="E242" s="186" t="s">
        <v>906</v>
      </c>
      <c r="F242" s="186" t="s">
        <v>907</v>
      </c>
      <c r="G242" s="186" t="s">
        <v>1102</v>
      </c>
      <c r="H242" s="186" t="s">
        <v>1358</v>
      </c>
      <c r="I242" s="187" t="s">
        <v>1372</v>
      </c>
      <c r="J242" s="187" t="s">
        <v>1373</v>
      </c>
      <c r="K242" s="188"/>
      <c r="L242" s="188"/>
      <c r="M242" s="189" t="s">
        <v>847</v>
      </c>
      <c r="N242" s="190">
        <v>508.7</v>
      </c>
      <c r="O242" s="190">
        <f t="shared" si="24"/>
        <v>554.48</v>
      </c>
      <c r="P242" s="191">
        <f t="shared" si="25"/>
        <v>0</v>
      </c>
      <c r="Q242" s="192">
        <f t="shared" si="26"/>
        <v>0</v>
      </c>
      <c r="R242" s="193"/>
      <c r="S242" s="194"/>
      <c r="T242" s="195">
        <f t="shared" si="27"/>
        <v>0</v>
      </c>
      <c r="U242" s="195">
        <f t="shared" si="28"/>
        <v>0</v>
      </c>
      <c r="V242" s="195">
        <f t="shared" si="29"/>
        <v>0</v>
      </c>
      <c r="W242" s="196" t="e">
        <f t="shared" si="30"/>
        <v>#DIV/0!</v>
      </c>
      <c r="X242" s="197" t="e">
        <f t="shared" si="31"/>
        <v>#DIV/0!</v>
      </c>
    </row>
    <row r="243" ht="11.4" hidden="1" customHeight="1" spans="1:27">
      <c r="A243" s="184" t="s">
        <v>1357</v>
      </c>
      <c r="B243" s="184" t="s">
        <v>115</v>
      </c>
      <c r="C243" s="184" t="s">
        <v>1101</v>
      </c>
      <c r="D243" s="185" t="s">
        <v>522</v>
      </c>
      <c r="E243" s="186" t="s">
        <v>906</v>
      </c>
      <c r="F243" s="186" t="s">
        <v>907</v>
      </c>
      <c r="G243" s="186" t="s">
        <v>1102</v>
      </c>
      <c r="H243" s="186" t="s">
        <v>1358</v>
      </c>
      <c r="I243" s="187" t="s">
        <v>1374</v>
      </c>
      <c r="J243" s="187" t="s">
        <v>1375</v>
      </c>
      <c r="K243" s="188"/>
      <c r="L243" s="188"/>
      <c r="M243" s="189" t="s">
        <v>847</v>
      </c>
      <c r="N243" s="190">
        <v>479.98</v>
      </c>
      <c r="O243" s="190">
        <f t="shared" si="24"/>
        <v>523.18</v>
      </c>
      <c r="P243" s="191">
        <f t="shared" si="25"/>
        <v>0</v>
      </c>
      <c r="Q243" s="192">
        <f t="shared" si="26"/>
        <v>0</v>
      </c>
      <c r="R243" s="193"/>
      <c r="S243" s="194"/>
      <c r="T243" s="195">
        <f t="shared" si="27"/>
        <v>0</v>
      </c>
      <c r="U243" s="195">
        <f t="shared" si="28"/>
        <v>0</v>
      </c>
      <c r="V243" s="195">
        <f t="shared" si="29"/>
        <v>0</v>
      </c>
      <c r="W243" s="196" t="e">
        <f t="shared" si="30"/>
        <v>#DIV/0!</v>
      </c>
      <c r="X243" s="197" t="e">
        <f t="shared" si="31"/>
        <v>#DIV/0!</v>
      </c>
    </row>
    <row r="244" ht="11.4" hidden="1" customHeight="1" spans="1:27">
      <c r="A244" s="184" t="s">
        <v>1357</v>
      </c>
      <c r="B244" s="184" t="s">
        <v>115</v>
      </c>
      <c r="C244" s="184" t="s">
        <v>1101</v>
      </c>
      <c r="D244" s="185" t="s">
        <v>522</v>
      </c>
      <c r="E244" s="186" t="s">
        <v>906</v>
      </c>
      <c r="F244" s="186" t="s">
        <v>907</v>
      </c>
      <c r="G244" s="186" t="s">
        <v>1102</v>
      </c>
      <c r="H244" s="186" t="s">
        <v>1358</v>
      </c>
      <c r="I244" s="187" t="s">
        <v>1376</v>
      </c>
      <c r="J244" s="187" t="s">
        <v>1377</v>
      </c>
      <c r="K244" s="188"/>
      <c r="L244" s="188"/>
      <c r="M244" s="189" t="s">
        <v>847</v>
      </c>
      <c r="N244" s="190">
        <v>362.28</v>
      </c>
      <c r="O244" s="190">
        <f t="shared" si="24"/>
        <v>394.89</v>
      </c>
      <c r="P244" s="191">
        <f t="shared" si="25"/>
        <v>0</v>
      </c>
      <c r="Q244" s="192">
        <f t="shared" si="26"/>
        <v>0</v>
      </c>
      <c r="R244" s="193"/>
      <c r="S244" s="194"/>
      <c r="T244" s="195">
        <f t="shared" si="27"/>
        <v>0</v>
      </c>
      <c r="U244" s="195">
        <f t="shared" si="28"/>
        <v>0</v>
      </c>
      <c r="V244" s="195">
        <f t="shared" si="29"/>
        <v>0</v>
      </c>
      <c r="W244" s="196" t="e">
        <f t="shared" si="30"/>
        <v>#DIV/0!</v>
      </c>
      <c r="X244" s="197" t="e">
        <f t="shared" si="31"/>
        <v>#DIV/0!</v>
      </c>
    </row>
    <row r="245" ht="11.4" hidden="1" customHeight="1" spans="1:27">
      <c r="A245" s="184" t="s">
        <v>1357</v>
      </c>
      <c r="B245" s="184" t="s">
        <v>115</v>
      </c>
      <c r="C245" s="184" t="s">
        <v>1101</v>
      </c>
      <c r="D245" s="185" t="s">
        <v>522</v>
      </c>
      <c r="E245" s="186" t="s">
        <v>906</v>
      </c>
      <c r="F245" s="186" t="s">
        <v>907</v>
      </c>
      <c r="G245" s="186" t="s">
        <v>1102</v>
      </c>
      <c r="H245" s="186" t="s">
        <v>1358</v>
      </c>
      <c r="I245" s="187" t="s">
        <v>1379</v>
      </c>
      <c r="J245" s="187" t="s">
        <v>1380</v>
      </c>
      <c r="K245" s="188"/>
      <c r="L245" s="188"/>
      <c r="M245" s="189" t="s">
        <v>847</v>
      </c>
      <c r="N245" s="190">
        <v>1804.45</v>
      </c>
      <c r="O245" s="190">
        <f t="shared" si="24"/>
        <v>1966.85</v>
      </c>
      <c r="P245" s="191">
        <f t="shared" si="25"/>
        <v>0</v>
      </c>
      <c r="Q245" s="192">
        <f t="shared" si="26"/>
        <v>0</v>
      </c>
      <c r="R245" s="193"/>
      <c r="S245" s="194"/>
      <c r="T245" s="195">
        <f t="shared" si="27"/>
        <v>0</v>
      </c>
      <c r="U245" s="195">
        <f t="shared" si="28"/>
        <v>0</v>
      </c>
      <c r="V245" s="195">
        <f t="shared" si="29"/>
        <v>0</v>
      </c>
      <c r="W245" s="196" t="e">
        <f t="shared" si="30"/>
        <v>#DIV/0!</v>
      </c>
      <c r="X245" s="197" t="e">
        <f t="shared" si="31"/>
        <v>#DIV/0!</v>
      </c>
    </row>
    <row r="246" ht="11.4" hidden="1" customHeight="1" spans="1:27">
      <c r="A246" s="184" t="s">
        <v>1357</v>
      </c>
      <c r="B246" s="184" t="s">
        <v>115</v>
      </c>
      <c r="C246" s="184" t="s">
        <v>1101</v>
      </c>
      <c r="D246" s="185" t="s">
        <v>522</v>
      </c>
      <c r="E246" s="186" t="s">
        <v>906</v>
      </c>
      <c r="F246" s="186" t="s">
        <v>907</v>
      </c>
      <c r="G246" s="186" t="s">
        <v>1102</v>
      </c>
      <c r="H246" s="186" t="s">
        <v>1358</v>
      </c>
      <c r="I246" s="187" t="s">
        <v>1381</v>
      </c>
      <c r="J246" s="187" t="s">
        <v>1382</v>
      </c>
      <c r="K246" s="188">
        <v>11.7</v>
      </c>
      <c r="L246" s="188">
        <v>11.55</v>
      </c>
      <c r="M246" s="189" t="s">
        <v>847</v>
      </c>
      <c r="N246" s="190">
        <v>250.08</v>
      </c>
      <c r="O246" s="190">
        <f t="shared" si="24"/>
        <v>272.59</v>
      </c>
      <c r="P246" s="191">
        <f t="shared" si="25"/>
        <v>2925.94</v>
      </c>
      <c r="Q246" s="192">
        <f t="shared" si="26"/>
        <v>2888.42</v>
      </c>
      <c r="R246" s="193"/>
      <c r="S246" s="194"/>
      <c r="T246" s="195">
        <f t="shared" si="27"/>
        <v>0.149999999999999</v>
      </c>
      <c r="U246" s="195">
        <f t="shared" si="28"/>
        <v>37.52</v>
      </c>
      <c r="V246" s="195">
        <f t="shared" si="29"/>
        <v>37.52</v>
      </c>
      <c r="W246" s="196">
        <f t="shared" si="30"/>
        <v>0.0129870129870129</v>
      </c>
      <c r="X246" s="197">
        <f t="shared" si="31"/>
        <v>0.0129870129870129</v>
      </c>
    </row>
    <row r="247" ht="11.4" hidden="1" customHeight="1" spans="1:27">
      <c r="A247" s="184" t="s">
        <v>1357</v>
      </c>
      <c r="B247" s="184" t="s">
        <v>115</v>
      </c>
      <c r="C247" s="184" t="s">
        <v>1101</v>
      </c>
      <c r="D247" s="185" t="s">
        <v>522</v>
      </c>
      <c r="E247" s="186" t="s">
        <v>906</v>
      </c>
      <c r="F247" s="186" t="s">
        <v>907</v>
      </c>
      <c r="G247" s="186" t="s">
        <v>1102</v>
      </c>
      <c r="H247" s="186" t="s">
        <v>1358</v>
      </c>
      <c r="I247" s="187" t="s">
        <v>1384</v>
      </c>
      <c r="J247" s="187" t="s">
        <v>1385</v>
      </c>
      <c r="K247" s="188">
        <v>4.42</v>
      </c>
      <c r="L247" s="188">
        <v>4.42</v>
      </c>
      <c r="M247" s="189" t="s">
        <v>847</v>
      </c>
      <c r="N247" s="190">
        <v>139.73</v>
      </c>
      <c r="O247" s="190">
        <f t="shared" si="24"/>
        <v>152.31</v>
      </c>
      <c r="P247" s="191">
        <f t="shared" si="25"/>
        <v>617.61</v>
      </c>
      <c r="Q247" s="192">
        <f t="shared" si="26"/>
        <v>617.61</v>
      </c>
      <c r="R247" s="193"/>
      <c r="S247" s="194"/>
      <c r="T247" s="195">
        <f t="shared" si="27"/>
        <v>0</v>
      </c>
      <c r="U247" s="195">
        <f t="shared" si="28"/>
        <v>0</v>
      </c>
      <c r="V247" s="195">
        <f t="shared" si="29"/>
        <v>0</v>
      </c>
      <c r="W247" s="196">
        <f t="shared" si="30"/>
        <v>0</v>
      </c>
      <c r="X247" s="197">
        <f t="shared" si="31"/>
        <v>0</v>
      </c>
    </row>
    <row r="248" ht="11.4" hidden="1" customHeight="1" spans="1:27">
      <c r="A248" s="184" t="s">
        <v>1357</v>
      </c>
      <c r="B248" s="184" t="s">
        <v>115</v>
      </c>
      <c r="C248" s="184" t="s">
        <v>1101</v>
      </c>
      <c r="D248" s="185" t="s">
        <v>522</v>
      </c>
      <c r="E248" s="186" t="s">
        <v>906</v>
      </c>
      <c r="F248" s="186" t="s">
        <v>907</v>
      </c>
      <c r="G248" s="186" t="s">
        <v>1102</v>
      </c>
      <c r="H248" s="186" t="s">
        <v>1358</v>
      </c>
      <c r="I248" s="187" t="s">
        <v>1387</v>
      </c>
      <c r="J248" s="187" t="s">
        <v>1388</v>
      </c>
      <c r="K248" s="188"/>
      <c r="L248" s="188"/>
      <c r="M248" s="189" t="s">
        <v>847</v>
      </c>
      <c r="N248" s="190">
        <v>480.14</v>
      </c>
      <c r="O248" s="190">
        <f t="shared" si="24"/>
        <v>523.35</v>
      </c>
      <c r="P248" s="191">
        <f t="shared" si="25"/>
        <v>0</v>
      </c>
      <c r="Q248" s="192">
        <f t="shared" si="26"/>
        <v>0</v>
      </c>
      <c r="R248" s="193"/>
      <c r="S248" s="194"/>
      <c r="T248" s="195">
        <f t="shared" si="27"/>
        <v>0</v>
      </c>
      <c r="U248" s="195">
        <f t="shared" si="28"/>
        <v>0</v>
      </c>
      <c r="V248" s="195">
        <f t="shared" si="29"/>
        <v>0</v>
      </c>
      <c r="W248" s="196" t="e">
        <f t="shared" si="30"/>
        <v>#DIV/0!</v>
      </c>
      <c r="X248" s="197" t="e">
        <f t="shared" si="31"/>
        <v>#DIV/0!</v>
      </c>
    </row>
    <row r="249" ht="11.4" hidden="1" customHeight="1" spans="1:27">
      <c r="A249" s="184" t="s">
        <v>1357</v>
      </c>
      <c r="B249" s="184" t="s">
        <v>115</v>
      </c>
      <c r="C249" s="184" t="s">
        <v>1101</v>
      </c>
      <c r="D249" s="185" t="s">
        <v>522</v>
      </c>
      <c r="E249" s="186" t="s">
        <v>906</v>
      </c>
      <c r="F249" s="186" t="s">
        <v>907</v>
      </c>
      <c r="G249" s="186" t="s">
        <v>1102</v>
      </c>
      <c r="H249" s="186" t="s">
        <v>1358</v>
      </c>
      <c r="I249" s="187" t="s">
        <v>1336</v>
      </c>
      <c r="J249" s="187" t="s">
        <v>1337</v>
      </c>
      <c r="K249" s="188">
        <v>19.63</v>
      </c>
      <c r="L249" s="188">
        <v>19.43</v>
      </c>
      <c r="M249" s="189" t="s">
        <v>847</v>
      </c>
      <c r="N249" s="190">
        <v>62.19</v>
      </c>
      <c r="O249" s="190">
        <f t="shared" si="24"/>
        <v>67.79</v>
      </c>
      <c r="P249" s="191">
        <f t="shared" si="25"/>
        <v>1220.79</v>
      </c>
      <c r="Q249" s="192">
        <f t="shared" si="26"/>
        <v>1208.35</v>
      </c>
      <c r="R249" s="193"/>
      <c r="S249" s="194"/>
      <c r="T249" s="195">
        <f t="shared" si="27"/>
        <v>0.199999999999999</v>
      </c>
      <c r="U249" s="195">
        <f t="shared" si="28"/>
        <v>12.4400000000001</v>
      </c>
      <c r="V249" s="195">
        <f t="shared" si="29"/>
        <v>12.4400000000001</v>
      </c>
      <c r="W249" s="196">
        <f t="shared" si="30"/>
        <v>0.0102933607822954</v>
      </c>
      <c r="X249" s="199">
        <f t="shared" si="31"/>
        <v>0.0102933607822954</v>
      </c>
    </row>
    <row r="250" ht="11.4" hidden="1" customHeight="1" spans="1:27">
      <c r="A250" s="184" t="s">
        <v>1357</v>
      </c>
      <c r="B250" s="184" t="s">
        <v>115</v>
      </c>
      <c r="C250" s="184" t="s">
        <v>1101</v>
      </c>
      <c r="D250" s="185" t="s">
        <v>522</v>
      </c>
      <c r="E250" s="186" t="s">
        <v>906</v>
      </c>
      <c r="F250" s="186" t="s">
        <v>907</v>
      </c>
      <c r="G250" s="186" t="s">
        <v>1102</v>
      </c>
      <c r="H250" s="186" t="s">
        <v>1358</v>
      </c>
      <c r="I250" s="187" t="s">
        <v>1391</v>
      </c>
      <c r="J250" s="187" t="s">
        <v>3187</v>
      </c>
      <c r="K250" s="188"/>
      <c r="L250" s="188"/>
      <c r="M250" s="189" t="s">
        <v>847</v>
      </c>
      <c r="N250" s="190">
        <v>54.37</v>
      </c>
      <c r="O250" s="190">
        <f t="shared" si="24"/>
        <v>59.26</v>
      </c>
      <c r="P250" s="191">
        <f t="shared" si="25"/>
        <v>0</v>
      </c>
      <c r="Q250" s="192">
        <f t="shared" si="26"/>
        <v>0</v>
      </c>
      <c r="R250" s="193"/>
      <c r="S250" s="194"/>
      <c r="T250" s="195">
        <f t="shared" si="27"/>
        <v>0</v>
      </c>
      <c r="U250" s="195">
        <f t="shared" si="28"/>
        <v>0</v>
      </c>
      <c r="V250" s="195">
        <f t="shared" si="29"/>
        <v>0</v>
      </c>
      <c r="W250" s="196" t="e">
        <f t="shared" si="30"/>
        <v>#DIV/0!</v>
      </c>
      <c r="X250" s="197" t="e">
        <f t="shared" si="31"/>
        <v>#DIV/0!</v>
      </c>
    </row>
    <row r="251" ht="11.4" hidden="1" customHeight="1" spans="1:27">
      <c r="A251" s="184" t="s">
        <v>1357</v>
      </c>
      <c r="B251" s="184" t="s">
        <v>115</v>
      </c>
      <c r="C251" s="184" t="s">
        <v>1101</v>
      </c>
      <c r="D251" s="185" t="s">
        <v>522</v>
      </c>
      <c r="E251" s="186" t="s">
        <v>906</v>
      </c>
      <c r="F251" s="186" t="s">
        <v>907</v>
      </c>
      <c r="G251" s="186" t="s">
        <v>1102</v>
      </c>
      <c r="H251" s="186" t="s">
        <v>1358</v>
      </c>
      <c r="I251" s="187" t="s">
        <v>1393</v>
      </c>
      <c r="J251" s="187" t="s">
        <v>1394</v>
      </c>
      <c r="K251" s="188"/>
      <c r="L251" s="188"/>
      <c r="M251" s="189" t="s">
        <v>807</v>
      </c>
      <c r="N251" s="190">
        <v>146.58</v>
      </c>
      <c r="O251" s="190">
        <f t="shared" si="24"/>
        <v>159.77</v>
      </c>
      <c r="P251" s="191">
        <f t="shared" si="25"/>
        <v>0</v>
      </c>
      <c r="Q251" s="192">
        <f t="shared" si="26"/>
        <v>0</v>
      </c>
      <c r="R251" s="193"/>
      <c r="S251" s="194"/>
      <c r="T251" s="195">
        <f t="shared" si="27"/>
        <v>0</v>
      </c>
      <c r="U251" s="195">
        <f t="shared" si="28"/>
        <v>0</v>
      </c>
      <c r="V251" s="195">
        <f t="shared" si="29"/>
        <v>0</v>
      </c>
      <c r="W251" s="196" t="e">
        <f t="shared" si="30"/>
        <v>#DIV/0!</v>
      </c>
      <c r="X251" s="197" t="e">
        <f t="shared" si="31"/>
        <v>#DIV/0!</v>
      </c>
    </row>
    <row r="252" ht="11.4" hidden="1" customHeight="1" spans="1:27">
      <c r="A252" s="184" t="s">
        <v>1357</v>
      </c>
      <c r="B252" s="184" t="s">
        <v>115</v>
      </c>
      <c r="C252" s="184" t="s">
        <v>1101</v>
      </c>
      <c r="D252" s="185" t="s">
        <v>522</v>
      </c>
      <c r="E252" s="186" t="s">
        <v>906</v>
      </c>
      <c r="F252" s="186" t="s">
        <v>907</v>
      </c>
      <c r="G252" s="186" t="s">
        <v>1102</v>
      </c>
      <c r="H252" s="186" t="s">
        <v>1358</v>
      </c>
      <c r="I252" s="187" t="s">
        <v>1396</v>
      </c>
      <c r="J252" s="187" t="s">
        <v>1397</v>
      </c>
      <c r="K252" s="200">
        <v>1.46</v>
      </c>
      <c r="L252" s="188">
        <v>3.77</v>
      </c>
      <c r="M252" s="189" t="s">
        <v>807</v>
      </c>
      <c r="N252" s="190">
        <v>87.81</v>
      </c>
      <c r="O252" s="190">
        <f t="shared" si="24"/>
        <v>95.71</v>
      </c>
      <c r="P252" s="191">
        <f t="shared" si="25"/>
        <v>128.2</v>
      </c>
      <c r="Q252" s="192">
        <f t="shared" si="26"/>
        <v>331.04</v>
      </c>
      <c r="R252" s="193"/>
      <c r="S252" s="194"/>
      <c r="T252" s="195">
        <f t="shared" si="27"/>
        <v>-2.31</v>
      </c>
      <c r="U252" s="195">
        <f t="shared" si="28"/>
        <v>-202.84</v>
      </c>
      <c r="V252" s="195">
        <f t="shared" si="29"/>
        <v>202.84</v>
      </c>
      <c r="W252" s="196">
        <f t="shared" si="30"/>
        <v>-0.612732095490716</v>
      </c>
      <c r="X252" s="197">
        <f t="shared" si="31"/>
        <v>0.612732095490716</v>
      </c>
      <c r="AA252" s="109" t="s">
        <v>3255</v>
      </c>
    </row>
    <row r="253" ht="11.4" hidden="1" customHeight="1" spans="1:27">
      <c r="A253" s="184" t="s">
        <v>1399</v>
      </c>
      <c r="B253" s="184" t="s">
        <v>117</v>
      </c>
      <c r="C253" s="184" t="s">
        <v>1101</v>
      </c>
      <c r="D253" s="185" t="s">
        <v>522</v>
      </c>
      <c r="E253" s="186" t="s">
        <v>789</v>
      </c>
      <c r="F253" s="186" t="s">
        <v>790</v>
      </c>
      <c r="G253" s="186" t="s">
        <v>1400</v>
      </c>
      <c r="H253" s="186" t="s">
        <v>1400</v>
      </c>
      <c r="I253" s="187" t="s">
        <v>1401</v>
      </c>
      <c r="J253" s="187" t="s">
        <v>1402</v>
      </c>
      <c r="K253" s="188"/>
      <c r="L253" s="188"/>
      <c r="M253" s="189" t="s">
        <v>847</v>
      </c>
      <c r="N253" s="190">
        <v>170.01</v>
      </c>
      <c r="O253" s="190">
        <f t="shared" si="24"/>
        <v>185.31</v>
      </c>
      <c r="P253" s="191">
        <f t="shared" si="25"/>
        <v>0</v>
      </c>
      <c r="Q253" s="192">
        <f t="shared" si="26"/>
        <v>0</v>
      </c>
      <c r="R253" s="193"/>
      <c r="S253" s="194"/>
      <c r="T253" s="195">
        <f t="shared" si="27"/>
        <v>0</v>
      </c>
      <c r="U253" s="195">
        <f t="shared" si="28"/>
        <v>0</v>
      </c>
      <c r="V253" s="195">
        <f t="shared" si="29"/>
        <v>0</v>
      </c>
      <c r="W253" s="196" t="e">
        <f t="shared" si="30"/>
        <v>#DIV/0!</v>
      </c>
      <c r="X253" s="197" t="e">
        <f t="shared" si="31"/>
        <v>#DIV/0!</v>
      </c>
    </row>
    <row r="254" ht="11.4" hidden="1" customHeight="1" spans="1:27">
      <c r="A254" s="184" t="s">
        <v>1399</v>
      </c>
      <c r="B254" s="184" t="s">
        <v>117</v>
      </c>
      <c r="C254" s="184" t="s">
        <v>1101</v>
      </c>
      <c r="D254" s="185" t="s">
        <v>522</v>
      </c>
      <c r="E254" s="186" t="s">
        <v>789</v>
      </c>
      <c r="F254" s="186" t="s">
        <v>790</v>
      </c>
      <c r="G254" s="186" t="s">
        <v>1400</v>
      </c>
      <c r="H254" s="186" t="s">
        <v>1400</v>
      </c>
      <c r="I254" s="187" t="s">
        <v>1403</v>
      </c>
      <c r="J254" s="187" t="s">
        <v>1404</v>
      </c>
      <c r="K254" s="188"/>
      <c r="L254" s="188"/>
      <c r="M254" s="189" t="s">
        <v>963</v>
      </c>
      <c r="N254" s="190">
        <v>3717.71</v>
      </c>
      <c r="O254" s="190">
        <f t="shared" si="24"/>
        <v>4052.3</v>
      </c>
      <c r="P254" s="191">
        <f t="shared" si="25"/>
        <v>0</v>
      </c>
      <c r="Q254" s="192">
        <f t="shared" si="26"/>
        <v>0</v>
      </c>
      <c r="R254" s="193"/>
      <c r="S254" s="194"/>
      <c r="T254" s="195">
        <f t="shared" si="27"/>
        <v>0</v>
      </c>
      <c r="U254" s="195">
        <f t="shared" si="28"/>
        <v>0</v>
      </c>
      <c r="V254" s="195">
        <f t="shared" si="29"/>
        <v>0</v>
      </c>
      <c r="W254" s="196" t="e">
        <f t="shared" si="30"/>
        <v>#DIV/0!</v>
      </c>
      <c r="X254" s="197" t="e">
        <f t="shared" si="31"/>
        <v>#DIV/0!</v>
      </c>
    </row>
    <row r="255" ht="11.4" hidden="1" customHeight="1" spans="1:27">
      <c r="A255" s="184" t="s">
        <v>1399</v>
      </c>
      <c r="B255" s="184" t="s">
        <v>117</v>
      </c>
      <c r="C255" s="184" t="s">
        <v>1101</v>
      </c>
      <c r="D255" s="185" t="s">
        <v>522</v>
      </c>
      <c r="E255" s="186" t="s">
        <v>789</v>
      </c>
      <c r="F255" s="186" t="s">
        <v>790</v>
      </c>
      <c r="G255" s="186" t="s">
        <v>1400</v>
      </c>
      <c r="H255" s="186" t="s">
        <v>1400</v>
      </c>
      <c r="I255" s="187" t="s">
        <v>1405</v>
      </c>
      <c r="J255" s="187" t="s">
        <v>1406</v>
      </c>
      <c r="K255" s="188"/>
      <c r="L255" s="188"/>
      <c r="M255" s="189" t="s">
        <v>963</v>
      </c>
      <c r="N255" s="190">
        <v>3717.71</v>
      </c>
      <c r="O255" s="190">
        <f t="shared" si="24"/>
        <v>4052.3</v>
      </c>
      <c r="P255" s="191">
        <f t="shared" si="25"/>
        <v>0</v>
      </c>
      <c r="Q255" s="192">
        <f t="shared" si="26"/>
        <v>0</v>
      </c>
      <c r="R255" s="193"/>
      <c r="S255" s="194"/>
      <c r="T255" s="195">
        <f t="shared" si="27"/>
        <v>0</v>
      </c>
      <c r="U255" s="195">
        <f t="shared" si="28"/>
        <v>0</v>
      </c>
      <c r="V255" s="195">
        <f t="shared" si="29"/>
        <v>0</v>
      </c>
      <c r="W255" s="196" t="e">
        <f t="shared" si="30"/>
        <v>#DIV/0!</v>
      </c>
      <c r="X255" s="197" t="e">
        <f t="shared" si="31"/>
        <v>#DIV/0!</v>
      </c>
    </row>
    <row r="256" ht="11.4" hidden="1" customHeight="1" spans="1:27">
      <c r="A256" s="184" t="s">
        <v>1399</v>
      </c>
      <c r="B256" s="184" t="s">
        <v>117</v>
      </c>
      <c r="C256" s="184" t="s">
        <v>1101</v>
      </c>
      <c r="D256" s="185" t="s">
        <v>522</v>
      </c>
      <c r="E256" s="186" t="s">
        <v>789</v>
      </c>
      <c r="F256" s="186" t="s">
        <v>790</v>
      </c>
      <c r="G256" s="186" t="s">
        <v>1400</v>
      </c>
      <c r="H256" s="186" t="s">
        <v>1400</v>
      </c>
      <c r="I256" s="187" t="s">
        <v>1407</v>
      </c>
      <c r="J256" s="187" t="s">
        <v>1408</v>
      </c>
      <c r="K256" s="188"/>
      <c r="L256" s="188"/>
      <c r="M256" s="189" t="s">
        <v>963</v>
      </c>
      <c r="N256" s="190">
        <v>3717.71</v>
      </c>
      <c r="O256" s="190">
        <f t="shared" si="24"/>
        <v>4052.3</v>
      </c>
      <c r="P256" s="191">
        <f t="shared" si="25"/>
        <v>0</v>
      </c>
      <c r="Q256" s="192">
        <f t="shared" si="26"/>
        <v>0</v>
      </c>
      <c r="R256" s="193"/>
      <c r="S256" s="194"/>
      <c r="T256" s="195">
        <f t="shared" si="27"/>
        <v>0</v>
      </c>
      <c r="U256" s="195">
        <f t="shared" si="28"/>
        <v>0</v>
      </c>
      <c r="V256" s="195">
        <f t="shared" si="29"/>
        <v>0</v>
      </c>
      <c r="W256" s="196" t="e">
        <f t="shared" si="30"/>
        <v>#DIV/0!</v>
      </c>
      <c r="X256" s="197" t="e">
        <f t="shared" si="31"/>
        <v>#DIV/0!</v>
      </c>
    </row>
    <row r="257" ht="11.4" hidden="1" customHeight="1" spans="1:24">
      <c r="A257" s="184" t="s">
        <v>1399</v>
      </c>
      <c r="B257" s="184" t="s">
        <v>117</v>
      </c>
      <c r="C257" s="184" t="s">
        <v>1101</v>
      </c>
      <c r="D257" s="185" t="s">
        <v>522</v>
      </c>
      <c r="E257" s="186" t="s">
        <v>789</v>
      </c>
      <c r="F257" s="186" t="s">
        <v>790</v>
      </c>
      <c r="G257" s="186" t="s">
        <v>1400</v>
      </c>
      <c r="H257" s="186" t="s">
        <v>1400</v>
      </c>
      <c r="I257" s="187" t="s">
        <v>1409</v>
      </c>
      <c r="J257" s="187" t="s">
        <v>1410</v>
      </c>
      <c r="K257" s="188"/>
      <c r="L257" s="188"/>
      <c r="M257" s="189" t="s">
        <v>963</v>
      </c>
      <c r="N257" s="190">
        <v>3717.71</v>
      </c>
      <c r="O257" s="190">
        <f t="shared" si="24"/>
        <v>4052.3</v>
      </c>
      <c r="P257" s="191">
        <f t="shared" si="25"/>
        <v>0</v>
      </c>
      <c r="Q257" s="192">
        <f t="shared" si="26"/>
        <v>0</v>
      </c>
      <c r="R257" s="193"/>
      <c r="S257" s="194"/>
      <c r="T257" s="195">
        <f t="shared" si="27"/>
        <v>0</v>
      </c>
      <c r="U257" s="195">
        <f t="shared" si="28"/>
        <v>0</v>
      </c>
      <c r="V257" s="195">
        <f t="shared" si="29"/>
        <v>0</v>
      </c>
      <c r="W257" s="196" t="e">
        <f t="shared" si="30"/>
        <v>#DIV/0!</v>
      </c>
      <c r="X257" s="197" t="e">
        <f t="shared" si="31"/>
        <v>#DIV/0!</v>
      </c>
    </row>
    <row r="258" ht="11.4" hidden="1" customHeight="1" spans="1:24">
      <c r="A258" s="184" t="s">
        <v>1399</v>
      </c>
      <c r="B258" s="184" t="s">
        <v>117</v>
      </c>
      <c r="C258" s="184" t="s">
        <v>1101</v>
      </c>
      <c r="D258" s="185" t="s">
        <v>522</v>
      </c>
      <c r="E258" s="186" t="s">
        <v>789</v>
      </c>
      <c r="F258" s="186" t="s">
        <v>790</v>
      </c>
      <c r="G258" s="186" t="s">
        <v>1400</v>
      </c>
      <c r="H258" s="186" t="s">
        <v>1400</v>
      </c>
      <c r="I258" s="187" t="s">
        <v>1411</v>
      </c>
      <c r="J258" s="187" t="s">
        <v>1412</v>
      </c>
      <c r="K258" s="188"/>
      <c r="L258" s="188"/>
      <c r="M258" s="189" t="s">
        <v>807</v>
      </c>
      <c r="N258" s="190">
        <v>241.33</v>
      </c>
      <c r="O258" s="190">
        <f t="shared" si="24"/>
        <v>263.05</v>
      </c>
      <c r="P258" s="191">
        <f t="shared" si="25"/>
        <v>0</v>
      </c>
      <c r="Q258" s="192">
        <f t="shared" si="26"/>
        <v>0</v>
      </c>
      <c r="R258" s="193"/>
      <c r="S258" s="194"/>
      <c r="T258" s="195">
        <f t="shared" si="27"/>
        <v>0</v>
      </c>
      <c r="U258" s="195">
        <f t="shared" si="28"/>
        <v>0</v>
      </c>
      <c r="V258" s="195">
        <f t="shared" si="29"/>
        <v>0</v>
      </c>
      <c r="W258" s="196" t="e">
        <f t="shared" si="30"/>
        <v>#DIV/0!</v>
      </c>
      <c r="X258" s="197" t="e">
        <f t="shared" si="31"/>
        <v>#DIV/0!</v>
      </c>
    </row>
    <row r="259" ht="11.4" hidden="1" customHeight="1" spans="1:24">
      <c r="A259" s="184" t="s">
        <v>1399</v>
      </c>
      <c r="B259" s="184" t="s">
        <v>117</v>
      </c>
      <c r="C259" s="184" t="s">
        <v>1101</v>
      </c>
      <c r="D259" s="185" t="s">
        <v>522</v>
      </c>
      <c r="E259" s="186" t="s">
        <v>789</v>
      </c>
      <c r="F259" s="186" t="s">
        <v>790</v>
      </c>
      <c r="G259" s="186" t="s">
        <v>1400</v>
      </c>
      <c r="H259" s="186" t="s">
        <v>1400</v>
      </c>
      <c r="I259" s="187" t="s">
        <v>1414</v>
      </c>
      <c r="J259" s="187" t="s">
        <v>1415</v>
      </c>
      <c r="K259" s="188"/>
      <c r="L259" s="188"/>
      <c r="M259" s="189" t="s">
        <v>793</v>
      </c>
      <c r="N259" s="190">
        <v>4598.62</v>
      </c>
      <c r="O259" s="190">
        <f t="shared" si="24"/>
        <v>5012.5</v>
      </c>
      <c r="P259" s="191">
        <f t="shared" si="25"/>
        <v>0</v>
      </c>
      <c r="Q259" s="192">
        <f t="shared" si="26"/>
        <v>0</v>
      </c>
      <c r="R259" s="193"/>
      <c r="S259" s="194"/>
      <c r="T259" s="195">
        <f t="shared" si="27"/>
        <v>0</v>
      </c>
      <c r="U259" s="195">
        <f t="shared" si="28"/>
        <v>0</v>
      </c>
      <c r="V259" s="195">
        <f t="shared" si="29"/>
        <v>0</v>
      </c>
      <c r="W259" s="196" t="e">
        <f t="shared" si="30"/>
        <v>#DIV/0!</v>
      </c>
      <c r="X259" s="197" t="e">
        <f t="shared" si="31"/>
        <v>#DIV/0!</v>
      </c>
    </row>
    <row r="260" ht="11.4" hidden="1" customHeight="1" spans="1:24">
      <c r="A260" s="184" t="s">
        <v>1399</v>
      </c>
      <c r="B260" s="184" t="s">
        <v>117</v>
      </c>
      <c r="C260" s="184" t="s">
        <v>1101</v>
      </c>
      <c r="D260" s="185" t="s">
        <v>522</v>
      </c>
      <c r="E260" s="186" t="s">
        <v>789</v>
      </c>
      <c r="F260" s="186" t="s">
        <v>790</v>
      </c>
      <c r="G260" s="186" t="s">
        <v>1416</v>
      </c>
      <c r="H260" s="186" t="s">
        <v>1416</v>
      </c>
      <c r="I260" s="187" t="s">
        <v>1417</v>
      </c>
      <c r="J260" s="187" t="s">
        <v>3189</v>
      </c>
      <c r="K260" s="188"/>
      <c r="L260" s="188"/>
      <c r="M260" s="189" t="s">
        <v>895</v>
      </c>
      <c r="N260" s="190">
        <v>9866.1</v>
      </c>
      <c r="O260" s="190">
        <f t="shared" si="24"/>
        <v>10754.05</v>
      </c>
      <c r="P260" s="191">
        <f t="shared" si="25"/>
        <v>0</v>
      </c>
      <c r="Q260" s="192">
        <f t="shared" si="26"/>
        <v>0</v>
      </c>
      <c r="R260" s="193"/>
      <c r="S260" s="194"/>
      <c r="T260" s="195">
        <f t="shared" si="27"/>
        <v>0</v>
      </c>
      <c r="U260" s="195">
        <f t="shared" si="28"/>
        <v>0</v>
      </c>
      <c r="V260" s="195">
        <f t="shared" si="29"/>
        <v>0</v>
      </c>
      <c r="W260" s="196" t="e">
        <f t="shared" si="30"/>
        <v>#DIV/0!</v>
      </c>
      <c r="X260" s="197" t="e">
        <f t="shared" si="31"/>
        <v>#DIV/0!</v>
      </c>
    </row>
    <row r="261" ht="11.4" hidden="1" customHeight="1" spans="1:24">
      <c r="A261" s="184" t="s">
        <v>1399</v>
      </c>
      <c r="B261" s="184" t="s">
        <v>117</v>
      </c>
      <c r="C261" s="184" t="s">
        <v>1101</v>
      </c>
      <c r="D261" s="185" t="s">
        <v>522</v>
      </c>
      <c r="E261" s="186" t="s">
        <v>789</v>
      </c>
      <c r="F261" s="186" t="s">
        <v>790</v>
      </c>
      <c r="G261" s="186" t="s">
        <v>1416</v>
      </c>
      <c r="H261" s="186" t="s">
        <v>1416</v>
      </c>
      <c r="I261" s="187" t="s">
        <v>1419</v>
      </c>
      <c r="J261" s="187" t="s">
        <v>1420</v>
      </c>
      <c r="K261" s="188"/>
      <c r="L261" s="188"/>
      <c r="M261" s="189" t="s">
        <v>807</v>
      </c>
      <c r="N261" s="190">
        <v>2570.99</v>
      </c>
      <c r="O261" s="190">
        <f t="shared" si="24"/>
        <v>2802.38</v>
      </c>
      <c r="P261" s="191">
        <f t="shared" si="25"/>
        <v>0</v>
      </c>
      <c r="Q261" s="192">
        <f t="shared" si="26"/>
        <v>0</v>
      </c>
      <c r="R261" s="193"/>
      <c r="S261" s="194"/>
      <c r="T261" s="195">
        <f t="shared" si="27"/>
        <v>0</v>
      </c>
      <c r="U261" s="195">
        <f t="shared" si="28"/>
        <v>0</v>
      </c>
      <c r="V261" s="195">
        <f t="shared" si="29"/>
        <v>0</v>
      </c>
      <c r="W261" s="196" t="e">
        <f t="shared" si="30"/>
        <v>#DIV/0!</v>
      </c>
      <c r="X261" s="197" t="e">
        <f t="shared" si="31"/>
        <v>#DIV/0!</v>
      </c>
    </row>
    <row r="262" ht="11.4" hidden="1" customHeight="1" spans="1:24">
      <c r="A262" s="184" t="s">
        <v>1399</v>
      </c>
      <c r="B262" s="184" t="s">
        <v>117</v>
      </c>
      <c r="C262" s="184" t="s">
        <v>1101</v>
      </c>
      <c r="D262" s="185" t="s">
        <v>522</v>
      </c>
      <c r="E262" s="186" t="s">
        <v>789</v>
      </c>
      <c r="F262" s="186" t="s">
        <v>790</v>
      </c>
      <c r="G262" s="186" t="s">
        <v>1416</v>
      </c>
      <c r="H262" s="186" t="s">
        <v>1416</v>
      </c>
      <c r="I262" s="187" t="s">
        <v>1421</v>
      </c>
      <c r="J262" s="187" t="s">
        <v>1422</v>
      </c>
      <c r="K262" s="188"/>
      <c r="L262" s="188"/>
      <c r="M262" s="189" t="s">
        <v>847</v>
      </c>
      <c r="N262" s="190">
        <v>465.14</v>
      </c>
      <c r="O262" s="190">
        <f t="shared" si="24"/>
        <v>507</v>
      </c>
      <c r="P262" s="191">
        <f t="shared" si="25"/>
        <v>0</v>
      </c>
      <c r="Q262" s="192">
        <f t="shared" si="26"/>
        <v>0</v>
      </c>
      <c r="R262" s="193"/>
      <c r="S262" s="194"/>
      <c r="T262" s="195">
        <f t="shared" si="27"/>
        <v>0</v>
      </c>
      <c r="U262" s="195">
        <f t="shared" si="28"/>
        <v>0</v>
      </c>
      <c r="V262" s="195">
        <f t="shared" si="29"/>
        <v>0</v>
      </c>
      <c r="W262" s="196" t="e">
        <f t="shared" si="30"/>
        <v>#DIV/0!</v>
      </c>
      <c r="X262" s="197" t="e">
        <f t="shared" si="31"/>
        <v>#DIV/0!</v>
      </c>
    </row>
    <row r="263" ht="11.4" hidden="1" customHeight="1" spans="1:24">
      <c r="A263" s="184" t="s">
        <v>1399</v>
      </c>
      <c r="B263" s="184" t="s">
        <v>117</v>
      </c>
      <c r="C263" s="184" t="s">
        <v>1101</v>
      </c>
      <c r="D263" s="185" t="s">
        <v>522</v>
      </c>
      <c r="E263" s="186" t="s">
        <v>789</v>
      </c>
      <c r="F263" s="186" t="s">
        <v>790</v>
      </c>
      <c r="G263" s="186" t="s">
        <v>1416</v>
      </c>
      <c r="H263" s="186" t="s">
        <v>1416</v>
      </c>
      <c r="I263" s="187" t="s">
        <v>1423</v>
      </c>
      <c r="J263" s="187" t="s">
        <v>1424</v>
      </c>
      <c r="K263" s="188"/>
      <c r="L263" s="188"/>
      <c r="M263" s="189" t="s">
        <v>847</v>
      </c>
      <c r="N263" s="190">
        <v>979.44</v>
      </c>
      <c r="O263" s="190">
        <f t="shared" si="24"/>
        <v>1067.59</v>
      </c>
      <c r="P263" s="191">
        <f t="shared" si="25"/>
        <v>0</v>
      </c>
      <c r="Q263" s="192">
        <f t="shared" si="26"/>
        <v>0</v>
      </c>
      <c r="R263" s="193"/>
      <c r="S263" s="194"/>
      <c r="T263" s="195">
        <f t="shared" si="27"/>
        <v>0</v>
      </c>
      <c r="U263" s="195">
        <f t="shared" si="28"/>
        <v>0</v>
      </c>
      <c r="V263" s="195">
        <f t="shared" si="29"/>
        <v>0</v>
      </c>
      <c r="W263" s="196" t="e">
        <f t="shared" si="30"/>
        <v>#DIV/0!</v>
      </c>
      <c r="X263" s="197" t="e">
        <f t="shared" si="31"/>
        <v>#DIV/0!</v>
      </c>
    </row>
    <row r="264" ht="11.4" hidden="1" customHeight="1" spans="1:24">
      <c r="A264" s="184" t="s">
        <v>1399</v>
      </c>
      <c r="B264" s="184" t="s">
        <v>117</v>
      </c>
      <c r="C264" s="184" t="s">
        <v>1101</v>
      </c>
      <c r="D264" s="185" t="s">
        <v>522</v>
      </c>
      <c r="E264" s="186" t="s">
        <v>906</v>
      </c>
      <c r="F264" s="186" t="s">
        <v>907</v>
      </c>
      <c r="G264" s="186" t="s">
        <v>1102</v>
      </c>
      <c r="H264" s="186" t="s">
        <v>1425</v>
      </c>
      <c r="I264" s="187" t="s">
        <v>1426</v>
      </c>
      <c r="J264" s="187" t="s">
        <v>1427</v>
      </c>
      <c r="K264" s="188"/>
      <c r="L264" s="188"/>
      <c r="M264" s="189" t="s">
        <v>847</v>
      </c>
      <c r="N264" s="190">
        <v>465.88</v>
      </c>
      <c r="O264" s="190">
        <f t="shared" si="24"/>
        <v>507.81</v>
      </c>
      <c r="P264" s="191">
        <f t="shared" si="25"/>
        <v>0</v>
      </c>
      <c r="Q264" s="192">
        <f t="shared" si="26"/>
        <v>0</v>
      </c>
      <c r="R264" s="193"/>
      <c r="S264" s="194"/>
      <c r="T264" s="195">
        <f t="shared" si="27"/>
        <v>0</v>
      </c>
      <c r="U264" s="195">
        <f t="shared" si="28"/>
        <v>0</v>
      </c>
      <c r="V264" s="195">
        <f t="shared" si="29"/>
        <v>0</v>
      </c>
      <c r="W264" s="196" t="e">
        <f t="shared" si="30"/>
        <v>#DIV/0!</v>
      </c>
      <c r="X264" s="197" t="e">
        <f t="shared" si="31"/>
        <v>#DIV/0!</v>
      </c>
    </row>
    <row r="265" ht="11.4" hidden="1" customHeight="1" spans="1:24">
      <c r="A265" s="184" t="s">
        <v>1399</v>
      </c>
      <c r="B265" s="184" t="s">
        <v>117</v>
      </c>
      <c r="C265" s="184" t="s">
        <v>1101</v>
      </c>
      <c r="D265" s="185" t="s">
        <v>522</v>
      </c>
      <c r="E265" s="186" t="s">
        <v>906</v>
      </c>
      <c r="F265" s="186" t="s">
        <v>907</v>
      </c>
      <c r="G265" s="186" t="s">
        <v>1102</v>
      </c>
      <c r="H265" s="186" t="s">
        <v>1425</v>
      </c>
      <c r="I265" s="187" t="s">
        <v>1429</v>
      </c>
      <c r="J265" s="187" t="s">
        <v>1430</v>
      </c>
      <c r="K265" s="188"/>
      <c r="L265" s="188"/>
      <c r="M265" s="189" t="s">
        <v>847</v>
      </c>
      <c r="N265" s="190">
        <v>674.21</v>
      </c>
      <c r="O265" s="190">
        <f t="shared" si="24"/>
        <v>734.89</v>
      </c>
      <c r="P265" s="191">
        <f t="shared" si="25"/>
        <v>0</v>
      </c>
      <c r="Q265" s="192">
        <f t="shared" si="26"/>
        <v>0</v>
      </c>
      <c r="R265" s="193"/>
      <c r="S265" s="194"/>
      <c r="T265" s="195">
        <f t="shared" si="27"/>
        <v>0</v>
      </c>
      <c r="U265" s="195">
        <f t="shared" si="28"/>
        <v>0</v>
      </c>
      <c r="V265" s="195">
        <f t="shared" si="29"/>
        <v>0</v>
      </c>
      <c r="W265" s="196" t="e">
        <f t="shared" si="30"/>
        <v>#DIV/0!</v>
      </c>
      <c r="X265" s="197" t="e">
        <f t="shared" si="31"/>
        <v>#DIV/0!</v>
      </c>
    </row>
    <row r="266" ht="11.4" hidden="1" customHeight="1" spans="1:24">
      <c r="A266" s="184" t="s">
        <v>1399</v>
      </c>
      <c r="B266" s="184" t="s">
        <v>117</v>
      </c>
      <c r="C266" s="184" t="s">
        <v>1101</v>
      </c>
      <c r="D266" s="185" t="s">
        <v>522</v>
      </c>
      <c r="E266" s="186" t="s">
        <v>906</v>
      </c>
      <c r="F266" s="186" t="s">
        <v>907</v>
      </c>
      <c r="G266" s="186" t="s">
        <v>1102</v>
      </c>
      <c r="H266" s="186" t="s">
        <v>1425</v>
      </c>
      <c r="I266" s="187" t="s">
        <v>1431</v>
      </c>
      <c r="J266" s="187" t="s">
        <v>1432</v>
      </c>
      <c r="K266" s="188"/>
      <c r="L266" s="188"/>
      <c r="M266" s="189" t="s">
        <v>847</v>
      </c>
      <c r="N266" s="190">
        <v>592.51</v>
      </c>
      <c r="O266" s="190">
        <f t="shared" si="24"/>
        <v>645.84</v>
      </c>
      <c r="P266" s="191">
        <f t="shared" si="25"/>
        <v>0</v>
      </c>
      <c r="Q266" s="192">
        <f t="shared" si="26"/>
        <v>0</v>
      </c>
      <c r="R266" s="193"/>
      <c r="S266" s="194"/>
      <c r="T266" s="195">
        <f t="shared" si="27"/>
        <v>0</v>
      </c>
      <c r="U266" s="195">
        <f t="shared" si="28"/>
        <v>0</v>
      </c>
      <c r="V266" s="195">
        <f t="shared" si="29"/>
        <v>0</v>
      </c>
      <c r="W266" s="196" t="e">
        <f t="shared" si="30"/>
        <v>#DIV/0!</v>
      </c>
      <c r="X266" s="197" t="e">
        <f t="shared" si="31"/>
        <v>#DIV/0!</v>
      </c>
    </row>
    <row r="267" ht="11.4" hidden="1" customHeight="1" spans="1:24">
      <c r="A267" s="184" t="s">
        <v>1399</v>
      </c>
      <c r="B267" s="184" t="s">
        <v>117</v>
      </c>
      <c r="C267" s="184" t="s">
        <v>1101</v>
      </c>
      <c r="D267" s="185" t="s">
        <v>522</v>
      </c>
      <c r="E267" s="186" t="s">
        <v>906</v>
      </c>
      <c r="F267" s="186" t="s">
        <v>907</v>
      </c>
      <c r="G267" s="186" t="s">
        <v>1102</v>
      </c>
      <c r="H267" s="186" t="s">
        <v>1425</v>
      </c>
      <c r="I267" s="187" t="s">
        <v>1433</v>
      </c>
      <c r="J267" s="187" t="s">
        <v>1434</v>
      </c>
      <c r="K267" s="188"/>
      <c r="L267" s="188"/>
      <c r="M267" s="189" t="s">
        <v>847</v>
      </c>
      <c r="N267" s="190">
        <v>763.01</v>
      </c>
      <c r="O267" s="190">
        <f t="shared" si="24"/>
        <v>831.68</v>
      </c>
      <c r="P267" s="191">
        <f t="shared" si="25"/>
        <v>0</v>
      </c>
      <c r="Q267" s="192">
        <f t="shared" si="26"/>
        <v>0</v>
      </c>
      <c r="R267" s="193"/>
      <c r="S267" s="194"/>
      <c r="T267" s="195">
        <f t="shared" si="27"/>
        <v>0</v>
      </c>
      <c r="U267" s="195">
        <f t="shared" si="28"/>
        <v>0</v>
      </c>
      <c r="V267" s="195">
        <f t="shared" si="29"/>
        <v>0</v>
      </c>
      <c r="W267" s="196" t="e">
        <f t="shared" si="30"/>
        <v>#DIV/0!</v>
      </c>
      <c r="X267" s="197" t="e">
        <f t="shared" si="31"/>
        <v>#DIV/0!</v>
      </c>
    </row>
    <row r="268" ht="11.4" hidden="1" customHeight="1" spans="1:24">
      <c r="A268" s="184" t="s">
        <v>1399</v>
      </c>
      <c r="B268" s="184" t="s">
        <v>117</v>
      </c>
      <c r="C268" s="184" t="s">
        <v>1101</v>
      </c>
      <c r="D268" s="185" t="s">
        <v>522</v>
      </c>
      <c r="E268" s="186" t="s">
        <v>906</v>
      </c>
      <c r="F268" s="186" t="s">
        <v>907</v>
      </c>
      <c r="G268" s="186" t="s">
        <v>1102</v>
      </c>
      <c r="H268" s="186" t="s">
        <v>1425</v>
      </c>
      <c r="I268" s="187" t="s">
        <v>1435</v>
      </c>
      <c r="J268" s="187" t="s">
        <v>1436</v>
      </c>
      <c r="K268" s="188"/>
      <c r="L268" s="188"/>
      <c r="M268" s="189" t="s">
        <v>847</v>
      </c>
      <c r="N268" s="190">
        <v>229.85</v>
      </c>
      <c r="O268" s="190">
        <f t="shared" si="24"/>
        <v>250.54</v>
      </c>
      <c r="P268" s="191">
        <f t="shared" si="25"/>
        <v>0</v>
      </c>
      <c r="Q268" s="192">
        <f t="shared" si="26"/>
        <v>0</v>
      </c>
      <c r="R268" s="193"/>
      <c r="S268" s="194"/>
      <c r="T268" s="195">
        <f t="shared" si="27"/>
        <v>0</v>
      </c>
      <c r="U268" s="195">
        <f t="shared" si="28"/>
        <v>0</v>
      </c>
      <c r="V268" s="195">
        <f t="shared" si="29"/>
        <v>0</v>
      </c>
      <c r="W268" s="196" t="e">
        <f t="shared" si="30"/>
        <v>#DIV/0!</v>
      </c>
      <c r="X268" s="197" t="e">
        <f t="shared" si="31"/>
        <v>#DIV/0!</v>
      </c>
    </row>
    <row r="269" ht="11.4" hidden="1" customHeight="1" spans="1:24">
      <c r="A269" s="184" t="s">
        <v>1399</v>
      </c>
      <c r="B269" s="184" t="s">
        <v>117</v>
      </c>
      <c r="C269" s="184" t="s">
        <v>1101</v>
      </c>
      <c r="D269" s="185" t="s">
        <v>522</v>
      </c>
      <c r="E269" s="186" t="s">
        <v>906</v>
      </c>
      <c r="F269" s="186" t="s">
        <v>907</v>
      </c>
      <c r="G269" s="186" t="s">
        <v>1102</v>
      </c>
      <c r="H269" s="186" t="s">
        <v>1425</v>
      </c>
      <c r="I269" s="187" t="s">
        <v>1437</v>
      </c>
      <c r="J269" s="187" t="s">
        <v>1438</v>
      </c>
      <c r="K269" s="188"/>
      <c r="L269" s="188"/>
      <c r="M269" s="189" t="s">
        <v>847</v>
      </c>
      <c r="N269" s="190">
        <v>36.96</v>
      </c>
      <c r="O269" s="190">
        <f t="shared" ref="O269:O332" si="32">ROUND(N269*(1+$F$10),2)</f>
        <v>40.29</v>
      </c>
      <c r="P269" s="191">
        <f t="shared" ref="P269:P332" si="33">ROUND(K269*N269,2)</f>
        <v>0</v>
      </c>
      <c r="Q269" s="192">
        <f t="shared" ref="Q269:Q332" si="34">ROUND(L269*N269,2)</f>
        <v>0</v>
      </c>
      <c r="R269" s="193"/>
      <c r="S269" s="194"/>
      <c r="T269" s="195">
        <f t="shared" ref="T269:T332" si="35">K269-L269</f>
        <v>0</v>
      </c>
      <c r="U269" s="195">
        <f t="shared" ref="U269:U332" si="36">P269-Q269</f>
        <v>0</v>
      </c>
      <c r="V269" s="195">
        <f t="shared" ref="V269:V332" si="37">ABS(U269)</f>
        <v>0</v>
      </c>
      <c r="W269" s="196" t="e">
        <f t="shared" ref="W269:W332" si="38">T269/L269</f>
        <v>#DIV/0!</v>
      </c>
      <c r="X269" s="197" t="e">
        <f t="shared" ref="X269:X332" si="39">ABS(W269)</f>
        <v>#DIV/0!</v>
      </c>
    </row>
    <row r="270" ht="11.4" hidden="1" customHeight="1" spans="1:24">
      <c r="A270" s="184" t="s">
        <v>1399</v>
      </c>
      <c r="B270" s="184" t="s">
        <v>117</v>
      </c>
      <c r="C270" s="184" t="s">
        <v>1101</v>
      </c>
      <c r="D270" s="185" t="s">
        <v>522</v>
      </c>
      <c r="E270" s="186" t="s">
        <v>906</v>
      </c>
      <c r="F270" s="186" t="s">
        <v>907</v>
      </c>
      <c r="G270" s="186" t="s">
        <v>1102</v>
      </c>
      <c r="H270" s="186" t="s">
        <v>1425</v>
      </c>
      <c r="I270" s="187" t="s">
        <v>1439</v>
      </c>
      <c r="J270" s="187" t="s">
        <v>1440</v>
      </c>
      <c r="K270" s="188"/>
      <c r="L270" s="188"/>
      <c r="M270" s="189" t="s">
        <v>847</v>
      </c>
      <c r="N270" s="190">
        <v>958.97</v>
      </c>
      <c r="O270" s="190">
        <f t="shared" si="32"/>
        <v>1045.28</v>
      </c>
      <c r="P270" s="191">
        <f t="shared" si="33"/>
        <v>0</v>
      </c>
      <c r="Q270" s="192">
        <f t="shared" si="34"/>
        <v>0</v>
      </c>
      <c r="R270" s="193"/>
      <c r="S270" s="194"/>
      <c r="T270" s="195">
        <f t="shared" si="35"/>
        <v>0</v>
      </c>
      <c r="U270" s="195">
        <f t="shared" si="36"/>
        <v>0</v>
      </c>
      <c r="V270" s="195">
        <f t="shared" si="37"/>
        <v>0</v>
      </c>
      <c r="W270" s="196" t="e">
        <f t="shared" si="38"/>
        <v>#DIV/0!</v>
      </c>
      <c r="X270" s="197" t="e">
        <f t="shared" si="39"/>
        <v>#DIV/0!</v>
      </c>
    </row>
    <row r="271" ht="11.4" hidden="1" customHeight="1" spans="1:24">
      <c r="A271" s="184" t="s">
        <v>1399</v>
      </c>
      <c r="B271" s="184" t="s">
        <v>117</v>
      </c>
      <c r="C271" s="184" t="s">
        <v>1101</v>
      </c>
      <c r="D271" s="185" t="s">
        <v>522</v>
      </c>
      <c r="E271" s="186" t="s">
        <v>906</v>
      </c>
      <c r="F271" s="186" t="s">
        <v>907</v>
      </c>
      <c r="G271" s="186" t="s">
        <v>1102</v>
      </c>
      <c r="H271" s="186" t="s">
        <v>1425</v>
      </c>
      <c r="I271" s="187" t="s">
        <v>1442</v>
      </c>
      <c r="J271" s="187" t="s">
        <v>1443</v>
      </c>
      <c r="K271" s="188"/>
      <c r="L271" s="188"/>
      <c r="M271" s="189" t="s">
        <v>847</v>
      </c>
      <c r="N271" s="190">
        <v>1134.73</v>
      </c>
      <c r="O271" s="190">
        <f t="shared" si="32"/>
        <v>1236.86</v>
      </c>
      <c r="P271" s="191">
        <f t="shared" si="33"/>
        <v>0</v>
      </c>
      <c r="Q271" s="192">
        <f t="shared" si="34"/>
        <v>0</v>
      </c>
      <c r="R271" s="193"/>
      <c r="S271" s="194"/>
      <c r="T271" s="195">
        <f t="shared" si="35"/>
        <v>0</v>
      </c>
      <c r="U271" s="195">
        <f t="shared" si="36"/>
        <v>0</v>
      </c>
      <c r="V271" s="195">
        <f t="shared" si="37"/>
        <v>0</v>
      </c>
      <c r="W271" s="196" t="e">
        <f t="shared" si="38"/>
        <v>#DIV/0!</v>
      </c>
      <c r="X271" s="197" t="e">
        <f t="shared" si="39"/>
        <v>#DIV/0!</v>
      </c>
    </row>
    <row r="272" ht="11.4" hidden="1" customHeight="1" spans="1:24">
      <c r="A272" s="184" t="s">
        <v>1399</v>
      </c>
      <c r="B272" s="184" t="s">
        <v>117</v>
      </c>
      <c r="C272" s="184" t="s">
        <v>1101</v>
      </c>
      <c r="D272" s="185" t="s">
        <v>522</v>
      </c>
      <c r="E272" s="186" t="s">
        <v>906</v>
      </c>
      <c r="F272" s="186" t="s">
        <v>907</v>
      </c>
      <c r="G272" s="186" t="s">
        <v>1102</v>
      </c>
      <c r="H272" s="186" t="s">
        <v>1425</v>
      </c>
      <c r="I272" s="187" t="s">
        <v>1445</v>
      </c>
      <c r="J272" s="187" t="s">
        <v>1446</v>
      </c>
      <c r="K272" s="188"/>
      <c r="L272" s="188"/>
      <c r="M272" s="189" t="s">
        <v>847</v>
      </c>
      <c r="N272" s="190">
        <v>464.59</v>
      </c>
      <c r="O272" s="190">
        <f t="shared" si="32"/>
        <v>506.4</v>
      </c>
      <c r="P272" s="191">
        <f t="shared" si="33"/>
        <v>0</v>
      </c>
      <c r="Q272" s="192">
        <f t="shared" si="34"/>
        <v>0</v>
      </c>
      <c r="R272" s="193"/>
      <c r="S272" s="194"/>
      <c r="T272" s="195">
        <f t="shared" si="35"/>
        <v>0</v>
      </c>
      <c r="U272" s="195">
        <f t="shared" si="36"/>
        <v>0</v>
      </c>
      <c r="V272" s="195">
        <f t="shared" si="37"/>
        <v>0</v>
      </c>
      <c r="W272" s="196" t="e">
        <f t="shared" si="38"/>
        <v>#DIV/0!</v>
      </c>
      <c r="X272" s="197" t="e">
        <f t="shared" si="39"/>
        <v>#DIV/0!</v>
      </c>
    </row>
    <row r="273" ht="11.4" hidden="1" customHeight="1" spans="1:24">
      <c r="A273" s="184" t="s">
        <v>1399</v>
      </c>
      <c r="B273" s="184" t="s">
        <v>117</v>
      </c>
      <c r="C273" s="184" t="s">
        <v>1101</v>
      </c>
      <c r="D273" s="185" t="s">
        <v>522</v>
      </c>
      <c r="E273" s="186" t="s">
        <v>906</v>
      </c>
      <c r="F273" s="186" t="s">
        <v>907</v>
      </c>
      <c r="G273" s="186" t="s">
        <v>1102</v>
      </c>
      <c r="H273" s="186" t="s">
        <v>1425</v>
      </c>
      <c r="I273" s="187" t="s">
        <v>1448</v>
      </c>
      <c r="J273" s="187" t="s">
        <v>1449</v>
      </c>
      <c r="K273" s="188"/>
      <c r="L273" s="188"/>
      <c r="M273" s="189" t="s">
        <v>847</v>
      </c>
      <c r="N273" s="190">
        <v>460.58</v>
      </c>
      <c r="O273" s="190">
        <f t="shared" si="32"/>
        <v>502.03</v>
      </c>
      <c r="P273" s="191">
        <f t="shared" si="33"/>
        <v>0</v>
      </c>
      <c r="Q273" s="192">
        <f t="shared" si="34"/>
        <v>0</v>
      </c>
      <c r="R273" s="193"/>
      <c r="S273" s="194"/>
      <c r="T273" s="195">
        <f t="shared" si="35"/>
        <v>0</v>
      </c>
      <c r="U273" s="195">
        <f t="shared" si="36"/>
        <v>0</v>
      </c>
      <c r="V273" s="195">
        <f t="shared" si="37"/>
        <v>0</v>
      </c>
      <c r="W273" s="196" t="e">
        <f t="shared" si="38"/>
        <v>#DIV/0!</v>
      </c>
      <c r="X273" s="197" t="e">
        <f t="shared" si="39"/>
        <v>#DIV/0!</v>
      </c>
    </row>
    <row r="274" ht="11.4" hidden="1" customHeight="1" spans="1:24">
      <c r="A274" s="184" t="s">
        <v>1399</v>
      </c>
      <c r="B274" s="184" t="s">
        <v>117</v>
      </c>
      <c r="C274" s="184" t="s">
        <v>1101</v>
      </c>
      <c r="D274" s="185" t="s">
        <v>522</v>
      </c>
      <c r="E274" s="186" t="s">
        <v>906</v>
      </c>
      <c r="F274" s="186" t="s">
        <v>907</v>
      </c>
      <c r="G274" s="186" t="s">
        <v>1102</v>
      </c>
      <c r="H274" s="186" t="s">
        <v>1425</v>
      </c>
      <c r="I274" s="187" t="s">
        <v>1450</v>
      </c>
      <c r="J274" s="187" t="s">
        <v>1451</v>
      </c>
      <c r="K274" s="188">
        <v>22.93</v>
      </c>
      <c r="L274" s="188">
        <v>23.26</v>
      </c>
      <c r="M274" s="189" t="s">
        <v>847</v>
      </c>
      <c r="N274" s="190">
        <v>464.64</v>
      </c>
      <c r="O274" s="190">
        <f t="shared" si="32"/>
        <v>506.46</v>
      </c>
      <c r="P274" s="191">
        <f t="shared" si="33"/>
        <v>10654.2</v>
      </c>
      <c r="Q274" s="192">
        <f t="shared" si="34"/>
        <v>10807.53</v>
      </c>
      <c r="R274" s="193"/>
      <c r="S274" s="194"/>
      <c r="T274" s="195">
        <f t="shared" si="35"/>
        <v>-0.330000000000002</v>
      </c>
      <c r="U274" s="195">
        <f t="shared" si="36"/>
        <v>-153.33</v>
      </c>
      <c r="V274" s="195">
        <f t="shared" si="37"/>
        <v>153.33</v>
      </c>
      <c r="W274" s="196">
        <f t="shared" si="38"/>
        <v>-0.0141874462596733</v>
      </c>
      <c r="X274" s="197">
        <f t="shared" si="39"/>
        <v>0.0141874462596733</v>
      </c>
    </row>
    <row r="275" ht="11.4" hidden="1" customHeight="1" spans="1:24">
      <c r="A275" s="184" t="s">
        <v>1399</v>
      </c>
      <c r="B275" s="184" t="s">
        <v>117</v>
      </c>
      <c r="C275" s="184" t="s">
        <v>1101</v>
      </c>
      <c r="D275" s="185" t="s">
        <v>522</v>
      </c>
      <c r="E275" s="186" t="s">
        <v>906</v>
      </c>
      <c r="F275" s="186" t="s">
        <v>907</v>
      </c>
      <c r="G275" s="186" t="s">
        <v>1102</v>
      </c>
      <c r="H275" s="186" t="s">
        <v>1425</v>
      </c>
      <c r="I275" s="187" t="s">
        <v>1452</v>
      </c>
      <c r="J275" s="187" t="s">
        <v>1453</v>
      </c>
      <c r="K275" s="188"/>
      <c r="L275" s="188"/>
      <c r="M275" s="189" t="s">
        <v>847</v>
      </c>
      <c r="N275" s="190">
        <v>887.74</v>
      </c>
      <c r="O275" s="190">
        <f t="shared" si="32"/>
        <v>967.64</v>
      </c>
      <c r="P275" s="191">
        <f t="shared" si="33"/>
        <v>0</v>
      </c>
      <c r="Q275" s="192">
        <f t="shared" si="34"/>
        <v>0</v>
      </c>
      <c r="R275" s="193"/>
      <c r="S275" s="194"/>
      <c r="T275" s="195">
        <f t="shared" si="35"/>
        <v>0</v>
      </c>
      <c r="U275" s="195">
        <f t="shared" si="36"/>
        <v>0</v>
      </c>
      <c r="V275" s="195">
        <f t="shared" si="37"/>
        <v>0</v>
      </c>
      <c r="W275" s="196" t="e">
        <f t="shared" si="38"/>
        <v>#DIV/0!</v>
      </c>
      <c r="X275" s="197" t="e">
        <f t="shared" si="39"/>
        <v>#DIV/0!</v>
      </c>
    </row>
    <row r="276" ht="11.4" hidden="1" customHeight="1" spans="1:24">
      <c r="A276" s="184" t="s">
        <v>1399</v>
      </c>
      <c r="B276" s="184" t="s">
        <v>117</v>
      </c>
      <c r="C276" s="184" t="s">
        <v>1101</v>
      </c>
      <c r="D276" s="185" t="s">
        <v>522</v>
      </c>
      <c r="E276" s="186" t="s">
        <v>906</v>
      </c>
      <c r="F276" s="186" t="s">
        <v>907</v>
      </c>
      <c r="G276" s="186" t="s">
        <v>1102</v>
      </c>
      <c r="H276" s="186" t="s">
        <v>1425</v>
      </c>
      <c r="I276" s="187" t="s">
        <v>1454</v>
      </c>
      <c r="J276" s="187" t="s">
        <v>1455</v>
      </c>
      <c r="K276" s="188"/>
      <c r="L276" s="188"/>
      <c r="M276" s="189" t="s">
        <v>847</v>
      </c>
      <c r="N276" s="190">
        <v>360.47</v>
      </c>
      <c r="O276" s="190">
        <f t="shared" si="32"/>
        <v>392.91</v>
      </c>
      <c r="P276" s="191">
        <f t="shared" si="33"/>
        <v>0</v>
      </c>
      <c r="Q276" s="192">
        <f t="shared" si="34"/>
        <v>0</v>
      </c>
      <c r="R276" s="193"/>
      <c r="S276" s="194"/>
      <c r="T276" s="195">
        <f t="shared" si="35"/>
        <v>0</v>
      </c>
      <c r="U276" s="195">
        <f t="shared" si="36"/>
        <v>0</v>
      </c>
      <c r="V276" s="195">
        <f t="shared" si="37"/>
        <v>0</v>
      </c>
      <c r="W276" s="196" t="e">
        <f t="shared" si="38"/>
        <v>#DIV/0!</v>
      </c>
      <c r="X276" s="197" t="e">
        <f t="shared" si="39"/>
        <v>#DIV/0!</v>
      </c>
    </row>
    <row r="277" ht="11.4" hidden="1" customHeight="1" spans="1:24">
      <c r="A277" s="184" t="s">
        <v>1399</v>
      </c>
      <c r="B277" s="184" t="s">
        <v>117</v>
      </c>
      <c r="C277" s="184" t="s">
        <v>1101</v>
      </c>
      <c r="D277" s="185" t="s">
        <v>522</v>
      </c>
      <c r="E277" s="186" t="s">
        <v>906</v>
      </c>
      <c r="F277" s="186" t="s">
        <v>907</v>
      </c>
      <c r="G277" s="186" t="s">
        <v>1102</v>
      </c>
      <c r="H277" s="186" t="s">
        <v>1425</v>
      </c>
      <c r="I277" s="187" t="s">
        <v>1175</v>
      </c>
      <c r="J277" s="187" t="s">
        <v>1176</v>
      </c>
      <c r="K277" s="188"/>
      <c r="L277" s="188"/>
      <c r="M277" s="189" t="s">
        <v>847</v>
      </c>
      <c r="N277" s="190">
        <v>114.06</v>
      </c>
      <c r="O277" s="190">
        <f t="shared" si="32"/>
        <v>124.33</v>
      </c>
      <c r="P277" s="191">
        <f t="shared" si="33"/>
        <v>0</v>
      </c>
      <c r="Q277" s="192">
        <f t="shared" si="34"/>
        <v>0</v>
      </c>
      <c r="R277" s="193"/>
      <c r="S277" s="194"/>
      <c r="T277" s="195">
        <f t="shared" si="35"/>
        <v>0</v>
      </c>
      <c r="U277" s="195">
        <f t="shared" si="36"/>
        <v>0</v>
      </c>
      <c r="V277" s="195">
        <f t="shared" si="37"/>
        <v>0</v>
      </c>
      <c r="W277" s="196" t="e">
        <f t="shared" si="38"/>
        <v>#DIV/0!</v>
      </c>
      <c r="X277" s="197" t="e">
        <f t="shared" si="39"/>
        <v>#DIV/0!</v>
      </c>
    </row>
    <row r="278" ht="11.4" hidden="1" customHeight="1" spans="1:24">
      <c r="A278" s="184" t="s">
        <v>1399</v>
      </c>
      <c r="B278" s="184" t="s">
        <v>117</v>
      </c>
      <c r="C278" s="184" t="s">
        <v>1101</v>
      </c>
      <c r="D278" s="185" t="s">
        <v>522</v>
      </c>
      <c r="E278" s="186" t="s">
        <v>906</v>
      </c>
      <c r="F278" s="186" t="s">
        <v>907</v>
      </c>
      <c r="G278" s="186" t="s">
        <v>1102</v>
      </c>
      <c r="H278" s="186" t="s">
        <v>1425</v>
      </c>
      <c r="I278" s="187" t="s">
        <v>1457</v>
      </c>
      <c r="J278" s="187" t="s">
        <v>1458</v>
      </c>
      <c r="K278" s="188"/>
      <c r="L278" s="188"/>
      <c r="M278" s="189" t="s">
        <v>847</v>
      </c>
      <c r="N278" s="190">
        <v>392.72</v>
      </c>
      <c r="O278" s="190">
        <f t="shared" si="32"/>
        <v>428.06</v>
      </c>
      <c r="P278" s="191">
        <f t="shared" si="33"/>
        <v>0</v>
      </c>
      <c r="Q278" s="192">
        <f t="shared" si="34"/>
        <v>0</v>
      </c>
      <c r="R278" s="193"/>
      <c r="S278" s="194"/>
      <c r="T278" s="195">
        <f t="shared" si="35"/>
        <v>0</v>
      </c>
      <c r="U278" s="195">
        <f t="shared" si="36"/>
        <v>0</v>
      </c>
      <c r="V278" s="195">
        <f t="shared" si="37"/>
        <v>0</v>
      </c>
      <c r="W278" s="196" t="e">
        <f t="shared" si="38"/>
        <v>#DIV/0!</v>
      </c>
      <c r="X278" s="197" t="e">
        <f t="shared" si="39"/>
        <v>#DIV/0!</v>
      </c>
    </row>
    <row r="279" ht="11.4" hidden="1" customHeight="1" spans="1:24">
      <c r="A279" s="184" t="s">
        <v>1399</v>
      </c>
      <c r="B279" s="184" t="s">
        <v>117</v>
      </c>
      <c r="C279" s="184" t="s">
        <v>1101</v>
      </c>
      <c r="D279" s="185" t="s">
        <v>522</v>
      </c>
      <c r="E279" s="186" t="s">
        <v>906</v>
      </c>
      <c r="F279" s="186" t="s">
        <v>907</v>
      </c>
      <c r="G279" s="186" t="s">
        <v>1102</v>
      </c>
      <c r="H279" s="186" t="s">
        <v>1425</v>
      </c>
      <c r="I279" s="187" t="s">
        <v>1459</v>
      </c>
      <c r="J279" s="187" t="s">
        <v>1460</v>
      </c>
      <c r="K279" s="188"/>
      <c r="L279" s="188"/>
      <c r="M279" s="189" t="s">
        <v>847</v>
      </c>
      <c r="N279" s="190">
        <v>635.04</v>
      </c>
      <c r="O279" s="190">
        <f t="shared" si="32"/>
        <v>692.19</v>
      </c>
      <c r="P279" s="191">
        <f t="shared" si="33"/>
        <v>0</v>
      </c>
      <c r="Q279" s="192">
        <f t="shared" si="34"/>
        <v>0</v>
      </c>
      <c r="R279" s="193"/>
      <c r="S279" s="194"/>
      <c r="T279" s="195">
        <f t="shared" si="35"/>
        <v>0</v>
      </c>
      <c r="U279" s="195">
        <f t="shared" si="36"/>
        <v>0</v>
      </c>
      <c r="V279" s="195">
        <f t="shared" si="37"/>
        <v>0</v>
      </c>
      <c r="W279" s="196" t="e">
        <f t="shared" si="38"/>
        <v>#DIV/0!</v>
      </c>
      <c r="X279" s="197" t="e">
        <f t="shared" si="39"/>
        <v>#DIV/0!</v>
      </c>
    </row>
    <row r="280" ht="11.4" hidden="1" customHeight="1" spans="1:24">
      <c r="A280" s="184" t="s">
        <v>1399</v>
      </c>
      <c r="B280" s="184" t="s">
        <v>117</v>
      </c>
      <c r="C280" s="184" t="s">
        <v>1101</v>
      </c>
      <c r="D280" s="185" t="s">
        <v>522</v>
      </c>
      <c r="E280" s="186" t="s">
        <v>906</v>
      </c>
      <c r="F280" s="186" t="s">
        <v>907</v>
      </c>
      <c r="G280" s="186" t="s">
        <v>1102</v>
      </c>
      <c r="H280" s="186" t="s">
        <v>1425</v>
      </c>
      <c r="I280" s="187" t="s">
        <v>1461</v>
      </c>
      <c r="J280" s="187" t="s">
        <v>1462</v>
      </c>
      <c r="K280" s="188"/>
      <c r="L280" s="188"/>
      <c r="M280" s="189" t="s">
        <v>847</v>
      </c>
      <c r="N280" s="190">
        <v>608.1</v>
      </c>
      <c r="O280" s="190">
        <f t="shared" si="32"/>
        <v>662.83</v>
      </c>
      <c r="P280" s="191">
        <f t="shared" si="33"/>
        <v>0</v>
      </c>
      <c r="Q280" s="192">
        <f t="shared" si="34"/>
        <v>0</v>
      </c>
      <c r="R280" s="193"/>
      <c r="S280" s="194"/>
      <c r="T280" s="195">
        <f t="shared" si="35"/>
        <v>0</v>
      </c>
      <c r="U280" s="195">
        <f t="shared" si="36"/>
        <v>0</v>
      </c>
      <c r="V280" s="195">
        <f t="shared" si="37"/>
        <v>0</v>
      </c>
      <c r="W280" s="196" t="e">
        <f t="shared" si="38"/>
        <v>#DIV/0!</v>
      </c>
      <c r="X280" s="197" t="e">
        <f t="shared" si="39"/>
        <v>#DIV/0!</v>
      </c>
    </row>
    <row r="281" ht="11.4" hidden="1" customHeight="1" spans="1:24">
      <c r="A281" s="184" t="s">
        <v>1399</v>
      </c>
      <c r="B281" s="184" t="s">
        <v>117</v>
      </c>
      <c r="C281" s="184" t="s">
        <v>1101</v>
      </c>
      <c r="D281" s="185" t="s">
        <v>522</v>
      </c>
      <c r="E281" s="186" t="s">
        <v>906</v>
      </c>
      <c r="F281" s="186" t="s">
        <v>907</v>
      </c>
      <c r="G281" s="186" t="s">
        <v>1102</v>
      </c>
      <c r="H281" s="186" t="s">
        <v>1425</v>
      </c>
      <c r="I281" s="187" t="s">
        <v>1463</v>
      </c>
      <c r="J281" s="187" t="s">
        <v>1464</v>
      </c>
      <c r="K281" s="188"/>
      <c r="L281" s="188"/>
      <c r="M281" s="189" t="s">
        <v>847</v>
      </c>
      <c r="N281" s="190">
        <v>727.77</v>
      </c>
      <c r="O281" s="190">
        <f t="shared" si="32"/>
        <v>793.27</v>
      </c>
      <c r="P281" s="191">
        <f t="shared" si="33"/>
        <v>0</v>
      </c>
      <c r="Q281" s="192">
        <f t="shared" si="34"/>
        <v>0</v>
      </c>
      <c r="R281" s="193"/>
      <c r="S281" s="194"/>
      <c r="T281" s="195">
        <f t="shared" si="35"/>
        <v>0</v>
      </c>
      <c r="U281" s="195">
        <f t="shared" si="36"/>
        <v>0</v>
      </c>
      <c r="V281" s="195">
        <f t="shared" si="37"/>
        <v>0</v>
      </c>
      <c r="W281" s="196" t="e">
        <f t="shared" si="38"/>
        <v>#DIV/0!</v>
      </c>
      <c r="X281" s="197" t="e">
        <f t="shared" si="39"/>
        <v>#DIV/0!</v>
      </c>
    </row>
    <row r="282" ht="11.4" hidden="1" customHeight="1" spans="1:24">
      <c r="A282" s="184" t="s">
        <v>1399</v>
      </c>
      <c r="B282" s="184" t="s">
        <v>117</v>
      </c>
      <c r="C282" s="184" t="s">
        <v>1101</v>
      </c>
      <c r="D282" s="185" t="s">
        <v>522</v>
      </c>
      <c r="E282" s="186" t="s">
        <v>906</v>
      </c>
      <c r="F282" s="186" t="s">
        <v>907</v>
      </c>
      <c r="G282" s="186" t="s">
        <v>1102</v>
      </c>
      <c r="H282" s="186" t="s">
        <v>1425</v>
      </c>
      <c r="I282" s="187" t="s">
        <v>1465</v>
      </c>
      <c r="J282" s="187" t="s">
        <v>1466</v>
      </c>
      <c r="K282" s="188"/>
      <c r="L282" s="188"/>
      <c r="M282" s="189" t="s">
        <v>847</v>
      </c>
      <c r="N282" s="190">
        <v>234.97</v>
      </c>
      <c r="O282" s="190">
        <f t="shared" si="32"/>
        <v>256.12</v>
      </c>
      <c r="P282" s="191">
        <f t="shared" si="33"/>
        <v>0</v>
      </c>
      <c r="Q282" s="192">
        <f t="shared" si="34"/>
        <v>0</v>
      </c>
      <c r="R282" s="193"/>
      <c r="S282" s="194"/>
      <c r="T282" s="195">
        <f t="shared" si="35"/>
        <v>0</v>
      </c>
      <c r="U282" s="195">
        <f t="shared" si="36"/>
        <v>0</v>
      </c>
      <c r="V282" s="195">
        <f t="shared" si="37"/>
        <v>0</v>
      </c>
      <c r="W282" s="196" t="e">
        <f t="shared" si="38"/>
        <v>#DIV/0!</v>
      </c>
      <c r="X282" s="197" t="e">
        <f t="shared" si="39"/>
        <v>#DIV/0!</v>
      </c>
    </row>
    <row r="283" ht="11.4" hidden="1" customHeight="1" spans="1:24">
      <c r="A283" s="184" t="s">
        <v>1399</v>
      </c>
      <c r="B283" s="184" t="s">
        <v>117</v>
      </c>
      <c r="C283" s="184" t="s">
        <v>1101</v>
      </c>
      <c r="D283" s="185" t="s">
        <v>522</v>
      </c>
      <c r="E283" s="186" t="s">
        <v>906</v>
      </c>
      <c r="F283" s="186" t="s">
        <v>907</v>
      </c>
      <c r="G283" s="186" t="s">
        <v>1102</v>
      </c>
      <c r="H283" s="186" t="s">
        <v>1425</v>
      </c>
      <c r="I283" s="187" t="s">
        <v>1467</v>
      </c>
      <c r="J283" s="187" t="s">
        <v>1468</v>
      </c>
      <c r="K283" s="188"/>
      <c r="L283" s="188"/>
      <c r="M283" s="189" t="s">
        <v>847</v>
      </c>
      <c r="N283" s="190">
        <v>60.18</v>
      </c>
      <c r="O283" s="190">
        <f t="shared" si="32"/>
        <v>65.6</v>
      </c>
      <c r="P283" s="191">
        <f t="shared" si="33"/>
        <v>0</v>
      </c>
      <c r="Q283" s="192">
        <f t="shared" si="34"/>
        <v>0</v>
      </c>
      <c r="R283" s="193"/>
      <c r="S283" s="194"/>
      <c r="T283" s="195">
        <f t="shared" si="35"/>
        <v>0</v>
      </c>
      <c r="U283" s="195">
        <f t="shared" si="36"/>
        <v>0</v>
      </c>
      <c r="V283" s="195">
        <f t="shared" si="37"/>
        <v>0</v>
      </c>
      <c r="W283" s="196" t="e">
        <f t="shared" si="38"/>
        <v>#DIV/0!</v>
      </c>
      <c r="X283" s="197" t="e">
        <f t="shared" si="39"/>
        <v>#DIV/0!</v>
      </c>
    </row>
    <row r="284" ht="11.4" hidden="1" customHeight="1" spans="1:24">
      <c r="A284" s="184" t="s">
        <v>1399</v>
      </c>
      <c r="B284" s="184" t="s">
        <v>117</v>
      </c>
      <c r="C284" s="184" t="s">
        <v>1101</v>
      </c>
      <c r="D284" s="185" t="s">
        <v>522</v>
      </c>
      <c r="E284" s="186" t="s">
        <v>906</v>
      </c>
      <c r="F284" s="186" t="s">
        <v>907</v>
      </c>
      <c r="G284" s="186" t="s">
        <v>1102</v>
      </c>
      <c r="H284" s="186" t="s">
        <v>1425</v>
      </c>
      <c r="I284" s="187" t="s">
        <v>1469</v>
      </c>
      <c r="J284" s="187" t="s">
        <v>1470</v>
      </c>
      <c r="K284" s="188"/>
      <c r="L284" s="188"/>
      <c r="M284" s="189" t="s">
        <v>847</v>
      </c>
      <c r="N284" s="190">
        <v>38</v>
      </c>
      <c r="O284" s="190">
        <f t="shared" si="32"/>
        <v>41.42</v>
      </c>
      <c r="P284" s="191">
        <f t="shared" si="33"/>
        <v>0</v>
      </c>
      <c r="Q284" s="192">
        <f t="shared" si="34"/>
        <v>0</v>
      </c>
      <c r="R284" s="193"/>
      <c r="S284" s="194"/>
      <c r="T284" s="195">
        <f t="shared" si="35"/>
        <v>0</v>
      </c>
      <c r="U284" s="195">
        <f t="shared" si="36"/>
        <v>0</v>
      </c>
      <c r="V284" s="195">
        <f t="shared" si="37"/>
        <v>0</v>
      </c>
      <c r="W284" s="196" t="e">
        <f t="shared" si="38"/>
        <v>#DIV/0!</v>
      </c>
      <c r="X284" s="197" t="e">
        <f t="shared" si="39"/>
        <v>#DIV/0!</v>
      </c>
    </row>
    <row r="285" ht="11.4" hidden="1" customHeight="1" spans="1:24">
      <c r="A285" s="184" t="s">
        <v>1399</v>
      </c>
      <c r="B285" s="184" t="s">
        <v>117</v>
      </c>
      <c r="C285" s="184" t="s">
        <v>1101</v>
      </c>
      <c r="D285" s="185" t="s">
        <v>522</v>
      </c>
      <c r="E285" s="186" t="s">
        <v>906</v>
      </c>
      <c r="F285" s="186" t="s">
        <v>907</v>
      </c>
      <c r="G285" s="186" t="s">
        <v>1102</v>
      </c>
      <c r="H285" s="186" t="s">
        <v>1425</v>
      </c>
      <c r="I285" s="187" t="s">
        <v>1471</v>
      </c>
      <c r="J285" s="187" t="s">
        <v>1472</v>
      </c>
      <c r="K285" s="188"/>
      <c r="L285" s="188"/>
      <c r="M285" s="189" t="s">
        <v>847</v>
      </c>
      <c r="N285" s="190">
        <v>38</v>
      </c>
      <c r="O285" s="190">
        <f t="shared" si="32"/>
        <v>41.42</v>
      </c>
      <c r="P285" s="191">
        <f t="shared" si="33"/>
        <v>0</v>
      </c>
      <c r="Q285" s="192">
        <f t="shared" si="34"/>
        <v>0</v>
      </c>
      <c r="R285" s="193"/>
      <c r="S285" s="194"/>
      <c r="T285" s="195">
        <f t="shared" si="35"/>
        <v>0</v>
      </c>
      <c r="U285" s="195">
        <f t="shared" si="36"/>
        <v>0</v>
      </c>
      <c r="V285" s="195">
        <f t="shared" si="37"/>
        <v>0</v>
      </c>
      <c r="W285" s="196" t="e">
        <f t="shared" si="38"/>
        <v>#DIV/0!</v>
      </c>
      <c r="X285" s="197" t="e">
        <f t="shared" si="39"/>
        <v>#DIV/0!</v>
      </c>
    </row>
    <row r="286" ht="11.4" hidden="1" customHeight="1" spans="1:24">
      <c r="A286" s="184" t="s">
        <v>1399</v>
      </c>
      <c r="B286" s="184" t="s">
        <v>117</v>
      </c>
      <c r="C286" s="184" t="s">
        <v>1101</v>
      </c>
      <c r="D286" s="185" t="s">
        <v>522</v>
      </c>
      <c r="E286" s="186" t="s">
        <v>906</v>
      </c>
      <c r="F286" s="186" t="s">
        <v>907</v>
      </c>
      <c r="G286" s="186" t="s">
        <v>1102</v>
      </c>
      <c r="H286" s="186" t="s">
        <v>1425</v>
      </c>
      <c r="I286" s="187" t="s">
        <v>1473</v>
      </c>
      <c r="J286" s="187" t="s">
        <v>1474</v>
      </c>
      <c r="K286" s="188"/>
      <c r="L286" s="188"/>
      <c r="M286" s="189" t="s">
        <v>847</v>
      </c>
      <c r="N286" s="190">
        <v>167.98</v>
      </c>
      <c r="O286" s="190">
        <f t="shared" si="32"/>
        <v>183.1</v>
      </c>
      <c r="P286" s="191">
        <f t="shared" si="33"/>
        <v>0</v>
      </c>
      <c r="Q286" s="192">
        <f t="shared" si="34"/>
        <v>0</v>
      </c>
      <c r="R286" s="193"/>
      <c r="S286" s="194"/>
      <c r="T286" s="195">
        <f t="shared" si="35"/>
        <v>0</v>
      </c>
      <c r="U286" s="195">
        <f t="shared" si="36"/>
        <v>0</v>
      </c>
      <c r="V286" s="195">
        <f t="shared" si="37"/>
        <v>0</v>
      </c>
      <c r="W286" s="196" t="e">
        <f t="shared" si="38"/>
        <v>#DIV/0!</v>
      </c>
      <c r="X286" s="197" t="e">
        <f t="shared" si="39"/>
        <v>#DIV/0!</v>
      </c>
    </row>
    <row r="287" ht="11.4" hidden="1" customHeight="1" spans="1:24">
      <c r="A287" s="184" t="s">
        <v>1399</v>
      </c>
      <c r="B287" s="184" t="s">
        <v>117</v>
      </c>
      <c r="C287" s="184" t="s">
        <v>1101</v>
      </c>
      <c r="D287" s="185" t="s">
        <v>522</v>
      </c>
      <c r="E287" s="186" t="s">
        <v>906</v>
      </c>
      <c r="F287" s="186" t="s">
        <v>907</v>
      </c>
      <c r="G287" s="186" t="s">
        <v>1102</v>
      </c>
      <c r="H287" s="186" t="s">
        <v>1425</v>
      </c>
      <c r="I287" s="187" t="s">
        <v>1475</v>
      </c>
      <c r="J287" s="187" t="s">
        <v>1476</v>
      </c>
      <c r="K287" s="188"/>
      <c r="L287" s="188"/>
      <c r="M287" s="189" t="s">
        <v>847</v>
      </c>
      <c r="N287" s="190">
        <v>147.41</v>
      </c>
      <c r="O287" s="190">
        <f t="shared" si="32"/>
        <v>160.68</v>
      </c>
      <c r="P287" s="191">
        <f t="shared" si="33"/>
        <v>0</v>
      </c>
      <c r="Q287" s="192">
        <f t="shared" si="34"/>
        <v>0</v>
      </c>
      <c r="R287" s="193"/>
      <c r="S287" s="194"/>
      <c r="T287" s="195">
        <f t="shared" si="35"/>
        <v>0</v>
      </c>
      <c r="U287" s="195">
        <f t="shared" si="36"/>
        <v>0</v>
      </c>
      <c r="V287" s="195">
        <f t="shared" si="37"/>
        <v>0</v>
      </c>
      <c r="W287" s="196" t="e">
        <f t="shared" si="38"/>
        <v>#DIV/0!</v>
      </c>
      <c r="X287" s="197" t="e">
        <f t="shared" si="39"/>
        <v>#DIV/0!</v>
      </c>
    </row>
    <row r="288" ht="11.4" hidden="1" customHeight="1" spans="1:24">
      <c r="A288" s="184" t="s">
        <v>1399</v>
      </c>
      <c r="B288" s="184" t="s">
        <v>117</v>
      </c>
      <c r="C288" s="184" t="s">
        <v>1101</v>
      </c>
      <c r="D288" s="185" t="s">
        <v>522</v>
      </c>
      <c r="E288" s="186" t="s">
        <v>906</v>
      </c>
      <c r="F288" s="186" t="s">
        <v>907</v>
      </c>
      <c r="G288" s="186" t="s">
        <v>1102</v>
      </c>
      <c r="H288" s="186" t="s">
        <v>1425</v>
      </c>
      <c r="I288" s="187" t="s">
        <v>1477</v>
      </c>
      <c r="J288" s="187" t="s">
        <v>1478</v>
      </c>
      <c r="K288" s="188"/>
      <c r="L288" s="188"/>
      <c r="M288" s="189" t="s">
        <v>847</v>
      </c>
      <c r="N288" s="190">
        <v>169.19</v>
      </c>
      <c r="O288" s="190">
        <f t="shared" si="32"/>
        <v>184.42</v>
      </c>
      <c r="P288" s="191">
        <f t="shared" si="33"/>
        <v>0</v>
      </c>
      <c r="Q288" s="192">
        <f t="shared" si="34"/>
        <v>0</v>
      </c>
      <c r="R288" s="193"/>
      <c r="S288" s="194"/>
      <c r="T288" s="195">
        <f t="shared" si="35"/>
        <v>0</v>
      </c>
      <c r="U288" s="195">
        <f t="shared" si="36"/>
        <v>0</v>
      </c>
      <c r="V288" s="195">
        <f t="shared" si="37"/>
        <v>0</v>
      </c>
      <c r="W288" s="196" t="e">
        <f t="shared" si="38"/>
        <v>#DIV/0!</v>
      </c>
      <c r="X288" s="197" t="e">
        <f t="shared" si="39"/>
        <v>#DIV/0!</v>
      </c>
    </row>
    <row r="289" ht="11.4" hidden="1" customHeight="1" spans="1:27">
      <c r="A289" s="184" t="s">
        <v>1399</v>
      </c>
      <c r="B289" s="184" t="s">
        <v>117</v>
      </c>
      <c r="C289" s="184" t="s">
        <v>1101</v>
      </c>
      <c r="D289" s="185" t="s">
        <v>522</v>
      </c>
      <c r="E289" s="186" t="s">
        <v>906</v>
      </c>
      <c r="F289" s="186" t="s">
        <v>907</v>
      </c>
      <c r="G289" s="186" t="s">
        <v>1102</v>
      </c>
      <c r="H289" s="186" t="s">
        <v>1425</v>
      </c>
      <c r="I289" s="187" t="s">
        <v>1326</v>
      </c>
      <c r="J289" s="187" t="s">
        <v>1327</v>
      </c>
      <c r="K289" s="188"/>
      <c r="L289" s="188"/>
      <c r="M289" s="189" t="s">
        <v>847</v>
      </c>
      <c r="N289" s="190">
        <v>206.06</v>
      </c>
      <c r="O289" s="190">
        <f t="shared" si="32"/>
        <v>224.61</v>
      </c>
      <c r="P289" s="191">
        <f t="shared" si="33"/>
        <v>0</v>
      </c>
      <c r="Q289" s="192">
        <f t="shared" si="34"/>
        <v>0</v>
      </c>
      <c r="R289" s="193"/>
      <c r="S289" s="194"/>
      <c r="T289" s="195">
        <f t="shared" si="35"/>
        <v>0</v>
      </c>
      <c r="U289" s="195">
        <f t="shared" si="36"/>
        <v>0</v>
      </c>
      <c r="V289" s="195">
        <f t="shared" si="37"/>
        <v>0</v>
      </c>
      <c r="W289" s="196" t="e">
        <f t="shared" si="38"/>
        <v>#DIV/0!</v>
      </c>
      <c r="X289" s="197" t="e">
        <f t="shared" si="39"/>
        <v>#DIV/0!</v>
      </c>
    </row>
    <row r="290" ht="11.4" hidden="1" customHeight="1" spans="1:27">
      <c r="A290" s="184" t="s">
        <v>1399</v>
      </c>
      <c r="B290" s="184" t="s">
        <v>117</v>
      </c>
      <c r="C290" s="184" t="s">
        <v>1101</v>
      </c>
      <c r="D290" s="185" t="s">
        <v>522</v>
      </c>
      <c r="E290" s="186" t="s">
        <v>906</v>
      </c>
      <c r="F290" s="186" t="s">
        <v>907</v>
      </c>
      <c r="G290" s="186" t="s">
        <v>1102</v>
      </c>
      <c r="H290" s="186" t="s">
        <v>1425</v>
      </c>
      <c r="I290" s="187" t="s">
        <v>1328</v>
      </c>
      <c r="J290" s="187" t="s">
        <v>1329</v>
      </c>
      <c r="K290" s="188"/>
      <c r="L290" s="188"/>
      <c r="M290" s="189" t="s">
        <v>847</v>
      </c>
      <c r="N290" s="190">
        <v>193.96</v>
      </c>
      <c r="O290" s="190">
        <f t="shared" si="32"/>
        <v>211.42</v>
      </c>
      <c r="P290" s="191">
        <f t="shared" si="33"/>
        <v>0</v>
      </c>
      <c r="Q290" s="192">
        <f t="shared" si="34"/>
        <v>0</v>
      </c>
      <c r="R290" s="193"/>
      <c r="S290" s="194"/>
      <c r="T290" s="195">
        <f t="shared" si="35"/>
        <v>0</v>
      </c>
      <c r="U290" s="195">
        <f t="shared" si="36"/>
        <v>0</v>
      </c>
      <c r="V290" s="195">
        <f t="shared" si="37"/>
        <v>0</v>
      </c>
      <c r="W290" s="196" t="e">
        <f t="shared" si="38"/>
        <v>#DIV/0!</v>
      </c>
      <c r="X290" s="197" t="e">
        <f t="shared" si="39"/>
        <v>#DIV/0!</v>
      </c>
    </row>
    <row r="291" ht="11.4" hidden="1" customHeight="1" spans="1:27">
      <c r="A291" s="184" t="s">
        <v>1399</v>
      </c>
      <c r="B291" s="184" t="s">
        <v>117</v>
      </c>
      <c r="C291" s="184" t="s">
        <v>1101</v>
      </c>
      <c r="D291" s="185" t="s">
        <v>522</v>
      </c>
      <c r="E291" s="186" t="s">
        <v>906</v>
      </c>
      <c r="F291" s="186" t="s">
        <v>907</v>
      </c>
      <c r="G291" s="186" t="s">
        <v>1102</v>
      </c>
      <c r="H291" s="186" t="s">
        <v>1425</v>
      </c>
      <c r="I291" s="187" t="s">
        <v>1330</v>
      </c>
      <c r="J291" s="187" t="s">
        <v>1331</v>
      </c>
      <c r="K291" s="188"/>
      <c r="L291" s="188"/>
      <c r="M291" s="189" t="s">
        <v>847</v>
      </c>
      <c r="N291" s="190">
        <v>215.74</v>
      </c>
      <c r="O291" s="190">
        <f t="shared" si="32"/>
        <v>235.16</v>
      </c>
      <c r="P291" s="191">
        <f t="shared" si="33"/>
        <v>0</v>
      </c>
      <c r="Q291" s="192">
        <f t="shared" si="34"/>
        <v>0</v>
      </c>
      <c r="R291" s="193"/>
      <c r="S291" s="194"/>
      <c r="T291" s="195">
        <f t="shared" si="35"/>
        <v>0</v>
      </c>
      <c r="U291" s="195">
        <f t="shared" si="36"/>
        <v>0</v>
      </c>
      <c r="V291" s="195">
        <f t="shared" si="37"/>
        <v>0</v>
      </c>
      <c r="W291" s="196" t="e">
        <f t="shared" si="38"/>
        <v>#DIV/0!</v>
      </c>
      <c r="X291" s="197" t="e">
        <f t="shared" si="39"/>
        <v>#DIV/0!</v>
      </c>
    </row>
    <row r="292" ht="11.4" hidden="1" customHeight="1" spans="1:27">
      <c r="A292" s="184" t="s">
        <v>1399</v>
      </c>
      <c r="B292" s="184" t="s">
        <v>117</v>
      </c>
      <c r="C292" s="184" t="s">
        <v>1101</v>
      </c>
      <c r="D292" s="185" t="s">
        <v>522</v>
      </c>
      <c r="E292" s="186" t="s">
        <v>906</v>
      </c>
      <c r="F292" s="186" t="s">
        <v>907</v>
      </c>
      <c r="G292" s="186" t="s">
        <v>1102</v>
      </c>
      <c r="H292" s="186" t="s">
        <v>1479</v>
      </c>
      <c r="I292" s="187" t="s">
        <v>1480</v>
      </c>
      <c r="J292" s="187" t="s">
        <v>1481</v>
      </c>
      <c r="K292" s="188"/>
      <c r="L292" s="188"/>
      <c r="M292" s="189" t="s">
        <v>847</v>
      </c>
      <c r="N292" s="190">
        <v>209.13</v>
      </c>
      <c r="O292" s="190">
        <f t="shared" si="32"/>
        <v>227.95</v>
      </c>
      <c r="P292" s="191">
        <f t="shared" si="33"/>
        <v>0</v>
      </c>
      <c r="Q292" s="192">
        <f t="shared" si="34"/>
        <v>0</v>
      </c>
      <c r="R292" s="193"/>
      <c r="S292" s="194"/>
      <c r="T292" s="195">
        <f t="shared" si="35"/>
        <v>0</v>
      </c>
      <c r="U292" s="195">
        <f t="shared" si="36"/>
        <v>0</v>
      </c>
      <c r="V292" s="195">
        <f t="shared" si="37"/>
        <v>0</v>
      </c>
      <c r="W292" s="196" t="e">
        <f t="shared" si="38"/>
        <v>#DIV/0!</v>
      </c>
      <c r="X292" s="197" t="e">
        <f t="shared" si="39"/>
        <v>#DIV/0!</v>
      </c>
    </row>
    <row r="293" ht="11.4" hidden="1" customHeight="1" spans="1:27">
      <c r="A293" s="184" t="s">
        <v>1399</v>
      </c>
      <c r="B293" s="184" t="s">
        <v>117</v>
      </c>
      <c r="C293" s="184" t="s">
        <v>1101</v>
      </c>
      <c r="D293" s="185" t="s">
        <v>522</v>
      </c>
      <c r="E293" s="186" t="s">
        <v>906</v>
      </c>
      <c r="F293" s="186" t="s">
        <v>907</v>
      </c>
      <c r="G293" s="186" t="s">
        <v>1102</v>
      </c>
      <c r="H293" s="186" t="s">
        <v>1479</v>
      </c>
      <c r="I293" s="187" t="s">
        <v>1482</v>
      </c>
      <c r="J293" s="187" t="s">
        <v>1483</v>
      </c>
      <c r="K293" s="188"/>
      <c r="L293" s="188"/>
      <c r="M293" s="189" t="s">
        <v>847</v>
      </c>
      <c r="N293" s="190">
        <v>203.08</v>
      </c>
      <c r="O293" s="190">
        <f t="shared" si="32"/>
        <v>221.36</v>
      </c>
      <c r="P293" s="191">
        <f t="shared" si="33"/>
        <v>0</v>
      </c>
      <c r="Q293" s="192">
        <f t="shared" si="34"/>
        <v>0</v>
      </c>
      <c r="R293" s="193"/>
      <c r="S293" s="194"/>
      <c r="T293" s="195">
        <f t="shared" si="35"/>
        <v>0</v>
      </c>
      <c r="U293" s="195">
        <f t="shared" si="36"/>
        <v>0</v>
      </c>
      <c r="V293" s="195">
        <f t="shared" si="37"/>
        <v>0</v>
      </c>
      <c r="W293" s="196" t="e">
        <f t="shared" si="38"/>
        <v>#DIV/0!</v>
      </c>
      <c r="X293" s="197" t="e">
        <f t="shared" si="39"/>
        <v>#DIV/0!</v>
      </c>
    </row>
    <row r="294" ht="11.4" hidden="1" customHeight="1" spans="1:27">
      <c r="A294" s="184" t="s">
        <v>1399</v>
      </c>
      <c r="B294" s="184" t="s">
        <v>117</v>
      </c>
      <c r="C294" s="184" t="s">
        <v>1101</v>
      </c>
      <c r="D294" s="185" t="s">
        <v>522</v>
      </c>
      <c r="E294" s="186" t="s">
        <v>906</v>
      </c>
      <c r="F294" s="186" t="s">
        <v>907</v>
      </c>
      <c r="G294" s="186" t="s">
        <v>1102</v>
      </c>
      <c r="H294" s="186" t="s">
        <v>1479</v>
      </c>
      <c r="I294" s="187" t="s">
        <v>1484</v>
      </c>
      <c r="J294" s="187" t="s">
        <v>1485</v>
      </c>
      <c r="K294" s="188"/>
      <c r="L294" s="188"/>
      <c r="M294" s="189" t="s">
        <v>847</v>
      </c>
      <c r="N294" s="190">
        <v>209.13</v>
      </c>
      <c r="O294" s="190">
        <f t="shared" si="32"/>
        <v>227.95</v>
      </c>
      <c r="P294" s="191">
        <f t="shared" si="33"/>
        <v>0</v>
      </c>
      <c r="Q294" s="192">
        <f t="shared" si="34"/>
        <v>0</v>
      </c>
      <c r="R294" s="193"/>
      <c r="S294" s="194"/>
      <c r="T294" s="195">
        <f t="shared" si="35"/>
        <v>0</v>
      </c>
      <c r="U294" s="195">
        <f t="shared" si="36"/>
        <v>0</v>
      </c>
      <c r="V294" s="195">
        <f t="shared" si="37"/>
        <v>0</v>
      </c>
      <c r="W294" s="196" t="e">
        <f t="shared" si="38"/>
        <v>#DIV/0!</v>
      </c>
      <c r="X294" s="197" t="e">
        <f t="shared" si="39"/>
        <v>#DIV/0!</v>
      </c>
    </row>
    <row r="295" ht="11.4" hidden="1" customHeight="1" spans="1:27">
      <c r="A295" s="184" t="s">
        <v>1399</v>
      </c>
      <c r="B295" s="184" t="s">
        <v>117</v>
      </c>
      <c r="C295" s="184" t="s">
        <v>1101</v>
      </c>
      <c r="D295" s="185" t="s">
        <v>522</v>
      </c>
      <c r="E295" s="186" t="s">
        <v>906</v>
      </c>
      <c r="F295" s="186" t="s">
        <v>907</v>
      </c>
      <c r="G295" s="186" t="s">
        <v>1102</v>
      </c>
      <c r="H295" s="186" t="s">
        <v>1425</v>
      </c>
      <c r="I295" s="187" t="s">
        <v>1486</v>
      </c>
      <c r="J295" s="187" t="s">
        <v>1487</v>
      </c>
      <c r="K295" s="188"/>
      <c r="L295" s="188"/>
      <c r="M295" s="189" t="s">
        <v>847</v>
      </c>
      <c r="N295" s="190">
        <v>660.97</v>
      </c>
      <c r="O295" s="190">
        <f t="shared" si="32"/>
        <v>720.46</v>
      </c>
      <c r="P295" s="191">
        <f t="shared" si="33"/>
        <v>0</v>
      </c>
      <c r="Q295" s="192">
        <f t="shared" si="34"/>
        <v>0</v>
      </c>
      <c r="R295" s="193"/>
      <c r="S295" s="194"/>
      <c r="T295" s="195">
        <f t="shared" si="35"/>
        <v>0</v>
      </c>
      <c r="U295" s="195">
        <f t="shared" si="36"/>
        <v>0</v>
      </c>
      <c r="V295" s="195">
        <f t="shared" si="37"/>
        <v>0</v>
      </c>
      <c r="W295" s="196" t="e">
        <f t="shared" si="38"/>
        <v>#DIV/0!</v>
      </c>
      <c r="X295" s="197" t="e">
        <f t="shared" si="39"/>
        <v>#DIV/0!</v>
      </c>
    </row>
    <row r="296" ht="11.4" hidden="1" customHeight="1" spans="1:27">
      <c r="A296" s="184" t="s">
        <v>1399</v>
      </c>
      <c r="B296" s="184" t="s">
        <v>117</v>
      </c>
      <c r="C296" s="184" t="s">
        <v>1101</v>
      </c>
      <c r="D296" s="185" t="s">
        <v>522</v>
      </c>
      <c r="E296" s="186" t="s">
        <v>906</v>
      </c>
      <c r="F296" s="186" t="s">
        <v>907</v>
      </c>
      <c r="G296" s="186" t="s">
        <v>1102</v>
      </c>
      <c r="H296" s="186" t="s">
        <v>1425</v>
      </c>
      <c r="I296" s="187" t="s">
        <v>1488</v>
      </c>
      <c r="J296" s="187" t="s">
        <v>1489</v>
      </c>
      <c r="K296" s="188"/>
      <c r="L296" s="188"/>
      <c r="M296" s="189" t="s">
        <v>807</v>
      </c>
      <c r="N296" s="190">
        <v>68.1</v>
      </c>
      <c r="O296" s="190">
        <f t="shared" si="32"/>
        <v>74.23</v>
      </c>
      <c r="P296" s="191">
        <f t="shared" si="33"/>
        <v>0</v>
      </c>
      <c r="Q296" s="192">
        <f t="shared" si="34"/>
        <v>0</v>
      </c>
      <c r="R296" s="193"/>
      <c r="S296" s="194"/>
      <c r="T296" s="195">
        <f t="shared" si="35"/>
        <v>0</v>
      </c>
      <c r="U296" s="195">
        <f t="shared" si="36"/>
        <v>0</v>
      </c>
      <c r="V296" s="195">
        <f t="shared" si="37"/>
        <v>0</v>
      </c>
      <c r="W296" s="196" t="e">
        <f t="shared" si="38"/>
        <v>#DIV/0!</v>
      </c>
      <c r="X296" s="197" t="e">
        <f t="shared" si="39"/>
        <v>#DIV/0!</v>
      </c>
    </row>
    <row r="297" ht="11.4" hidden="1" customHeight="1" spans="1:27">
      <c r="A297" s="184" t="s">
        <v>1399</v>
      </c>
      <c r="B297" s="184" t="s">
        <v>117</v>
      </c>
      <c r="C297" s="184" t="s">
        <v>1101</v>
      </c>
      <c r="D297" s="185" t="s">
        <v>522</v>
      </c>
      <c r="E297" s="186" t="s">
        <v>906</v>
      </c>
      <c r="F297" s="186" t="s">
        <v>907</v>
      </c>
      <c r="G297" s="186" t="s">
        <v>1102</v>
      </c>
      <c r="H297" s="186" t="s">
        <v>1425</v>
      </c>
      <c r="I297" s="187" t="s">
        <v>1490</v>
      </c>
      <c r="J297" s="187" t="s">
        <v>1491</v>
      </c>
      <c r="K297" s="188"/>
      <c r="L297" s="188"/>
      <c r="M297" s="189" t="s">
        <v>847</v>
      </c>
      <c r="N297" s="190">
        <v>135.83</v>
      </c>
      <c r="O297" s="190">
        <f t="shared" si="32"/>
        <v>148.05</v>
      </c>
      <c r="P297" s="191">
        <f t="shared" si="33"/>
        <v>0</v>
      </c>
      <c r="Q297" s="192">
        <f t="shared" si="34"/>
        <v>0</v>
      </c>
      <c r="R297" s="193"/>
      <c r="S297" s="194"/>
      <c r="T297" s="195">
        <f t="shared" si="35"/>
        <v>0</v>
      </c>
      <c r="U297" s="195">
        <f t="shared" si="36"/>
        <v>0</v>
      </c>
      <c r="V297" s="195">
        <f t="shared" si="37"/>
        <v>0</v>
      </c>
      <c r="W297" s="196" t="e">
        <f t="shared" si="38"/>
        <v>#DIV/0!</v>
      </c>
      <c r="X297" s="197" t="e">
        <f t="shared" si="39"/>
        <v>#DIV/0!</v>
      </c>
    </row>
    <row r="298" ht="11.4" hidden="1" customHeight="1" spans="1:27">
      <c r="A298" s="184" t="s">
        <v>1399</v>
      </c>
      <c r="B298" s="184" t="s">
        <v>117</v>
      </c>
      <c r="C298" s="184" t="s">
        <v>1101</v>
      </c>
      <c r="D298" s="185" t="s">
        <v>522</v>
      </c>
      <c r="E298" s="186" t="s">
        <v>906</v>
      </c>
      <c r="F298" s="186" t="s">
        <v>907</v>
      </c>
      <c r="G298" s="186" t="s">
        <v>1102</v>
      </c>
      <c r="H298" s="186" t="s">
        <v>1425</v>
      </c>
      <c r="I298" s="187" t="s">
        <v>1106</v>
      </c>
      <c r="J298" s="187" t="s">
        <v>1107</v>
      </c>
      <c r="K298" s="188"/>
      <c r="L298" s="188"/>
      <c r="M298" s="189" t="s">
        <v>807</v>
      </c>
      <c r="N298" s="190">
        <v>41.36</v>
      </c>
      <c r="O298" s="190">
        <f t="shared" si="32"/>
        <v>45.08</v>
      </c>
      <c r="P298" s="191">
        <f t="shared" si="33"/>
        <v>0</v>
      </c>
      <c r="Q298" s="192">
        <f t="shared" si="34"/>
        <v>0</v>
      </c>
      <c r="R298" s="193"/>
      <c r="S298" s="194"/>
      <c r="T298" s="195">
        <f t="shared" si="35"/>
        <v>0</v>
      </c>
      <c r="U298" s="195">
        <f t="shared" si="36"/>
        <v>0</v>
      </c>
      <c r="V298" s="195">
        <f t="shared" si="37"/>
        <v>0</v>
      </c>
      <c r="W298" s="196" t="e">
        <f t="shared" si="38"/>
        <v>#DIV/0!</v>
      </c>
      <c r="X298" s="197" t="e">
        <f t="shared" si="39"/>
        <v>#DIV/0!</v>
      </c>
    </row>
    <row r="299" ht="11.4" hidden="1" customHeight="1" spans="1:27">
      <c r="A299" s="184" t="s">
        <v>1399</v>
      </c>
      <c r="B299" s="184" t="s">
        <v>117</v>
      </c>
      <c r="C299" s="184" t="s">
        <v>1101</v>
      </c>
      <c r="D299" s="185" t="s">
        <v>522</v>
      </c>
      <c r="E299" s="186" t="s">
        <v>906</v>
      </c>
      <c r="F299" s="186" t="s">
        <v>907</v>
      </c>
      <c r="G299" s="186" t="s">
        <v>1102</v>
      </c>
      <c r="H299" s="186" t="s">
        <v>1425</v>
      </c>
      <c r="I299" s="187" t="s">
        <v>1111</v>
      </c>
      <c r="J299" s="187" t="s">
        <v>1112</v>
      </c>
      <c r="K299" s="188"/>
      <c r="L299" s="188"/>
      <c r="M299" s="189" t="s">
        <v>807</v>
      </c>
      <c r="N299" s="190">
        <v>38.94</v>
      </c>
      <c r="O299" s="190">
        <f t="shared" si="32"/>
        <v>42.44</v>
      </c>
      <c r="P299" s="191">
        <f t="shared" si="33"/>
        <v>0</v>
      </c>
      <c r="Q299" s="192">
        <f t="shared" si="34"/>
        <v>0</v>
      </c>
      <c r="R299" s="193"/>
      <c r="S299" s="194"/>
      <c r="T299" s="195">
        <f t="shared" si="35"/>
        <v>0</v>
      </c>
      <c r="U299" s="195">
        <f t="shared" si="36"/>
        <v>0</v>
      </c>
      <c r="V299" s="195">
        <f t="shared" si="37"/>
        <v>0</v>
      </c>
      <c r="W299" s="196" t="e">
        <f t="shared" si="38"/>
        <v>#DIV/0!</v>
      </c>
      <c r="X299" s="197" t="e">
        <f t="shared" si="39"/>
        <v>#DIV/0!</v>
      </c>
    </row>
    <row r="300" ht="11.4" hidden="1" customHeight="1" spans="1:27">
      <c r="A300" s="184" t="s">
        <v>1399</v>
      </c>
      <c r="B300" s="184" t="s">
        <v>117</v>
      </c>
      <c r="C300" s="184" t="s">
        <v>1101</v>
      </c>
      <c r="D300" s="185" t="s">
        <v>522</v>
      </c>
      <c r="E300" s="186" t="s">
        <v>906</v>
      </c>
      <c r="F300" s="186" t="s">
        <v>907</v>
      </c>
      <c r="G300" s="186" t="s">
        <v>1102</v>
      </c>
      <c r="H300" s="186" t="s">
        <v>1425</v>
      </c>
      <c r="I300" s="187" t="s">
        <v>1115</v>
      </c>
      <c r="J300" s="187" t="s">
        <v>1116</v>
      </c>
      <c r="K300" s="188"/>
      <c r="L300" s="188"/>
      <c r="M300" s="189" t="s">
        <v>807</v>
      </c>
      <c r="N300" s="190">
        <v>42.57</v>
      </c>
      <c r="O300" s="190">
        <f t="shared" si="32"/>
        <v>46.4</v>
      </c>
      <c r="P300" s="191">
        <f t="shared" si="33"/>
        <v>0</v>
      </c>
      <c r="Q300" s="192">
        <f t="shared" si="34"/>
        <v>0</v>
      </c>
      <c r="R300" s="193"/>
      <c r="S300" s="194"/>
      <c r="T300" s="195">
        <f t="shared" si="35"/>
        <v>0</v>
      </c>
      <c r="U300" s="195">
        <f t="shared" si="36"/>
        <v>0</v>
      </c>
      <c r="V300" s="195">
        <f t="shared" si="37"/>
        <v>0</v>
      </c>
      <c r="W300" s="196" t="e">
        <f t="shared" si="38"/>
        <v>#DIV/0!</v>
      </c>
      <c r="X300" s="197" t="e">
        <f t="shared" si="39"/>
        <v>#DIV/0!</v>
      </c>
    </row>
    <row r="301" ht="11.4" hidden="1" customHeight="1" spans="1:27">
      <c r="A301" s="184" t="s">
        <v>1399</v>
      </c>
      <c r="B301" s="184" t="s">
        <v>117</v>
      </c>
      <c r="C301" s="184" t="s">
        <v>1101</v>
      </c>
      <c r="D301" s="185" t="s">
        <v>522</v>
      </c>
      <c r="E301" s="186" t="s">
        <v>906</v>
      </c>
      <c r="F301" s="186" t="s">
        <v>907</v>
      </c>
      <c r="G301" s="186" t="s">
        <v>1102</v>
      </c>
      <c r="H301" s="186" t="s">
        <v>1425</v>
      </c>
      <c r="I301" s="187" t="s">
        <v>1493</v>
      </c>
      <c r="J301" s="187" t="s">
        <v>1494</v>
      </c>
      <c r="K301" s="200">
        <v>1.66</v>
      </c>
      <c r="L301" s="188">
        <v>4.27</v>
      </c>
      <c r="M301" s="189" t="s">
        <v>807</v>
      </c>
      <c r="N301" s="190">
        <v>55.41</v>
      </c>
      <c r="O301" s="190">
        <f t="shared" si="32"/>
        <v>60.4</v>
      </c>
      <c r="P301" s="191">
        <f t="shared" si="33"/>
        <v>91.98</v>
      </c>
      <c r="Q301" s="192">
        <f t="shared" si="34"/>
        <v>236.6</v>
      </c>
      <c r="R301" s="193"/>
      <c r="S301" s="194"/>
      <c r="T301" s="195">
        <f t="shared" si="35"/>
        <v>-2.61</v>
      </c>
      <c r="U301" s="195">
        <f t="shared" si="36"/>
        <v>-144.62</v>
      </c>
      <c r="V301" s="195">
        <f t="shared" si="37"/>
        <v>144.62</v>
      </c>
      <c r="W301" s="196">
        <f t="shared" si="38"/>
        <v>-0.611241217798595</v>
      </c>
      <c r="X301" s="197">
        <f t="shared" si="39"/>
        <v>0.611241217798595</v>
      </c>
      <c r="AA301" s="201" t="s">
        <v>3256</v>
      </c>
    </row>
    <row r="302" ht="11.4" hidden="1" customHeight="1" spans="1:27">
      <c r="A302" s="184" t="s">
        <v>1399</v>
      </c>
      <c r="B302" s="184" t="s">
        <v>117</v>
      </c>
      <c r="C302" s="184" t="s">
        <v>1101</v>
      </c>
      <c r="D302" s="185" t="s">
        <v>522</v>
      </c>
      <c r="E302" s="186" t="s">
        <v>906</v>
      </c>
      <c r="F302" s="186" t="s">
        <v>907</v>
      </c>
      <c r="G302" s="186" t="s">
        <v>1102</v>
      </c>
      <c r="H302" s="186" t="s">
        <v>1425</v>
      </c>
      <c r="I302" s="187" t="s">
        <v>1147</v>
      </c>
      <c r="J302" s="187" t="s">
        <v>1148</v>
      </c>
      <c r="K302" s="188"/>
      <c r="L302" s="188"/>
      <c r="M302" s="189" t="s">
        <v>807</v>
      </c>
      <c r="N302" s="190">
        <v>37.84</v>
      </c>
      <c r="O302" s="190">
        <f t="shared" si="32"/>
        <v>41.25</v>
      </c>
      <c r="P302" s="191">
        <f t="shared" si="33"/>
        <v>0</v>
      </c>
      <c r="Q302" s="192">
        <f t="shared" si="34"/>
        <v>0</v>
      </c>
      <c r="R302" s="193"/>
      <c r="S302" s="194"/>
      <c r="T302" s="195">
        <f t="shared" si="35"/>
        <v>0</v>
      </c>
      <c r="U302" s="195">
        <f t="shared" si="36"/>
        <v>0</v>
      </c>
      <c r="V302" s="195">
        <f t="shared" si="37"/>
        <v>0</v>
      </c>
      <c r="W302" s="196" t="e">
        <f t="shared" si="38"/>
        <v>#DIV/0!</v>
      </c>
      <c r="X302" s="197" t="e">
        <f t="shared" si="39"/>
        <v>#DIV/0!</v>
      </c>
    </row>
    <row r="303" ht="11.4" hidden="1" customHeight="1" spans="1:27">
      <c r="A303" s="184" t="s">
        <v>1399</v>
      </c>
      <c r="B303" s="184" t="s">
        <v>117</v>
      </c>
      <c r="C303" s="184" t="s">
        <v>1101</v>
      </c>
      <c r="D303" s="185" t="s">
        <v>522</v>
      </c>
      <c r="E303" s="186" t="s">
        <v>906</v>
      </c>
      <c r="F303" s="186" t="s">
        <v>907</v>
      </c>
      <c r="G303" s="186" t="s">
        <v>1102</v>
      </c>
      <c r="H303" s="186" t="s">
        <v>1425</v>
      </c>
      <c r="I303" s="187" t="s">
        <v>1495</v>
      </c>
      <c r="J303" s="187" t="s">
        <v>1496</v>
      </c>
      <c r="K303" s="188"/>
      <c r="L303" s="188"/>
      <c r="M303" s="189" t="s">
        <v>807</v>
      </c>
      <c r="N303" s="190">
        <v>114.14</v>
      </c>
      <c r="O303" s="190">
        <f t="shared" si="32"/>
        <v>124.41</v>
      </c>
      <c r="P303" s="191">
        <f t="shared" si="33"/>
        <v>0</v>
      </c>
      <c r="Q303" s="192">
        <f t="shared" si="34"/>
        <v>0</v>
      </c>
      <c r="R303" s="193"/>
      <c r="S303" s="194"/>
      <c r="T303" s="195">
        <f t="shared" si="35"/>
        <v>0</v>
      </c>
      <c r="U303" s="195">
        <f t="shared" si="36"/>
        <v>0</v>
      </c>
      <c r="V303" s="195">
        <f t="shared" si="37"/>
        <v>0</v>
      </c>
      <c r="W303" s="196" t="e">
        <f t="shared" si="38"/>
        <v>#DIV/0!</v>
      </c>
      <c r="X303" s="197" t="e">
        <f t="shared" si="39"/>
        <v>#DIV/0!</v>
      </c>
    </row>
    <row r="304" ht="11.4" hidden="1" customHeight="1" spans="1:27">
      <c r="A304" s="184" t="s">
        <v>1497</v>
      </c>
      <c r="B304" s="184" t="s">
        <v>417</v>
      </c>
      <c r="C304" s="184" t="s">
        <v>416</v>
      </c>
      <c r="D304" s="185" t="s">
        <v>522</v>
      </c>
      <c r="E304" s="186" t="s">
        <v>906</v>
      </c>
      <c r="F304" s="186" t="s">
        <v>907</v>
      </c>
      <c r="G304" s="186" t="s">
        <v>1102</v>
      </c>
      <c r="H304" s="186" t="s">
        <v>1425</v>
      </c>
      <c r="I304" s="187" t="s">
        <v>1498</v>
      </c>
      <c r="J304" s="187" t="s">
        <v>1499</v>
      </c>
      <c r="K304" s="188">
        <v>1</v>
      </c>
      <c r="L304" s="188">
        <v>1</v>
      </c>
      <c r="M304" s="189" t="s">
        <v>1500</v>
      </c>
      <c r="N304" s="190">
        <v>4665.2</v>
      </c>
      <c r="O304" s="190">
        <f t="shared" si="32"/>
        <v>5085.07</v>
      </c>
      <c r="P304" s="191">
        <f t="shared" si="33"/>
        <v>4665.2</v>
      </c>
      <c r="Q304" s="192">
        <f t="shared" si="34"/>
        <v>4665.2</v>
      </c>
      <c r="R304" s="193"/>
      <c r="S304" s="194"/>
      <c r="T304" s="195">
        <f t="shared" si="35"/>
        <v>0</v>
      </c>
      <c r="U304" s="195">
        <f t="shared" si="36"/>
        <v>0</v>
      </c>
      <c r="V304" s="195">
        <f t="shared" si="37"/>
        <v>0</v>
      </c>
      <c r="W304" s="196">
        <f t="shared" si="38"/>
        <v>0</v>
      </c>
      <c r="X304" s="197">
        <f t="shared" si="39"/>
        <v>0</v>
      </c>
    </row>
    <row r="305" ht="11.4" hidden="1" customHeight="1" spans="1:24">
      <c r="A305" s="184" t="s">
        <v>1497</v>
      </c>
      <c r="B305" s="184" t="s">
        <v>417</v>
      </c>
      <c r="C305" s="184" t="s">
        <v>416</v>
      </c>
      <c r="D305" s="185" t="s">
        <v>522</v>
      </c>
      <c r="E305" s="186" t="s">
        <v>906</v>
      </c>
      <c r="F305" s="186" t="s">
        <v>907</v>
      </c>
      <c r="G305" s="186" t="s">
        <v>1102</v>
      </c>
      <c r="H305" s="186" t="s">
        <v>1425</v>
      </c>
      <c r="I305" s="187" t="s">
        <v>1501</v>
      </c>
      <c r="J305" s="187" t="s">
        <v>1502</v>
      </c>
      <c r="K305" s="188">
        <v>1</v>
      </c>
      <c r="L305" s="188">
        <v>1</v>
      </c>
      <c r="M305" s="189" t="s">
        <v>1500</v>
      </c>
      <c r="N305" s="190">
        <v>2712.45</v>
      </c>
      <c r="O305" s="190">
        <f t="shared" si="32"/>
        <v>2956.57</v>
      </c>
      <c r="P305" s="191">
        <f t="shared" si="33"/>
        <v>2712.45</v>
      </c>
      <c r="Q305" s="192">
        <f t="shared" si="34"/>
        <v>2712.45</v>
      </c>
      <c r="R305" s="193"/>
      <c r="S305" s="194"/>
      <c r="T305" s="195">
        <f t="shared" si="35"/>
        <v>0</v>
      </c>
      <c r="U305" s="195">
        <f t="shared" si="36"/>
        <v>0</v>
      </c>
      <c r="V305" s="195">
        <f t="shared" si="37"/>
        <v>0</v>
      </c>
      <c r="W305" s="196">
        <f t="shared" si="38"/>
        <v>0</v>
      </c>
      <c r="X305" s="197">
        <f t="shared" si="39"/>
        <v>0</v>
      </c>
    </row>
    <row r="306" ht="11.4" hidden="1" customHeight="1" spans="1:24">
      <c r="A306" s="184" t="s">
        <v>1497</v>
      </c>
      <c r="B306" s="184" t="s">
        <v>417</v>
      </c>
      <c r="C306" s="184" t="s">
        <v>416</v>
      </c>
      <c r="D306" s="185" t="s">
        <v>522</v>
      </c>
      <c r="E306" s="186" t="s">
        <v>906</v>
      </c>
      <c r="F306" s="186" t="s">
        <v>907</v>
      </c>
      <c r="G306" s="186" t="s">
        <v>1102</v>
      </c>
      <c r="H306" s="186" t="s">
        <v>1425</v>
      </c>
      <c r="I306" s="187" t="s">
        <v>1503</v>
      </c>
      <c r="J306" s="187" t="s">
        <v>1504</v>
      </c>
      <c r="K306" s="188"/>
      <c r="L306" s="188"/>
      <c r="M306" s="189" t="s">
        <v>1500</v>
      </c>
      <c r="N306" s="190">
        <v>4703.72</v>
      </c>
      <c r="O306" s="190">
        <f t="shared" si="32"/>
        <v>5127.05</v>
      </c>
      <c r="P306" s="191">
        <f t="shared" si="33"/>
        <v>0</v>
      </c>
      <c r="Q306" s="192">
        <f t="shared" si="34"/>
        <v>0</v>
      </c>
      <c r="R306" s="193"/>
      <c r="S306" s="194"/>
      <c r="T306" s="195">
        <f t="shared" si="35"/>
        <v>0</v>
      </c>
      <c r="U306" s="195">
        <f t="shared" si="36"/>
        <v>0</v>
      </c>
      <c r="V306" s="195">
        <f t="shared" si="37"/>
        <v>0</v>
      </c>
      <c r="W306" s="196" t="e">
        <f t="shared" si="38"/>
        <v>#DIV/0!</v>
      </c>
      <c r="X306" s="197" t="e">
        <f t="shared" si="39"/>
        <v>#DIV/0!</v>
      </c>
    </row>
    <row r="307" ht="11.4" hidden="1" customHeight="1" spans="1:24">
      <c r="A307" s="184" t="s">
        <v>1497</v>
      </c>
      <c r="B307" s="184" t="s">
        <v>417</v>
      </c>
      <c r="C307" s="184" t="s">
        <v>416</v>
      </c>
      <c r="D307" s="185" t="s">
        <v>522</v>
      </c>
      <c r="E307" s="186" t="s">
        <v>906</v>
      </c>
      <c r="F307" s="186" t="s">
        <v>907</v>
      </c>
      <c r="G307" s="186" t="s">
        <v>1102</v>
      </c>
      <c r="H307" s="186" t="s">
        <v>1425</v>
      </c>
      <c r="I307" s="187" t="s">
        <v>1505</v>
      </c>
      <c r="J307" s="187" t="s">
        <v>1506</v>
      </c>
      <c r="K307" s="188"/>
      <c r="L307" s="188"/>
      <c r="M307" s="189" t="s">
        <v>1500</v>
      </c>
      <c r="N307" s="190">
        <v>2811.96</v>
      </c>
      <c r="O307" s="190">
        <f t="shared" si="32"/>
        <v>3065.04</v>
      </c>
      <c r="P307" s="191">
        <f t="shared" si="33"/>
        <v>0</v>
      </c>
      <c r="Q307" s="192">
        <f t="shared" si="34"/>
        <v>0</v>
      </c>
      <c r="R307" s="193"/>
      <c r="S307" s="194"/>
      <c r="T307" s="195">
        <f t="shared" si="35"/>
        <v>0</v>
      </c>
      <c r="U307" s="195">
        <f t="shared" si="36"/>
        <v>0</v>
      </c>
      <c r="V307" s="195">
        <f t="shared" si="37"/>
        <v>0</v>
      </c>
      <c r="W307" s="196" t="e">
        <f t="shared" si="38"/>
        <v>#DIV/0!</v>
      </c>
      <c r="X307" s="197" t="e">
        <f t="shared" si="39"/>
        <v>#DIV/0!</v>
      </c>
    </row>
    <row r="308" ht="11.4" hidden="1" customHeight="1" spans="1:24">
      <c r="A308" s="184" t="s">
        <v>1497</v>
      </c>
      <c r="B308" s="184" t="s">
        <v>417</v>
      </c>
      <c r="C308" s="184" t="s">
        <v>416</v>
      </c>
      <c r="D308" s="185" t="s">
        <v>522</v>
      </c>
      <c r="E308" s="186" t="s">
        <v>906</v>
      </c>
      <c r="F308" s="186" t="s">
        <v>907</v>
      </c>
      <c r="G308" s="186" t="s">
        <v>1102</v>
      </c>
      <c r="H308" s="186" t="s">
        <v>1425</v>
      </c>
      <c r="I308" s="187" t="s">
        <v>1507</v>
      </c>
      <c r="J308" s="187" t="s">
        <v>1508</v>
      </c>
      <c r="K308" s="188"/>
      <c r="L308" s="188"/>
      <c r="M308" s="189" t="s">
        <v>1500</v>
      </c>
      <c r="N308" s="190">
        <v>4636.31</v>
      </c>
      <c r="O308" s="190">
        <f t="shared" si="32"/>
        <v>5053.58</v>
      </c>
      <c r="P308" s="191">
        <f t="shared" si="33"/>
        <v>0</v>
      </c>
      <c r="Q308" s="192">
        <f t="shared" si="34"/>
        <v>0</v>
      </c>
      <c r="R308" s="193"/>
      <c r="S308" s="194"/>
      <c r="T308" s="195">
        <f t="shared" si="35"/>
        <v>0</v>
      </c>
      <c r="U308" s="195">
        <f t="shared" si="36"/>
        <v>0</v>
      </c>
      <c r="V308" s="195">
        <f t="shared" si="37"/>
        <v>0</v>
      </c>
      <c r="W308" s="196" t="e">
        <f t="shared" si="38"/>
        <v>#DIV/0!</v>
      </c>
      <c r="X308" s="197" t="e">
        <f t="shared" si="39"/>
        <v>#DIV/0!</v>
      </c>
    </row>
    <row r="309" ht="11.4" hidden="1" customHeight="1" spans="1:24">
      <c r="A309" s="184" t="s">
        <v>1497</v>
      </c>
      <c r="B309" s="184" t="s">
        <v>417</v>
      </c>
      <c r="C309" s="184" t="s">
        <v>416</v>
      </c>
      <c r="D309" s="185" t="s">
        <v>522</v>
      </c>
      <c r="E309" s="186" t="s">
        <v>906</v>
      </c>
      <c r="F309" s="186" t="s">
        <v>907</v>
      </c>
      <c r="G309" s="186" t="s">
        <v>1102</v>
      </c>
      <c r="H309" s="186" t="s">
        <v>1425</v>
      </c>
      <c r="I309" s="187" t="s">
        <v>1509</v>
      </c>
      <c r="J309" s="187" t="s">
        <v>1510</v>
      </c>
      <c r="K309" s="188"/>
      <c r="L309" s="188"/>
      <c r="M309" s="189" t="s">
        <v>1500</v>
      </c>
      <c r="N309" s="190">
        <v>2711.38</v>
      </c>
      <c r="O309" s="190">
        <f t="shared" si="32"/>
        <v>2955.4</v>
      </c>
      <c r="P309" s="191">
        <f t="shared" si="33"/>
        <v>0</v>
      </c>
      <c r="Q309" s="192">
        <f t="shared" si="34"/>
        <v>0</v>
      </c>
      <c r="R309" s="193"/>
      <c r="S309" s="194"/>
      <c r="T309" s="195">
        <f t="shared" si="35"/>
        <v>0</v>
      </c>
      <c r="U309" s="195">
        <f t="shared" si="36"/>
        <v>0</v>
      </c>
      <c r="V309" s="195">
        <f t="shared" si="37"/>
        <v>0</v>
      </c>
      <c r="W309" s="196" t="e">
        <f t="shared" si="38"/>
        <v>#DIV/0!</v>
      </c>
      <c r="X309" s="197" t="e">
        <f t="shared" si="39"/>
        <v>#DIV/0!</v>
      </c>
    </row>
    <row r="310" ht="11.4" hidden="1" customHeight="1" spans="1:24">
      <c r="A310" s="184" t="s">
        <v>1497</v>
      </c>
      <c r="B310" s="184" t="s">
        <v>417</v>
      </c>
      <c r="C310" s="184" t="s">
        <v>416</v>
      </c>
      <c r="D310" s="185" t="s">
        <v>522</v>
      </c>
      <c r="E310" s="186" t="s">
        <v>906</v>
      </c>
      <c r="F310" s="186" t="s">
        <v>907</v>
      </c>
      <c r="G310" s="186" t="s">
        <v>1102</v>
      </c>
      <c r="H310" s="186" t="s">
        <v>1425</v>
      </c>
      <c r="I310" s="187" t="s">
        <v>1511</v>
      </c>
      <c r="J310" s="187" t="s">
        <v>1512</v>
      </c>
      <c r="K310" s="188"/>
      <c r="L310" s="188"/>
      <c r="M310" s="189" t="s">
        <v>1500</v>
      </c>
      <c r="N310" s="190">
        <v>5150.98</v>
      </c>
      <c r="O310" s="190">
        <f t="shared" si="32"/>
        <v>5614.57</v>
      </c>
      <c r="P310" s="191">
        <f t="shared" si="33"/>
        <v>0</v>
      </c>
      <c r="Q310" s="192">
        <f t="shared" si="34"/>
        <v>0</v>
      </c>
      <c r="R310" s="193"/>
      <c r="S310" s="194"/>
      <c r="T310" s="195">
        <f t="shared" si="35"/>
        <v>0</v>
      </c>
      <c r="U310" s="195">
        <f t="shared" si="36"/>
        <v>0</v>
      </c>
      <c r="V310" s="195">
        <f t="shared" si="37"/>
        <v>0</v>
      </c>
      <c r="W310" s="196" t="e">
        <f t="shared" si="38"/>
        <v>#DIV/0!</v>
      </c>
      <c r="X310" s="197" t="e">
        <f t="shared" si="39"/>
        <v>#DIV/0!</v>
      </c>
    </row>
    <row r="311" ht="11.4" hidden="1" customHeight="1" spans="1:24">
      <c r="A311" s="184" t="s">
        <v>1497</v>
      </c>
      <c r="B311" s="184" t="s">
        <v>417</v>
      </c>
      <c r="C311" s="184" t="s">
        <v>416</v>
      </c>
      <c r="D311" s="185" t="s">
        <v>522</v>
      </c>
      <c r="E311" s="186" t="s">
        <v>906</v>
      </c>
      <c r="F311" s="186" t="s">
        <v>907</v>
      </c>
      <c r="G311" s="186" t="s">
        <v>1102</v>
      </c>
      <c r="H311" s="186" t="s">
        <v>1425</v>
      </c>
      <c r="I311" s="187" t="s">
        <v>1513</v>
      </c>
      <c r="J311" s="187" t="s">
        <v>1514</v>
      </c>
      <c r="K311" s="188"/>
      <c r="L311" s="188"/>
      <c r="M311" s="189" t="s">
        <v>1500</v>
      </c>
      <c r="N311" s="190">
        <v>2853.69</v>
      </c>
      <c r="O311" s="190">
        <f t="shared" si="32"/>
        <v>3110.52</v>
      </c>
      <c r="P311" s="191">
        <f t="shared" si="33"/>
        <v>0</v>
      </c>
      <c r="Q311" s="192">
        <f t="shared" si="34"/>
        <v>0</v>
      </c>
      <c r="R311" s="193"/>
      <c r="S311" s="194"/>
      <c r="T311" s="195">
        <f t="shared" si="35"/>
        <v>0</v>
      </c>
      <c r="U311" s="195">
        <f t="shared" si="36"/>
        <v>0</v>
      </c>
      <c r="V311" s="195">
        <f t="shared" si="37"/>
        <v>0</v>
      </c>
      <c r="W311" s="196" t="e">
        <f t="shared" si="38"/>
        <v>#DIV/0!</v>
      </c>
      <c r="X311" s="197" t="e">
        <f t="shared" si="39"/>
        <v>#DIV/0!</v>
      </c>
    </row>
    <row r="312" ht="11.4" hidden="1" customHeight="1" spans="1:24">
      <c r="A312" s="184" t="s">
        <v>1497</v>
      </c>
      <c r="B312" s="184" t="s">
        <v>417</v>
      </c>
      <c r="C312" s="184" t="s">
        <v>416</v>
      </c>
      <c r="D312" s="185" t="s">
        <v>522</v>
      </c>
      <c r="E312" s="186" t="s">
        <v>906</v>
      </c>
      <c r="F312" s="186" t="s">
        <v>907</v>
      </c>
      <c r="G312" s="186" t="s">
        <v>1102</v>
      </c>
      <c r="H312" s="186" t="s">
        <v>1425</v>
      </c>
      <c r="I312" s="187" t="s">
        <v>1515</v>
      </c>
      <c r="J312" s="187" t="s">
        <v>1516</v>
      </c>
      <c r="K312" s="188"/>
      <c r="L312" s="188"/>
      <c r="M312" s="189" t="s">
        <v>1500</v>
      </c>
      <c r="N312" s="190">
        <v>6224.4</v>
      </c>
      <c r="O312" s="190">
        <f t="shared" si="32"/>
        <v>6784.6</v>
      </c>
      <c r="P312" s="191">
        <f t="shared" si="33"/>
        <v>0</v>
      </c>
      <c r="Q312" s="192">
        <f t="shared" si="34"/>
        <v>0</v>
      </c>
      <c r="R312" s="193"/>
      <c r="S312" s="194"/>
      <c r="T312" s="195">
        <f t="shared" si="35"/>
        <v>0</v>
      </c>
      <c r="U312" s="195">
        <f t="shared" si="36"/>
        <v>0</v>
      </c>
      <c r="V312" s="195">
        <f t="shared" si="37"/>
        <v>0</v>
      </c>
      <c r="W312" s="196" t="e">
        <f t="shared" si="38"/>
        <v>#DIV/0!</v>
      </c>
      <c r="X312" s="197" t="e">
        <f t="shared" si="39"/>
        <v>#DIV/0!</v>
      </c>
    </row>
    <row r="313" ht="11.4" hidden="1" customHeight="1" spans="1:24">
      <c r="A313" s="184" t="s">
        <v>1497</v>
      </c>
      <c r="B313" s="184" t="s">
        <v>417</v>
      </c>
      <c r="C313" s="184" t="s">
        <v>416</v>
      </c>
      <c r="D313" s="185" t="s">
        <v>522</v>
      </c>
      <c r="E313" s="186" t="s">
        <v>906</v>
      </c>
      <c r="F313" s="186" t="s">
        <v>907</v>
      </c>
      <c r="G313" s="186" t="s">
        <v>1102</v>
      </c>
      <c r="H313" s="186" t="s">
        <v>1425</v>
      </c>
      <c r="I313" s="187" t="s">
        <v>1517</v>
      </c>
      <c r="J313" s="187" t="s">
        <v>1518</v>
      </c>
      <c r="K313" s="188"/>
      <c r="L313" s="188"/>
      <c r="M313" s="189" t="s">
        <v>1500</v>
      </c>
      <c r="N313" s="190">
        <v>3400.95</v>
      </c>
      <c r="O313" s="190">
        <f t="shared" si="32"/>
        <v>3707.04</v>
      </c>
      <c r="P313" s="191">
        <f t="shared" si="33"/>
        <v>0</v>
      </c>
      <c r="Q313" s="192">
        <f t="shared" si="34"/>
        <v>0</v>
      </c>
      <c r="R313" s="193"/>
      <c r="S313" s="194"/>
      <c r="T313" s="195">
        <f t="shared" si="35"/>
        <v>0</v>
      </c>
      <c r="U313" s="195">
        <f t="shared" si="36"/>
        <v>0</v>
      </c>
      <c r="V313" s="195">
        <f t="shared" si="37"/>
        <v>0</v>
      </c>
      <c r="W313" s="196" t="e">
        <f t="shared" si="38"/>
        <v>#DIV/0!</v>
      </c>
      <c r="X313" s="197" t="e">
        <f t="shared" si="39"/>
        <v>#DIV/0!</v>
      </c>
    </row>
    <row r="314" ht="11.4" hidden="1" customHeight="1" spans="1:24">
      <c r="A314" s="184" t="s">
        <v>1497</v>
      </c>
      <c r="B314" s="184" t="s">
        <v>417</v>
      </c>
      <c r="C314" s="184" t="s">
        <v>416</v>
      </c>
      <c r="D314" s="185" t="s">
        <v>522</v>
      </c>
      <c r="E314" s="186" t="s">
        <v>906</v>
      </c>
      <c r="F314" s="186" t="s">
        <v>907</v>
      </c>
      <c r="G314" s="186" t="s">
        <v>1102</v>
      </c>
      <c r="H314" s="186" t="s">
        <v>1425</v>
      </c>
      <c r="I314" s="187" t="s">
        <v>1519</v>
      </c>
      <c r="J314" s="187" t="s">
        <v>1520</v>
      </c>
      <c r="K314" s="188"/>
      <c r="L314" s="188"/>
      <c r="M314" s="189" t="s">
        <v>1500</v>
      </c>
      <c r="N314" s="190">
        <v>6665.03</v>
      </c>
      <c r="O314" s="190">
        <f t="shared" si="32"/>
        <v>7264.88</v>
      </c>
      <c r="P314" s="191">
        <f t="shared" si="33"/>
        <v>0</v>
      </c>
      <c r="Q314" s="192">
        <f t="shared" si="34"/>
        <v>0</v>
      </c>
      <c r="R314" s="193"/>
      <c r="S314" s="194"/>
      <c r="T314" s="195">
        <f t="shared" si="35"/>
        <v>0</v>
      </c>
      <c r="U314" s="195">
        <f t="shared" si="36"/>
        <v>0</v>
      </c>
      <c r="V314" s="195">
        <f t="shared" si="37"/>
        <v>0</v>
      </c>
      <c r="W314" s="196" t="e">
        <f t="shared" si="38"/>
        <v>#DIV/0!</v>
      </c>
      <c r="X314" s="197" t="e">
        <f t="shared" si="39"/>
        <v>#DIV/0!</v>
      </c>
    </row>
    <row r="315" ht="11.4" hidden="1" customHeight="1" spans="1:24">
      <c r="A315" s="184" t="s">
        <v>1497</v>
      </c>
      <c r="B315" s="184" t="s">
        <v>417</v>
      </c>
      <c r="C315" s="184" t="s">
        <v>416</v>
      </c>
      <c r="D315" s="185" t="s">
        <v>522</v>
      </c>
      <c r="E315" s="186" t="s">
        <v>906</v>
      </c>
      <c r="F315" s="186" t="s">
        <v>907</v>
      </c>
      <c r="G315" s="186" t="s">
        <v>1102</v>
      </c>
      <c r="H315" s="186" t="s">
        <v>1425</v>
      </c>
      <c r="I315" s="187" t="s">
        <v>1521</v>
      </c>
      <c r="J315" s="187" t="s">
        <v>1522</v>
      </c>
      <c r="K315" s="188"/>
      <c r="L315" s="188"/>
      <c r="M315" s="189" t="s">
        <v>1500</v>
      </c>
      <c r="N315" s="190">
        <v>3581.29</v>
      </c>
      <c r="O315" s="190">
        <f t="shared" si="32"/>
        <v>3903.61</v>
      </c>
      <c r="P315" s="191">
        <f t="shared" si="33"/>
        <v>0</v>
      </c>
      <c r="Q315" s="192">
        <f t="shared" si="34"/>
        <v>0</v>
      </c>
      <c r="R315" s="193"/>
      <c r="S315" s="194"/>
      <c r="T315" s="195">
        <f t="shared" si="35"/>
        <v>0</v>
      </c>
      <c r="U315" s="195">
        <f t="shared" si="36"/>
        <v>0</v>
      </c>
      <c r="V315" s="195">
        <f t="shared" si="37"/>
        <v>0</v>
      </c>
      <c r="W315" s="196" t="e">
        <f t="shared" si="38"/>
        <v>#DIV/0!</v>
      </c>
      <c r="X315" s="197" t="e">
        <f t="shared" si="39"/>
        <v>#DIV/0!</v>
      </c>
    </row>
    <row r="316" ht="11.4" hidden="1" customHeight="1" spans="1:24">
      <c r="A316" s="184" t="s">
        <v>1497</v>
      </c>
      <c r="B316" s="184" t="s">
        <v>417</v>
      </c>
      <c r="C316" s="184" t="s">
        <v>416</v>
      </c>
      <c r="D316" s="185" t="s">
        <v>522</v>
      </c>
      <c r="E316" s="186" t="s">
        <v>906</v>
      </c>
      <c r="F316" s="186" t="s">
        <v>907</v>
      </c>
      <c r="G316" s="186" t="s">
        <v>1102</v>
      </c>
      <c r="H316" s="186" t="s">
        <v>1425</v>
      </c>
      <c r="I316" s="187" t="s">
        <v>1523</v>
      </c>
      <c r="J316" s="187" t="s">
        <v>1524</v>
      </c>
      <c r="K316" s="188"/>
      <c r="L316" s="188"/>
      <c r="M316" s="189" t="s">
        <v>1500</v>
      </c>
      <c r="N316" s="190">
        <v>6335.47</v>
      </c>
      <c r="O316" s="190">
        <f t="shared" si="32"/>
        <v>6905.66</v>
      </c>
      <c r="P316" s="191">
        <f t="shared" si="33"/>
        <v>0</v>
      </c>
      <c r="Q316" s="192">
        <f t="shared" si="34"/>
        <v>0</v>
      </c>
      <c r="R316" s="193"/>
      <c r="S316" s="194"/>
      <c r="T316" s="195">
        <f t="shared" si="35"/>
        <v>0</v>
      </c>
      <c r="U316" s="195">
        <f t="shared" si="36"/>
        <v>0</v>
      </c>
      <c r="V316" s="195">
        <f t="shared" si="37"/>
        <v>0</v>
      </c>
      <c r="W316" s="196" t="e">
        <f t="shared" si="38"/>
        <v>#DIV/0!</v>
      </c>
      <c r="X316" s="197" t="e">
        <f t="shared" si="39"/>
        <v>#DIV/0!</v>
      </c>
    </row>
    <row r="317" ht="11.4" hidden="1" customHeight="1" spans="1:24">
      <c r="A317" s="184" t="s">
        <v>1497</v>
      </c>
      <c r="B317" s="184" t="s">
        <v>417</v>
      </c>
      <c r="C317" s="184" t="s">
        <v>416</v>
      </c>
      <c r="D317" s="185" t="s">
        <v>522</v>
      </c>
      <c r="E317" s="186" t="s">
        <v>906</v>
      </c>
      <c r="F317" s="186" t="s">
        <v>907</v>
      </c>
      <c r="G317" s="186" t="s">
        <v>1102</v>
      </c>
      <c r="H317" s="186" t="s">
        <v>1425</v>
      </c>
      <c r="I317" s="187" t="s">
        <v>1525</v>
      </c>
      <c r="J317" s="187" t="s">
        <v>1526</v>
      </c>
      <c r="K317" s="188"/>
      <c r="L317" s="188"/>
      <c r="M317" s="189" t="s">
        <v>1500</v>
      </c>
      <c r="N317" s="190">
        <v>3268.85</v>
      </c>
      <c r="O317" s="190">
        <f t="shared" si="32"/>
        <v>3563.05</v>
      </c>
      <c r="P317" s="191">
        <f t="shared" si="33"/>
        <v>0</v>
      </c>
      <c r="Q317" s="192">
        <f t="shared" si="34"/>
        <v>0</v>
      </c>
      <c r="R317" s="193"/>
      <c r="S317" s="194"/>
      <c r="T317" s="195">
        <f t="shared" si="35"/>
        <v>0</v>
      </c>
      <c r="U317" s="195">
        <f t="shared" si="36"/>
        <v>0</v>
      </c>
      <c r="V317" s="195">
        <f t="shared" si="37"/>
        <v>0</v>
      </c>
      <c r="W317" s="196" t="e">
        <f t="shared" si="38"/>
        <v>#DIV/0!</v>
      </c>
      <c r="X317" s="197" t="e">
        <f t="shared" si="39"/>
        <v>#DIV/0!</v>
      </c>
    </row>
    <row r="318" ht="11.4" hidden="1" customHeight="1" spans="1:24">
      <c r="A318" s="184" t="s">
        <v>1497</v>
      </c>
      <c r="B318" s="184" t="s">
        <v>417</v>
      </c>
      <c r="C318" s="184" t="s">
        <v>416</v>
      </c>
      <c r="D318" s="185" t="s">
        <v>522</v>
      </c>
      <c r="E318" s="186" t="s">
        <v>906</v>
      </c>
      <c r="F318" s="186" t="s">
        <v>907</v>
      </c>
      <c r="G318" s="186" t="s">
        <v>1102</v>
      </c>
      <c r="H318" s="186" t="s">
        <v>1425</v>
      </c>
      <c r="I318" s="187" t="s">
        <v>1527</v>
      </c>
      <c r="J318" s="187" t="s">
        <v>1528</v>
      </c>
      <c r="K318" s="188"/>
      <c r="L318" s="188"/>
      <c r="M318" s="189" t="s">
        <v>1500</v>
      </c>
      <c r="N318" s="190">
        <v>6589.06</v>
      </c>
      <c r="O318" s="190">
        <f t="shared" si="32"/>
        <v>7182.08</v>
      </c>
      <c r="P318" s="191">
        <f t="shared" si="33"/>
        <v>0</v>
      </c>
      <c r="Q318" s="192">
        <f t="shared" si="34"/>
        <v>0</v>
      </c>
      <c r="R318" s="193"/>
      <c r="S318" s="194"/>
      <c r="T318" s="195">
        <f t="shared" si="35"/>
        <v>0</v>
      </c>
      <c r="U318" s="195">
        <f t="shared" si="36"/>
        <v>0</v>
      </c>
      <c r="V318" s="195">
        <f t="shared" si="37"/>
        <v>0</v>
      </c>
      <c r="W318" s="196" t="e">
        <f t="shared" si="38"/>
        <v>#DIV/0!</v>
      </c>
      <c r="X318" s="197" t="e">
        <f t="shared" si="39"/>
        <v>#DIV/0!</v>
      </c>
    </row>
    <row r="319" ht="11.4" hidden="1" customHeight="1" spans="1:24">
      <c r="A319" s="184" t="s">
        <v>1497</v>
      </c>
      <c r="B319" s="184" t="s">
        <v>417</v>
      </c>
      <c r="C319" s="184" t="s">
        <v>416</v>
      </c>
      <c r="D319" s="185" t="s">
        <v>522</v>
      </c>
      <c r="E319" s="186" t="s">
        <v>906</v>
      </c>
      <c r="F319" s="186" t="s">
        <v>907</v>
      </c>
      <c r="G319" s="186" t="s">
        <v>1102</v>
      </c>
      <c r="H319" s="186" t="s">
        <v>1425</v>
      </c>
      <c r="I319" s="187" t="s">
        <v>1529</v>
      </c>
      <c r="J319" s="187" t="s">
        <v>1530</v>
      </c>
      <c r="K319" s="188"/>
      <c r="L319" s="188"/>
      <c r="M319" s="189" t="s">
        <v>1500</v>
      </c>
      <c r="N319" s="190">
        <v>3398.32</v>
      </c>
      <c r="O319" s="190">
        <f t="shared" si="32"/>
        <v>3704.17</v>
      </c>
      <c r="P319" s="191">
        <f t="shared" si="33"/>
        <v>0</v>
      </c>
      <c r="Q319" s="192">
        <f t="shared" si="34"/>
        <v>0</v>
      </c>
      <c r="R319" s="193"/>
      <c r="S319" s="194"/>
      <c r="T319" s="195">
        <f t="shared" si="35"/>
        <v>0</v>
      </c>
      <c r="U319" s="195">
        <f t="shared" si="36"/>
        <v>0</v>
      </c>
      <c r="V319" s="195">
        <f t="shared" si="37"/>
        <v>0</v>
      </c>
      <c r="W319" s="196" t="e">
        <f t="shared" si="38"/>
        <v>#DIV/0!</v>
      </c>
      <c r="X319" s="197" t="e">
        <f t="shared" si="39"/>
        <v>#DIV/0!</v>
      </c>
    </row>
    <row r="320" ht="11.4" hidden="1" customHeight="1" spans="1:24">
      <c r="A320" s="184" t="s">
        <v>1399</v>
      </c>
      <c r="B320" s="184" t="s">
        <v>117</v>
      </c>
      <c r="C320" s="184" t="s">
        <v>1101</v>
      </c>
      <c r="D320" s="185" t="s">
        <v>522</v>
      </c>
      <c r="E320" s="186" t="s">
        <v>906</v>
      </c>
      <c r="F320" s="186" t="s">
        <v>907</v>
      </c>
      <c r="G320" s="186" t="s">
        <v>1102</v>
      </c>
      <c r="H320" s="186" t="s">
        <v>1425</v>
      </c>
      <c r="I320" s="187" t="s">
        <v>1531</v>
      </c>
      <c r="J320" s="187" t="s">
        <v>1532</v>
      </c>
      <c r="K320" s="188">
        <v>1</v>
      </c>
      <c r="L320" s="188">
        <v>1</v>
      </c>
      <c r="M320" s="189" t="s">
        <v>1500</v>
      </c>
      <c r="N320" s="190">
        <v>539.86</v>
      </c>
      <c r="O320" s="190">
        <f t="shared" si="32"/>
        <v>588.45</v>
      </c>
      <c r="P320" s="191">
        <f t="shared" si="33"/>
        <v>539.86</v>
      </c>
      <c r="Q320" s="192">
        <f t="shared" si="34"/>
        <v>539.86</v>
      </c>
      <c r="R320" s="193"/>
      <c r="S320" s="194"/>
      <c r="T320" s="195">
        <f t="shared" si="35"/>
        <v>0</v>
      </c>
      <c r="U320" s="195">
        <f t="shared" si="36"/>
        <v>0</v>
      </c>
      <c r="V320" s="195">
        <f t="shared" si="37"/>
        <v>0</v>
      </c>
      <c r="W320" s="196">
        <f t="shared" si="38"/>
        <v>0</v>
      </c>
      <c r="X320" s="197">
        <f t="shared" si="39"/>
        <v>0</v>
      </c>
    </row>
    <row r="321" ht="11.4" hidden="1" customHeight="1" spans="1:24">
      <c r="A321" s="184" t="s">
        <v>1399</v>
      </c>
      <c r="B321" s="184" t="s">
        <v>117</v>
      </c>
      <c r="C321" s="184" t="s">
        <v>1101</v>
      </c>
      <c r="D321" s="185" t="s">
        <v>522</v>
      </c>
      <c r="E321" s="186" t="s">
        <v>906</v>
      </c>
      <c r="F321" s="186" t="s">
        <v>907</v>
      </c>
      <c r="G321" s="186" t="s">
        <v>1102</v>
      </c>
      <c r="H321" s="186" t="s">
        <v>1425</v>
      </c>
      <c r="I321" s="187" t="s">
        <v>1533</v>
      </c>
      <c r="J321" s="187" t="s">
        <v>1534</v>
      </c>
      <c r="K321" s="188">
        <v>1</v>
      </c>
      <c r="L321" s="188">
        <v>1</v>
      </c>
      <c r="M321" s="189" t="s">
        <v>1500</v>
      </c>
      <c r="N321" s="190">
        <v>311.29</v>
      </c>
      <c r="O321" s="190">
        <f t="shared" si="32"/>
        <v>339.31</v>
      </c>
      <c r="P321" s="191">
        <f t="shared" si="33"/>
        <v>311.29</v>
      </c>
      <c r="Q321" s="192">
        <f t="shared" si="34"/>
        <v>311.29</v>
      </c>
      <c r="R321" s="193"/>
      <c r="S321" s="194"/>
      <c r="T321" s="195">
        <f t="shared" si="35"/>
        <v>0</v>
      </c>
      <c r="U321" s="195">
        <f t="shared" si="36"/>
        <v>0</v>
      </c>
      <c r="V321" s="195">
        <f t="shared" si="37"/>
        <v>0</v>
      </c>
      <c r="W321" s="196">
        <f t="shared" si="38"/>
        <v>0</v>
      </c>
      <c r="X321" s="197">
        <f t="shared" si="39"/>
        <v>0</v>
      </c>
    </row>
    <row r="322" ht="11.4" hidden="1" customHeight="1" spans="1:24">
      <c r="A322" s="184" t="s">
        <v>1399</v>
      </c>
      <c r="B322" s="184" t="s">
        <v>117</v>
      </c>
      <c r="C322" s="184" t="s">
        <v>1101</v>
      </c>
      <c r="D322" s="185" t="s">
        <v>522</v>
      </c>
      <c r="E322" s="186" t="s">
        <v>906</v>
      </c>
      <c r="F322" s="186" t="s">
        <v>907</v>
      </c>
      <c r="G322" s="186" t="s">
        <v>1102</v>
      </c>
      <c r="H322" s="186" t="s">
        <v>1425</v>
      </c>
      <c r="I322" s="187" t="s">
        <v>1535</v>
      </c>
      <c r="J322" s="187" t="s">
        <v>1536</v>
      </c>
      <c r="K322" s="188"/>
      <c r="L322" s="188"/>
      <c r="M322" s="189" t="s">
        <v>807</v>
      </c>
      <c r="N322" s="190">
        <v>308.83</v>
      </c>
      <c r="O322" s="190">
        <f t="shared" si="32"/>
        <v>336.62</v>
      </c>
      <c r="P322" s="191">
        <f t="shared" si="33"/>
        <v>0</v>
      </c>
      <c r="Q322" s="192">
        <f t="shared" si="34"/>
        <v>0</v>
      </c>
      <c r="R322" s="193"/>
      <c r="S322" s="194"/>
      <c r="T322" s="195">
        <f t="shared" si="35"/>
        <v>0</v>
      </c>
      <c r="U322" s="195">
        <f t="shared" si="36"/>
        <v>0</v>
      </c>
      <c r="V322" s="195">
        <f t="shared" si="37"/>
        <v>0</v>
      </c>
      <c r="W322" s="196" t="e">
        <f t="shared" si="38"/>
        <v>#DIV/0!</v>
      </c>
      <c r="X322" s="197" t="e">
        <f t="shared" si="39"/>
        <v>#DIV/0!</v>
      </c>
    </row>
    <row r="323" ht="11.4" hidden="1" customHeight="1" spans="1:24">
      <c r="A323" s="184" t="s">
        <v>1538</v>
      </c>
      <c r="B323" s="184" t="s">
        <v>119</v>
      </c>
      <c r="C323" s="184" t="s">
        <v>1101</v>
      </c>
      <c r="D323" s="185" t="s">
        <v>522</v>
      </c>
      <c r="E323" s="186" t="s">
        <v>906</v>
      </c>
      <c r="F323" s="186" t="s">
        <v>907</v>
      </c>
      <c r="G323" s="186" t="s">
        <v>1102</v>
      </c>
      <c r="H323" s="186" t="s">
        <v>545</v>
      </c>
      <c r="I323" s="187" t="s">
        <v>1539</v>
      </c>
      <c r="J323" s="187" t="s">
        <v>1540</v>
      </c>
      <c r="K323" s="188"/>
      <c r="L323" s="188"/>
      <c r="M323" s="189" t="s">
        <v>807</v>
      </c>
      <c r="N323" s="190">
        <v>4211.65</v>
      </c>
      <c r="O323" s="190">
        <f t="shared" si="32"/>
        <v>4590.7</v>
      </c>
      <c r="P323" s="191">
        <f t="shared" si="33"/>
        <v>0</v>
      </c>
      <c r="Q323" s="192">
        <f t="shared" si="34"/>
        <v>0</v>
      </c>
      <c r="R323" s="193"/>
      <c r="S323" s="194"/>
      <c r="T323" s="195">
        <f t="shared" si="35"/>
        <v>0</v>
      </c>
      <c r="U323" s="195">
        <f t="shared" si="36"/>
        <v>0</v>
      </c>
      <c r="V323" s="195">
        <f t="shared" si="37"/>
        <v>0</v>
      </c>
      <c r="W323" s="196" t="e">
        <f t="shared" si="38"/>
        <v>#DIV/0!</v>
      </c>
      <c r="X323" s="197" t="e">
        <f t="shared" si="39"/>
        <v>#DIV/0!</v>
      </c>
    </row>
    <row r="324" ht="11.4" hidden="1" customHeight="1" spans="1:24">
      <c r="A324" s="184" t="s">
        <v>1538</v>
      </c>
      <c r="B324" s="184" t="s">
        <v>119</v>
      </c>
      <c r="C324" s="184" t="s">
        <v>1101</v>
      </c>
      <c r="D324" s="185" t="s">
        <v>522</v>
      </c>
      <c r="E324" s="186" t="s">
        <v>906</v>
      </c>
      <c r="F324" s="186" t="s">
        <v>907</v>
      </c>
      <c r="G324" s="186" t="s">
        <v>1102</v>
      </c>
      <c r="H324" s="186" t="s">
        <v>545</v>
      </c>
      <c r="I324" s="187" t="s">
        <v>1541</v>
      </c>
      <c r="J324" s="154" t="s">
        <v>1542</v>
      </c>
      <c r="K324" s="188">
        <v>1</v>
      </c>
      <c r="L324" s="188">
        <v>1</v>
      </c>
      <c r="M324" s="189" t="s">
        <v>793</v>
      </c>
      <c r="N324" s="190">
        <v>1130</v>
      </c>
      <c r="O324" s="190">
        <f t="shared" si="32"/>
        <v>1231.7</v>
      </c>
      <c r="P324" s="191">
        <f t="shared" si="33"/>
        <v>1130</v>
      </c>
      <c r="Q324" s="192">
        <f t="shared" si="34"/>
        <v>1130</v>
      </c>
      <c r="R324" s="193"/>
      <c r="S324" s="194"/>
      <c r="T324" s="195">
        <f t="shared" si="35"/>
        <v>0</v>
      </c>
      <c r="U324" s="195">
        <f t="shared" si="36"/>
        <v>0</v>
      </c>
      <c r="V324" s="195">
        <f t="shared" si="37"/>
        <v>0</v>
      </c>
      <c r="W324" s="196">
        <f t="shared" si="38"/>
        <v>0</v>
      </c>
      <c r="X324" s="197">
        <f t="shared" si="39"/>
        <v>0</v>
      </c>
    </row>
    <row r="325" ht="11.4" hidden="1" customHeight="1" spans="1:24">
      <c r="A325" s="184" t="s">
        <v>702</v>
      </c>
      <c r="B325" s="184" t="s">
        <v>121</v>
      </c>
      <c r="C325" s="184" t="s">
        <v>1101</v>
      </c>
      <c r="D325" s="185" t="s">
        <v>522</v>
      </c>
      <c r="E325" s="186" t="s">
        <v>906</v>
      </c>
      <c r="F325" s="186" t="s">
        <v>907</v>
      </c>
      <c r="G325" s="186" t="s">
        <v>1102</v>
      </c>
      <c r="H325" s="186" t="s">
        <v>1544</v>
      </c>
      <c r="I325" s="187" t="s">
        <v>1104</v>
      </c>
      <c r="J325" s="187" t="s">
        <v>1105</v>
      </c>
      <c r="K325" s="188"/>
      <c r="L325" s="188"/>
      <c r="M325" s="189" t="s">
        <v>847</v>
      </c>
      <c r="N325" s="190">
        <v>180.78</v>
      </c>
      <c r="O325" s="190">
        <f t="shared" si="32"/>
        <v>197.05</v>
      </c>
      <c r="P325" s="191">
        <f t="shared" si="33"/>
        <v>0</v>
      </c>
      <c r="Q325" s="192">
        <f t="shared" si="34"/>
        <v>0</v>
      </c>
      <c r="R325" s="193"/>
      <c r="S325" s="194"/>
      <c r="T325" s="195">
        <f t="shared" si="35"/>
        <v>0</v>
      </c>
      <c r="U325" s="195">
        <f t="shared" si="36"/>
        <v>0</v>
      </c>
      <c r="V325" s="195">
        <f t="shared" si="37"/>
        <v>0</v>
      </c>
      <c r="W325" s="196" t="e">
        <f t="shared" si="38"/>
        <v>#DIV/0!</v>
      </c>
      <c r="X325" s="197" t="e">
        <f t="shared" si="39"/>
        <v>#DIV/0!</v>
      </c>
    </row>
    <row r="326" ht="11.4" hidden="1" customHeight="1" spans="1:24">
      <c r="A326" s="184" t="s">
        <v>702</v>
      </c>
      <c r="B326" s="184" t="s">
        <v>121</v>
      </c>
      <c r="C326" s="184" t="s">
        <v>1101</v>
      </c>
      <c r="D326" s="185" t="s">
        <v>522</v>
      </c>
      <c r="E326" s="186" t="s">
        <v>906</v>
      </c>
      <c r="F326" s="186" t="s">
        <v>907</v>
      </c>
      <c r="G326" s="186" t="s">
        <v>1102</v>
      </c>
      <c r="H326" s="186" t="s">
        <v>1544</v>
      </c>
      <c r="I326" s="187" t="s">
        <v>1106</v>
      </c>
      <c r="J326" s="187" t="s">
        <v>1107</v>
      </c>
      <c r="K326" s="188"/>
      <c r="L326" s="188"/>
      <c r="M326" s="189" t="s">
        <v>807</v>
      </c>
      <c r="N326" s="190">
        <v>41.36</v>
      </c>
      <c r="O326" s="190">
        <f t="shared" si="32"/>
        <v>45.08</v>
      </c>
      <c r="P326" s="191">
        <f t="shared" si="33"/>
        <v>0</v>
      </c>
      <c r="Q326" s="192">
        <f t="shared" si="34"/>
        <v>0</v>
      </c>
      <c r="R326" s="193"/>
      <c r="S326" s="194"/>
      <c r="T326" s="195">
        <f t="shared" si="35"/>
        <v>0</v>
      </c>
      <c r="U326" s="195">
        <f t="shared" si="36"/>
        <v>0</v>
      </c>
      <c r="V326" s="195">
        <f t="shared" si="37"/>
        <v>0</v>
      </c>
      <c r="W326" s="196" t="e">
        <f t="shared" si="38"/>
        <v>#DIV/0!</v>
      </c>
      <c r="X326" s="197" t="e">
        <f t="shared" si="39"/>
        <v>#DIV/0!</v>
      </c>
    </row>
    <row r="327" ht="11.4" hidden="1" customHeight="1" spans="1:24">
      <c r="A327" s="184" t="s">
        <v>702</v>
      </c>
      <c r="B327" s="184" t="s">
        <v>121</v>
      </c>
      <c r="C327" s="184" t="s">
        <v>1101</v>
      </c>
      <c r="D327" s="185" t="s">
        <v>522</v>
      </c>
      <c r="E327" s="186" t="s">
        <v>906</v>
      </c>
      <c r="F327" s="186" t="s">
        <v>907</v>
      </c>
      <c r="G327" s="186" t="s">
        <v>1102</v>
      </c>
      <c r="H327" s="186" t="s">
        <v>1544</v>
      </c>
      <c r="I327" s="187" t="s">
        <v>1109</v>
      </c>
      <c r="J327" s="187" t="s">
        <v>1110</v>
      </c>
      <c r="K327" s="188"/>
      <c r="L327" s="188"/>
      <c r="M327" s="189" t="s">
        <v>847</v>
      </c>
      <c r="N327" s="190">
        <v>160.21</v>
      </c>
      <c r="O327" s="190">
        <f t="shared" si="32"/>
        <v>174.63</v>
      </c>
      <c r="P327" s="191">
        <f t="shared" si="33"/>
        <v>0</v>
      </c>
      <c r="Q327" s="192">
        <f t="shared" si="34"/>
        <v>0</v>
      </c>
      <c r="R327" s="193"/>
      <c r="S327" s="194"/>
      <c r="T327" s="195">
        <f t="shared" si="35"/>
        <v>0</v>
      </c>
      <c r="U327" s="195">
        <f t="shared" si="36"/>
        <v>0</v>
      </c>
      <c r="V327" s="195">
        <f t="shared" si="37"/>
        <v>0</v>
      </c>
      <c r="W327" s="196" t="e">
        <f t="shared" si="38"/>
        <v>#DIV/0!</v>
      </c>
      <c r="X327" s="197" t="e">
        <f t="shared" si="39"/>
        <v>#DIV/0!</v>
      </c>
    </row>
    <row r="328" ht="11.4" hidden="1" customHeight="1" spans="1:24">
      <c r="A328" s="184" t="s">
        <v>702</v>
      </c>
      <c r="B328" s="184" t="s">
        <v>121</v>
      </c>
      <c r="C328" s="184" t="s">
        <v>1101</v>
      </c>
      <c r="D328" s="185" t="s">
        <v>522</v>
      </c>
      <c r="E328" s="186" t="s">
        <v>906</v>
      </c>
      <c r="F328" s="186" t="s">
        <v>907</v>
      </c>
      <c r="G328" s="186" t="s">
        <v>1102</v>
      </c>
      <c r="H328" s="186" t="s">
        <v>1544</v>
      </c>
      <c r="I328" s="187" t="s">
        <v>1111</v>
      </c>
      <c r="J328" s="187" t="s">
        <v>1112</v>
      </c>
      <c r="K328" s="188"/>
      <c r="L328" s="188"/>
      <c r="M328" s="189" t="s">
        <v>807</v>
      </c>
      <c r="N328" s="190">
        <v>38.94</v>
      </c>
      <c r="O328" s="190">
        <f t="shared" si="32"/>
        <v>42.44</v>
      </c>
      <c r="P328" s="191">
        <f t="shared" si="33"/>
        <v>0</v>
      </c>
      <c r="Q328" s="192">
        <f t="shared" si="34"/>
        <v>0</v>
      </c>
      <c r="R328" s="193"/>
      <c r="S328" s="194"/>
      <c r="T328" s="195">
        <f t="shared" si="35"/>
        <v>0</v>
      </c>
      <c r="U328" s="195">
        <f t="shared" si="36"/>
        <v>0</v>
      </c>
      <c r="V328" s="195">
        <f t="shared" si="37"/>
        <v>0</v>
      </c>
      <c r="W328" s="196" t="e">
        <f t="shared" si="38"/>
        <v>#DIV/0!</v>
      </c>
      <c r="X328" s="197" t="e">
        <f t="shared" si="39"/>
        <v>#DIV/0!</v>
      </c>
    </row>
    <row r="329" ht="11.4" hidden="1" customHeight="1" spans="1:24">
      <c r="A329" s="184" t="s">
        <v>702</v>
      </c>
      <c r="B329" s="184" t="s">
        <v>121</v>
      </c>
      <c r="C329" s="184" t="s">
        <v>1101</v>
      </c>
      <c r="D329" s="185" t="s">
        <v>522</v>
      </c>
      <c r="E329" s="186" t="s">
        <v>906</v>
      </c>
      <c r="F329" s="186" t="s">
        <v>907</v>
      </c>
      <c r="G329" s="186" t="s">
        <v>1102</v>
      </c>
      <c r="H329" s="186" t="s">
        <v>1544</v>
      </c>
      <c r="I329" s="187" t="s">
        <v>1113</v>
      </c>
      <c r="J329" s="187" t="s">
        <v>1114</v>
      </c>
      <c r="K329" s="188"/>
      <c r="L329" s="188"/>
      <c r="M329" s="189" t="s">
        <v>847</v>
      </c>
      <c r="N329" s="190">
        <v>181.99</v>
      </c>
      <c r="O329" s="190">
        <f t="shared" si="32"/>
        <v>198.37</v>
      </c>
      <c r="P329" s="191">
        <f t="shared" si="33"/>
        <v>0</v>
      </c>
      <c r="Q329" s="192">
        <f t="shared" si="34"/>
        <v>0</v>
      </c>
      <c r="R329" s="193"/>
      <c r="S329" s="194"/>
      <c r="T329" s="195">
        <f t="shared" si="35"/>
        <v>0</v>
      </c>
      <c r="U329" s="195">
        <f t="shared" si="36"/>
        <v>0</v>
      </c>
      <c r="V329" s="195">
        <f t="shared" si="37"/>
        <v>0</v>
      </c>
      <c r="W329" s="196" t="e">
        <f t="shared" si="38"/>
        <v>#DIV/0!</v>
      </c>
      <c r="X329" s="197" t="e">
        <f t="shared" si="39"/>
        <v>#DIV/0!</v>
      </c>
    </row>
    <row r="330" ht="11.4" hidden="1" customHeight="1" spans="1:24">
      <c r="A330" s="184" t="s">
        <v>702</v>
      </c>
      <c r="B330" s="184" t="s">
        <v>121</v>
      </c>
      <c r="C330" s="184" t="s">
        <v>1101</v>
      </c>
      <c r="D330" s="185" t="s">
        <v>522</v>
      </c>
      <c r="E330" s="186" t="s">
        <v>906</v>
      </c>
      <c r="F330" s="186" t="s">
        <v>907</v>
      </c>
      <c r="G330" s="186" t="s">
        <v>1102</v>
      </c>
      <c r="H330" s="186" t="s">
        <v>1544</v>
      </c>
      <c r="I330" s="187" t="s">
        <v>1115</v>
      </c>
      <c r="J330" s="187" t="s">
        <v>1116</v>
      </c>
      <c r="K330" s="188"/>
      <c r="L330" s="188"/>
      <c r="M330" s="189" t="s">
        <v>807</v>
      </c>
      <c r="N330" s="190">
        <v>42.57</v>
      </c>
      <c r="O330" s="190">
        <f t="shared" si="32"/>
        <v>46.4</v>
      </c>
      <c r="P330" s="191">
        <f t="shared" si="33"/>
        <v>0</v>
      </c>
      <c r="Q330" s="192">
        <f t="shared" si="34"/>
        <v>0</v>
      </c>
      <c r="R330" s="193"/>
      <c r="S330" s="194"/>
      <c r="T330" s="195">
        <f t="shared" si="35"/>
        <v>0</v>
      </c>
      <c r="U330" s="195">
        <f t="shared" si="36"/>
        <v>0</v>
      </c>
      <c r="V330" s="195">
        <f t="shared" si="37"/>
        <v>0</v>
      </c>
      <c r="W330" s="196" t="e">
        <f t="shared" si="38"/>
        <v>#DIV/0!</v>
      </c>
      <c r="X330" s="197" t="e">
        <f t="shared" si="39"/>
        <v>#DIV/0!</v>
      </c>
    </row>
    <row r="331" ht="11.4" hidden="1" customHeight="1" spans="1:24">
      <c r="A331" s="184" t="s">
        <v>702</v>
      </c>
      <c r="B331" s="184" t="s">
        <v>121</v>
      </c>
      <c r="C331" s="184" t="s">
        <v>1101</v>
      </c>
      <c r="D331" s="185" t="s">
        <v>522</v>
      </c>
      <c r="E331" s="186" t="s">
        <v>906</v>
      </c>
      <c r="F331" s="186" t="s">
        <v>907</v>
      </c>
      <c r="G331" s="186" t="s">
        <v>1102</v>
      </c>
      <c r="H331" s="186" t="s">
        <v>1544</v>
      </c>
      <c r="I331" s="187" t="s">
        <v>1117</v>
      </c>
      <c r="J331" s="187" t="s">
        <v>1118</v>
      </c>
      <c r="K331" s="188"/>
      <c r="L331" s="188"/>
      <c r="M331" s="189" t="s">
        <v>847</v>
      </c>
      <c r="N331" s="190">
        <v>187.98</v>
      </c>
      <c r="O331" s="190">
        <f t="shared" si="32"/>
        <v>204.9</v>
      </c>
      <c r="P331" s="191">
        <f t="shared" si="33"/>
        <v>0</v>
      </c>
      <c r="Q331" s="192">
        <f t="shared" si="34"/>
        <v>0</v>
      </c>
      <c r="R331" s="193"/>
      <c r="S331" s="194"/>
      <c r="T331" s="195">
        <f t="shared" si="35"/>
        <v>0</v>
      </c>
      <c r="U331" s="195">
        <f t="shared" si="36"/>
        <v>0</v>
      </c>
      <c r="V331" s="195">
        <f t="shared" si="37"/>
        <v>0</v>
      </c>
      <c r="W331" s="196" t="e">
        <f t="shared" si="38"/>
        <v>#DIV/0!</v>
      </c>
      <c r="X331" s="197" t="e">
        <f t="shared" si="39"/>
        <v>#DIV/0!</v>
      </c>
    </row>
    <row r="332" ht="11.4" hidden="1" customHeight="1" spans="1:24">
      <c r="A332" s="184" t="s">
        <v>702</v>
      </c>
      <c r="B332" s="184" t="s">
        <v>121</v>
      </c>
      <c r="C332" s="184" t="s">
        <v>1101</v>
      </c>
      <c r="D332" s="185" t="s">
        <v>522</v>
      </c>
      <c r="E332" s="186" t="s">
        <v>906</v>
      </c>
      <c r="F332" s="186" t="s">
        <v>907</v>
      </c>
      <c r="G332" s="186" t="s">
        <v>1102</v>
      </c>
      <c r="H332" s="186" t="s">
        <v>1544</v>
      </c>
      <c r="I332" s="187" t="s">
        <v>1119</v>
      </c>
      <c r="J332" s="187" t="s">
        <v>1120</v>
      </c>
      <c r="K332" s="188"/>
      <c r="L332" s="188"/>
      <c r="M332" s="189" t="s">
        <v>847</v>
      </c>
      <c r="N332" s="190">
        <v>171.66</v>
      </c>
      <c r="O332" s="190">
        <f t="shared" si="32"/>
        <v>187.11</v>
      </c>
      <c r="P332" s="191">
        <f t="shared" si="33"/>
        <v>0</v>
      </c>
      <c r="Q332" s="192">
        <f t="shared" si="34"/>
        <v>0</v>
      </c>
      <c r="R332" s="193"/>
      <c r="S332" s="194"/>
      <c r="T332" s="195">
        <f t="shared" si="35"/>
        <v>0</v>
      </c>
      <c r="U332" s="195">
        <f t="shared" si="36"/>
        <v>0</v>
      </c>
      <c r="V332" s="195">
        <f t="shared" si="37"/>
        <v>0</v>
      </c>
      <c r="W332" s="196" t="e">
        <f t="shared" si="38"/>
        <v>#DIV/0!</v>
      </c>
      <c r="X332" s="197" t="e">
        <f t="shared" si="39"/>
        <v>#DIV/0!</v>
      </c>
    </row>
    <row r="333" ht="11.4" hidden="1" customHeight="1" spans="1:24">
      <c r="A333" s="184" t="s">
        <v>702</v>
      </c>
      <c r="B333" s="184" t="s">
        <v>121</v>
      </c>
      <c r="C333" s="184" t="s">
        <v>1101</v>
      </c>
      <c r="D333" s="185" t="s">
        <v>522</v>
      </c>
      <c r="E333" s="186" t="s">
        <v>906</v>
      </c>
      <c r="F333" s="186" t="s">
        <v>907</v>
      </c>
      <c r="G333" s="186" t="s">
        <v>1102</v>
      </c>
      <c r="H333" s="186" t="s">
        <v>1544</v>
      </c>
      <c r="I333" s="187" t="s">
        <v>1121</v>
      </c>
      <c r="J333" s="187" t="s">
        <v>1122</v>
      </c>
      <c r="K333" s="188"/>
      <c r="L333" s="188"/>
      <c r="M333" s="189" t="s">
        <v>847</v>
      </c>
      <c r="N333" s="190">
        <v>189.15</v>
      </c>
      <c r="O333" s="190">
        <f t="shared" ref="O333:O396" si="40">ROUND(N333*(1+$F$10),2)</f>
        <v>206.17</v>
      </c>
      <c r="P333" s="191">
        <f t="shared" ref="P333:P396" si="41">ROUND(K333*N333,2)</f>
        <v>0</v>
      </c>
      <c r="Q333" s="192">
        <f t="shared" ref="Q333:Q396" si="42">ROUND(L333*N333,2)</f>
        <v>0</v>
      </c>
      <c r="R333" s="193"/>
      <c r="S333" s="194"/>
      <c r="T333" s="195">
        <f t="shared" ref="T333:T396" si="43">K333-L333</f>
        <v>0</v>
      </c>
      <c r="U333" s="195">
        <f t="shared" ref="U333:U396" si="44">P333-Q333</f>
        <v>0</v>
      </c>
      <c r="V333" s="195">
        <f t="shared" ref="V333:V396" si="45">ABS(U333)</f>
        <v>0</v>
      </c>
      <c r="W333" s="196" t="e">
        <f t="shared" ref="W333:W396" si="46">T333/L333</f>
        <v>#DIV/0!</v>
      </c>
      <c r="X333" s="197" t="e">
        <f t="shared" ref="X333:X396" si="47">ABS(W333)</f>
        <v>#DIV/0!</v>
      </c>
    </row>
    <row r="334" ht="11.4" hidden="1" customHeight="1" spans="1:24">
      <c r="A334" s="184" t="s">
        <v>702</v>
      </c>
      <c r="B334" s="184" t="s">
        <v>121</v>
      </c>
      <c r="C334" s="184" t="s">
        <v>1101</v>
      </c>
      <c r="D334" s="185" t="s">
        <v>522</v>
      </c>
      <c r="E334" s="186" t="s">
        <v>906</v>
      </c>
      <c r="F334" s="186" t="s">
        <v>907</v>
      </c>
      <c r="G334" s="186" t="s">
        <v>1102</v>
      </c>
      <c r="H334" s="186" t="s">
        <v>1544</v>
      </c>
      <c r="I334" s="187" t="s">
        <v>1123</v>
      </c>
      <c r="J334" s="187" t="s">
        <v>1124</v>
      </c>
      <c r="K334" s="188"/>
      <c r="L334" s="188"/>
      <c r="M334" s="189" t="s">
        <v>807</v>
      </c>
      <c r="N334" s="190">
        <v>41.36</v>
      </c>
      <c r="O334" s="190">
        <f t="shared" si="40"/>
        <v>45.08</v>
      </c>
      <c r="P334" s="191">
        <f t="shared" si="41"/>
        <v>0</v>
      </c>
      <c r="Q334" s="192">
        <f t="shared" si="42"/>
        <v>0</v>
      </c>
      <c r="R334" s="193"/>
      <c r="S334" s="194"/>
      <c r="T334" s="195">
        <f t="shared" si="43"/>
        <v>0</v>
      </c>
      <c r="U334" s="195">
        <f t="shared" si="44"/>
        <v>0</v>
      </c>
      <c r="V334" s="195">
        <f t="shared" si="45"/>
        <v>0</v>
      </c>
      <c r="W334" s="196" t="e">
        <f t="shared" si="46"/>
        <v>#DIV/0!</v>
      </c>
      <c r="X334" s="197" t="e">
        <f t="shared" si="47"/>
        <v>#DIV/0!</v>
      </c>
    </row>
    <row r="335" ht="11.4" hidden="1" customHeight="1" spans="1:24">
      <c r="A335" s="184" t="s">
        <v>702</v>
      </c>
      <c r="B335" s="184" t="s">
        <v>121</v>
      </c>
      <c r="C335" s="184" t="s">
        <v>1101</v>
      </c>
      <c r="D335" s="185" t="s">
        <v>522</v>
      </c>
      <c r="E335" s="186" t="s">
        <v>906</v>
      </c>
      <c r="F335" s="186" t="s">
        <v>907</v>
      </c>
      <c r="G335" s="186" t="s">
        <v>1102</v>
      </c>
      <c r="H335" s="186" t="s">
        <v>1544</v>
      </c>
      <c r="I335" s="187" t="s">
        <v>1125</v>
      </c>
      <c r="J335" s="187" t="s">
        <v>1126</v>
      </c>
      <c r="K335" s="188"/>
      <c r="L335" s="188"/>
      <c r="M335" s="189" t="s">
        <v>807</v>
      </c>
      <c r="N335" s="190">
        <v>38.94</v>
      </c>
      <c r="O335" s="190">
        <f t="shared" si="40"/>
        <v>42.44</v>
      </c>
      <c r="P335" s="191">
        <f t="shared" si="41"/>
        <v>0</v>
      </c>
      <c r="Q335" s="192">
        <f t="shared" si="42"/>
        <v>0</v>
      </c>
      <c r="R335" s="193"/>
      <c r="S335" s="194"/>
      <c r="T335" s="195">
        <f t="shared" si="43"/>
        <v>0</v>
      </c>
      <c r="U335" s="195">
        <f t="shared" si="44"/>
        <v>0</v>
      </c>
      <c r="V335" s="195">
        <f t="shared" si="45"/>
        <v>0</v>
      </c>
      <c r="W335" s="196" t="e">
        <f t="shared" si="46"/>
        <v>#DIV/0!</v>
      </c>
      <c r="X335" s="197" t="e">
        <f t="shared" si="47"/>
        <v>#DIV/0!</v>
      </c>
    </row>
    <row r="336" ht="11.4" hidden="1" customHeight="1" spans="1:24">
      <c r="A336" s="184" t="s">
        <v>702</v>
      </c>
      <c r="B336" s="184" t="s">
        <v>121</v>
      </c>
      <c r="C336" s="184" t="s">
        <v>1101</v>
      </c>
      <c r="D336" s="185" t="s">
        <v>522</v>
      </c>
      <c r="E336" s="186" t="s">
        <v>906</v>
      </c>
      <c r="F336" s="186" t="s">
        <v>907</v>
      </c>
      <c r="G336" s="186" t="s">
        <v>1102</v>
      </c>
      <c r="H336" s="186" t="s">
        <v>1544</v>
      </c>
      <c r="I336" s="187" t="s">
        <v>1127</v>
      </c>
      <c r="J336" s="187" t="s">
        <v>1128</v>
      </c>
      <c r="K336" s="188"/>
      <c r="L336" s="188"/>
      <c r="M336" s="189" t="s">
        <v>807</v>
      </c>
      <c r="N336" s="190">
        <v>40.15</v>
      </c>
      <c r="O336" s="190">
        <f t="shared" si="40"/>
        <v>43.76</v>
      </c>
      <c r="P336" s="191">
        <f t="shared" si="41"/>
        <v>0</v>
      </c>
      <c r="Q336" s="192">
        <f t="shared" si="42"/>
        <v>0</v>
      </c>
      <c r="R336" s="193"/>
      <c r="S336" s="194"/>
      <c r="T336" s="195">
        <f t="shared" si="43"/>
        <v>0</v>
      </c>
      <c r="U336" s="195">
        <f t="shared" si="44"/>
        <v>0</v>
      </c>
      <c r="V336" s="195">
        <f t="shared" si="45"/>
        <v>0</v>
      </c>
      <c r="W336" s="196" t="e">
        <f t="shared" si="46"/>
        <v>#DIV/0!</v>
      </c>
      <c r="X336" s="197" t="e">
        <f t="shared" si="47"/>
        <v>#DIV/0!</v>
      </c>
    </row>
    <row r="337" ht="11.4" hidden="1" customHeight="1" spans="1:24">
      <c r="A337" s="184" t="s">
        <v>702</v>
      </c>
      <c r="B337" s="184" t="s">
        <v>121</v>
      </c>
      <c r="C337" s="184" t="s">
        <v>1101</v>
      </c>
      <c r="D337" s="185" t="s">
        <v>522</v>
      </c>
      <c r="E337" s="186" t="s">
        <v>906</v>
      </c>
      <c r="F337" s="186" t="s">
        <v>907</v>
      </c>
      <c r="G337" s="186" t="s">
        <v>1102</v>
      </c>
      <c r="H337" s="186" t="s">
        <v>1544</v>
      </c>
      <c r="I337" s="187" t="s">
        <v>1141</v>
      </c>
      <c r="J337" s="187" t="s">
        <v>1142</v>
      </c>
      <c r="K337" s="188"/>
      <c r="L337" s="188"/>
      <c r="M337" s="189" t="s">
        <v>847</v>
      </c>
      <c r="N337" s="190">
        <v>196.14</v>
      </c>
      <c r="O337" s="190">
        <f t="shared" si="40"/>
        <v>213.79</v>
      </c>
      <c r="P337" s="191">
        <f t="shared" si="41"/>
        <v>0</v>
      </c>
      <c r="Q337" s="192">
        <f t="shared" si="42"/>
        <v>0</v>
      </c>
      <c r="R337" s="193"/>
      <c r="S337" s="194"/>
      <c r="T337" s="195">
        <f t="shared" si="43"/>
        <v>0</v>
      </c>
      <c r="U337" s="195">
        <f t="shared" si="44"/>
        <v>0</v>
      </c>
      <c r="V337" s="195">
        <f t="shared" si="45"/>
        <v>0</v>
      </c>
      <c r="W337" s="196" t="e">
        <f t="shared" si="46"/>
        <v>#DIV/0!</v>
      </c>
      <c r="X337" s="197" t="e">
        <f t="shared" si="47"/>
        <v>#DIV/0!</v>
      </c>
    </row>
    <row r="338" ht="11.4" hidden="1" customHeight="1" spans="1:24">
      <c r="A338" s="184" t="s">
        <v>702</v>
      </c>
      <c r="B338" s="184" t="s">
        <v>121</v>
      </c>
      <c r="C338" s="184" t="s">
        <v>1101</v>
      </c>
      <c r="D338" s="185" t="s">
        <v>522</v>
      </c>
      <c r="E338" s="186" t="s">
        <v>906</v>
      </c>
      <c r="F338" s="186" t="s">
        <v>907</v>
      </c>
      <c r="G338" s="186" t="s">
        <v>1102</v>
      </c>
      <c r="H338" s="186" t="s">
        <v>1544</v>
      </c>
      <c r="I338" s="187" t="s">
        <v>1143</v>
      </c>
      <c r="J338" s="187" t="s">
        <v>1144</v>
      </c>
      <c r="K338" s="188"/>
      <c r="L338" s="188"/>
      <c r="M338" s="189" t="s">
        <v>807</v>
      </c>
      <c r="N338" s="190">
        <v>41.47</v>
      </c>
      <c r="O338" s="190">
        <f t="shared" si="40"/>
        <v>45.2</v>
      </c>
      <c r="P338" s="191">
        <f t="shared" si="41"/>
        <v>0</v>
      </c>
      <c r="Q338" s="192">
        <f t="shared" si="42"/>
        <v>0</v>
      </c>
      <c r="R338" s="193"/>
      <c r="S338" s="194"/>
      <c r="T338" s="195">
        <f t="shared" si="43"/>
        <v>0</v>
      </c>
      <c r="U338" s="195">
        <f t="shared" si="44"/>
        <v>0</v>
      </c>
      <c r="V338" s="195">
        <f t="shared" si="45"/>
        <v>0</v>
      </c>
      <c r="W338" s="196" t="e">
        <f t="shared" si="46"/>
        <v>#DIV/0!</v>
      </c>
      <c r="X338" s="197" t="e">
        <f t="shared" si="47"/>
        <v>#DIV/0!</v>
      </c>
    </row>
    <row r="339" ht="11.4" hidden="1" customHeight="1" spans="1:24">
      <c r="A339" s="184" t="s">
        <v>702</v>
      </c>
      <c r="B339" s="184" t="s">
        <v>121</v>
      </c>
      <c r="C339" s="184" t="s">
        <v>1101</v>
      </c>
      <c r="D339" s="185" t="s">
        <v>522</v>
      </c>
      <c r="E339" s="186" t="s">
        <v>906</v>
      </c>
      <c r="F339" s="186" t="s">
        <v>907</v>
      </c>
      <c r="G339" s="186" t="s">
        <v>1102</v>
      </c>
      <c r="H339" s="186" t="s">
        <v>1544</v>
      </c>
      <c r="I339" s="187" t="s">
        <v>1145</v>
      </c>
      <c r="J339" s="187" t="s">
        <v>1146</v>
      </c>
      <c r="K339" s="188"/>
      <c r="L339" s="188"/>
      <c r="M339" s="189" t="s">
        <v>847</v>
      </c>
      <c r="N339" s="190">
        <v>179.82</v>
      </c>
      <c r="O339" s="190">
        <f t="shared" si="40"/>
        <v>196</v>
      </c>
      <c r="P339" s="191">
        <f t="shared" si="41"/>
        <v>0</v>
      </c>
      <c r="Q339" s="192">
        <f t="shared" si="42"/>
        <v>0</v>
      </c>
      <c r="R339" s="193"/>
      <c r="S339" s="194"/>
      <c r="T339" s="195">
        <f t="shared" si="43"/>
        <v>0</v>
      </c>
      <c r="U339" s="195">
        <f t="shared" si="44"/>
        <v>0</v>
      </c>
      <c r="V339" s="195">
        <f t="shared" si="45"/>
        <v>0</v>
      </c>
      <c r="W339" s="196" t="e">
        <f t="shared" si="46"/>
        <v>#DIV/0!</v>
      </c>
      <c r="X339" s="197" t="e">
        <f t="shared" si="47"/>
        <v>#DIV/0!</v>
      </c>
    </row>
    <row r="340" ht="11.4" hidden="1" customHeight="1" spans="1:24">
      <c r="A340" s="184" t="s">
        <v>702</v>
      </c>
      <c r="B340" s="184" t="s">
        <v>121</v>
      </c>
      <c r="C340" s="184" t="s">
        <v>1101</v>
      </c>
      <c r="D340" s="185" t="s">
        <v>522</v>
      </c>
      <c r="E340" s="186" t="s">
        <v>906</v>
      </c>
      <c r="F340" s="186" t="s">
        <v>907</v>
      </c>
      <c r="G340" s="186" t="s">
        <v>1102</v>
      </c>
      <c r="H340" s="186" t="s">
        <v>1544</v>
      </c>
      <c r="I340" s="187" t="s">
        <v>1147</v>
      </c>
      <c r="J340" s="187" t="s">
        <v>1148</v>
      </c>
      <c r="K340" s="188"/>
      <c r="L340" s="188"/>
      <c r="M340" s="189" t="s">
        <v>807</v>
      </c>
      <c r="N340" s="190">
        <v>37.84</v>
      </c>
      <c r="O340" s="190">
        <f t="shared" si="40"/>
        <v>41.25</v>
      </c>
      <c r="P340" s="191">
        <f t="shared" si="41"/>
        <v>0</v>
      </c>
      <c r="Q340" s="192">
        <f t="shared" si="42"/>
        <v>0</v>
      </c>
      <c r="R340" s="193"/>
      <c r="S340" s="194"/>
      <c r="T340" s="195">
        <f t="shared" si="43"/>
        <v>0</v>
      </c>
      <c r="U340" s="195">
        <f t="shared" si="44"/>
        <v>0</v>
      </c>
      <c r="V340" s="195">
        <f t="shared" si="45"/>
        <v>0</v>
      </c>
      <c r="W340" s="196" t="e">
        <f t="shared" si="46"/>
        <v>#DIV/0!</v>
      </c>
      <c r="X340" s="197" t="e">
        <f t="shared" si="47"/>
        <v>#DIV/0!</v>
      </c>
    </row>
    <row r="341" ht="11.4" hidden="1" customHeight="1" spans="1:24">
      <c r="A341" s="184" t="s">
        <v>702</v>
      </c>
      <c r="B341" s="184" t="s">
        <v>121</v>
      </c>
      <c r="C341" s="184" t="s">
        <v>1101</v>
      </c>
      <c r="D341" s="185" t="s">
        <v>522</v>
      </c>
      <c r="E341" s="186" t="s">
        <v>906</v>
      </c>
      <c r="F341" s="186" t="s">
        <v>907</v>
      </c>
      <c r="G341" s="186" t="s">
        <v>1102</v>
      </c>
      <c r="H341" s="186" t="s">
        <v>1544</v>
      </c>
      <c r="I341" s="187" t="s">
        <v>1149</v>
      </c>
      <c r="J341" s="187" t="s">
        <v>1150</v>
      </c>
      <c r="K341" s="188"/>
      <c r="L341" s="188"/>
      <c r="M341" s="189" t="s">
        <v>847</v>
      </c>
      <c r="N341" s="190">
        <v>193.81</v>
      </c>
      <c r="O341" s="190">
        <f t="shared" si="40"/>
        <v>211.25</v>
      </c>
      <c r="P341" s="191">
        <f t="shared" si="41"/>
        <v>0</v>
      </c>
      <c r="Q341" s="192">
        <f t="shared" si="42"/>
        <v>0</v>
      </c>
      <c r="R341" s="193"/>
      <c r="S341" s="194"/>
      <c r="T341" s="195">
        <f t="shared" si="43"/>
        <v>0</v>
      </c>
      <c r="U341" s="195">
        <f t="shared" si="44"/>
        <v>0</v>
      </c>
      <c r="V341" s="195">
        <f t="shared" si="45"/>
        <v>0</v>
      </c>
      <c r="W341" s="196" t="e">
        <f t="shared" si="46"/>
        <v>#DIV/0!</v>
      </c>
      <c r="X341" s="197" t="e">
        <f t="shared" si="47"/>
        <v>#DIV/0!</v>
      </c>
    </row>
    <row r="342" ht="11.4" hidden="1" customHeight="1" spans="1:24">
      <c r="A342" s="184" t="s">
        <v>702</v>
      </c>
      <c r="B342" s="184" t="s">
        <v>121</v>
      </c>
      <c r="C342" s="184" t="s">
        <v>1101</v>
      </c>
      <c r="D342" s="185" t="s">
        <v>522</v>
      </c>
      <c r="E342" s="186" t="s">
        <v>906</v>
      </c>
      <c r="F342" s="186" t="s">
        <v>907</v>
      </c>
      <c r="G342" s="186" t="s">
        <v>1102</v>
      </c>
      <c r="H342" s="186" t="s">
        <v>1544</v>
      </c>
      <c r="I342" s="187" t="s">
        <v>1151</v>
      </c>
      <c r="J342" s="187" t="s">
        <v>1152</v>
      </c>
      <c r="K342" s="188"/>
      <c r="L342" s="188"/>
      <c r="M342" s="189" t="s">
        <v>807</v>
      </c>
      <c r="N342" s="190">
        <v>39.05</v>
      </c>
      <c r="O342" s="190">
        <f t="shared" si="40"/>
        <v>42.56</v>
      </c>
      <c r="P342" s="191">
        <f t="shared" si="41"/>
        <v>0</v>
      </c>
      <c r="Q342" s="192">
        <f t="shared" si="42"/>
        <v>0</v>
      </c>
      <c r="R342" s="193"/>
      <c r="S342" s="194"/>
      <c r="T342" s="195">
        <f t="shared" si="43"/>
        <v>0</v>
      </c>
      <c r="U342" s="195">
        <f t="shared" si="44"/>
        <v>0</v>
      </c>
      <c r="V342" s="195">
        <f t="shared" si="45"/>
        <v>0</v>
      </c>
      <c r="W342" s="196" t="e">
        <f t="shared" si="46"/>
        <v>#DIV/0!</v>
      </c>
      <c r="X342" s="197" t="e">
        <f t="shared" si="47"/>
        <v>#DIV/0!</v>
      </c>
    </row>
    <row r="343" ht="11.4" hidden="1" customHeight="1" spans="1:24">
      <c r="A343" s="184" t="s">
        <v>702</v>
      </c>
      <c r="B343" s="184" t="s">
        <v>121</v>
      </c>
      <c r="C343" s="184" t="s">
        <v>1101</v>
      </c>
      <c r="D343" s="185" t="s">
        <v>522</v>
      </c>
      <c r="E343" s="186" t="s">
        <v>906</v>
      </c>
      <c r="F343" s="186" t="s">
        <v>907</v>
      </c>
      <c r="G343" s="186" t="s">
        <v>1102</v>
      </c>
      <c r="H343" s="186" t="s">
        <v>1546</v>
      </c>
      <c r="I343" s="187" t="s">
        <v>1547</v>
      </c>
      <c r="J343" s="187" t="s">
        <v>1548</v>
      </c>
      <c r="K343" s="188"/>
      <c r="L343" s="188"/>
      <c r="M343" s="189" t="s">
        <v>847</v>
      </c>
      <c r="N343" s="190">
        <v>167.98</v>
      </c>
      <c r="O343" s="190">
        <f t="shared" si="40"/>
        <v>183.1</v>
      </c>
      <c r="P343" s="191">
        <f t="shared" si="41"/>
        <v>0</v>
      </c>
      <c r="Q343" s="192">
        <f t="shared" si="42"/>
        <v>0</v>
      </c>
      <c r="R343" s="193"/>
      <c r="S343" s="194"/>
      <c r="T343" s="195">
        <f t="shared" si="43"/>
        <v>0</v>
      </c>
      <c r="U343" s="195">
        <f t="shared" si="44"/>
        <v>0</v>
      </c>
      <c r="V343" s="195">
        <f t="shared" si="45"/>
        <v>0</v>
      </c>
      <c r="W343" s="196" t="e">
        <f t="shared" si="46"/>
        <v>#DIV/0!</v>
      </c>
      <c r="X343" s="197" t="e">
        <f t="shared" si="47"/>
        <v>#DIV/0!</v>
      </c>
    </row>
    <row r="344" ht="11.4" hidden="1" customHeight="1" spans="1:24">
      <c r="A344" s="184" t="s">
        <v>702</v>
      </c>
      <c r="B344" s="184" t="s">
        <v>121</v>
      </c>
      <c r="C344" s="184" t="s">
        <v>1101</v>
      </c>
      <c r="D344" s="185" t="s">
        <v>522</v>
      </c>
      <c r="E344" s="186" t="s">
        <v>906</v>
      </c>
      <c r="F344" s="186" t="s">
        <v>907</v>
      </c>
      <c r="G344" s="186" t="s">
        <v>1102</v>
      </c>
      <c r="H344" s="186" t="s">
        <v>1546</v>
      </c>
      <c r="I344" s="187" t="s">
        <v>1549</v>
      </c>
      <c r="J344" s="187" t="s">
        <v>1550</v>
      </c>
      <c r="K344" s="188"/>
      <c r="L344" s="188"/>
      <c r="M344" s="189" t="s">
        <v>847</v>
      </c>
      <c r="N344" s="190">
        <v>147.41</v>
      </c>
      <c r="O344" s="190">
        <f t="shared" si="40"/>
        <v>160.68</v>
      </c>
      <c r="P344" s="191">
        <f t="shared" si="41"/>
        <v>0</v>
      </c>
      <c r="Q344" s="192">
        <f t="shared" si="42"/>
        <v>0</v>
      </c>
      <c r="R344" s="193"/>
      <c r="S344" s="194"/>
      <c r="T344" s="195">
        <f t="shared" si="43"/>
        <v>0</v>
      </c>
      <c r="U344" s="195">
        <f t="shared" si="44"/>
        <v>0</v>
      </c>
      <c r="V344" s="195">
        <f t="shared" si="45"/>
        <v>0</v>
      </c>
      <c r="W344" s="196" t="e">
        <f t="shared" si="46"/>
        <v>#DIV/0!</v>
      </c>
      <c r="X344" s="197" t="e">
        <f t="shared" si="47"/>
        <v>#DIV/0!</v>
      </c>
    </row>
    <row r="345" ht="11.4" hidden="1" customHeight="1" spans="1:24">
      <c r="A345" s="184" t="s">
        <v>702</v>
      </c>
      <c r="B345" s="184" t="s">
        <v>121</v>
      </c>
      <c r="C345" s="184" t="s">
        <v>1101</v>
      </c>
      <c r="D345" s="185" t="s">
        <v>522</v>
      </c>
      <c r="E345" s="186" t="s">
        <v>906</v>
      </c>
      <c r="F345" s="186" t="s">
        <v>907</v>
      </c>
      <c r="G345" s="186" t="s">
        <v>1102</v>
      </c>
      <c r="H345" s="186" t="s">
        <v>1546</v>
      </c>
      <c r="I345" s="187" t="s">
        <v>1551</v>
      </c>
      <c r="J345" s="187" t="s">
        <v>1552</v>
      </c>
      <c r="K345" s="188"/>
      <c r="L345" s="188"/>
      <c r="M345" s="189" t="s">
        <v>847</v>
      </c>
      <c r="N345" s="190">
        <v>169.19</v>
      </c>
      <c r="O345" s="190">
        <f t="shared" si="40"/>
        <v>184.42</v>
      </c>
      <c r="P345" s="191">
        <f t="shared" si="41"/>
        <v>0</v>
      </c>
      <c r="Q345" s="192">
        <f t="shared" si="42"/>
        <v>0</v>
      </c>
      <c r="R345" s="193"/>
      <c r="S345" s="194"/>
      <c r="T345" s="195">
        <f t="shared" si="43"/>
        <v>0</v>
      </c>
      <c r="U345" s="195">
        <f t="shared" si="44"/>
        <v>0</v>
      </c>
      <c r="V345" s="195">
        <f t="shared" si="45"/>
        <v>0</v>
      </c>
      <c r="W345" s="196" t="e">
        <f t="shared" si="46"/>
        <v>#DIV/0!</v>
      </c>
      <c r="X345" s="197" t="e">
        <f t="shared" si="47"/>
        <v>#DIV/0!</v>
      </c>
    </row>
    <row r="346" ht="11.4" hidden="1" customHeight="1" spans="1:24">
      <c r="A346" s="184" t="s">
        <v>702</v>
      </c>
      <c r="B346" s="184" t="s">
        <v>121</v>
      </c>
      <c r="C346" s="184" t="s">
        <v>1101</v>
      </c>
      <c r="D346" s="185" t="s">
        <v>522</v>
      </c>
      <c r="E346" s="186" t="s">
        <v>906</v>
      </c>
      <c r="F346" s="186" t="s">
        <v>907</v>
      </c>
      <c r="G346" s="186" t="s">
        <v>1102</v>
      </c>
      <c r="H346" s="186" t="s">
        <v>1546</v>
      </c>
      <c r="I346" s="187" t="s">
        <v>1553</v>
      </c>
      <c r="J346" s="187" t="s">
        <v>1554</v>
      </c>
      <c r="K346" s="188"/>
      <c r="L346" s="188"/>
      <c r="M346" s="189" t="s">
        <v>847</v>
      </c>
      <c r="N346" s="190">
        <v>175.9</v>
      </c>
      <c r="O346" s="190">
        <f t="shared" si="40"/>
        <v>191.73</v>
      </c>
      <c r="P346" s="191">
        <f t="shared" si="41"/>
        <v>0</v>
      </c>
      <c r="Q346" s="192">
        <f t="shared" si="42"/>
        <v>0</v>
      </c>
      <c r="R346" s="193"/>
      <c r="S346" s="194"/>
      <c r="T346" s="195">
        <f t="shared" si="43"/>
        <v>0</v>
      </c>
      <c r="U346" s="195">
        <f t="shared" si="44"/>
        <v>0</v>
      </c>
      <c r="V346" s="195">
        <f t="shared" si="45"/>
        <v>0</v>
      </c>
      <c r="W346" s="196" t="e">
        <f t="shared" si="46"/>
        <v>#DIV/0!</v>
      </c>
      <c r="X346" s="197" t="e">
        <f t="shared" si="47"/>
        <v>#DIV/0!</v>
      </c>
    </row>
    <row r="347" ht="11.4" hidden="1" customHeight="1" spans="1:24">
      <c r="A347" s="184" t="s">
        <v>702</v>
      </c>
      <c r="B347" s="184" t="s">
        <v>121</v>
      </c>
      <c r="C347" s="184" t="s">
        <v>1101</v>
      </c>
      <c r="D347" s="185" t="s">
        <v>522</v>
      </c>
      <c r="E347" s="186" t="s">
        <v>906</v>
      </c>
      <c r="F347" s="186" t="s">
        <v>907</v>
      </c>
      <c r="G347" s="186" t="s">
        <v>1102</v>
      </c>
      <c r="H347" s="186" t="s">
        <v>1546</v>
      </c>
      <c r="I347" s="187" t="s">
        <v>1555</v>
      </c>
      <c r="J347" s="187" t="s">
        <v>1556</v>
      </c>
      <c r="K347" s="188"/>
      <c r="L347" s="188"/>
      <c r="M347" s="189" t="s">
        <v>847</v>
      </c>
      <c r="N347" s="190">
        <v>175.9</v>
      </c>
      <c r="O347" s="190">
        <f t="shared" si="40"/>
        <v>191.73</v>
      </c>
      <c r="P347" s="191">
        <f t="shared" si="41"/>
        <v>0</v>
      </c>
      <c r="Q347" s="192">
        <f t="shared" si="42"/>
        <v>0</v>
      </c>
      <c r="R347" s="193"/>
      <c r="S347" s="194"/>
      <c r="T347" s="195">
        <f t="shared" si="43"/>
        <v>0</v>
      </c>
      <c r="U347" s="195">
        <f t="shared" si="44"/>
        <v>0</v>
      </c>
      <c r="V347" s="195">
        <f t="shared" si="45"/>
        <v>0</v>
      </c>
      <c r="W347" s="196" t="e">
        <f t="shared" si="46"/>
        <v>#DIV/0!</v>
      </c>
      <c r="X347" s="197" t="e">
        <f t="shared" si="47"/>
        <v>#DIV/0!</v>
      </c>
    </row>
    <row r="348" ht="11.4" hidden="1" customHeight="1" spans="1:24">
      <c r="A348" s="184" t="s">
        <v>702</v>
      </c>
      <c r="B348" s="184" t="s">
        <v>121</v>
      </c>
      <c r="C348" s="184" t="s">
        <v>1101</v>
      </c>
      <c r="D348" s="185" t="s">
        <v>522</v>
      </c>
      <c r="E348" s="186" t="s">
        <v>906</v>
      </c>
      <c r="F348" s="186" t="s">
        <v>907</v>
      </c>
      <c r="G348" s="186" t="s">
        <v>1102</v>
      </c>
      <c r="H348" s="186" t="s">
        <v>1546</v>
      </c>
      <c r="I348" s="187" t="s">
        <v>1557</v>
      </c>
      <c r="J348" s="187" t="s">
        <v>1558</v>
      </c>
      <c r="K348" s="188"/>
      <c r="L348" s="188"/>
      <c r="M348" s="189" t="s">
        <v>847</v>
      </c>
      <c r="N348" s="190">
        <v>166.22</v>
      </c>
      <c r="O348" s="190">
        <f t="shared" si="40"/>
        <v>181.18</v>
      </c>
      <c r="P348" s="191">
        <f t="shared" si="41"/>
        <v>0</v>
      </c>
      <c r="Q348" s="192">
        <f t="shared" si="42"/>
        <v>0</v>
      </c>
      <c r="R348" s="193"/>
      <c r="S348" s="194"/>
      <c r="T348" s="195">
        <f t="shared" si="43"/>
        <v>0</v>
      </c>
      <c r="U348" s="195">
        <f t="shared" si="44"/>
        <v>0</v>
      </c>
      <c r="V348" s="195">
        <f t="shared" si="45"/>
        <v>0</v>
      </c>
      <c r="W348" s="196" t="e">
        <f t="shared" si="46"/>
        <v>#DIV/0!</v>
      </c>
      <c r="X348" s="197" t="e">
        <f t="shared" si="47"/>
        <v>#DIV/0!</v>
      </c>
    </row>
    <row r="349" ht="11.4" hidden="1" customHeight="1" spans="1:24">
      <c r="A349" s="184" t="s">
        <v>702</v>
      </c>
      <c r="B349" s="184" t="s">
        <v>121</v>
      </c>
      <c r="C349" s="184" t="s">
        <v>1101</v>
      </c>
      <c r="D349" s="185" t="s">
        <v>522</v>
      </c>
      <c r="E349" s="186" t="s">
        <v>906</v>
      </c>
      <c r="F349" s="186" t="s">
        <v>907</v>
      </c>
      <c r="G349" s="186" t="s">
        <v>1102</v>
      </c>
      <c r="H349" s="186" t="s">
        <v>1546</v>
      </c>
      <c r="I349" s="187" t="s">
        <v>1559</v>
      </c>
      <c r="J349" s="187" t="s">
        <v>1560</v>
      </c>
      <c r="K349" s="188"/>
      <c r="L349" s="188"/>
      <c r="M349" s="189" t="s">
        <v>847</v>
      </c>
      <c r="N349" s="190">
        <v>58.39</v>
      </c>
      <c r="O349" s="190">
        <f t="shared" si="40"/>
        <v>63.65</v>
      </c>
      <c r="P349" s="191">
        <f t="shared" si="41"/>
        <v>0</v>
      </c>
      <c r="Q349" s="192">
        <f t="shared" si="42"/>
        <v>0</v>
      </c>
      <c r="R349" s="193"/>
      <c r="S349" s="194"/>
      <c r="T349" s="195">
        <f t="shared" si="43"/>
        <v>0</v>
      </c>
      <c r="U349" s="195">
        <f t="shared" si="44"/>
        <v>0</v>
      </c>
      <c r="V349" s="195">
        <f t="shared" si="45"/>
        <v>0</v>
      </c>
      <c r="W349" s="196" t="e">
        <f t="shared" si="46"/>
        <v>#DIV/0!</v>
      </c>
      <c r="X349" s="197" t="e">
        <f t="shared" si="47"/>
        <v>#DIV/0!</v>
      </c>
    </row>
    <row r="350" ht="11.4" hidden="1" customHeight="1" spans="1:24">
      <c r="A350" s="184" t="s">
        <v>702</v>
      </c>
      <c r="B350" s="184" t="s">
        <v>121</v>
      </c>
      <c r="C350" s="184" t="s">
        <v>1101</v>
      </c>
      <c r="D350" s="185" t="s">
        <v>522</v>
      </c>
      <c r="E350" s="186" t="s">
        <v>906</v>
      </c>
      <c r="F350" s="186" t="s">
        <v>907</v>
      </c>
      <c r="G350" s="186" t="s">
        <v>1102</v>
      </c>
      <c r="H350" s="186" t="s">
        <v>1561</v>
      </c>
      <c r="I350" s="187" t="s">
        <v>1336</v>
      </c>
      <c r="J350" s="187" t="s">
        <v>1337</v>
      </c>
      <c r="K350" s="188"/>
      <c r="L350" s="188"/>
      <c r="M350" s="189" t="s">
        <v>847</v>
      </c>
      <c r="N350" s="190">
        <v>62.19</v>
      </c>
      <c r="O350" s="190">
        <f t="shared" si="40"/>
        <v>67.79</v>
      </c>
      <c r="P350" s="191">
        <f t="shared" si="41"/>
        <v>0</v>
      </c>
      <c r="Q350" s="192">
        <f t="shared" si="42"/>
        <v>0</v>
      </c>
      <c r="R350" s="193"/>
      <c r="S350" s="194"/>
      <c r="T350" s="195">
        <f t="shared" si="43"/>
        <v>0</v>
      </c>
      <c r="U350" s="195">
        <f t="shared" si="44"/>
        <v>0</v>
      </c>
      <c r="V350" s="195">
        <f t="shared" si="45"/>
        <v>0</v>
      </c>
      <c r="W350" s="196" t="e">
        <f t="shared" si="46"/>
        <v>#DIV/0!</v>
      </c>
      <c r="X350" s="197" t="e">
        <f t="shared" si="47"/>
        <v>#DIV/0!</v>
      </c>
    </row>
    <row r="351" ht="11.4" hidden="1" customHeight="1" spans="1:24">
      <c r="A351" s="184" t="s">
        <v>702</v>
      </c>
      <c r="B351" s="184" t="s">
        <v>121</v>
      </c>
      <c r="C351" s="184" t="s">
        <v>1101</v>
      </c>
      <c r="D351" s="185" t="s">
        <v>522</v>
      </c>
      <c r="E351" s="186" t="s">
        <v>906</v>
      </c>
      <c r="F351" s="186" t="s">
        <v>907</v>
      </c>
      <c r="G351" s="186" t="s">
        <v>1102</v>
      </c>
      <c r="H351" s="186" t="s">
        <v>1561</v>
      </c>
      <c r="I351" s="187" t="s">
        <v>1562</v>
      </c>
      <c r="J351" s="187" t="s">
        <v>1563</v>
      </c>
      <c r="K351" s="188"/>
      <c r="L351" s="188"/>
      <c r="M351" s="189" t="s">
        <v>847</v>
      </c>
      <c r="N351" s="190">
        <v>139.73</v>
      </c>
      <c r="O351" s="190">
        <f t="shared" si="40"/>
        <v>152.31</v>
      </c>
      <c r="P351" s="191">
        <f t="shared" si="41"/>
        <v>0</v>
      </c>
      <c r="Q351" s="192">
        <f t="shared" si="42"/>
        <v>0</v>
      </c>
      <c r="R351" s="193"/>
      <c r="S351" s="194"/>
      <c r="T351" s="195">
        <f t="shared" si="43"/>
        <v>0</v>
      </c>
      <c r="U351" s="195">
        <f t="shared" si="44"/>
        <v>0</v>
      </c>
      <c r="V351" s="195">
        <f t="shared" si="45"/>
        <v>0</v>
      </c>
      <c r="W351" s="196" t="e">
        <f t="shared" si="46"/>
        <v>#DIV/0!</v>
      </c>
      <c r="X351" s="197" t="e">
        <f t="shared" si="47"/>
        <v>#DIV/0!</v>
      </c>
    </row>
    <row r="352" ht="11.4" hidden="1" customHeight="1" spans="1:24">
      <c r="A352" s="184" t="s">
        <v>702</v>
      </c>
      <c r="B352" s="184" t="s">
        <v>121</v>
      </c>
      <c r="C352" s="184" t="s">
        <v>1101</v>
      </c>
      <c r="D352" s="185" t="s">
        <v>522</v>
      </c>
      <c r="E352" s="186" t="s">
        <v>906</v>
      </c>
      <c r="F352" s="186" t="s">
        <v>907</v>
      </c>
      <c r="G352" s="186" t="s">
        <v>1102</v>
      </c>
      <c r="H352" s="186" t="s">
        <v>1561</v>
      </c>
      <c r="I352" s="187" t="s">
        <v>1564</v>
      </c>
      <c r="J352" s="187" t="s">
        <v>1565</v>
      </c>
      <c r="K352" s="188"/>
      <c r="L352" s="188"/>
      <c r="M352" s="189" t="s">
        <v>807</v>
      </c>
      <c r="N352" s="190">
        <v>93.71</v>
      </c>
      <c r="O352" s="190">
        <f t="shared" si="40"/>
        <v>102.14</v>
      </c>
      <c r="P352" s="191">
        <f t="shared" si="41"/>
        <v>0</v>
      </c>
      <c r="Q352" s="192">
        <f t="shared" si="42"/>
        <v>0</v>
      </c>
      <c r="R352" s="193"/>
      <c r="S352" s="194"/>
      <c r="T352" s="195">
        <f t="shared" si="43"/>
        <v>0</v>
      </c>
      <c r="U352" s="195">
        <f t="shared" si="44"/>
        <v>0</v>
      </c>
      <c r="V352" s="195">
        <f t="shared" si="45"/>
        <v>0</v>
      </c>
      <c r="W352" s="196" t="e">
        <f t="shared" si="46"/>
        <v>#DIV/0!</v>
      </c>
      <c r="X352" s="197" t="e">
        <f t="shared" si="47"/>
        <v>#DIV/0!</v>
      </c>
    </row>
    <row r="353" ht="11.4" hidden="1" customHeight="1" spans="1:24">
      <c r="A353" s="184" t="s">
        <v>702</v>
      </c>
      <c r="B353" s="184" t="s">
        <v>121</v>
      </c>
      <c r="C353" s="184" t="s">
        <v>1101</v>
      </c>
      <c r="D353" s="185" t="s">
        <v>522</v>
      </c>
      <c r="E353" s="186" t="s">
        <v>906</v>
      </c>
      <c r="F353" s="186" t="s">
        <v>907</v>
      </c>
      <c r="G353" s="186" t="s">
        <v>1102</v>
      </c>
      <c r="H353" s="186" t="s">
        <v>1566</v>
      </c>
      <c r="I353" s="187" t="s">
        <v>1567</v>
      </c>
      <c r="J353" s="187" t="s">
        <v>1568</v>
      </c>
      <c r="K353" s="188"/>
      <c r="L353" s="188"/>
      <c r="M353" s="189" t="s">
        <v>807</v>
      </c>
      <c r="N353" s="190">
        <v>2589.58</v>
      </c>
      <c r="O353" s="190">
        <f t="shared" si="40"/>
        <v>2822.64</v>
      </c>
      <c r="P353" s="191">
        <f t="shared" si="41"/>
        <v>0</v>
      </c>
      <c r="Q353" s="192">
        <f t="shared" si="42"/>
        <v>0</v>
      </c>
      <c r="R353" s="193"/>
      <c r="S353" s="194"/>
      <c r="T353" s="195">
        <f t="shared" si="43"/>
        <v>0</v>
      </c>
      <c r="U353" s="195">
        <f t="shared" si="44"/>
        <v>0</v>
      </c>
      <c r="V353" s="195">
        <f t="shared" si="45"/>
        <v>0</v>
      </c>
      <c r="W353" s="196" t="e">
        <f t="shared" si="46"/>
        <v>#DIV/0!</v>
      </c>
      <c r="X353" s="197" t="e">
        <f t="shared" si="47"/>
        <v>#DIV/0!</v>
      </c>
    </row>
    <row r="354" ht="11.4" hidden="1" customHeight="1" spans="1:24">
      <c r="A354" s="184" t="s">
        <v>702</v>
      </c>
      <c r="B354" s="184" t="s">
        <v>121</v>
      </c>
      <c r="C354" s="184" t="s">
        <v>1101</v>
      </c>
      <c r="D354" s="185" t="s">
        <v>522</v>
      </c>
      <c r="E354" s="186" t="s">
        <v>906</v>
      </c>
      <c r="F354" s="186" t="s">
        <v>907</v>
      </c>
      <c r="G354" s="186" t="s">
        <v>1102</v>
      </c>
      <c r="H354" s="186" t="s">
        <v>1566</v>
      </c>
      <c r="I354" s="187" t="s">
        <v>1570</v>
      </c>
      <c r="J354" s="187" t="s">
        <v>1571</v>
      </c>
      <c r="K354" s="188">
        <v>0.9</v>
      </c>
      <c r="L354" s="188">
        <v>0.9</v>
      </c>
      <c r="M354" s="189" t="s">
        <v>807</v>
      </c>
      <c r="N354" s="190">
        <v>1470.3</v>
      </c>
      <c r="O354" s="190">
        <f t="shared" si="40"/>
        <v>1602.63</v>
      </c>
      <c r="P354" s="191">
        <f t="shared" si="41"/>
        <v>1323.27</v>
      </c>
      <c r="Q354" s="192">
        <f t="shared" si="42"/>
        <v>1323.27</v>
      </c>
      <c r="R354" s="193"/>
      <c r="S354" s="194"/>
      <c r="T354" s="195">
        <f t="shared" si="43"/>
        <v>0</v>
      </c>
      <c r="U354" s="195">
        <f t="shared" si="44"/>
        <v>0</v>
      </c>
      <c r="V354" s="195">
        <f t="shared" si="45"/>
        <v>0</v>
      </c>
      <c r="W354" s="196">
        <f t="shared" si="46"/>
        <v>0</v>
      </c>
      <c r="X354" s="197">
        <f t="shared" si="47"/>
        <v>0</v>
      </c>
    </row>
    <row r="355" ht="11.4" hidden="1" customHeight="1" spans="1:24">
      <c r="A355" s="184" t="s">
        <v>702</v>
      </c>
      <c r="B355" s="184" t="s">
        <v>121</v>
      </c>
      <c r="C355" s="184" t="s">
        <v>1101</v>
      </c>
      <c r="D355" s="185" t="s">
        <v>522</v>
      </c>
      <c r="E355" s="186" t="s">
        <v>906</v>
      </c>
      <c r="F355" s="186" t="s">
        <v>907</v>
      </c>
      <c r="G355" s="186" t="s">
        <v>1102</v>
      </c>
      <c r="H355" s="186" t="s">
        <v>1566</v>
      </c>
      <c r="I355" s="187" t="s">
        <v>1572</v>
      </c>
      <c r="J355" s="187" t="s">
        <v>1573</v>
      </c>
      <c r="K355" s="188"/>
      <c r="L355" s="188"/>
      <c r="M355" s="189" t="s">
        <v>989</v>
      </c>
      <c r="N355" s="190">
        <v>2108.28</v>
      </c>
      <c r="O355" s="190">
        <f t="shared" si="40"/>
        <v>2298.03</v>
      </c>
      <c r="P355" s="191">
        <f t="shared" si="41"/>
        <v>0</v>
      </c>
      <c r="Q355" s="192">
        <f t="shared" si="42"/>
        <v>0</v>
      </c>
      <c r="R355" s="193"/>
      <c r="S355" s="194"/>
      <c r="T355" s="195">
        <f t="shared" si="43"/>
        <v>0</v>
      </c>
      <c r="U355" s="195">
        <f t="shared" si="44"/>
        <v>0</v>
      </c>
      <c r="V355" s="195">
        <f t="shared" si="45"/>
        <v>0</v>
      </c>
      <c r="W355" s="196" t="e">
        <f t="shared" si="46"/>
        <v>#DIV/0!</v>
      </c>
      <c r="X355" s="197" t="e">
        <f t="shared" si="47"/>
        <v>#DIV/0!</v>
      </c>
    </row>
    <row r="356" ht="11.4" hidden="1" customHeight="1" spans="1:24">
      <c r="A356" s="184" t="s">
        <v>702</v>
      </c>
      <c r="B356" s="184" t="s">
        <v>121</v>
      </c>
      <c r="C356" s="184" t="s">
        <v>1101</v>
      </c>
      <c r="D356" s="185" t="s">
        <v>522</v>
      </c>
      <c r="E356" s="186" t="s">
        <v>906</v>
      </c>
      <c r="F356" s="186" t="s">
        <v>907</v>
      </c>
      <c r="G356" s="186" t="s">
        <v>1102</v>
      </c>
      <c r="H356" s="186" t="s">
        <v>1566</v>
      </c>
      <c r="I356" s="187" t="s">
        <v>1574</v>
      </c>
      <c r="J356" s="187" t="s">
        <v>1575</v>
      </c>
      <c r="K356" s="188"/>
      <c r="L356" s="188"/>
      <c r="M356" s="189" t="s">
        <v>807</v>
      </c>
      <c r="N356" s="190">
        <v>2215.04</v>
      </c>
      <c r="O356" s="190">
        <f t="shared" si="40"/>
        <v>2414.39</v>
      </c>
      <c r="P356" s="191">
        <f t="shared" si="41"/>
        <v>0</v>
      </c>
      <c r="Q356" s="192">
        <f t="shared" si="42"/>
        <v>0</v>
      </c>
      <c r="R356" s="193"/>
      <c r="S356" s="194"/>
      <c r="T356" s="195">
        <f t="shared" si="43"/>
        <v>0</v>
      </c>
      <c r="U356" s="195">
        <f t="shared" si="44"/>
        <v>0</v>
      </c>
      <c r="V356" s="195">
        <f t="shared" si="45"/>
        <v>0</v>
      </c>
      <c r="W356" s="196" t="e">
        <f t="shared" si="46"/>
        <v>#DIV/0!</v>
      </c>
      <c r="X356" s="197" t="e">
        <f t="shared" si="47"/>
        <v>#DIV/0!</v>
      </c>
    </row>
    <row r="357" ht="11.4" hidden="1" customHeight="1" spans="1:24">
      <c r="A357" s="184" t="s">
        <v>702</v>
      </c>
      <c r="B357" s="184" t="s">
        <v>121</v>
      </c>
      <c r="C357" s="184" t="s">
        <v>1101</v>
      </c>
      <c r="D357" s="185" t="s">
        <v>522</v>
      </c>
      <c r="E357" s="186" t="s">
        <v>906</v>
      </c>
      <c r="F357" s="186" t="s">
        <v>907</v>
      </c>
      <c r="G357" s="186" t="s">
        <v>1102</v>
      </c>
      <c r="H357" s="186" t="s">
        <v>1566</v>
      </c>
      <c r="I357" s="187" t="s">
        <v>1576</v>
      </c>
      <c r="J357" s="187" t="s">
        <v>1577</v>
      </c>
      <c r="K357" s="188"/>
      <c r="L357" s="188"/>
      <c r="M357" s="189" t="s">
        <v>807</v>
      </c>
      <c r="N357" s="190">
        <v>3467.2</v>
      </c>
      <c r="O357" s="190">
        <f t="shared" si="40"/>
        <v>3779.25</v>
      </c>
      <c r="P357" s="191">
        <f t="shared" si="41"/>
        <v>0</v>
      </c>
      <c r="Q357" s="192">
        <f t="shared" si="42"/>
        <v>0</v>
      </c>
      <c r="R357" s="193"/>
      <c r="S357" s="194"/>
      <c r="T357" s="195">
        <f t="shared" si="43"/>
        <v>0</v>
      </c>
      <c r="U357" s="195">
        <f t="shared" si="44"/>
        <v>0</v>
      </c>
      <c r="V357" s="195">
        <f t="shared" si="45"/>
        <v>0</v>
      </c>
      <c r="W357" s="196" t="e">
        <f t="shared" si="46"/>
        <v>#DIV/0!</v>
      </c>
      <c r="X357" s="197" t="e">
        <f t="shared" si="47"/>
        <v>#DIV/0!</v>
      </c>
    </row>
    <row r="358" ht="11.4" hidden="1" customHeight="1" spans="1:24">
      <c r="A358" s="184" t="s">
        <v>702</v>
      </c>
      <c r="B358" s="184" t="s">
        <v>121</v>
      </c>
      <c r="C358" s="184" t="s">
        <v>1101</v>
      </c>
      <c r="D358" s="185" t="s">
        <v>522</v>
      </c>
      <c r="E358" s="186" t="s">
        <v>906</v>
      </c>
      <c r="F358" s="186" t="s">
        <v>907</v>
      </c>
      <c r="G358" s="186" t="s">
        <v>1102</v>
      </c>
      <c r="H358" s="186" t="s">
        <v>1566</v>
      </c>
      <c r="I358" s="187" t="s">
        <v>1578</v>
      </c>
      <c r="J358" s="154" t="s">
        <v>1579</v>
      </c>
      <c r="K358" s="188">
        <v>1</v>
      </c>
      <c r="L358" s="188">
        <v>1</v>
      </c>
      <c r="M358" s="189" t="s">
        <v>1580</v>
      </c>
      <c r="N358" s="190">
        <v>667.81</v>
      </c>
      <c r="O358" s="190">
        <f t="shared" si="40"/>
        <v>727.91</v>
      </c>
      <c r="P358" s="191">
        <f t="shared" si="41"/>
        <v>667.81</v>
      </c>
      <c r="Q358" s="192">
        <f t="shared" si="42"/>
        <v>667.81</v>
      </c>
      <c r="R358" s="193"/>
      <c r="S358" s="194"/>
      <c r="T358" s="195">
        <f t="shared" si="43"/>
        <v>0</v>
      </c>
      <c r="U358" s="195">
        <f t="shared" si="44"/>
        <v>0</v>
      </c>
      <c r="V358" s="195">
        <f t="shared" si="45"/>
        <v>0</v>
      </c>
      <c r="W358" s="196">
        <f t="shared" si="46"/>
        <v>0</v>
      </c>
      <c r="X358" s="197">
        <f t="shared" si="47"/>
        <v>0</v>
      </c>
    </row>
    <row r="359" ht="11.4" hidden="1" customHeight="1" spans="1:24">
      <c r="A359" s="184" t="s">
        <v>702</v>
      </c>
      <c r="B359" s="184" t="s">
        <v>121</v>
      </c>
      <c r="C359" s="184" t="s">
        <v>1101</v>
      </c>
      <c r="D359" s="185" t="s">
        <v>522</v>
      </c>
      <c r="E359" s="186" t="s">
        <v>906</v>
      </c>
      <c r="F359" s="186" t="s">
        <v>907</v>
      </c>
      <c r="G359" s="186" t="s">
        <v>1102</v>
      </c>
      <c r="H359" s="186" t="s">
        <v>1566</v>
      </c>
      <c r="I359" s="187" t="s">
        <v>1581</v>
      </c>
      <c r="J359" s="187" t="s">
        <v>1582</v>
      </c>
      <c r="K359" s="188"/>
      <c r="L359" s="188"/>
      <c r="M359" s="189" t="s">
        <v>1018</v>
      </c>
      <c r="N359" s="190">
        <v>202</v>
      </c>
      <c r="O359" s="190">
        <f t="shared" si="40"/>
        <v>220.18</v>
      </c>
      <c r="P359" s="191">
        <f t="shared" si="41"/>
        <v>0</v>
      </c>
      <c r="Q359" s="192">
        <f t="shared" si="42"/>
        <v>0</v>
      </c>
      <c r="R359" s="193"/>
      <c r="S359" s="194"/>
      <c r="T359" s="195">
        <f t="shared" si="43"/>
        <v>0</v>
      </c>
      <c r="U359" s="195">
        <f t="shared" si="44"/>
        <v>0</v>
      </c>
      <c r="V359" s="195">
        <f t="shared" si="45"/>
        <v>0</v>
      </c>
      <c r="W359" s="196" t="e">
        <f t="shared" si="46"/>
        <v>#DIV/0!</v>
      </c>
      <c r="X359" s="197" t="e">
        <f t="shared" si="47"/>
        <v>#DIV/0!</v>
      </c>
    </row>
    <row r="360" ht="11.4" hidden="1" customHeight="1" spans="1:24">
      <c r="A360" s="184" t="s">
        <v>702</v>
      </c>
      <c r="B360" s="184" t="s">
        <v>121</v>
      </c>
      <c r="C360" s="184" t="s">
        <v>1101</v>
      </c>
      <c r="D360" s="185" t="s">
        <v>522</v>
      </c>
      <c r="E360" s="186" t="s">
        <v>906</v>
      </c>
      <c r="F360" s="186" t="s">
        <v>907</v>
      </c>
      <c r="G360" s="186" t="s">
        <v>1102</v>
      </c>
      <c r="H360" s="186" t="s">
        <v>1566</v>
      </c>
      <c r="I360" s="187" t="s">
        <v>1583</v>
      </c>
      <c r="J360" s="187" t="s">
        <v>1584</v>
      </c>
      <c r="K360" s="188"/>
      <c r="L360" s="188"/>
      <c r="M360" s="189" t="s">
        <v>793</v>
      </c>
      <c r="N360" s="190">
        <v>350</v>
      </c>
      <c r="O360" s="190">
        <f t="shared" si="40"/>
        <v>381.5</v>
      </c>
      <c r="P360" s="191">
        <f t="shared" si="41"/>
        <v>0</v>
      </c>
      <c r="Q360" s="192">
        <f t="shared" si="42"/>
        <v>0</v>
      </c>
      <c r="R360" s="193"/>
      <c r="S360" s="194"/>
      <c r="T360" s="195">
        <f t="shared" si="43"/>
        <v>0</v>
      </c>
      <c r="U360" s="195">
        <f t="shared" si="44"/>
        <v>0</v>
      </c>
      <c r="V360" s="195">
        <f t="shared" si="45"/>
        <v>0</v>
      </c>
      <c r="W360" s="196" t="e">
        <f t="shared" si="46"/>
        <v>#DIV/0!</v>
      </c>
      <c r="X360" s="197" t="e">
        <f t="shared" si="47"/>
        <v>#DIV/0!</v>
      </c>
    </row>
    <row r="361" ht="11.4" hidden="1" customHeight="1" spans="1:24">
      <c r="A361" s="184" t="s">
        <v>702</v>
      </c>
      <c r="B361" s="184" t="s">
        <v>121</v>
      </c>
      <c r="C361" s="184" t="s">
        <v>1101</v>
      </c>
      <c r="D361" s="185" t="s">
        <v>522</v>
      </c>
      <c r="E361" s="186" t="s">
        <v>906</v>
      </c>
      <c r="F361" s="186" t="s">
        <v>907</v>
      </c>
      <c r="G361" s="186" t="s">
        <v>1102</v>
      </c>
      <c r="H361" s="186" t="s">
        <v>737</v>
      </c>
      <c r="I361" s="187" t="s">
        <v>1586</v>
      </c>
      <c r="J361" s="187" t="s">
        <v>1587</v>
      </c>
      <c r="K361" s="188"/>
      <c r="L361" s="188"/>
      <c r="M361" s="189" t="s">
        <v>989</v>
      </c>
      <c r="N361" s="190">
        <v>168.19</v>
      </c>
      <c r="O361" s="190">
        <f t="shared" si="40"/>
        <v>183.33</v>
      </c>
      <c r="P361" s="191">
        <f t="shared" si="41"/>
        <v>0</v>
      </c>
      <c r="Q361" s="192">
        <f t="shared" si="42"/>
        <v>0</v>
      </c>
      <c r="R361" s="193"/>
      <c r="S361" s="194"/>
      <c r="T361" s="195">
        <f t="shared" si="43"/>
        <v>0</v>
      </c>
      <c r="U361" s="195">
        <f t="shared" si="44"/>
        <v>0</v>
      </c>
      <c r="V361" s="195">
        <f t="shared" si="45"/>
        <v>0</v>
      </c>
      <c r="W361" s="196" t="e">
        <f t="shared" si="46"/>
        <v>#DIV/0!</v>
      </c>
      <c r="X361" s="197" t="e">
        <f t="shared" si="47"/>
        <v>#DIV/0!</v>
      </c>
    </row>
    <row r="362" ht="11.4" hidden="1" customHeight="1" spans="1:24">
      <c r="A362" s="184" t="s">
        <v>702</v>
      </c>
      <c r="B362" s="184" t="s">
        <v>121</v>
      </c>
      <c r="C362" s="184" t="s">
        <v>1101</v>
      </c>
      <c r="D362" s="185" t="s">
        <v>522</v>
      </c>
      <c r="E362" s="186" t="s">
        <v>906</v>
      </c>
      <c r="F362" s="186" t="s">
        <v>907</v>
      </c>
      <c r="G362" s="186" t="s">
        <v>1102</v>
      </c>
      <c r="H362" s="186" t="s">
        <v>737</v>
      </c>
      <c r="I362" s="187" t="s">
        <v>1588</v>
      </c>
      <c r="J362" s="187" t="s">
        <v>1589</v>
      </c>
      <c r="K362" s="188"/>
      <c r="L362" s="188"/>
      <c r="M362" s="189" t="s">
        <v>807</v>
      </c>
      <c r="N362" s="190">
        <v>40.03</v>
      </c>
      <c r="O362" s="190">
        <f t="shared" si="40"/>
        <v>43.63</v>
      </c>
      <c r="P362" s="191">
        <f t="shared" si="41"/>
        <v>0</v>
      </c>
      <c r="Q362" s="192">
        <f t="shared" si="42"/>
        <v>0</v>
      </c>
      <c r="R362" s="193"/>
      <c r="S362" s="194"/>
      <c r="T362" s="195">
        <f t="shared" si="43"/>
        <v>0</v>
      </c>
      <c r="U362" s="195">
        <f t="shared" si="44"/>
        <v>0</v>
      </c>
      <c r="V362" s="195">
        <f t="shared" si="45"/>
        <v>0</v>
      </c>
      <c r="W362" s="196" t="e">
        <f t="shared" si="46"/>
        <v>#DIV/0!</v>
      </c>
      <c r="X362" s="197" t="e">
        <f t="shared" si="47"/>
        <v>#DIV/0!</v>
      </c>
    </row>
    <row r="363" ht="11.4" hidden="1" customHeight="1" spans="1:24">
      <c r="A363" s="184" t="s">
        <v>702</v>
      </c>
      <c r="B363" s="184" t="s">
        <v>121</v>
      </c>
      <c r="C363" s="184" t="s">
        <v>1101</v>
      </c>
      <c r="D363" s="185" t="s">
        <v>522</v>
      </c>
      <c r="E363" s="186" t="s">
        <v>906</v>
      </c>
      <c r="F363" s="186" t="s">
        <v>907</v>
      </c>
      <c r="G363" s="186" t="s">
        <v>1102</v>
      </c>
      <c r="H363" s="186" t="s">
        <v>737</v>
      </c>
      <c r="I363" s="187" t="s">
        <v>1590</v>
      </c>
      <c r="J363" s="187" t="s">
        <v>1591</v>
      </c>
      <c r="K363" s="188"/>
      <c r="L363" s="188"/>
      <c r="M363" s="189" t="s">
        <v>1018</v>
      </c>
      <c r="N363" s="190">
        <v>60.02</v>
      </c>
      <c r="O363" s="190">
        <f t="shared" si="40"/>
        <v>65.42</v>
      </c>
      <c r="P363" s="191">
        <f t="shared" si="41"/>
        <v>0</v>
      </c>
      <c r="Q363" s="192">
        <f t="shared" si="42"/>
        <v>0</v>
      </c>
      <c r="R363" s="193"/>
      <c r="S363" s="194"/>
      <c r="T363" s="195">
        <f t="shared" si="43"/>
        <v>0</v>
      </c>
      <c r="U363" s="195">
        <f t="shared" si="44"/>
        <v>0</v>
      </c>
      <c r="V363" s="195">
        <f t="shared" si="45"/>
        <v>0</v>
      </c>
      <c r="W363" s="196" t="e">
        <f t="shared" si="46"/>
        <v>#DIV/0!</v>
      </c>
      <c r="X363" s="197" t="e">
        <f t="shared" si="47"/>
        <v>#DIV/0!</v>
      </c>
    </row>
    <row r="364" ht="11.4" hidden="1" customHeight="1" spans="1:24">
      <c r="A364" s="184" t="s">
        <v>702</v>
      </c>
      <c r="B364" s="184" t="s">
        <v>121</v>
      </c>
      <c r="C364" s="184" t="s">
        <v>1101</v>
      </c>
      <c r="D364" s="185" t="s">
        <v>522</v>
      </c>
      <c r="E364" s="186" t="s">
        <v>906</v>
      </c>
      <c r="F364" s="186" t="s">
        <v>907</v>
      </c>
      <c r="G364" s="186" t="s">
        <v>1102</v>
      </c>
      <c r="H364" s="186" t="s">
        <v>1592</v>
      </c>
      <c r="I364" s="187" t="s">
        <v>1593</v>
      </c>
      <c r="J364" s="187" t="s">
        <v>1594</v>
      </c>
      <c r="K364" s="188"/>
      <c r="L364" s="188"/>
      <c r="M364" s="189" t="s">
        <v>847</v>
      </c>
      <c r="N364" s="190">
        <v>618.3</v>
      </c>
      <c r="O364" s="190">
        <f t="shared" si="40"/>
        <v>673.95</v>
      </c>
      <c r="P364" s="191">
        <f t="shared" si="41"/>
        <v>0</v>
      </c>
      <c r="Q364" s="192">
        <f t="shared" si="42"/>
        <v>0</v>
      </c>
      <c r="R364" s="193"/>
      <c r="S364" s="194"/>
      <c r="T364" s="195">
        <f t="shared" si="43"/>
        <v>0</v>
      </c>
      <c r="U364" s="195">
        <f t="shared" si="44"/>
        <v>0</v>
      </c>
      <c r="V364" s="195">
        <f t="shared" si="45"/>
        <v>0</v>
      </c>
      <c r="W364" s="196" t="e">
        <f t="shared" si="46"/>
        <v>#DIV/0!</v>
      </c>
      <c r="X364" s="197" t="e">
        <f t="shared" si="47"/>
        <v>#DIV/0!</v>
      </c>
    </row>
    <row r="365" ht="11.4" hidden="1" customHeight="1" spans="1:24">
      <c r="A365" s="184" t="s">
        <v>702</v>
      </c>
      <c r="B365" s="184" t="s">
        <v>121</v>
      </c>
      <c r="C365" s="184" t="s">
        <v>1101</v>
      </c>
      <c r="D365" s="185" t="s">
        <v>522</v>
      </c>
      <c r="E365" s="186" t="s">
        <v>906</v>
      </c>
      <c r="F365" s="186" t="s">
        <v>907</v>
      </c>
      <c r="G365" s="186" t="s">
        <v>1102</v>
      </c>
      <c r="H365" s="186" t="s">
        <v>1592</v>
      </c>
      <c r="I365" s="187" t="s">
        <v>1595</v>
      </c>
      <c r="J365" s="187" t="s">
        <v>1596</v>
      </c>
      <c r="K365" s="188"/>
      <c r="L365" s="188"/>
      <c r="M365" s="189" t="s">
        <v>989</v>
      </c>
      <c r="N365" s="190">
        <v>432.3</v>
      </c>
      <c r="O365" s="190">
        <f t="shared" si="40"/>
        <v>471.21</v>
      </c>
      <c r="P365" s="191">
        <f t="shared" si="41"/>
        <v>0</v>
      </c>
      <c r="Q365" s="192">
        <f t="shared" si="42"/>
        <v>0</v>
      </c>
      <c r="R365" s="193"/>
      <c r="S365" s="194"/>
      <c r="T365" s="195">
        <f t="shared" si="43"/>
        <v>0</v>
      </c>
      <c r="U365" s="195">
        <f t="shared" si="44"/>
        <v>0</v>
      </c>
      <c r="V365" s="195">
        <f t="shared" si="45"/>
        <v>0</v>
      </c>
      <c r="W365" s="196" t="e">
        <f t="shared" si="46"/>
        <v>#DIV/0!</v>
      </c>
      <c r="X365" s="197" t="e">
        <f t="shared" si="47"/>
        <v>#DIV/0!</v>
      </c>
    </row>
    <row r="366" ht="11.4" hidden="1" customHeight="1" spans="1:24">
      <c r="A366" s="184" t="s">
        <v>702</v>
      </c>
      <c r="B366" s="184" t="s">
        <v>121</v>
      </c>
      <c r="C366" s="184" t="s">
        <v>1101</v>
      </c>
      <c r="D366" s="185" t="s">
        <v>522</v>
      </c>
      <c r="E366" s="186" t="s">
        <v>906</v>
      </c>
      <c r="F366" s="186" t="s">
        <v>907</v>
      </c>
      <c r="G366" s="186" t="s">
        <v>1102</v>
      </c>
      <c r="H366" s="186" t="s">
        <v>1592</v>
      </c>
      <c r="I366" s="187" t="s">
        <v>1597</v>
      </c>
      <c r="J366" s="187" t="s">
        <v>1598</v>
      </c>
      <c r="K366" s="188"/>
      <c r="L366" s="188"/>
      <c r="M366" s="189" t="s">
        <v>847</v>
      </c>
      <c r="N366" s="190">
        <v>618.3</v>
      </c>
      <c r="O366" s="190">
        <f t="shared" si="40"/>
        <v>673.95</v>
      </c>
      <c r="P366" s="191">
        <f t="shared" si="41"/>
        <v>0</v>
      </c>
      <c r="Q366" s="192">
        <f t="shared" si="42"/>
        <v>0</v>
      </c>
      <c r="R366" s="193"/>
      <c r="S366" s="194"/>
      <c r="T366" s="195">
        <f t="shared" si="43"/>
        <v>0</v>
      </c>
      <c r="U366" s="195">
        <f t="shared" si="44"/>
        <v>0</v>
      </c>
      <c r="V366" s="195">
        <f t="shared" si="45"/>
        <v>0</v>
      </c>
      <c r="W366" s="196" t="e">
        <f t="shared" si="46"/>
        <v>#DIV/0!</v>
      </c>
      <c r="X366" s="197" t="e">
        <f t="shared" si="47"/>
        <v>#DIV/0!</v>
      </c>
    </row>
    <row r="367" ht="11.4" hidden="1" customHeight="1" spans="1:24">
      <c r="A367" s="184" t="s">
        <v>702</v>
      </c>
      <c r="B367" s="184" t="s">
        <v>121</v>
      </c>
      <c r="C367" s="184" t="s">
        <v>1101</v>
      </c>
      <c r="D367" s="185" t="s">
        <v>522</v>
      </c>
      <c r="E367" s="186" t="s">
        <v>906</v>
      </c>
      <c r="F367" s="186" t="s">
        <v>907</v>
      </c>
      <c r="G367" s="186" t="s">
        <v>1102</v>
      </c>
      <c r="H367" s="186" t="s">
        <v>1592</v>
      </c>
      <c r="I367" s="187" t="s">
        <v>1599</v>
      </c>
      <c r="J367" s="187" t="s">
        <v>1600</v>
      </c>
      <c r="K367" s="188"/>
      <c r="L367" s="188"/>
      <c r="M367" s="189" t="s">
        <v>989</v>
      </c>
      <c r="N367" s="190">
        <v>432.3</v>
      </c>
      <c r="O367" s="190">
        <f t="shared" si="40"/>
        <v>471.21</v>
      </c>
      <c r="P367" s="191">
        <f t="shared" si="41"/>
        <v>0</v>
      </c>
      <c r="Q367" s="192">
        <f t="shared" si="42"/>
        <v>0</v>
      </c>
      <c r="R367" s="193"/>
      <c r="S367" s="194"/>
      <c r="T367" s="195">
        <f t="shared" si="43"/>
        <v>0</v>
      </c>
      <c r="U367" s="195">
        <f t="shared" si="44"/>
        <v>0</v>
      </c>
      <c r="V367" s="195">
        <f t="shared" si="45"/>
        <v>0</v>
      </c>
      <c r="W367" s="196" t="e">
        <f t="shared" si="46"/>
        <v>#DIV/0!</v>
      </c>
      <c r="X367" s="197" t="e">
        <f t="shared" si="47"/>
        <v>#DIV/0!</v>
      </c>
    </row>
    <row r="368" ht="11.4" hidden="1" customHeight="1" spans="1:24">
      <c r="A368" s="184" t="s">
        <v>702</v>
      </c>
      <c r="B368" s="184" t="s">
        <v>121</v>
      </c>
      <c r="C368" s="184" t="s">
        <v>1101</v>
      </c>
      <c r="D368" s="185" t="s">
        <v>522</v>
      </c>
      <c r="E368" s="186" t="s">
        <v>906</v>
      </c>
      <c r="F368" s="186" t="s">
        <v>907</v>
      </c>
      <c r="G368" s="186" t="s">
        <v>1102</v>
      </c>
      <c r="H368" s="186" t="s">
        <v>1592</v>
      </c>
      <c r="I368" s="187" t="s">
        <v>1601</v>
      </c>
      <c r="J368" s="187" t="s">
        <v>1602</v>
      </c>
      <c r="K368" s="188"/>
      <c r="L368" s="188"/>
      <c r="M368" s="189" t="s">
        <v>847</v>
      </c>
      <c r="N368" s="190">
        <v>661.33</v>
      </c>
      <c r="O368" s="190">
        <f t="shared" si="40"/>
        <v>720.85</v>
      </c>
      <c r="P368" s="191">
        <f t="shared" si="41"/>
        <v>0</v>
      </c>
      <c r="Q368" s="192">
        <f t="shared" si="42"/>
        <v>0</v>
      </c>
      <c r="R368" s="193"/>
      <c r="S368" s="194"/>
      <c r="T368" s="195">
        <f t="shared" si="43"/>
        <v>0</v>
      </c>
      <c r="U368" s="195">
        <f t="shared" si="44"/>
        <v>0</v>
      </c>
      <c r="V368" s="195">
        <f t="shared" si="45"/>
        <v>0</v>
      </c>
      <c r="W368" s="196" t="e">
        <f t="shared" si="46"/>
        <v>#DIV/0!</v>
      </c>
      <c r="X368" s="197" t="e">
        <f t="shared" si="47"/>
        <v>#DIV/0!</v>
      </c>
    </row>
    <row r="369" ht="11.4" hidden="1" customHeight="1" spans="1:24">
      <c r="A369" s="184" t="s">
        <v>702</v>
      </c>
      <c r="B369" s="184" t="s">
        <v>121</v>
      </c>
      <c r="C369" s="184" t="s">
        <v>1101</v>
      </c>
      <c r="D369" s="185" t="s">
        <v>522</v>
      </c>
      <c r="E369" s="186" t="s">
        <v>906</v>
      </c>
      <c r="F369" s="186" t="s">
        <v>907</v>
      </c>
      <c r="G369" s="186" t="s">
        <v>1102</v>
      </c>
      <c r="H369" s="186" t="s">
        <v>1592</v>
      </c>
      <c r="I369" s="187" t="s">
        <v>1603</v>
      </c>
      <c r="J369" s="187" t="s">
        <v>1604</v>
      </c>
      <c r="K369" s="188"/>
      <c r="L369" s="188"/>
      <c r="M369" s="189" t="s">
        <v>989</v>
      </c>
      <c r="N369" s="190">
        <v>466.75</v>
      </c>
      <c r="O369" s="190">
        <f t="shared" si="40"/>
        <v>508.76</v>
      </c>
      <c r="P369" s="191">
        <f t="shared" si="41"/>
        <v>0</v>
      </c>
      <c r="Q369" s="192">
        <f t="shared" si="42"/>
        <v>0</v>
      </c>
      <c r="R369" s="193"/>
      <c r="S369" s="194"/>
      <c r="T369" s="195">
        <f t="shared" si="43"/>
        <v>0</v>
      </c>
      <c r="U369" s="195">
        <f t="shared" si="44"/>
        <v>0</v>
      </c>
      <c r="V369" s="195">
        <f t="shared" si="45"/>
        <v>0</v>
      </c>
      <c r="W369" s="196" t="e">
        <f t="shared" si="46"/>
        <v>#DIV/0!</v>
      </c>
      <c r="X369" s="197" t="e">
        <f t="shared" si="47"/>
        <v>#DIV/0!</v>
      </c>
    </row>
    <row r="370" ht="11.4" hidden="1" customHeight="1" spans="1:24">
      <c r="A370" s="184" t="s">
        <v>1605</v>
      </c>
      <c r="B370" s="184" t="s">
        <v>136</v>
      </c>
      <c r="C370" s="184" t="s">
        <v>1606</v>
      </c>
      <c r="D370" s="185" t="s">
        <v>522</v>
      </c>
      <c r="E370" s="186" t="s">
        <v>906</v>
      </c>
      <c r="F370" s="186" t="s">
        <v>907</v>
      </c>
      <c r="G370" s="186" t="s">
        <v>1102</v>
      </c>
      <c r="H370" s="186" t="s">
        <v>1607</v>
      </c>
      <c r="I370" s="187" t="s">
        <v>1608</v>
      </c>
      <c r="J370" s="187" t="s">
        <v>1609</v>
      </c>
      <c r="K370" s="188"/>
      <c r="L370" s="188"/>
      <c r="M370" s="189" t="s">
        <v>989</v>
      </c>
      <c r="N370" s="190">
        <v>1581.68</v>
      </c>
      <c r="O370" s="190">
        <f t="shared" si="40"/>
        <v>1724.03</v>
      </c>
      <c r="P370" s="191">
        <f t="shared" si="41"/>
        <v>0</v>
      </c>
      <c r="Q370" s="192">
        <f t="shared" si="42"/>
        <v>0</v>
      </c>
      <c r="R370" s="193"/>
      <c r="S370" s="194"/>
      <c r="T370" s="195">
        <f t="shared" si="43"/>
        <v>0</v>
      </c>
      <c r="U370" s="195">
        <f t="shared" si="44"/>
        <v>0</v>
      </c>
      <c r="V370" s="195">
        <f t="shared" si="45"/>
        <v>0</v>
      </c>
      <c r="W370" s="196" t="e">
        <f t="shared" si="46"/>
        <v>#DIV/0!</v>
      </c>
      <c r="X370" s="197" t="e">
        <f t="shared" si="47"/>
        <v>#DIV/0!</v>
      </c>
    </row>
    <row r="371" ht="11.4" hidden="1" customHeight="1" spans="1:24">
      <c r="A371" s="184" t="s">
        <v>1605</v>
      </c>
      <c r="B371" s="184" t="s">
        <v>136</v>
      </c>
      <c r="C371" s="184" t="s">
        <v>1606</v>
      </c>
      <c r="D371" s="185" t="s">
        <v>522</v>
      </c>
      <c r="E371" s="186" t="s">
        <v>906</v>
      </c>
      <c r="F371" s="186" t="s">
        <v>907</v>
      </c>
      <c r="G371" s="186" t="s">
        <v>1102</v>
      </c>
      <c r="H371" s="186" t="s">
        <v>1607</v>
      </c>
      <c r="I371" s="187" t="s">
        <v>1611</v>
      </c>
      <c r="J371" s="187" t="s">
        <v>1612</v>
      </c>
      <c r="K371" s="188"/>
      <c r="L371" s="188"/>
      <c r="M371" s="189" t="s">
        <v>989</v>
      </c>
      <c r="N371" s="190">
        <v>1331.19</v>
      </c>
      <c r="O371" s="190">
        <f t="shared" si="40"/>
        <v>1451</v>
      </c>
      <c r="P371" s="191">
        <f t="shared" si="41"/>
        <v>0</v>
      </c>
      <c r="Q371" s="192">
        <f t="shared" si="42"/>
        <v>0</v>
      </c>
      <c r="R371" s="193"/>
      <c r="S371" s="194"/>
      <c r="T371" s="195">
        <f t="shared" si="43"/>
        <v>0</v>
      </c>
      <c r="U371" s="195">
        <f t="shared" si="44"/>
        <v>0</v>
      </c>
      <c r="V371" s="195">
        <f t="shared" si="45"/>
        <v>0</v>
      </c>
      <c r="W371" s="196" t="e">
        <f t="shared" si="46"/>
        <v>#DIV/0!</v>
      </c>
      <c r="X371" s="197" t="e">
        <f t="shared" si="47"/>
        <v>#DIV/0!</v>
      </c>
    </row>
    <row r="372" ht="11.4" hidden="1" customHeight="1" spans="1:24">
      <c r="A372" s="184" t="s">
        <v>1605</v>
      </c>
      <c r="B372" s="184" t="s">
        <v>136</v>
      </c>
      <c r="C372" s="184" t="s">
        <v>1606</v>
      </c>
      <c r="D372" s="185" t="s">
        <v>522</v>
      </c>
      <c r="E372" s="186" t="s">
        <v>906</v>
      </c>
      <c r="F372" s="186" t="s">
        <v>907</v>
      </c>
      <c r="G372" s="186" t="s">
        <v>1102</v>
      </c>
      <c r="H372" s="186" t="s">
        <v>1607</v>
      </c>
      <c r="I372" s="187" t="s">
        <v>1613</v>
      </c>
      <c r="J372" s="187" t="s">
        <v>1614</v>
      </c>
      <c r="K372" s="188"/>
      <c r="L372" s="188"/>
      <c r="M372" s="189" t="s">
        <v>989</v>
      </c>
      <c r="N372" s="190">
        <v>789.14</v>
      </c>
      <c r="O372" s="190">
        <f t="shared" si="40"/>
        <v>860.16</v>
      </c>
      <c r="P372" s="191">
        <f t="shared" si="41"/>
        <v>0</v>
      </c>
      <c r="Q372" s="192">
        <f t="shared" si="42"/>
        <v>0</v>
      </c>
      <c r="R372" s="193"/>
      <c r="S372" s="194"/>
      <c r="T372" s="195">
        <f t="shared" si="43"/>
        <v>0</v>
      </c>
      <c r="U372" s="195">
        <f t="shared" si="44"/>
        <v>0</v>
      </c>
      <c r="V372" s="195">
        <f t="shared" si="45"/>
        <v>0</v>
      </c>
      <c r="W372" s="196" t="e">
        <f t="shared" si="46"/>
        <v>#DIV/0!</v>
      </c>
      <c r="X372" s="197" t="e">
        <f t="shared" si="47"/>
        <v>#DIV/0!</v>
      </c>
    </row>
    <row r="373" ht="11.4" hidden="1" customHeight="1" spans="1:24">
      <c r="A373" s="184" t="s">
        <v>1605</v>
      </c>
      <c r="B373" s="184" t="s">
        <v>136</v>
      </c>
      <c r="C373" s="184" t="s">
        <v>1606</v>
      </c>
      <c r="D373" s="185" t="s">
        <v>522</v>
      </c>
      <c r="E373" s="186" t="s">
        <v>906</v>
      </c>
      <c r="F373" s="186" t="s">
        <v>907</v>
      </c>
      <c r="G373" s="186" t="s">
        <v>1102</v>
      </c>
      <c r="H373" s="186" t="s">
        <v>1607</v>
      </c>
      <c r="I373" s="187" t="s">
        <v>1615</v>
      </c>
      <c r="J373" s="187" t="s">
        <v>1616</v>
      </c>
      <c r="K373" s="188"/>
      <c r="L373" s="188"/>
      <c r="M373" s="189" t="s">
        <v>989</v>
      </c>
      <c r="N373" s="190">
        <v>1271.27</v>
      </c>
      <c r="O373" s="190">
        <f t="shared" si="40"/>
        <v>1385.68</v>
      </c>
      <c r="P373" s="191">
        <f t="shared" si="41"/>
        <v>0</v>
      </c>
      <c r="Q373" s="192">
        <f t="shared" si="42"/>
        <v>0</v>
      </c>
      <c r="R373" s="193"/>
      <c r="S373" s="194"/>
      <c r="T373" s="195">
        <f t="shared" si="43"/>
        <v>0</v>
      </c>
      <c r="U373" s="195">
        <f t="shared" si="44"/>
        <v>0</v>
      </c>
      <c r="V373" s="195">
        <f t="shared" si="45"/>
        <v>0</v>
      </c>
      <c r="W373" s="196" t="e">
        <f t="shared" si="46"/>
        <v>#DIV/0!</v>
      </c>
      <c r="X373" s="197" t="e">
        <f t="shared" si="47"/>
        <v>#DIV/0!</v>
      </c>
    </row>
    <row r="374" ht="11.4" hidden="1" customHeight="1" spans="1:24">
      <c r="A374" s="184" t="s">
        <v>1605</v>
      </c>
      <c r="B374" s="184" t="s">
        <v>136</v>
      </c>
      <c r="C374" s="184" t="s">
        <v>1606</v>
      </c>
      <c r="D374" s="185" t="s">
        <v>522</v>
      </c>
      <c r="E374" s="186" t="s">
        <v>906</v>
      </c>
      <c r="F374" s="186" t="s">
        <v>907</v>
      </c>
      <c r="G374" s="186" t="s">
        <v>1102</v>
      </c>
      <c r="H374" s="186" t="s">
        <v>1607</v>
      </c>
      <c r="I374" s="187" t="s">
        <v>1617</v>
      </c>
      <c r="J374" s="187" t="s">
        <v>1618</v>
      </c>
      <c r="K374" s="188">
        <v>1</v>
      </c>
      <c r="L374" s="188">
        <v>1</v>
      </c>
      <c r="M374" s="189" t="s">
        <v>989</v>
      </c>
      <c r="N374" s="190">
        <v>2120.68</v>
      </c>
      <c r="O374" s="190">
        <f t="shared" si="40"/>
        <v>2311.54</v>
      </c>
      <c r="P374" s="191">
        <f t="shared" si="41"/>
        <v>2120.68</v>
      </c>
      <c r="Q374" s="192">
        <f t="shared" si="42"/>
        <v>2120.68</v>
      </c>
      <c r="R374" s="193"/>
      <c r="S374" s="194"/>
      <c r="T374" s="195">
        <f t="shared" si="43"/>
        <v>0</v>
      </c>
      <c r="U374" s="195">
        <f t="shared" si="44"/>
        <v>0</v>
      </c>
      <c r="V374" s="195">
        <f t="shared" si="45"/>
        <v>0</v>
      </c>
      <c r="W374" s="196">
        <f t="shared" si="46"/>
        <v>0</v>
      </c>
      <c r="X374" s="197">
        <f t="shared" si="47"/>
        <v>0</v>
      </c>
    </row>
    <row r="375" ht="11.4" hidden="1" customHeight="1" spans="1:24">
      <c r="A375" s="184" t="s">
        <v>1605</v>
      </c>
      <c r="B375" s="184" t="s">
        <v>136</v>
      </c>
      <c r="C375" s="184" t="s">
        <v>1606</v>
      </c>
      <c r="D375" s="185" t="s">
        <v>522</v>
      </c>
      <c r="E375" s="186" t="s">
        <v>906</v>
      </c>
      <c r="F375" s="186" t="s">
        <v>907</v>
      </c>
      <c r="G375" s="186" t="s">
        <v>1102</v>
      </c>
      <c r="H375" s="186" t="s">
        <v>1607</v>
      </c>
      <c r="I375" s="187" t="s">
        <v>1619</v>
      </c>
      <c r="J375" s="187" t="s">
        <v>1620</v>
      </c>
      <c r="K375" s="188"/>
      <c r="L375" s="188"/>
      <c r="M375" s="189" t="s">
        <v>989</v>
      </c>
      <c r="N375" s="190">
        <v>1842.69</v>
      </c>
      <c r="O375" s="190">
        <f t="shared" si="40"/>
        <v>2008.53</v>
      </c>
      <c r="P375" s="191">
        <f t="shared" si="41"/>
        <v>0</v>
      </c>
      <c r="Q375" s="192">
        <f t="shared" si="42"/>
        <v>0</v>
      </c>
      <c r="R375" s="193"/>
      <c r="S375" s="194"/>
      <c r="T375" s="195">
        <f t="shared" si="43"/>
        <v>0</v>
      </c>
      <c r="U375" s="195">
        <f t="shared" si="44"/>
        <v>0</v>
      </c>
      <c r="V375" s="195">
        <f t="shared" si="45"/>
        <v>0</v>
      </c>
      <c r="W375" s="196" t="e">
        <f t="shared" si="46"/>
        <v>#DIV/0!</v>
      </c>
      <c r="X375" s="197" t="e">
        <f t="shared" si="47"/>
        <v>#DIV/0!</v>
      </c>
    </row>
    <row r="376" ht="11.4" hidden="1" customHeight="1" spans="1:24">
      <c r="A376" s="184" t="s">
        <v>1605</v>
      </c>
      <c r="B376" s="184" t="s">
        <v>136</v>
      </c>
      <c r="C376" s="184" t="s">
        <v>1606</v>
      </c>
      <c r="D376" s="185" t="s">
        <v>522</v>
      </c>
      <c r="E376" s="186" t="s">
        <v>906</v>
      </c>
      <c r="F376" s="186" t="s">
        <v>907</v>
      </c>
      <c r="G376" s="186" t="s">
        <v>1102</v>
      </c>
      <c r="H376" s="186" t="s">
        <v>1607</v>
      </c>
      <c r="I376" s="187" t="s">
        <v>1621</v>
      </c>
      <c r="J376" s="187" t="s">
        <v>1622</v>
      </c>
      <c r="K376" s="188"/>
      <c r="L376" s="188"/>
      <c r="M376" s="189" t="s">
        <v>989</v>
      </c>
      <c r="N376" s="190">
        <v>2194.94</v>
      </c>
      <c r="O376" s="190">
        <f t="shared" si="40"/>
        <v>2392.48</v>
      </c>
      <c r="P376" s="191">
        <f t="shared" si="41"/>
        <v>0</v>
      </c>
      <c r="Q376" s="192">
        <f t="shared" si="42"/>
        <v>0</v>
      </c>
      <c r="R376" s="193"/>
      <c r="S376" s="194"/>
      <c r="T376" s="195">
        <f t="shared" si="43"/>
        <v>0</v>
      </c>
      <c r="U376" s="195">
        <f t="shared" si="44"/>
        <v>0</v>
      </c>
      <c r="V376" s="195">
        <f t="shared" si="45"/>
        <v>0</v>
      </c>
      <c r="W376" s="196" t="e">
        <f t="shared" si="46"/>
        <v>#DIV/0!</v>
      </c>
      <c r="X376" s="197" t="e">
        <f t="shared" si="47"/>
        <v>#DIV/0!</v>
      </c>
    </row>
    <row r="377" ht="11.4" hidden="1" customHeight="1" spans="1:24">
      <c r="A377" s="184" t="s">
        <v>1605</v>
      </c>
      <c r="B377" s="184" t="s">
        <v>136</v>
      </c>
      <c r="C377" s="184" t="s">
        <v>1606</v>
      </c>
      <c r="D377" s="185" t="s">
        <v>522</v>
      </c>
      <c r="E377" s="186" t="s">
        <v>906</v>
      </c>
      <c r="F377" s="186" t="s">
        <v>907</v>
      </c>
      <c r="G377" s="186" t="s">
        <v>1102</v>
      </c>
      <c r="H377" s="186" t="s">
        <v>1607</v>
      </c>
      <c r="I377" s="187" t="s">
        <v>1623</v>
      </c>
      <c r="J377" s="187" t="s">
        <v>1624</v>
      </c>
      <c r="K377" s="188"/>
      <c r="L377" s="188"/>
      <c r="M377" s="189" t="s">
        <v>989</v>
      </c>
      <c r="N377" s="190">
        <v>2552.77</v>
      </c>
      <c r="O377" s="190">
        <f t="shared" si="40"/>
        <v>2782.52</v>
      </c>
      <c r="P377" s="191">
        <f t="shared" si="41"/>
        <v>0</v>
      </c>
      <c r="Q377" s="192">
        <f t="shared" si="42"/>
        <v>0</v>
      </c>
      <c r="R377" s="193"/>
      <c r="S377" s="194"/>
      <c r="T377" s="195">
        <f t="shared" si="43"/>
        <v>0</v>
      </c>
      <c r="U377" s="195">
        <f t="shared" si="44"/>
        <v>0</v>
      </c>
      <c r="V377" s="195">
        <f t="shared" si="45"/>
        <v>0</v>
      </c>
      <c r="W377" s="196" t="e">
        <f t="shared" si="46"/>
        <v>#DIV/0!</v>
      </c>
      <c r="X377" s="197" t="e">
        <f t="shared" si="47"/>
        <v>#DIV/0!</v>
      </c>
    </row>
    <row r="378" ht="11.4" hidden="1" customHeight="1" spans="1:24">
      <c r="A378" s="184" t="s">
        <v>1625</v>
      </c>
      <c r="B378" s="184" t="s">
        <v>123</v>
      </c>
      <c r="C378" s="184" t="s">
        <v>1101</v>
      </c>
      <c r="D378" s="185" t="s">
        <v>522</v>
      </c>
      <c r="E378" s="186" t="s">
        <v>906</v>
      </c>
      <c r="F378" s="186" t="s">
        <v>907</v>
      </c>
      <c r="G378" s="186" t="s">
        <v>1102</v>
      </c>
      <c r="H378" s="186" t="s">
        <v>547</v>
      </c>
      <c r="I378" s="187" t="s">
        <v>1626</v>
      </c>
      <c r="J378" s="187" t="s">
        <v>1627</v>
      </c>
      <c r="K378" s="188"/>
      <c r="L378" s="188"/>
      <c r="M378" s="189" t="s">
        <v>847</v>
      </c>
      <c r="N378" s="190">
        <v>272.28</v>
      </c>
      <c r="O378" s="190">
        <f t="shared" si="40"/>
        <v>296.79</v>
      </c>
      <c r="P378" s="191">
        <f t="shared" si="41"/>
        <v>0</v>
      </c>
      <c r="Q378" s="192">
        <f t="shared" si="42"/>
        <v>0</v>
      </c>
      <c r="R378" s="193"/>
      <c r="S378" s="194"/>
      <c r="T378" s="195">
        <f t="shared" si="43"/>
        <v>0</v>
      </c>
      <c r="U378" s="195">
        <f t="shared" si="44"/>
        <v>0</v>
      </c>
      <c r="V378" s="195">
        <f t="shared" si="45"/>
        <v>0</v>
      </c>
      <c r="W378" s="196" t="e">
        <f t="shared" si="46"/>
        <v>#DIV/0!</v>
      </c>
      <c r="X378" s="197" t="e">
        <f t="shared" si="47"/>
        <v>#DIV/0!</v>
      </c>
    </row>
    <row r="379" ht="11.4" hidden="1" customHeight="1" spans="1:24">
      <c r="A379" s="184" t="s">
        <v>1625</v>
      </c>
      <c r="B379" s="184" t="s">
        <v>123</v>
      </c>
      <c r="C379" s="184" t="s">
        <v>1101</v>
      </c>
      <c r="D379" s="185" t="s">
        <v>522</v>
      </c>
      <c r="E379" s="186" t="s">
        <v>906</v>
      </c>
      <c r="F379" s="186" t="s">
        <v>907</v>
      </c>
      <c r="G379" s="186" t="s">
        <v>1102</v>
      </c>
      <c r="H379" s="186" t="s">
        <v>547</v>
      </c>
      <c r="I379" s="187" t="s">
        <v>1628</v>
      </c>
      <c r="J379" s="187" t="s">
        <v>1629</v>
      </c>
      <c r="K379" s="188"/>
      <c r="L379" s="188"/>
      <c r="M379" s="189" t="s">
        <v>807</v>
      </c>
      <c r="N379" s="190">
        <v>51.4</v>
      </c>
      <c r="O379" s="190">
        <f t="shared" si="40"/>
        <v>56.03</v>
      </c>
      <c r="P379" s="191">
        <f t="shared" si="41"/>
        <v>0</v>
      </c>
      <c r="Q379" s="192">
        <f t="shared" si="42"/>
        <v>0</v>
      </c>
      <c r="R379" s="193"/>
      <c r="S379" s="194"/>
      <c r="T379" s="195">
        <f t="shared" si="43"/>
        <v>0</v>
      </c>
      <c r="U379" s="195">
        <f t="shared" si="44"/>
        <v>0</v>
      </c>
      <c r="V379" s="195">
        <f t="shared" si="45"/>
        <v>0</v>
      </c>
      <c r="W379" s="196" t="e">
        <f t="shared" si="46"/>
        <v>#DIV/0!</v>
      </c>
      <c r="X379" s="197" t="e">
        <f t="shared" si="47"/>
        <v>#DIV/0!</v>
      </c>
    </row>
    <row r="380" ht="11.4" hidden="1" customHeight="1" spans="1:24">
      <c r="A380" s="184" t="s">
        <v>1625</v>
      </c>
      <c r="B380" s="184" t="s">
        <v>123</v>
      </c>
      <c r="C380" s="184" t="s">
        <v>1101</v>
      </c>
      <c r="D380" s="185" t="s">
        <v>522</v>
      </c>
      <c r="E380" s="186" t="s">
        <v>906</v>
      </c>
      <c r="F380" s="186" t="s">
        <v>907</v>
      </c>
      <c r="G380" s="186" t="s">
        <v>1102</v>
      </c>
      <c r="H380" s="186" t="s">
        <v>547</v>
      </c>
      <c r="I380" s="187" t="s">
        <v>1630</v>
      </c>
      <c r="J380" s="187" t="s">
        <v>1631</v>
      </c>
      <c r="K380" s="188"/>
      <c r="L380" s="188"/>
      <c r="M380" s="189" t="s">
        <v>847</v>
      </c>
      <c r="N380" s="190">
        <v>247.97</v>
      </c>
      <c r="O380" s="190">
        <f t="shared" si="40"/>
        <v>270.29</v>
      </c>
      <c r="P380" s="191">
        <f t="shared" si="41"/>
        <v>0</v>
      </c>
      <c r="Q380" s="192">
        <f t="shared" si="42"/>
        <v>0</v>
      </c>
      <c r="R380" s="193"/>
      <c r="S380" s="194"/>
      <c r="T380" s="195">
        <f t="shared" si="43"/>
        <v>0</v>
      </c>
      <c r="U380" s="195">
        <f t="shared" si="44"/>
        <v>0</v>
      </c>
      <c r="V380" s="195">
        <f t="shared" si="45"/>
        <v>0</v>
      </c>
      <c r="W380" s="196" t="e">
        <f t="shared" si="46"/>
        <v>#DIV/0!</v>
      </c>
      <c r="X380" s="197" t="e">
        <f t="shared" si="47"/>
        <v>#DIV/0!</v>
      </c>
    </row>
    <row r="381" ht="11.4" hidden="1" customHeight="1" spans="1:24">
      <c r="A381" s="184" t="s">
        <v>1625</v>
      </c>
      <c r="B381" s="184" t="s">
        <v>123</v>
      </c>
      <c r="C381" s="184" t="s">
        <v>1101</v>
      </c>
      <c r="D381" s="185" t="s">
        <v>522</v>
      </c>
      <c r="E381" s="186" t="s">
        <v>906</v>
      </c>
      <c r="F381" s="186" t="s">
        <v>907</v>
      </c>
      <c r="G381" s="186" t="s">
        <v>1102</v>
      </c>
      <c r="H381" s="186" t="s">
        <v>547</v>
      </c>
      <c r="I381" s="187" t="s">
        <v>1632</v>
      </c>
      <c r="J381" s="187" t="s">
        <v>1633</v>
      </c>
      <c r="K381" s="188"/>
      <c r="L381" s="188"/>
      <c r="M381" s="189" t="s">
        <v>807</v>
      </c>
      <c r="N381" s="190">
        <v>48.54</v>
      </c>
      <c r="O381" s="190">
        <f t="shared" si="40"/>
        <v>52.91</v>
      </c>
      <c r="P381" s="191">
        <f t="shared" si="41"/>
        <v>0</v>
      </c>
      <c r="Q381" s="192">
        <f t="shared" si="42"/>
        <v>0</v>
      </c>
      <c r="R381" s="193"/>
      <c r="S381" s="194"/>
      <c r="T381" s="195">
        <f t="shared" si="43"/>
        <v>0</v>
      </c>
      <c r="U381" s="195">
        <f t="shared" si="44"/>
        <v>0</v>
      </c>
      <c r="V381" s="195">
        <f t="shared" si="45"/>
        <v>0</v>
      </c>
      <c r="W381" s="196" t="e">
        <f t="shared" si="46"/>
        <v>#DIV/0!</v>
      </c>
      <c r="X381" s="197" t="e">
        <f t="shared" si="47"/>
        <v>#DIV/0!</v>
      </c>
    </row>
    <row r="382" ht="11.4" hidden="1" customHeight="1" spans="1:24">
      <c r="A382" s="184" t="s">
        <v>1625</v>
      </c>
      <c r="B382" s="184" t="s">
        <v>123</v>
      </c>
      <c r="C382" s="184" t="s">
        <v>1101</v>
      </c>
      <c r="D382" s="185" t="s">
        <v>522</v>
      </c>
      <c r="E382" s="186" t="s">
        <v>906</v>
      </c>
      <c r="F382" s="186" t="s">
        <v>907</v>
      </c>
      <c r="G382" s="186" t="s">
        <v>1102</v>
      </c>
      <c r="H382" s="186" t="s">
        <v>547</v>
      </c>
      <c r="I382" s="187" t="s">
        <v>1634</v>
      </c>
      <c r="J382" s="187" t="s">
        <v>1635</v>
      </c>
      <c r="K382" s="188"/>
      <c r="L382" s="188"/>
      <c r="M382" s="189" t="s">
        <v>847</v>
      </c>
      <c r="N382" s="190">
        <v>273.71</v>
      </c>
      <c r="O382" s="190">
        <f t="shared" si="40"/>
        <v>298.34</v>
      </c>
      <c r="P382" s="191">
        <f t="shared" si="41"/>
        <v>0</v>
      </c>
      <c r="Q382" s="192">
        <f t="shared" si="42"/>
        <v>0</v>
      </c>
      <c r="R382" s="193"/>
      <c r="S382" s="194"/>
      <c r="T382" s="195">
        <f t="shared" si="43"/>
        <v>0</v>
      </c>
      <c r="U382" s="195">
        <f t="shared" si="44"/>
        <v>0</v>
      </c>
      <c r="V382" s="195">
        <f t="shared" si="45"/>
        <v>0</v>
      </c>
      <c r="W382" s="196" t="e">
        <f t="shared" si="46"/>
        <v>#DIV/0!</v>
      </c>
      <c r="X382" s="197" t="e">
        <f t="shared" si="47"/>
        <v>#DIV/0!</v>
      </c>
    </row>
    <row r="383" ht="11.4" hidden="1" customHeight="1" spans="1:24">
      <c r="A383" s="184" t="s">
        <v>1625</v>
      </c>
      <c r="B383" s="184" t="s">
        <v>123</v>
      </c>
      <c r="C383" s="184" t="s">
        <v>1101</v>
      </c>
      <c r="D383" s="185" t="s">
        <v>522</v>
      </c>
      <c r="E383" s="186" t="s">
        <v>906</v>
      </c>
      <c r="F383" s="186" t="s">
        <v>907</v>
      </c>
      <c r="G383" s="186" t="s">
        <v>1102</v>
      </c>
      <c r="H383" s="186" t="s">
        <v>547</v>
      </c>
      <c r="I383" s="187" t="s">
        <v>1636</v>
      </c>
      <c r="J383" s="187" t="s">
        <v>1637</v>
      </c>
      <c r="K383" s="188"/>
      <c r="L383" s="188"/>
      <c r="M383" s="189" t="s">
        <v>807</v>
      </c>
      <c r="N383" s="190">
        <v>52.83</v>
      </c>
      <c r="O383" s="190">
        <f t="shared" si="40"/>
        <v>57.58</v>
      </c>
      <c r="P383" s="191">
        <f t="shared" si="41"/>
        <v>0</v>
      </c>
      <c r="Q383" s="192">
        <f t="shared" si="42"/>
        <v>0</v>
      </c>
      <c r="R383" s="193"/>
      <c r="S383" s="194"/>
      <c r="T383" s="195">
        <f t="shared" si="43"/>
        <v>0</v>
      </c>
      <c r="U383" s="195">
        <f t="shared" si="44"/>
        <v>0</v>
      </c>
      <c r="V383" s="195">
        <f t="shared" si="45"/>
        <v>0</v>
      </c>
      <c r="W383" s="196" t="e">
        <f t="shared" si="46"/>
        <v>#DIV/0!</v>
      </c>
      <c r="X383" s="197" t="e">
        <f t="shared" si="47"/>
        <v>#DIV/0!</v>
      </c>
    </row>
    <row r="384" ht="11.4" hidden="1" customHeight="1" spans="1:24">
      <c r="A384" s="184" t="s">
        <v>1625</v>
      </c>
      <c r="B384" s="184" t="s">
        <v>123</v>
      </c>
      <c r="C384" s="184" t="s">
        <v>1101</v>
      </c>
      <c r="D384" s="185" t="s">
        <v>522</v>
      </c>
      <c r="E384" s="186" t="s">
        <v>906</v>
      </c>
      <c r="F384" s="186" t="s">
        <v>907</v>
      </c>
      <c r="G384" s="186" t="s">
        <v>1102</v>
      </c>
      <c r="H384" s="186" t="s">
        <v>547</v>
      </c>
      <c r="I384" s="187" t="s">
        <v>1638</v>
      </c>
      <c r="J384" s="187" t="s">
        <v>1639</v>
      </c>
      <c r="K384" s="188"/>
      <c r="L384" s="188"/>
      <c r="M384" s="189" t="s">
        <v>847</v>
      </c>
      <c r="N384" s="190">
        <v>289.46</v>
      </c>
      <c r="O384" s="190">
        <f t="shared" si="40"/>
        <v>315.51</v>
      </c>
      <c r="P384" s="191">
        <f t="shared" si="41"/>
        <v>0</v>
      </c>
      <c r="Q384" s="192">
        <f t="shared" si="42"/>
        <v>0</v>
      </c>
      <c r="R384" s="193"/>
      <c r="S384" s="194"/>
      <c r="T384" s="195">
        <f t="shared" si="43"/>
        <v>0</v>
      </c>
      <c r="U384" s="195">
        <f t="shared" si="44"/>
        <v>0</v>
      </c>
      <c r="V384" s="195">
        <f t="shared" si="45"/>
        <v>0</v>
      </c>
      <c r="W384" s="196" t="e">
        <f t="shared" si="46"/>
        <v>#DIV/0!</v>
      </c>
      <c r="X384" s="197" t="e">
        <f t="shared" si="47"/>
        <v>#DIV/0!</v>
      </c>
    </row>
    <row r="385" ht="11.4" hidden="1" customHeight="1" spans="1:24">
      <c r="A385" s="184" t="s">
        <v>1625</v>
      </c>
      <c r="B385" s="184" t="s">
        <v>123</v>
      </c>
      <c r="C385" s="184" t="s">
        <v>1101</v>
      </c>
      <c r="D385" s="185" t="s">
        <v>522</v>
      </c>
      <c r="E385" s="186" t="s">
        <v>906</v>
      </c>
      <c r="F385" s="186" t="s">
        <v>907</v>
      </c>
      <c r="G385" s="186" t="s">
        <v>1102</v>
      </c>
      <c r="H385" s="186" t="s">
        <v>547</v>
      </c>
      <c r="I385" s="187" t="s">
        <v>1640</v>
      </c>
      <c r="J385" s="187" t="s">
        <v>1641</v>
      </c>
      <c r="K385" s="188"/>
      <c r="L385" s="188"/>
      <c r="M385" s="189" t="s">
        <v>847</v>
      </c>
      <c r="N385" s="190">
        <v>49.86</v>
      </c>
      <c r="O385" s="190">
        <f t="shared" si="40"/>
        <v>54.35</v>
      </c>
      <c r="P385" s="191">
        <f t="shared" si="41"/>
        <v>0</v>
      </c>
      <c r="Q385" s="192">
        <f t="shared" si="42"/>
        <v>0</v>
      </c>
      <c r="R385" s="193"/>
      <c r="S385" s="194"/>
      <c r="T385" s="195">
        <f t="shared" si="43"/>
        <v>0</v>
      </c>
      <c r="U385" s="195">
        <f t="shared" si="44"/>
        <v>0</v>
      </c>
      <c r="V385" s="195">
        <f t="shared" si="45"/>
        <v>0</v>
      </c>
      <c r="W385" s="196" t="e">
        <f t="shared" si="46"/>
        <v>#DIV/0!</v>
      </c>
      <c r="X385" s="197" t="e">
        <f t="shared" si="47"/>
        <v>#DIV/0!</v>
      </c>
    </row>
    <row r="386" ht="11.4" hidden="1" customHeight="1" spans="1:24">
      <c r="A386" s="184" t="s">
        <v>1625</v>
      </c>
      <c r="B386" s="184" t="s">
        <v>123</v>
      </c>
      <c r="C386" s="184" t="s">
        <v>1101</v>
      </c>
      <c r="D386" s="185" t="s">
        <v>522</v>
      </c>
      <c r="E386" s="186" t="s">
        <v>906</v>
      </c>
      <c r="F386" s="186" t="s">
        <v>907</v>
      </c>
      <c r="G386" s="186" t="s">
        <v>1102</v>
      </c>
      <c r="H386" s="186" t="s">
        <v>547</v>
      </c>
      <c r="I386" s="187" t="s">
        <v>1642</v>
      </c>
      <c r="J386" s="187" t="s">
        <v>1643</v>
      </c>
      <c r="K386" s="188"/>
      <c r="L386" s="188"/>
      <c r="M386" s="189" t="s">
        <v>847</v>
      </c>
      <c r="N386" s="190">
        <v>249.51</v>
      </c>
      <c r="O386" s="190">
        <f t="shared" si="40"/>
        <v>271.97</v>
      </c>
      <c r="P386" s="191">
        <f t="shared" si="41"/>
        <v>0</v>
      </c>
      <c r="Q386" s="192">
        <f t="shared" si="42"/>
        <v>0</v>
      </c>
      <c r="R386" s="193"/>
      <c r="S386" s="194"/>
      <c r="T386" s="195">
        <f t="shared" si="43"/>
        <v>0</v>
      </c>
      <c r="U386" s="195">
        <f t="shared" si="44"/>
        <v>0</v>
      </c>
      <c r="V386" s="195">
        <f t="shared" si="45"/>
        <v>0</v>
      </c>
      <c r="W386" s="196" t="e">
        <f t="shared" si="46"/>
        <v>#DIV/0!</v>
      </c>
      <c r="X386" s="197" t="e">
        <f t="shared" si="47"/>
        <v>#DIV/0!</v>
      </c>
    </row>
    <row r="387" ht="11.4" hidden="1" customHeight="1" spans="1:24">
      <c r="A387" s="184" t="s">
        <v>1625</v>
      </c>
      <c r="B387" s="184" t="s">
        <v>123</v>
      </c>
      <c r="C387" s="184" t="s">
        <v>1101</v>
      </c>
      <c r="D387" s="185" t="s">
        <v>522</v>
      </c>
      <c r="E387" s="186" t="s">
        <v>906</v>
      </c>
      <c r="F387" s="186" t="s">
        <v>907</v>
      </c>
      <c r="G387" s="186" t="s">
        <v>1102</v>
      </c>
      <c r="H387" s="186" t="s">
        <v>547</v>
      </c>
      <c r="I387" s="187" t="s">
        <v>1644</v>
      </c>
      <c r="J387" s="187" t="s">
        <v>1645</v>
      </c>
      <c r="K387" s="188"/>
      <c r="L387" s="188"/>
      <c r="M387" s="189" t="s">
        <v>807</v>
      </c>
      <c r="N387" s="190">
        <v>47.44</v>
      </c>
      <c r="O387" s="190">
        <f t="shared" si="40"/>
        <v>51.71</v>
      </c>
      <c r="P387" s="191">
        <f t="shared" si="41"/>
        <v>0</v>
      </c>
      <c r="Q387" s="192">
        <f t="shared" si="42"/>
        <v>0</v>
      </c>
      <c r="R387" s="193"/>
      <c r="S387" s="194"/>
      <c r="T387" s="195">
        <f t="shared" si="43"/>
        <v>0</v>
      </c>
      <c r="U387" s="195">
        <f t="shared" si="44"/>
        <v>0</v>
      </c>
      <c r="V387" s="195">
        <f t="shared" si="45"/>
        <v>0</v>
      </c>
      <c r="W387" s="196" t="e">
        <f t="shared" si="46"/>
        <v>#DIV/0!</v>
      </c>
      <c r="X387" s="197" t="e">
        <f t="shared" si="47"/>
        <v>#DIV/0!</v>
      </c>
    </row>
    <row r="388" ht="11.4" hidden="1" customHeight="1" spans="1:24">
      <c r="A388" s="184" t="s">
        <v>1625</v>
      </c>
      <c r="B388" s="184" t="s">
        <v>123</v>
      </c>
      <c r="C388" s="184" t="s">
        <v>1101</v>
      </c>
      <c r="D388" s="185" t="s">
        <v>522</v>
      </c>
      <c r="E388" s="186" t="s">
        <v>906</v>
      </c>
      <c r="F388" s="186" t="s">
        <v>907</v>
      </c>
      <c r="G388" s="186" t="s">
        <v>1102</v>
      </c>
      <c r="H388" s="186" t="s">
        <v>547</v>
      </c>
      <c r="I388" s="187" t="s">
        <v>1646</v>
      </c>
      <c r="J388" s="187" t="s">
        <v>1647</v>
      </c>
      <c r="K388" s="188"/>
      <c r="L388" s="188"/>
      <c r="M388" s="189" t="s">
        <v>847</v>
      </c>
      <c r="N388" s="190">
        <v>290.89</v>
      </c>
      <c r="O388" s="190">
        <f t="shared" si="40"/>
        <v>317.07</v>
      </c>
      <c r="P388" s="191">
        <f t="shared" si="41"/>
        <v>0</v>
      </c>
      <c r="Q388" s="192">
        <f t="shared" si="42"/>
        <v>0</v>
      </c>
      <c r="R388" s="193"/>
      <c r="S388" s="194"/>
      <c r="T388" s="195">
        <f t="shared" si="43"/>
        <v>0</v>
      </c>
      <c r="U388" s="195">
        <f t="shared" si="44"/>
        <v>0</v>
      </c>
      <c r="V388" s="195">
        <f t="shared" si="45"/>
        <v>0</v>
      </c>
      <c r="W388" s="196" t="e">
        <f t="shared" si="46"/>
        <v>#DIV/0!</v>
      </c>
      <c r="X388" s="197" t="e">
        <f t="shared" si="47"/>
        <v>#DIV/0!</v>
      </c>
    </row>
    <row r="389" ht="11.4" hidden="1" customHeight="1" spans="1:24">
      <c r="A389" s="184" t="s">
        <v>1625</v>
      </c>
      <c r="B389" s="184" t="s">
        <v>123</v>
      </c>
      <c r="C389" s="184" t="s">
        <v>1101</v>
      </c>
      <c r="D389" s="185" t="s">
        <v>522</v>
      </c>
      <c r="E389" s="186" t="s">
        <v>906</v>
      </c>
      <c r="F389" s="186" t="s">
        <v>907</v>
      </c>
      <c r="G389" s="186" t="s">
        <v>1102</v>
      </c>
      <c r="H389" s="186" t="s">
        <v>547</v>
      </c>
      <c r="I389" s="187" t="s">
        <v>1648</v>
      </c>
      <c r="J389" s="187" t="s">
        <v>1649</v>
      </c>
      <c r="K389" s="188"/>
      <c r="L389" s="188"/>
      <c r="M389" s="189" t="s">
        <v>807</v>
      </c>
      <c r="N389" s="190">
        <v>48.65</v>
      </c>
      <c r="O389" s="190">
        <f t="shared" si="40"/>
        <v>53.03</v>
      </c>
      <c r="P389" s="191">
        <f t="shared" si="41"/>
        <v>0</v>
      </c>
      <c r="Q389" s="192">
        <f t="shared" si="42"/>
        <v>0</v>
      </c>
      <c r="R389" s="193"/>
      <c r="S389" s="194"/>
      <c r="T389" s="195">
        <f t="shared" si="43"/>
        <v>0</v>
      </c>
      <c r="U389" s="195">
        <f t="shared" si="44"/>
        <v>0</v>
      </c>
      <c r="V389" s="195">
        <f t="shared" si="45"/>
        <v>0</v>
      </c>
      <c r="W389" s="196" t="e">
        <f t="shared" si="46"/>
        <v>#DIV/0!</v>
      </c>
      <c r="X389" s="197" t="e">
        <f t="shared" si="47"/>
        <v>#DIV/0!</v>
      </c>
    </row>
    <row r="390" ht="11.4" hidden="1" customHeight="1" spans="1:24">
      <c r="A390" s="184" t="s">
        <v>1625</v>
      </c>
      <c r="B390" s="184" t="s">
        <v>123</v>
      </c>
      <c r="C390" s="184" t="s">
        <v>1101</v>
      </c>
      <c r="D390" s="185" t="s">
        <v>522</v>
      </c>
      <c r="E390" s="186" t="s">
        <v>906</v>
      </c>
      <c r="F390" s="186" t="s">
        <v>907</v>
      </c>
      <c r="G390" s="186" t="s">
        <v>1102</v>
      </c>
      <c r="H390" s="186" t="s">
        <v>547</v>
      </c>
      <c r="I390" s="187" t="s">
        <v>1650</v>
      </c>
      <c r="J390" s="187" t="s">
        <v>1651</v>
      </c>
      <c r="K390" s="188"/>
      <c r="L390" s="188"/>
      <c r="M390" s="189" t="s">
        <v>847</v>
      </c>
      <c r="N390" s="190">
        <v>203.51</v>
      </c>
      <c r="O390" s="190">
        <f t="shared" si="40"/>
        <v>221.83</v>
      </c>
      <c r="P390" s="191">
        <f t="shared" si="41"/>
        <v>0</v>
      </c>
      <c r="Q390" s="192">
        <f t="shared" si="42"/>
        <v>0</v>
      </c>
      <c r="R390" s="193"/>
      <c r="S390" s="194"/>
      <c r="T390" s="195">
        <f t="shared" si="43"/>
        <v>0</v>
      </c>
      <c r="U390" s="195">
        <f t="shared" si="44"/>
        <v>0</v>
      </c>
      <c r="V390" s="195">
        <f t="shared" si="45"/>
        <v>0</v>
      </c>
      <c r="W390" s="196" t="e">
        <f t="shared" si="46"/>
        <v>#DIV/0!</v>
      </c>
      <c r="X390" s="197" t="e">
        <f t="shared" si="47"/>
        <v>#DIV/0!</v>
      </c>
    </row>
    <row r="391" ht="11.4" hidden="1" customHeight="1" spans="1:24">
      <c r="A391" s="184" t="s">
        <v>1625</v>
      </c>
      <c r="B391" s="184" t="s">
        <v>123</v>
      </c>
      <c r="C391" s="184" t="s">
        <v>1101</v>
      </c>
      <c r="D391" s="185" t="s">
        <v>522</v>
      </c>
      <c r="E391" s="186" t="s">
        <v>906</v>
      </c>
      <c r="F391" s="186" t="s">
        <v>907</v>
      </c>
      <c r="G391" s="186" t="s">
        <v>1102</v>
      </c>
      <c r="H391" s="186" t="s">
        <v>547</v>
      </c>
      <c r="I391" s="187" t="s">
        <v>1652</v>
      </c>
      <c r="J391" s="187" t="s">
        <v>1653</v>
      </c>
      <c r="K391" s="188"/>
      <c r="L391" s="188"/>
      <c r="M391" s="189" t="s">
        <v>807</v>
      </c>
      <c r="N391" s="190">
        <v>41.69</v>
      </c>
      <c r="O391" s="190">
        <f t="shared" si="40"/>
        <v>45.44</v>
      </c>
      <c r="P391" s="191">
        <f t="shared" si="41"/>
        <v>0</v>
      </c>
      <c r="Q391" s="192">
        <f t="shared" si="42"/>
        <v>0</v>
      </c>
      <c r="R391" s="193"/>
      <c r="S391" s="194"/>
      <c r="T391" s="195">
        <f t="shared" si="43"/>
        <v>0</v>
      </c>
      <c r="U391" s="195">
        <f t="shared" si="44"/>
        <v>0</v>
      </c>
      <c r="V391" s="195">
        <f t="shared" si="45"/>
        <v>0</v>
      </c>
      <c r="W391" s="196" t="e">
        <f t="shared" si="46"/>
        <v>#DIV/0!</v>
      </c>
      <c r="X391" s="197" t="e">
        <f t="shared" si="47"/>
        <v>#DIV/0!</v>
      </c>
    </row>
    <row r="392" ht="11.4" hidden="1" customHeight="1" spans="1:24">
      <c r="A392" s="184" t="s">
        <v>1625</v>
      </c>
      <c r="B392" s="184" t="s">
        <v>123</v>
      </c>
      <c r="C392" s="184" t="s">
        <v>1101</v>
      </c>
      <c r="D392" s="185" t="s">
        <v>522</v>
      </c>
      <c r="E392" s="186" t="s">
        <v>906</v>
      </c>
      <c r="F392" s="186" t="s">
        <v>907</v>
      </c>
      <c r="G392" s="186" t="s">
        <v>1102</v>
      </c>
      <c r="H392" s="186" t="s">
        <v>547</v>
      </c>
      <c r="I392" s="187" t="s">
        <v>1654</v>
      </c>
      <c r="J392" s="187" t="s">
        <v>1655</v>
      </c>
      <c r="K392" s="188"/>
      <c r="L392" s="188"/>
      <c r="M392" s="189" t="s">
        <v>847</v>
      </c>
      <c r="N392" s="190">
        <v>180.15</v>
      </c>
      <c r="O392" s="190">
        <f t="shared" si="40"/>
        <v>196.36</v>
      </c>
      <c r="P392" s="191">
        <f t="shared" si="41"/>
        <v>0</v>
      </c>
      <c r="Q392" s="192">
        <f t="shared" si="42"/>
        <v>0</v>
      </c>
      <c r="R392" s="193"/>
      <c r="S392" s="194"/>
      <c r="T392" s="195">
        <f t="shared" si="43"/>
        <v>0</v>
      </c>
      <c r="U392" s="195">
        <f t="shared" si="44"/>
        <v>0</v>
      </c>
      <c r="V392" s="195">
        <f t="shared" si="45"/>
        <v>0</v>
      </c>
      <c r="W392" s="196" t="e">
        <f t="shared" si="46"/>
        <v>#DIV/0!</v>
      </c>
      <c r="X392" s="197" t="e">
        <f t="shared" si="47"/>
        <v>#DIV/0!</v>
      </c>
    </row>
    <row r="393" ht="11.4" hidden="1" customHeight="1" spans="1:24">
      <c r="A393" s="184" t="s">
        <v>1625</v>
      </c>
      <c r="B393" s="184" t="s">
        <v>123</v>
      </c>
      <c r="C393" s="184" t="s">
        <v>1101</v>
      </c>
      <c r="D393" s="185" t="s">
        <v>522</v>
      </c>
      <c r="E393" s="186" t="s">
        <v>906</v>
      </c>
      <c r="F393" s="186" t="s">
        <v>907</v>
      </c>
      <c r="G393" s="186" t="s">
        <v>1102</v>
      </c>
      <c r="H393" s="186" t="s">
        <v>547</v>
      </c>
      <c r="I393" s="187" t="s">
        <v>1656</v>
      </c>
      <c r="J393" s="187" t="s">
        <v>1657</v>
      </c>
      <c r="K393" s="188"/>
      <c r="L393" s="188"/>
      <c r="M393" s="189" t="s">
        <v>807</v>
      </c>
      <c r="N393" s="190">
        <v>39.27</v>
      </c>
      <c r="O393" s="190">
        <f t="shared" si="40"/>
        <v>42.8</v>
      </c>
      <c r="P393" s="191">
        <f t="shared" si="41"/>
        <v>0</v>
      </c>
      <c r="Q393" s="192">
        <f t="shared" si="42"/>
        <v>0</v>
      </c>
      <c r="R393" s="193"/>
      <c r="S393" s="194"/>
      <c r="T393" s="195">
        <f t="shared" si="43"/>
        <v>0</v>
      </c>
      <c r="U393" s="195">
        <f t="shared" si="44"/>
        <v>0</v>
      </c>
      <c r="V393" s="195">
        <f t="shared" si="45"/>
        <v>0</v>
      </c>
      <c r="W393" s="196" t="e">
        <f t="shared" si="46"/>
        <v>#DIV/0!</v>
      </c>
      <c r="X393" s="197" t="e">
        <f t="shared" si="47"/>
        <v>#DIV/0!</v>
      </c>
    </row>
    <row r="394" ht="11.4" hidden="1" customHeight="1" spans="1:24">
      <c r="A394" s="184" t="s">
        <v>1625</v>
      </c>
      <c r="B394" s="184" t="s">
        <v>123</v>
      </c>
      <c r="C394" s="184" t="s">
        <v>1101</v>
      </c>
      <c r="D394" s="185" t="s">
        <v>522</v>
      </c>
      <c r="E394" s="186" t="s">
        <v>906</v>
      </c>
      <c r="F394" s="186" t="s">
        <v>907</v>
      </c>
      <c r="G394" s="186" t="s">
        <v>1102</v>
      </c>
      <c r="H394" s="186" t="s">
        <v>547</v>
      </c>
      <c r="I394" s="187" t="s">
        <v>1658</v>
      </c>
      <c r="J394" s="187" t="s">
        <v>1659</v>
      </c>
      <c r="K394" s="188"/>
      <c r="L394" s="188"/>
      <c r="M394" s="189" t="s">
        <v>847</v>
      </c>
      <c r="N394" s="190">
        <v>215.19</v>
      </c>
      <c r="O394" s="190">
        <f t="shared" si="40"/>
        <v>234.56</v>
      </c>
      <c r="P394" s="191">
        <f t="shared" si="41"/>
        <v>0</v>
      </c>
      <c r="Q394" s="192">
        <f t="shared" si="42"/>
        <v>0</v>
      </c>
      <c r="R394" s="193"/>
      <c r="S394" s="194"/>
      <c r="T394" s="195">
        <f t="shared" si="43"/>
        <v>0</v>
      </c>
      <c r="U394" s="195">
        <f t="shared" si="44"/>
        <v>0</v>
      </c>
      <c r="V394" s="195">
        <f t="shared" si="45"/>
        <v>0</v>
      </c>
      <c r="W394" s="196" t="e">
        <f t="shared" si="46"/>
        <v>#DIV/0!</v>
      </c>
      <c r="X394" s="197" t="e">
        <f t="shared" si="47"/>
        <v>#DIV/0!</v>
      </c>
    </row>
    <row r="395" ht="11.4" hidden="1" customHeight="1" spans="1:24">
      <c r="A395" s="184" t="s">
        <v>1625</v>
      </c>
      <c r="B395" s="184" t="s">
        <v>123</v>
      </c>
      <c r="C395" s="184" t="s">
        <v>1101</v>
      </c>
      <c r="D395" s="185" t="s">
        <v>522</v>
      </c>
      <c r="E395" s="186" t="s">
        <v>906</v>
      </c>
      <c r="F395" s="186" t="s">
        <v>907</v>
      </c>
      <c r="G395" s="186" t="s">
        <v>1102</v>
      </c>
      <c r="H395" s="186" t="s">
        <v>547</v>
      </c>
      <c r="I395" s="187" t="s">
        <v>1660</v>
      </c>
      <c r="J395" s="187" t="s">
        <v>1661</v>
      </c>
      <c r="K395" s="188"/>
      <c r="L395" s="188"/>
      <c r="M395" s="189" t="s">
        <v>807</v>
      </c>
      <c r="N395" s="190">
        <v>41.69</v>
      </c>
      <c r="O395" s="190">
        <f t="shared" si="40"/>
        <v>45.44</v>
      </c>
      <c r="P395" s="191">
        <f t="shared" si="41"/>
        <v>0</v>
      </c>
      <c r="Q395" s="192">
        <f t="shared" si="42"/>
        <v>0</v>
      </c>
      <c r="R395" s="193"/>
      <c r="S395" s="194"/>
      <c r="T395" s="195">
        <f t="shared" si="43"/>
        <v>0</v>
      </c>
      <c r="U395" s="195">
        <f t="shared" si="44"/>
        <v>0</v>
      </c>
      <c r="V395" s="195">
        <f t="shared" si="45"/>
        <v>0</v>
      </c>
      <c r="W395" s="196" t="e">
        <f t="shared" si="46"/>
        <v>#DIV/0!</v>
      </c>
      <c r="X395" s="197" t="e">
        <f t="shared" si="47"/>
        <v>#DIV/0!</v>
      </c>
    </row>
    <row r="396" ht="11.4" hidden="1" customHeight="1" spans="1:24">
      <c r="A396" s="184" t="s">
        <v>1625</v>
      </c>
      <c r="B396" s="184" t="s">
        <v>123</v>
      </c>
      <c r="C396" s="184" t="s">
        <v>1101</v>
      </c>
      <c r="D396" s="185" t="s">
        <v>522</v>
      </c>
      <c r="E396" s="186" t="s">
        <v>906</v>
      </c>
      <c r="F396" s="186" t="s">
        <v>907</v>
      </c>
      <c r="G396" s="186" t="s">
        <v>1102</v>
      </c>
      <c r="H396" s="186" t="s">
        <v>547</v>
      </c>
      <c r="I396" s="187" t="s">
        <v>1662</v>
      </c>
      <c r="J396" s="187" t="s">
        <v>1663</v>
      </c>
      <c r="K396" s="188"/>
      <c r="L396" s="188"/>
      <c r="M396" s="189" t="s">
        <v>847</v>
      </c>
      <c r="N396" s="190">
        <v>272.28</v>
      </c>
      <c r="O396" s="190">
        <f t="shared" si="40"/>
        <v>296.79</v>
      </c>
      <c r="P396" s="191">
        <f t="shared" si="41"/>
        <v>0</v>
      </c>
      <c r="Q396" s="192">
        <f t="shared" si="42"/>
        <v>0</v>
      </c>
      <c r="R396" s="193"/>
      <c r="S396" s="194"/>
      <c r="T396" s="195">
        <f t="shared" si="43"/>
        <v>0</v>
      </c>
      <c r="U396" s="195">
        <f t="shared" si="44"/>
        <v>0</v>
      </c>
      <c r="V396" s="195">
        <f t="shared" si="45"/>
        <v>0</v>
      </c>
      <c r="W396" s="196" t="e">
        <f t="shared" si="46"/>
        <v>#DIV/0!</v>
      </c>
      <c r="X396" s="197" t="e">
        <f t="shared" si="47"/>
        <v>#DIV/0!</v>
      </c>
    </row>
    <row r="397" ht="11.4" hidden="1" customHeight="1" spans="1:24">
      <c r="A397" s="184" t="s">
        <v>1625</v>
      </c>
      <c r="B397" s="184" t="s">
        <v>123</v>
      </c>
      <c r="C397" s="184" t="s">
        <v>1101</v>
      </c>
      <c r="D397" s="185" t="s">
        <v>522</v>
      </c>
      <c r="E397" s="186" t="s">
        <v>906</v>
      </c>
      <c r="F397" s="186" t="s">
        <v>907</v>
      </c>
      <c r="G397" s="186" t="s">
        <v>1102</v>
      </c>
      <c r="H397" s="186" t="s">
        <v>547</v>
      </c>
      <c r="I397" s="187" t="s">
        <v>1664</v>
      </c>
      <c r="J397" s="187" t="s">
        <v>1665</v>
      </c>
      <c r="K397" s="188"/>
      <c r="L397" s="188"/>
      <c r="M397" s="189" t="s">
        <v>847</v>
      </c>
      <c r="N397" s="190">
        <v>253.69</v>
      </c>
      <c r="O397" s="190">
        <f t="shared" ref="O397:O460" si="48">ROUND(N397*(1+$F$10),2)</f>
        <v>276.52</v>
      </c>
      <c r="P397" s="191">
        <f t="shared" ref="P397:P460" si="49">ROUND(K397*N397,2)</f>
        <v>0</v>
      </c>
      <c r="Q397" s="192">
        <f t="shared" ref="Q397:Q460" si="50">ROUND(L397*N397,2)</f>
        <v>0</v>
      </c>
      <c r="R397" s="193"/>
      <c r="S397" s="194"/>
      <c r="T397" s="195">
        <f t="shared" ref="T397:T460" si="51">K397-L397</f>
        <v>0</v>
      </c>
      <c r="U397" s="195">
        <f t="shared" ref="U397:U460" si="52">P397-Q397</f>
        <v>0</v>
      </c>
      <c r="V397" s="195">
        <f t="shared" ref="V397:V460" si="53">ABS(U397)</f>
        <v>0</v>
      </c>
      <c r="W397" s="196" t="e">
        <f t="shared" ref="W397:W460" si="54">T397/L397</f>
        <v>#DIV/0!</v>
      </c>
      <c r="X397" s="197" t="e">
        <f t="shared" ref="X397:X460" si="55">ABS(W397)</f>
        <v>#DIV/0!</v>
      </c>
    </row>
    <row r="398" ht="11.4" hidden="1" customHeight="1" spans="1:24">
      <c r="A398" s="184" t="s">
        <v>1625</v>
      </c>
      <c r="B398" s="184" t="s">
        <v>123</v>
      </c>
      <c r="C398" s="184" t="s">
        <v>1101</v>
      </c>
      <c r="D398" s="185" t="s">
        <v>522</v>
      </c>
      <c r="E398" s="186" t="s">
        <v>906</v>
      </c>
      <c r="F398" s="186" t="s">
        <v>907</v>
      </c>
      <c r="G398" s="186" t="s">
        <v>1102</v>
      </c>
      <c r="H398" s="186" t="s">
        <v>547</v>
      </c>
      <c r="I398" s="187" t="s">
        <v>1666</v>
      </c>
      <c r="J398" s="187" t="s">
        <v>1667</v>
      </c>
      <c r="K398" s="188"/>
      <c r="L398" s="188"/>
      <c r="M398" s="189" t="s">
        <v>847</v>
      </c>
      <c r="N398" s="190">
        <v>275.14</v>
      </c>
      <c r="O398" s="190">
        <f t="shared" si="48"/>
        <v>299.9</v>
      </c>
      <c r="P398" s="191">
        <f t="shared" si="49"/>
        <v>0</v>
      </c>
      <c r="Q398" s="192">
        <f t="shared" si="50"/>
        <v>0</v>
      </c>
      <c r="R398" s="193"/>
      <c r="S398" s="194"/>
      <c r="T398" s="195">
        <f t="shared" si="51"/>
        <v>0</v>
      </c>
      <c r="U398" s="195">
        <f t="shared" si="52"/>
        <v>0</v>
      </c>
      <c r="V398" s="195">
        <f t="shared" si="53"/>
        <v>0</v>
      </c>
      <c r="W398" s="196" t="e">
        <f t="shared" si="54"/>
        <v>#DIV/0!</v>
      </c>
      <c r="X398" s="197" t="e">
        <f t="shared" si="55"/>
        <v>#DIV/0!</v>
      </c>
    </row>
    <row r="399" ht="11.4" hidden="1" customHeight="1" spans="1:24">
      <c r="A399" s="184" t="s">
        <v>1625</v>
      </c>
      <c r="B399" s="184" t="s">
        <v>123</v>
      </c>
      <c r="C399" s="184" t="s">
        <v>1101</v>
      </c>
      <c r="D399" s="185" t="s">
        <v>522</v>
      </c>
      <c r="E399" s="186" t="s">
        <v>906</v>
      </c>
      <c r="F399" s="186" t="s">
        <v>907</v>
      </c>
      <c r="G399" s="186" t="s">
        <v>1102</v>
      </c>
      <c r="H399" s="186" t="s">
        <v>547</v>
      </c>
      <c r="I399" s="187" t="s">
        <v>1668</v>
      </c>
      <c r="J399" s="187" t="s">
        <v>1669</v>
      </c>
      <c r="K399" s="188"/>
      <c r="L399" s="188"/>
      <c r="M399" s="189" t="s">
        <v>807</v>
      </c>
      <c r="N399" s="190">
        <v>49.86</v>
      </c>
      <c r="O399" s="190">
        <f t="shared" si="48"/>
        <v>54.35</v>
      </c>
      <c r="P399" s="191">
        <f t="shared" si="49"/>
        <v>0</v>
      </c>
      <c r="Q399" s="192">
        <f t="shared" si="50"/>
        <v>0</v>
      </c>
      <c r="R399" s="193"/>
      <c r="S399" s="194"/>
      <c r="T399" s="195">
        <f t="shared" si="51"/>
        <v>0</v>
      </c>
      <c r="U399" s="195">
        <f t="shared" si="52"/>
        <v>0</v>
      </c>
      <c r="V399" s="195">
        <f t="shared" si="53"/>
        <v>0</v>
      </c>
      <c r="W399" s="196" t="e">
        <f t="shared" si="54"/>
        <v>#DIV/0!</v>
      </c>
      <c r="X399" s="197" t="e">
        <f t="shared" si="55"/>
        <v>#DIV/0!</v>
      </c>
    </row>
    <row r="400" ht="11.4" hidden="1" customHeight="1" spans="1:24">
      <c r="A400" s="184" t="s">
        <v>1625</v>
      </c>
      <c r="B400" s="184" t="s">
        <v>123</v>
      </c>
      <c r="C400" s="184" t="s">
        <v>1101</v>
      </c>
      <c r="D400" s="185" t="s">
        <v>522</v>
      </c>
      <c r="E400" s="186" t="s">
        <v>906</v>
      </c>
      <c r="F400" s="186" t="s">
        <v>907</v>
      </c>
      <c r="G400" s="186" t="s">
        <v>1102</v>
      </c>
      <c r="H400" s="186" t="s">
        <v>547</v>
      </c>
      <c r="I400" s="187" t="s">
        <v>1670</v>
      </c>
      <c r="J400" s="187" t="s">
        <v>1671</v>
      </c>
      <c r="K400" s="188"/>
      <c r="L400" s="188"/>
      <c r="M400" s="189" t="s">
        <v>807</v>
      </c>
      <c r="N400" s="190">
        <v>48.65</v>
      </c>
      <c r="O400" s="190">
        <f t="shared" si="48"/>
        <v>53.03</v>
      </c>
      <c r="P400" s="191">
        <f t="shared" si="49"/>
        <v>0</v>
      </c>
      <c r="Q400" s="192">
        <f t="shared" si="50"/>
        <v>0</v>
      </c>
      <c r="R400" s="193"/>
      <c r="S400" s="194"/>
      <c r="T400" s="195">
        <f t="shared" si="51"/>
        <v>0</v>
      </c>
      <c r="U400" s="195">
        <f t="shared" si="52"/>
        <v>0</v>
      </c>
      <c r="V400" s="195">
        <f t="shared" si="53"/>
        <v>0</v>
      </c>
      <c r="W400" s="196" t="e">
        <f t="shared" si="54"/>
        <v>#DIV/0!</v>
      </c>
      <c r="X400" s="197" t="e">
        <f t="shared" si="55"/>
        <v>#DIV/0!</v>
      </c>
    </row>
    <row r="401" ht="11.4" hidden="1" customHeight="1" spans="1:24">
      <c r="A401" s="184" t="s">
        <v>1625</v>
      </c>
      <c r="B401" s="184" t="s">
        <v>123</v>
      </c>
      <c r="C401" s="184" t="s">
        <v>1101</v>
      </c>
      <c r="D401" s="185" t="s">
        <v>522</v>
      </c>
      <c r="E401" s="186" t="s">
        <v>906</v>
      </c>
      <c r="F401" s="186" t="s">
        <v>907</v>
      </c>
      <c r="G401" s="186" t="s">
        <v>1102</v>
      </c>
      <c r="H401" s="186" t="s">
        <v>547</v>
      </c>
      <c r="I401" s="187" t="s">
        <v>1672</v>
      </c>
      <c r="J401" s="187" t="s">
        <v>1673</v>
      </c>
      <c r="K401" s="188"/>
      <c r="L401" s="188"/>
      <c r="M401" s="189" t="s">
        <v>807</v>
      </c>
      <c r="N401" s="190">
        <v>49.86</v>
      </c>
      <c r="O401" s="190">
        <f t="shared" si="48"/>
        <v>54.35</v>
      </c>
      <c r="P401" s="191">
        <f t="shared" si="49"/>
        <v>0</v>
      </c>
      <c r="Q401" s="192">
        <f t="shared" si="50"/>
        <v>0</v>
      </c>
      <c r="R401" s="193"/>
      <c r="S401" s="194"/>
      <c r="T401" s="195">
        <f t="shared" si="51"/>
        <v>0</v>
      </c>
      <c r="U401" s="195">
        <f t="shared" si="52"/>
        <v>0</v>
      </c>
      <c r="V401" s="195">
        <f t="shared" si="53"/>
        <v>0</v>
      </c>
      <c r="W401" s="196" t="e">
        <f t="shared" si="54"/>
        <v>#DIV/0!</v>
      </c>
      <c r="X401" s="197" t="e">
        <f t="shared" si="55"/>
        <v>#DIV/0!</v>
      </c>
    </row>
    <row r="402" ht="11.4" hidden="1" customHeight="1" spans="1:24">
      <c r="A402" s="184" t="s">
        <v>1625</v>
      </c>
      <c r="B402" s="184" t="s">
        <v>123</v>
      </c>
      <c r="C402" s="184" t="s">
        <v>1101</v>
      </c>
      <c r="D402" s="185" t="s">
        <v>522</v>
      </c>
      <c r="E402" s="186" t="s">
        <v>906</v>
      </c>
      <c r="F402" s="186" t="s">
        <v>907</v>
      </c>
      <c r="G402" s="186" t="s">
        <v>1102</v>
      </c>
      <c r="H402" s="186" t="s">
        <v>547</v>
      </c>
      <c r="I402" s="187" t="s">
        <v>1674</v>
      </c>
      <c r="J402" s="187" t="s">
        <v>1675</v>
      </c>
      <c r="K402" s="188"/>
      <c r="L402" s="188"/>
      <c r="M402" s="189" t="s">
        <v>847</v>
      </c>
      <c r="N402" s="190">
        <v>275.14</v>
      </c>
      <c r="O402" s="190">
        <f t="shared" si="48"/>
        <v>299.9</v>
      </c>
      <c r="P402" s="191">
        <f t="shared" si="49"/>
        <v>0</v>
      </c>
      <c r="Q402" s="192">
        <f t="shared" si="50"/>
        <v>0</v>
      </c>
      <c r="R402" s="193"/>
      <c r="S402" s="194"/>
      <c r="T402" s="195">
        <f t="shared" si="51"/>
        <v>0</v>
      </c>
      <c r="U402" s="195">
        <f t="shared" si="52"/>
        <v>0</v>
      </c>
      <c r="V402" s="195">
        <f t="shared" si="53"/>
        <v>0</v>
      </c>
      <c r="W402" s="196" t="e">
        <f t="shared" si="54"/>
        <v>#DIV/0!</v>
      </c>
      <c r="X402" s="197" t="e">
        <f t="shared" si="55"/>
        <v>#DIV/0!</v>
      </c>
    </row>
    <row r="403" ht="11.4" hidden="1" customHeight="1" spans="1:24">
      <c r="A403" s="184" t="s">
        <v>1625</v>
      </c>
      <c r="B403" s="184" t="s">
        <v>123</v>
      </c>
      <c r="C403" s="184" t="s">
        <v>1101</v>
      </c>
      <c r="D403" s="185" t="s">
        <v>522</v>
      </c>
      <c r="E403" s="186" t="s">
        <v>906</v>
      </c>
      <c r="F403" s="186" t="s">
        <v>907</v>
      </c>
      <c r="G403" s="186" t="s">
        <v>1102</v>
      </c>
      <c r="H403" s="186" t="s">
        <v>547</v>
      </c>
      <c r="I403" s="187" t="s">
        <v>1676</v>
      </c>
      <c r="J403" s="187" t="s">
        <v>1677</v>
      </c>
      <c r="K403" s="188"/>
      <c r="L403" s="188"/>
      <c r="M403" s="189" t="s">
        <v>847</v>
      </c>
      <c r="N403" s="190">
        <v>265.9</v>
      </c>
      <c r="O403" s="190">
        <f t="shared" si="48"/>
        <v>289.83</v>
      </c>
      <c r="P403" s="191">
        <f t="shared" si="49"/>
        <v>0</v>
      </c>
      <c r="Q403" s="192">
        <f t="shared" si="50"/>
        <v>0</v>
      </c>
      <c r="R403" s="193"/>
      <c r="S403" s="194"/>
      <c r="T403" s="195">
        <f t="shared" si="51"/>
        <v>0</v>
      </c>
      <c r="U403" s="195">
        <f t="shared" si="52"/>
        <v>0</v>
      </c>
      <c r="V403" s="195">
        <f t="shared" si="53"/>
        <v>0</v>
      </c>
      <c r="W403" s="196" t="e">
        <f t="shared" si="54"/>
        <v>#DIV/0!</v>
      </c>
      <c r="X403" s="197" t="e">
        <f t="shared" si="55"/>
        <v>#DIV/0!</v>
      </c>
    </row>
    <row r="404" ht="11.4" hidden="1" customHeight="1" spans="1:24">
      <c r="A404" s="184" t="s">
        <v>1625</v>
      </c>
      <c r="B404" s="184" t="s">
        <v>123</v>
      </c>
      <c r="C404" s="184" t="s">
        <v>1101</v>
      </c>
      <c r="D404" s="185" t="s">
        <v>522</v>
      </c>
      <c r="E404" s="186" t="s">
        <v>906</v>
      </c>
      <c r="F404" s="186" t="s">
        <v>907</v>
      </c>
      <c r="G404" s="186" t="s">
        <v>1102</v>
      </c>
      <c r="H404" s="186" t="s">
        <v>547</v>
      </c>
      <c r="I404" s="187" t="s">
        <v>1678</v>
      </c>
      <c r="J404" s="187" t="s">
        <v>1679</v>
      </c>
      <c r="K404" s="188"/>
      <c r="L404" s="188"/>
      <c r="M404" s="189" t="s">
        <v>847</v>
      </c>
      <c r="N404" s="190">
        <v>279.43</v>
      </c>
      <c r="O404" s="190">
        <f t="shared" si="48"/>
        <v>304.58</v>
      </c>
      <c r="P404" s="191">
        <f t="shared" si="49"/>
        <v>0</v>
      </c>
      <c r="Q404" s="192">
        <f t="shared" si="50"/>
        <v>0</v>
      </c>
      <c r="R404" s="193"/>
      <c r="S404" s="194"/>
      <c r="T404" s="195">
        <f t="shared" si="51"/>
        <v>0</v>
      </c>
      <c r="U404" s="195">
        <f t="shared" si="52"/>
        <v>0</v>
      </c>
      <c r="V404" s="195">
        <f t="shared" si="53"/>
        <v>0</v>
      </c>
      <c r="W404" s="196" t="e">
        <f t="shared" si="54"/>
        <v>#DIV/0!</v>
      </c>
      <c r="X404" s="197" t="e">
        <f t="shared" si="55"/>
        <v>#DIV/0!</v>
      </c>
    </row>
    <row r="405" ht="11.4" hidden="1" customHeight="1" spans="1:24">
      <c r="A405" s="184" t="s">
        <v>1625</v>
      </c>
      <c r="B405" s="184" t="s">
        <v>123</v>
      </c>
      <c r="C405" s="184" t="s">
        <v>1101</v>
      </c>
      <c r="D405" s="185" t="s">
        <v>522</v>
      </c>
      <c r="E405" s="186" t="s">
        <v>906</v>
      </c>
      <c r="F405" s="186" t="s">
        <v>907</v>
      </c>
      <c r="G405" s="186" t="s">
        <v>1102</v>
      </c>
      <c r="H405" s="186" t="s">
        <v>547</v>
      </c>
      <c r="I405" s="187" t="s">
        <v>1680</v>
      </c>
      <c r="J405" s="187" t="s">
        <v>1681</v>
      </c>
      <c r="K405" s="188"/>
      <c r="L405" s="188"/>
      <c r="M405" s="189" t="s">
        <v>847</v>
      </c>
      <c r="N405" s="190">
        <v>272.28</v>
      </c>
      <c r="O405" s="190">
        <f t="shared" si="48"/>
        <v>296.79</v>
      </c>
      <c r="P405" s="191">
        <f t="shared" si="49"/>
        <v>0</v>
      </c>
      <c r="Q405" s="192">
        <f t="shared" si="50"/>
        <v>0</v>
      </c>
      <c r="R405" s="193"/>
      <c r="S405" s="194"/>
      <c r="T405" s="195">
        <f t="shared" si="51"/>
        <v>0</v>
      </c>
      <c r="U405" s="195">
        <f t="shared" si="52"/>
        <v>0</v>
      </c>
      <c r="V405" s="195">
        <f t="shared" si="53"/>
        <v>0</v>
      </c>
      <c r="W405" s="196" t="e">
        <f t="shared" si="54"/>
        <v>#DIV/0!</v>
      </c>
      <c r="X405" s="197" t="e">
        <f t="shared" si="55"/>
        <v>#DIV/0!</v>
      </c>
    </row>
    <row r="406" ht="11.4" hidden="1" customHeight="1" spans="1:24">
      <c r="A406" s="184" t="s">
        <v>1625</v>
      </c>
      <c r="B406" s="184" t="s">
        <v>123</v>
      </c>
      <c r="C406" s="184" t="s">
        <v>1101</v>
      </c>
      <c r="D406" s="185" t="s">
        <v>522</v>
      </c>
      <c r="E406" s="186" t="s">
        <v>906</v>
      </c>
      <c r="F406" s="186" t="s">
        <v>907</v>
      </c>
      <c r="G406" s="186" t="s">
        <v>1102</v>
      </c>
      <c r="H406" s="186" t="s">
        <v>547</v>
      </c>
      <c r="I406" s="187" t="s">
        <v>1682</v>
      </c>
      <c r="J406" s="187" t="s">
        <v>1683</v>
      </c>
      <c r="K406" s="188"/>
      <c r="L406" s="188"/>
      <c r="M406" s="189" t="s">
        <v>847</v>
      </c>
      <c r="N406" s="190">
        <v>250.83</v>
      </c>
      <c r="O406" s="190">
        <f t="shared" si="48"/>
        <v>273.4</v>
      </c>
      <c r="P406" s="191">
        <f t="shared" si="49"/>
        <v>0</v>
      </c>
      <c r="Q406" s="192">
        <f t="shared" si="50"/>
        <v>0</v>
      </c>
      <c r="R406" s="193"/>
      <c r="S406" s="194"/>
      <c r="T406" s="195">
        <f t="shared" si="51"/>
        <v>0</v>
      </c>
      <c r="U406" s="195">
        <f t="shared" si="52"/>
        <v>0</v>
      </c>
      <c r="V406" s="195">
        <f t="shared" si="53"/>
        <v>0</v>
      </c>
      <c r="W406" s="196" t="e">
        <f t="shared" si="54"/>
        <v>#DIV/0!</v>
      </c>
      <c r="X406" s="197" t="e">
        <f t="shared" si="55"/>
        <v>#DIV/0!</v>
      </c>
    </row>
    <row r="407" ht="11.4" hidden="1" customHeight="1" spans="1:24">
      <c r="A407" s="184" t="s">
        <v>1625</v>
      </c>
      <c r="B407" s="184" t="s">
        <v>123</v>
      </c>
      <c r="C407" s="184" t="s">
        <v>1101</v>
      </c>
      <c r="D407" s="185" t="s">
        <v>522</v>
      </c>
      <c r="E407" s="186" t="s">
        <v>906</v>
      </c>
      <c r="F407" s="186" t="s">
        <v>907</v>
      </c>
      <c r="G407" s="186" t="s">
        <v>1102</v>
      </c>
      <c r="H407" s="186" t="s">
        <v>547</v>
      </c>
      <c r="I407" s="187" t="s">
        <v>1684</v>
      </c>
      <c r="J407" s="187" t="s">
        <v>1685</v>
      </c>
      <c r="K407" s="188"/>
      <c r="L407" s="188"/>
      <c r="M407" s="189" t="s">
        <v>847</v>
      </c>
      <c r="N407" s="190">
        <v>275.14</v>
      </c>
      <c r="O407" s="190">
        <f t="shared" si="48"/>
        <v>299.9</v>
      </c>
      <c r="P407" s="191">
        <f t="shared" si="49"/>
        <v>0</v>
      </c>
      <c r="Q407" s="192">
        <f t="shared" si="50"/>
        <v>0</v>
      </c>
      <c r="R407" s="193"/>
      <c r="S407" s="194"/>
      <c r="T407" s="195">
        <f t="shared" si="51"/>
        <v>0</v>
      </c>
      <c r="U407" s="195">
        <f t="shared" si="52"/>
        <v>0</v>
      </c>
      <c r="V407" s="195">
        <f t="shared" si="53"/>
        <v>0</v>
      </c>
      <c r="W407" s="196" t="e">
        <f t="shared" si="54"/>
        <v>#DIV/0!</v>
      </c>
      <c r="X407" s="197" t="e">
        <f t="shared" si="55"/>
        <v>#DIV/0!</v>
      </c>
    </row>
    <row r="408" ht="11.4" hidden="1" customHeight="1" spans="1:24">
      <c r="A408" s="184" t="s">
        <v>1625</v>
      </c>
      <c r="B408" s="184" t="s">
        <v>123</v>
      </c>
      <c r="C408" s="184" t="s">
        <v>1101</v>
      </c>
      <c r="D408" s="185" t="s">
        <v>522</v>
      </c>
      <c r="E408" s="186" t="s">
        <v>906</v>
      </c>
      <c r="F408" s="186" t="s">
        <v>907</v>
      </c>
      <c r="G408" s="186" t="s">
        <v>1102</v>
      </c>
      <c r="H408" s="186" t="s">
        <v>547</v>
      </c>
      <c r="I408" s="187" t="s">
        <v>1686</v>
      </c>
      <c r="J408" s="187" t="s">
        <v>1687</v>
      </c>
      <c r="K408" s="188"/>
      <c r="L408" s="188"/>
      <c r="M408" s="189" t="s">
        <v>807</v>
      </c>
      <c r="N408" s="190">
        <v>130.79</v>
      </c>
      <c r="O408" s="190">
        <f t="shared" si="48"/>
        <v>142.56</v>
      </c>
      <c r="P408" s="191">
        <f t="shared" si="49"/>
        <v>0</v>
      </c>
      <c r="Q408" s="192">
        <f t="shared" si="50"/>
        <v>0</v>
      </c>
      <c r="R408" s="193"/>
      <c r="S408" s="194"/>
      <c r="T408" s="195">
        <f t="shared" si="51"/>
        <v>0</v>
      </c>
      <c r="U408" s="195">
        <f t="shared" si="52"/>
        <v>0</v>
      </c>
      <c r="V408" s="195">
        <f t="shared" si="53"/>
        <v>0</v>
      </c>
      <c r="W408" s="196" t="e">
        <f t="shared" si="54"/>
        <v>#DIV/0!</v>
      </c>
      <c r="X408" s="197" t="e">
        <f t="shared" si="55"/>
        <v>#DIV/0!</v>
      </c>
    </row>
    <row r="409" ht="11.4" hidden="1" customHeight="1" spans="1:24">
      <c r="A409" s="184" t="s">
        <v>1625</v>
      </c>
      <c r="B409" s="184" t="s">
        <v>123</v>
      </c>
      <c r="C409" s="184" t="s">
        <v>1101</v>
      </c>
      <c r="D409" s="185" t="s">
        <v>522</v>
      </c>
      <c r="E409" s="186" t="s">
        <v>906</v>
      </c>
      <c r="F409" s="186" t="s">
        <v>907</v>
      </c>
      <c r="G409" s="186" t="s">
        <v>1102</v>
      </c>
      <c r="H409" s="186" t="s">
        <v>547</v>
      </c>
      <c r="I409" s="187" t="s">
        <v>1688</v>
      </c>
      <c r="J409" s="187" t="s">
        <v>1689</v>
      </c>
      <c r="K409" s="188"/>
      <c r="L409" s="188"/>
      <c r="M409" s="189" t="s">
        <v>847</v>
      </c>
      <c r="N409" s="190">
        <v>75.79</v>
      </c>
      <c r="O409" s="190">
        <f t="shared" si="48"/>
        <v>82.61</v>
      </c>
      <c r="P409" s="191">
        <f t="shared" si="49"/>
        <v>0</v>
      </c>
      <c r="Q409" s="192">
        <f t="shared" si="50"/>
        <v>0</v>
      </c>
      <c r="R409" s="193"/>
      <c r="S409" s="194"/>
      <c r="T409" s="195">
        <f t="shared" si="51"/>
        <v>0</v>
      </c>
      <c r="U409" s="195">
        <f t="shared" si="52"/>
        <v>0</v>
      </c>
      <c r="V409" s="195">
        <f t="shared" si="53"/>
        <v>0</v>
      </c>
      <c r="W409" s="196" t="e">
        <f t="shared" si="54"/>
        <v>#DIV/0!</v>
      </c>
      <c r="X409" s="197" t="e">
        <f t="shared" si="55"/>
        <v>#DIV/0!</v>
      </c>
    </row>
    <row r="410" ht="11.4" hidden="1" customHeight="1" spans="1:24">
      <c r="A410" s="184" t="s">
        <v>1625</v>
      </c>
      <c r="B410" s="184" t="s">
        <v>123</v>
      </c>
      <c r="C410" s="184" t="s">
        <v>1101</v>
      </c>
      <c r="D410" s="185" t="s">
        <v>522</v>
      </c>
      <c r="E410" s="186" t="s">
        <v>906</v>
      </c>
      <c r="F410" s="186" t="s">
        <v>907</v>
      </c>
      <c r="G410" s="186" t="s">
        <v>1102</v>
      </c>
      <c r="H410" s="186" t="s">
        <v>547</v>
      </c>
      <c r="I410" s="187" t="s">
        <v>1690</v>
      </c>
      <c r="J410" s="187" t="s">
        <v>1691</v>
      </c>
      <c r="K410" s="188"/>
      <c r="L410" s="188"/>
      <c r="M410" s="189" t="s">
        <v>807</v>
      </c>
      <c r="N410" s="190">
        <v>343.86</v>
      </c>
      <c r="O410" s="190">
        <f t="shared" si="48"/>
        <v>374.81</v>
      </c>
      <c r="P410" s="191">
        <f t="shared" si="49"/>
        <v>0</v>
      </c>
      <c r="Q410" s="192">
        <f t="shared" si="50"/>
        <v>0</v>
      </c>
      <c r="R410" s="193"/>
      <c r="S410" s="194"/>
      <c r="T410" s="195">
        <f t="shared" si="51"/>
        <v>0</v>
      </c>
      <c r="U410" s="195">
        <f t="shared" si="52"/>
        <v>0</v>
      </c>
      <c r="V410" s="195">
        <f t="shared" si="53"/>
        <v>0</v>
      </c>
      <c r="W410" s="196" t="e">
        <f t="shared" si="54"/>
        <v>#DIV/0!</v>
      </c>
      <c r="X410" s="197" t="e">
        <f t="shared" si="55"/>
        <v>#DIV/0!</v>
      </c>
    </row>
    <row r="411" ht="11.4" hidden="1" customHeight="1" spans="1:24">
      <c r="A411" s="184" t="s">
        <v>1625</v>
      </c>
      <c r="B411" s="184" t="s">
        <v>123</v>
      </c>
      <c r="C411" s="184" t="s">
        <v>1101</v>
      </c>
      <c r="D411" s="185" t="s">
        <v>522</v>
      </c>
      <c r="E411" s="186" t="s">
        <v>906</v>
      </c>
      <c r="F411" s="186" t="s">
        <v>907</v>
      </c>
      <c r="G411" s="186" t="s">
        <v>1102</v>
      </c>
      <c r="H411" s="186" t="s">
        <v>547</v>
      </c>
      <c r="I411" s="187" t="s">
        <v>1692</v>
      </c>
      <c r="J411" s="187" t="s">
        <v>1693</v>
      </c>
      <c r="K411" s="188"/>
      <c r="L411" s="188"/>
      <c r="M411" s="189" t="s">
        <v>807</v>
      </c>
      <c r="N411" s="190">
        <v>341.66</v>
      </c>
      <c r="O411" s="190">
        <f t="shared" si="48"/>
        <v>372.41</v>
      </c>
      <c r="P411" s="191">
        <f t="shared" si="49"/>
        <v>0</v>
      </c>
      <c r="Q411" s="192">
        <f t="shared" si="50"/>
        <v>0</v>
      </c>
      <c r="R411" s="193"/>
      <c r="S411" s="194"/>
      <c r="T411" s="195">
        <f t="shared" si="51"/>
        <v>0</v>
      </c>
      <c r="U411" s="195">
        <f t="shared" si="52"/>
        <v>0</v>
      </c>
      <c r="V411" s="195">
        <f t="shared" si="53"/>
        <v>0</v>
      </c>
      <c r="W411" s="196" t="e">
        <f t="shared" si="54"/>
        <v>#DIV/0!</v>
      </c>
      <c r="X411" s="197" t="e">
        <f t="shared" si="55"/>
        <v>#DIV/0!</v>
      </c>
    </row>
    <row r="412" ht="11.4" hidden="1" customHeight="1" spans="1:24">
      <c r="A412" s="184" t="s">
        <v>1625</v>
      </c>
      <c r="B412" s="184" t="s">
        <v>123</v>
      </c>
      <c r="C412" s="184" t="s">
        <v>1101</v>
      </c>
      <c r="D412" s="185" t="s">
        <v>522</v>
      </c>
      <c r="E412" s="186" t="s">
        <v>906</v>
      </c>
      <c r="F412" s="186" t="s">
        <v>907</v>
      </c>
      <c r="G412" s="186" t="s">
        <v>1102</v>
      </c>
      <c r="H412" s="186" t="s">
        <v>547</v>
      </c>
      <c r="I412" s="187" t="s">
        <v>1694</v>
      </c>
      <c r="J412" s="187" t="s">
        <v>1695</v>
      </c>
      <c r="K412" s="188"/>
      <c r="L412" s="188"/>
      <c r="M412" s="189" t="s">
        <v>807</v>
      </c>
      <c r="N412" s="190">
        <v>481.91</v>
      </c>
      <c r="O412" s="190">
        <f t="shared" si="48"/>
        <v>525.28</v>
      </c>
      <c r="P412" s="191">
        <f t="shared" si="49"/>
        <v>0</v>
      </c>
      <c r="Q412" s="192">
        <f t="shared" si="50"/>
        <v>0</v>
      </c>
      <c r="R412" s="193"/>
      <c r="S412" s="194"/>
      <c r="T412" s="195">
        <f t="shared" si="51"/>
        <v>0</v>
      </c>
      <c r="U412" s="195">
        <f t="shared" si="52"/>
        <v>0</v>
      </c>
      <c r="V412" s="195">
        <f t="shared" si="53"/>
        <v>0</v>
      </c>
      <c r="W412" s="196" t="e">
        <f t="shared" si="54"/>
        <v>#DIV/0!</v>
      </c>
      <c r="X412" s="197" t="e">
        <f t="shared" si="55"/>
        <v>#DIV/0!</v>
      </c>
    </row>
    <row r="413" ht="11.4" hidden="1" customHeight="1" spans="1:24">
      <c r="A413" s="184" t="s">
        <v>1625</v>
      </c>
      <c r="B413" s="184" t="s">
        <v>123</v>
      </c>
      <c r="C413" s="184" t="s">
        <v>1101</v>
      </c>
      <c r="D413" s="185" t="s">
        <v>522</v>
      </c>
      <c r="E413" s="186" t="s">
        <v>906</v>
      </c>
      <c r="F413" s="186" t="s">
        <v>907</v>
      </c>
      <c r="G413" s="186" t="s">
        <v>1102</v>
      </c>
      <c r="H413" s="186" t="s">
        <v>547</v>
      </c>
      <c r="I413" s="187" t="s">
        <v>1696</v>
      </c>
      <c r="J413" s="187" t="s">
        <v>1697</v>
      </c>
      <c r="K413" s="188"/>
      <c r="L413" s="188"/>
      <c r="M413" s="189" t="s">
        <v>807</v>
      </c>
      <c r="N413" s="190">
        <v>232.76</v>
      </c>
      <c r="O413" s="190">
        <f t="shared" si="48"/>
        <v>253.71</v>
      </c>
      <c r="P413" s="191">
        <f t="shared" si="49"/>
        <v>0</v>
      </c>
      <c r="Q413" s="192">
        <f t="shared" si="50"/>
        <v>0</v>
      </c>
      <c r="R413" s="193"/>
      <c r="S413" s="194"/>
      <c r="T413" s="195">
        <f t="shared" si="51"/>
        <v>0</v>
      </c>
      <c r="U413" s="195">
        <f t="shared" si="52"/>
        <v>0</v>
      </c>
      <c r="V413" s="195">
        <f t="shared" si="53"/>
        <v>0</v>
      </c>
      <c r="W413" s="196" t="e">
        <f t="shared" si="54"/>
        <v>#DIV/0!</v>
      </c>
      <c r="X413" s="197" t="e">
        <f t="shared" si="55"/>
        <v>#DIV/0!</v>
      </c>
    </row>
    <row r="414" ht="11.4" hidden="1" customHeight="1" spans="1:24">
      <c r="A414" s="184" t="s">
        <v>1625</v>
      </c>
      <c r="B414" s="184" t="s">
        <v>123</v>
      </c>
      <c r="C414" s="184" t="s">
        <v>1101</v>
      </c>
      <c r="D414" s="185" t="s">
        <v>522</v>
      </c>
      <c r="E414" s="186" t="s">
        <v>906</v>
      </c>
      <c r="F414" s="186" t="s">
        <v>907</v>
      </c>
      <c r="G414" s="186" t="s">
        <v>1102</v>
      </c>
      <c r="H414" s="186" t="s">
        <v>547</v>
      </c>
      <c r="I414" s="187" t="s">
        <v>1698</v>
      </c>
      <c r="J414" s="187" t="s">
        <v>1699</v>
      </c>
      <c r="K414" s="188"/>
      <c r="L414" s="188"/>
      <c r="M414" s="189" t="s">
        <v>847</v>
      </c>
      <c r="N414" s="190">
        <v>606.85</v>
      </c>
      <c r="O414" s="190">
        <f t="shared" si="48"/>
        <v>661.47</v>
      </c>
      <c r="P414" s="191">
        <f t="shared" si="49"/>
        <v>0</v>
      </c>
      <c r="Q414" s="192">
        <f t="shared" si="50"/>
        <v>0</v>
      </c>
      <c r="R414" s="193"/>
      <c r="S414" s="194"/>
      <c r="T414" s="195">
        <f t="shared" si="51"/>
        <v>0</v>
      </c>
      <c r="U414" s="195">
        <f t="shared" si="52"/>
        <v>0</v>
      </c>
      <c r="V414" s="195">
        <f t="shared" si="53"/>
        <v>0</v>
      </c>
      <c r="W414" s="196" t="e">
        <f t="shared" si="54"/>
        <v>#DIV/0!</v>
      </c>
      <c r="X414" s="197" t="e">
        <f t="shared" si="55"/>
        <v>#DIV/0!</v>
      </c>
    </row>
    <row r="415" ht="11.4" hidden="1" customHeight="1" spans="1:24">
      <c r="A415" s="184" t="s">
        <v>1625</v>
      </c>
      <c r="B415" s="184" t="s">
        <v>123</v>
      </c>
      <c r="C415" s="184" t="s">
        <v>1101</v>
      </c>
      <c r="D415" s="185" t="s">
        <v>522</v>
      </c>
      <c r="E415" s="186" t="s">
        <v>906</v>
      </c>
      <c r="F415" s="186" t="s">
        <v>907</v>
      </c>
      <c r="G415" s="186" t="s">
        <v>1102</v>
      </c>
      <c r="H415" s="186" t="s">
        <v>547</v>
      </c>
      <c r="I415" s="187" t="s">
        <v>1700</v>
      </c>
      <c r="J415" s="187" t="s">
        <v>1701</v>
      </c>
      <c r="K415" s="188"/>
      <c r="L415" s="188"/>
      <c r="M415" s="189" t="s">
        <v>807</v>
      </c>
      <c r="N415" s="190">
        <v>930.48</v>
      </c>
      <c r="O415" s="190">
        <f t="shared" si="48"/>
        <v>1014.22</v>
      </c>
      <c r="P415" s="191">
        <f t="shared" si="49"/>
        <v>0</v>
      </c>
      <c r="Q415" s="192">
        <f t="shared" si="50"/>
        <v>0</v>
      </c>
      <c r="R415" s="193"/>
      <c r="S415" s="194"/>
      <c r="T415" s="195">
        <f t="shared" si="51"/>
        <v>0</v>
      </c>
      <c r="U415" s="195">
        <f t="shared" si="52"/>
        <v>0</v>
      </c>
      <c r="V415" s="195">
        <f t="shared" si="53"/>
        <v>0</v>
      </c>
      <c r="W415" s="196" t="e">
        <f t="shared" si="54"/>
        <v>#DIV/0!</v>
      </c>
      <c r="X415" s="197" t="e">
        <f t="shared" si="55"/>
        <v>#DIV/0!</v>
      </c>
    </row>
    <row r="416" ht="11.4" hidden="1" customHeight="1" spans="1:24">
      <c r="A416" s="184" t="s">
        <v>1625</v>
      </c>
      <c r="B416" s="184" t="s">
        <v>123</v>
      </c>
      <c r="C416" s="184" t="s">
        <v>1101</v>
      </c>
      <c r="D416" s="185" t="s">
        <v>522</v>
      </c>
      <c r="E416" s="186" t="s">
        <v>906</v>
      </c>
      <c r="F416" s="186" t="s">
        <v>907</v>
      </c>
      <c r="G416" s="186" t="s">
        <v>1102</v>
      </c>
      <c r="H416" s="186" t="s">
        <v>547</v>
      </c>
      <c r="I416" s="187" t="s">
        <v>1702</v>
      </c>
      <c r="J416" s="187" t="s">
        <v>1703</v>
      </c>
      <c r="K416" s="188"/>
      <c r="L416" s="188"/>
      <c r="M416" s="189" t="s">
        <v>847</v>
      </c>
      <c r="N416" s="190">
        <v>233.36</v>
      </c>
      <c r="O416" s="190">
        <f t="shared" si="48"/>
        <v>254.36</v>
      </c>
      <c r="P416" s="191">
        <f t="shared" si="49"/>
        <v>0</v>
      </c>
      <c r="Q416" s="192">
        <f t="shared" si="50"/>
        <v>0</v>
      </c>
      <c r="R416" s="193"/>
      <c r="S416" s="194"/>
      <c r="T416" s="195">
        <f t="shared" si="51"/>
        <v>0</v>
      </c>
      <c r="U416" s="195">
        <f t="shared" si="52"/>
        <v>0</v>
      </c>
      <c r="V416" s="195">
        <f t="shared" si="53"/>
        <v>0</v>
      </c>
      <c r="W416" s="196" t="e">
        <f t="shared" si="54"/>
        <v>#DIV/0!</v>
      </c>
      <c r="X416" s="197" t="e">
        <f t="shared" si="55"/>
        <v>#DIV/0!</v>
      </c>
    </row>
    <row r="417" ht="11.4" hidden="1" customHeight="1" spans="1:24">
      <c r="A417" s="184" t="s">
        <v>1625</v>
      </c>
      <c r="B417" s="184" t="s">
        <v>123</v>
      </c>
      <c r="C417" s="184" t="s">
        <v>1101</v>
      </c>
      <c r="D417" s="185" t="s">
        <v>522</v>
      </c>
      <c r="E417" s="186" t="s">
        <v>906</v>
      </c>
      <c r="F417" s="186" t="s">
        <v>907</v>
      </c>
      <c r="G417" s="186" t="s">
        <v>1102</v>
      </c>
      <c r="H417" s="186" t="s">
        <v>547</v>
      </c>
      <c r="I417" s="187" t="s">
        <v>1704</v>
      </c>
      <c r="J417" s="187" t="s">
        <v>1705</v>
      </c>
      <c r="K417" s="188"/>
      <c r="L417" s="188"/>
      <c r="M417" s="189" t="s">
        <v>847</v>
      </c>
      <c r="N417" s="190">
        <v>163.76</v>
      </c>
      <c r="O417" s="190">
        <f t="shared" si="48"/>
        <v>178.5</v>
      </c>
      <c r="P417" s="191">
        <f t="shared" si="49"/>
        <v>0</v>
      </c>
      <c r="Q417" s="192">
        <f t="shared" si="50"/>
        <v>0</v>
      </c>
      <c r="R417" s="193"/>
      <c r="S417" s="194"/>
      <c r="T417" s="195">
        <f t="shared" si="51"/>
        <v>0</v>
      </c>
      <c r="U417" s="195">
        <f t="shared" si="52"/>
        <v>0</v>
      </c>
      <c r="V417" s="195">
        <f t="shared" si="53"/>
        <v>0</v>
      </c>
      <c r="W417" s="196" t="e">
        <f t="shared" si="54"/>
        <v>#DIV/0!</v>
      </c>
      <c r="X417" s="197" t="e">
        <f t="shared" si="55"/>
        <v>#DIV/0!</v>
      </c>
    </row>
    <row r="418" ht="11.4" hidden="1" customHeight="1" spans="1:24">
      <c r="A418" s="184" t="s">
        <v>1625</v>
      </c>
      <c r="B418" s="184" t="s">
        <v>123</v>
      </c>
      <c r="C418" s="184" t="s">
        <v>1101</v>
      </c>
      <c r="D418" s="185" t="s">
        <v>522</v>
      </c>
      <c r="E418" s="186" t="s">
        <v>906</v>
      </c>
      <c r="F418" s="186" t="s">
        <v>907</v>
      </c>
      <c r="G418" s="186" t="s">
        <v>1102</v>
      </c>
      <c r="H418" s="186" t="s">
        <v>547</v>
      </c>
      <c r="I418" s="187" t="s">
        <v>1336</v>
      </c>
      <c r="J418" s="187" t="s">
        <v>1337</v>
      </c>
      <c r="K418" s="188"/>
      <c r="L418" s="188"/>
      <c r="M418" s="189" t="s">
        <v>847</v>
      </c>
      <c r="N418" s="190">
        <v>62.19</v>
      </c>
      <c r="O418" s="190">
        <f t="shared" si="48"/>
        <v>67.79</v>
      </c>
      <c r="P418" s="191">
        <f t="shared" si="49"/>
        <v>0</v>
      </c>
      <c r="Q418" s="192">
        <f t="shared" si="50"/>
        <v>0</v>
      </c>
      <c r="R418" s="193"/>
      <c r="S418" s="194"/>
      <c r="T418" s="195">
        <f t="shared" si="51"/>
        <v>0</v>
      </c>
      <c r="U418" s="195">
        <f t="shared" si="52"/>
        <v>0</v>
      </c>
      <c r="V418" s="195">
        <f t="shared" si="53"/>
        <v>0</v>
      </c>
      <c r="W418" s="196" t="e">
        <f t="shared" si="54"/>
        <v>#DIV/0!</v>
      </c>
      <c r="X418" s="197" t="e">
        <f t="shared" si="55"/>
        <v>#DIV/0!</v>
      </c>
    </row>
    <row r="419" ht="11.4" hidden="1" customHeight="1" spans="1:24">
      <c r="A419" s="184" t="s">
        <v>1706</v>
      </c>
      <c r="B419" s="184" t="s">
        <v>125</v>
      </c>
      <c r="C419" s="184" t="s">
        <v>1101</v>
      </c>
      <c r="D419" s="185" t="s">
        <v>522</v>
      </c>
      <c r="E419" s="186" t="s">
        <v>906</v>
      </c>
      <c r="F419" s="186" t="s">
        <v>907</v>
      </c>
      <c r="G419" s="186" t="s">
        <v>1102</v>
      </c>
      <c r="H419" s="186" t="s">
        <v>1707</v>
      </c>
      <c r="I419" s="187" t="s">
        <v>1104</v>
      </c>
      <c r="J419" s="187" t="s">
        <v>1105</v>
      </c>
      <c r="K419" s="188"/>
      <c r="L419" s="188"/>
      <c r="M419" s="189" t="s">
        <v>847</v>
      </c>
      <c r="N419" s="190">
        <v>180.78</v>
      </c>
      <c r="O419" s="190">
        <f t="shared" si="48"/>
        <v>197.05</v>
      </c>
      <c r="P419" s="191">
        <f t="shared" si="49"/>
        <v>0</v>
      </c>
      <c r="Q419" s="192">
        <f t="shared" si="50"/>
        <v>0</v>
      </c>
      <c r="R419" s="193"/>
      <c r="S419" s="194"/>
      <c r="T419" s="195">
        <f t="shared" si="51"/>
        <v>0</v>
      </c>
      <c r="U419" s="195">
        <f t="shared" si="52"/>
        <v>0</v>
      </c>
      <c r="V419" s="195">
        <f t="shared" si="53"/>
        <v>0</v>
      </c>
      <c r="W419" s="196" t="e">
        <f t="shared" si="54"/>
        <v>#DIV/0!</v>
      </c>
      <c r="X419" s="197" t="e">
        <f t="shared" si="55"/>
        <v>#DIV/0!</v>
      </c>
    </row>
    <row r="420" ht="11.4" hidden="1" customHeight="1" spans="1:24">
      <c r="A420" s="184" t="s">
        <v>1706</v>
      </c>
      <c r="B420" s="184" t="s">
        <v>125</v>
      </c>
      <c r="C420" s="184" t="s">
        <v>1101</v>
      </c>
      <c r="D420" s="185" t="s">
        <v>522</v>
      </c>
      <c r="E420" s="186" t="s">
        <v>906</v>
      </c>
      <c r="F420" s="186" t="s">
        <v>907</v>
      </c>
      <c r="G420" s="186" t="s">
        <v>1102</v>
      </c>
      <c r="H420" s="186" t="s">
        <v>1707</v>
      </c>
      <c r="I420" s="187" t="s">
        <v>1106</v>
      </c>
      <c r="J420" s="187" t="s">
        <v>1107</v>
      </c>
      <c r="K420" s="188"/>
      <c r="L420" s="188"/>
      <c r="M420" s="189" t="s">
        <v>807</v>
      </c>
      <c r="N420" s="190">
        <v>41.36</v>
      </c>
      <c r="O420" s="190">
        <f t="shared" si="48"/>
        <v>45.08</v>
      </c>
      <c r="P420" s="191">
        <f t="shared" si="49"/>
        <v>0</v>
      </c>
      <c r="Q420" s="192">
        <f t="shared" si="50"/>
        <v>0</v>
      </c>
      <c r="R420" s="193"/>
      <c r="S420" s="194"/>
      <c r="T420" s="195">
        <f t="shared" si="51"/>
        <v>0</v>
      </c>
      <c r="U420" s="195">
        <f t="shared" si="52"/>
        <v>0</v>
      </c>
      <c r="V420" s="195">
        <f t="shared" si="53"/>
        <v>0</v>
      </c>
      <c r="W420" s="196" t="e">
        <f t="shared" si="54"/>
        <v>#DIV/0!</v>
      </c>
      <c r="X420" s="197" t="e">
        <f t="shared" si="55"/>
        <v>#DIV/0!</v>
      </c>
    </row>
    <row r="421" ht="11.4" hidden="1" customHeight="1" spans="1:24">
      <c r="A421" s="184" t="s">
        <v>1706</v>
      </c>
      <c r="B421" s="184" t="s">
        <v>125</v>
      </c>
      <c r="C421" s="184" t="s">
        <v>1101</v>
      </c>
      <c r="D421" s="185" t="s">
        <v>522</v>
      </c>
      <c r="E421" s="186" t="s">
        <v>906</v>
      </c>
      <c r="F421" s="186" t="s">
        <v>907</v>
      </c>
      <c r="G421" s="186" t="s">
        <v>1102</v>
      </c>
      <c r="H421" s="186" t="s">
        <v>1707</v>
      </c>
      <c r="I421" s="187" t="s">
        <v>1109</v>
      </c>
      <c r="J421" s="187" t="s">
        <v>1110</v>
      </c>
      <c r="K421" s="188"/>
      <c r="L421" s="188"/>
      <c r="M421" s="189" t="s">
        <v>847</v>
      </c>
      <c r="N421" s="190">
        <v>160.21</v>
      </c>
      <c r="O421" s="190">
        <f t="shared" si="48"/>
        <v>174.63</v>
      </c>
      <c r="P421" s="191">
        <f t="shared" si="49"/>
        <v>0</v>
      </c>
      <c r="Q421" s="192">
        <f t="shared" si="50"/>
        <v>0</v>
      </c>
      <c r="R421" s="193"/>
      <c r="S421" s="194"/>
      <c r="T421" s="195">
        <f t="shared" si="51"/>
        <v>0</v>
      </c>
      <c r="U421" s="195">
        <f t="shared" si="52"/>
        <v>0</v>
      </c>
      <c r="V421" s="195">
        <f t="shared" si="53"/>
        <v>0</v>
      </c>
      <c r="W421" s="196" t="e">
        <f t="shared" si="54"/>
        <v>#DIV/0!</v>
      </c>
      <c r="X421" s="197" t="e">
        <f t="shared" si="55"/>
        <v>#DIV/0!</v>
      </c>
    </row>
    <row r="422" ht="11.4" hidden="1" customHeight="1" spans="1:24">
      <c r="A422" s="184" t="s">
        <v>1706</v>
      </c>
      <c r="B422" s="184" t="s">
        <v>125</v>
      </c>
      <c r="C422" s="184" t="s">
        <v>1101</v>
      </c>
      <c r="D422" s="185" t="s">
        <v>522</v>
      </c>
      <c r="E422" s="186" t="s">
        <v>906</v>
      </c>
      <c r="F422" s="186" t="s">
        <v>907</v>
      </c>
      <c r="G422" s="186" t="s">
        <v>1102</v>
      </c>
      <c r="H422" s="186" t="s">
        <v>1707</v>
      </c>
      <c r="I422" s="187" t="s">
        <v>1111</v>
      </c>
      <c r="J422" s="187" t="s">
        <v>1112</v>
      </c>
      <c r="K422" s="188"/>
      <c r="L422" s="188"/>
      <c r="M422" s="189" t="s">
        <v>807</v>
      </c>
      <c r="N422" s="190">
        <v>38.94</v>
      </c>
      <c r="O422" s="190">
        <f t="shared" si="48"/>
        <v>42.44</v>
      </c>
      <c r="P422" s="191">
        <f t="shared" si="49"/>
        <v>0</v>
      </c>
      <c r="Q422" s="192">
        <f t="shared" si="50"/>
        <v>0</v>
      </c>
      <c r="R422" s="193"/>
      <c r="S422" s="194"/>
      <c r="T422" s="195">
        <f t="shared" si="51"/>
        <v>0</v>
      </c>
      <c r="U422" s="195">
        <f t="shared" si="52"/>
        <v>0</v>
      </c>
      <c r="V422" s="195">
        <f t="shared" si="53"/>
        <v>0</v>
      </c>
      <c r="W422" s="196" t="e">
        <f t="shared" si="54"/>
        <v>#DIV/0!</v>
      </c>
      <c r="X422" s="197" t="e">
        <f t="shared" si="55"/>
        <v>#DIV/0!</v>
      </c>
    </row>
    <row r="423" ht="11.4" hidden="1" customHeight="1" spans="1:24">
      <c r="A423" s="184" t="s">
        <v>1706</v>
      </c>
      <c r="B423" s="184" t="s">
        <v>125</v>
      </c>
      <c r="C423" s="184" t="s">
        <v>1101</v>
      </c>
      <c r="D423" s="185" t="s">
        <v>522</v>
      </c>
      <c r="E423" s="186" t="s">
        <v>906</v>
      </c>
      <c r="F423" s="186" t="s">
        <v>907</v>
      </c>
      <c r="G423" s="186" t="s">
        <v>1102</v>
      </c>
      <c r="H423" s="186" t="s">
        <v>1707</v>
      </c>
      <c r="I423" s="187" t="s">
        <v>1113</v>
      </c>
      <c r="J423" s="187" t="s">
        <v>1114</v>
      </c>
      <c r="K423" s="188">
        <v>4.12</v>
      </c>
      <c r="L423" s="188">
        <v>4.12</v>
      </c>
      <c r="M423" s="189" t="s">
        <v>847</v>
      </c>
      <c r="N423" s="190">
        <v>181.99</v>
      </c>
      <c r="O423" s="190">
        <f t="shared" si="48"/>
        <v>198.37</v>
      </c>
      <c r="P423" s="191">
        <f t="shared" si="49"/>
        <v>749.8</v>
      </c>
      <c r="Q423" s="192">
        <f t="shared" si="50"/>
        <v>749.8</v>
      </c>
      <c r="R423" s="193"/>
      <c r="S423" s="194"/>
      <c r="T423" s="195">
        <f t="shared" si="51"/>
        <v>0</v>
      </c>
      <c r="U423" s="195">
        <f t="shared" si="52"/>
        <v>0</v>
      </c>
      <c r="V423" s="195">
        <f t="shared" si="53"/>
        <v>0</v>
      </c>
      <c r="W423" s="196">
        <f t="shared" si="54"/>
        <v>0</v>
      </c>
      <c r="X423" s="197">
        <f t="shared" si="55"/>
        <v>0</v>
      </c>
    </row>
    <row r="424" ht="11.4" hidden="1" customHeight="1" spans="1:24">
      <c r="A424" s="184" t="s">
        <v>1706</v>
      </c>
      <c r="B424" s="184" t="s">
        <v>125</v>
      </c>
      <c r="C424" s="184" t="s">
        <v>1101</v>
      </c>
      <c r="D424" s="185" t="s">
        <v>522</v>
      </c>
      <c r="E424" s="186" t="s">
        <v>906</v>
      </c>
      <c r="F424" s="186" t="s">
        <v>907</v>
      </c>
      <c r="G424" s="186" t="s">
        <v>1102</v>
      </c>
      <c r="H424" s="186" t="s">
        <v>1707</v>
      </c>
      <c r="I424" s="187" t="s">
        <v>1115</v>
      </c>
      <c r="J424" s="187" t="s">
        <v>1116</v>
      </c>
      <c r="K424" s="188"/>
      <c r="L424" s="188"/>
      <c r="M424" s="189" t="s">
        <v>807</v>
      </c>
      <c r="N424" s="190">
        <v>42.57</v>
      </c>
      <c r="O424" s="190">
        <f t="shared" si="48"/>
        <v>46.4</v>
      </c>
      <c r="P424" s="191">
        <f t="shared" si="49"/>
        <v>0</v>
      </c>
      <c r="Q424" s="192">
        <f t="shared" si="50"/>
        <v>0</v>
      </c>
      <c r="R424" s="193"/>
      <c r="S424" s="194"/>
      <c r="T424" s="195">
        <f t="shared" si="51"/>
        <v>0</v>
      </c>
      <c r="U424" s="195">
        <f t="shared" si="52"/>
        <v>0</v>
      </c>
      <c r="V424" s="195">
        <f t="shared" si="53"/>
        <v>0</v>
      </c>
      <c r="W424" s="196" t="e">
        <f t="shared" si="54"/>
        <v>#DIV/0!</v>
      </c>
      <c r="X424" s="197" t="e">
        <f t="shared" si="55"/>
        <v>#DIV/0!</v>
      </c>
    </row>
    <row r="425" ht="11.4" hidden="1" customHeight="1" spans="1:24">
      <c r="A425" s="184" t="s">
        <v>1706</v>
      </c>
      <c r="B425" s="184" t="s">
        <v>125</v>
      </c>
      <c r="C425" s="184" t="s">
        <v>1101</v>
      </c>
      <c r="D425" s="185" t="s">
        <v>522</v>
      </c>
      <c r="E425" s="186" t="s">
        <v>906</v>
      </c>
      <c r="F425" s="186" t="s">
        <v>907</v>
      </c>
      <c r="G425" s="186" t="s">
        <v>1102</v>
      </c>
      <c r="H425" s="186" t="s">
        <v>1707</v>
      </c>
      <c r="I425" s="187" t="s">
        <v>1117</v>
      </c>
      <c r="J425" s="187" t="s">
        <v>1118</v>
      </c>
      <c r="K425" s="188"/>
      <c r="L425" s="188"/>
      <c r="M425" s="189" t="s">
        <v>847</v>
      </c>
      <c r="N425" s="190">
        <v>187.98</v>
      </c>
      <c r="O425" s="190">
        <f t="shared" si="48"/>
        <v>204.9</v>
      </c>
      <c r="P425" s="191">
        <f t="shared" si="49"/>
        <v>0</v>
      </c>
      <c r="Q425" s="192">
        <f t="shared" si="50"/>
        <v>0</v>
      </c>
      <c r="R425" s="193"/>
      <c r="S425" s="194"/>
      <c r="T425" s="195">
        <f t="shared" si="51"/>
        <v>0</v>
      </c>
      <c r="U425" s="195">
        <f t="shared" si="52"/>
        <v>0</v>
      </c>
      <c r="V425" s="195">
        <f t="shared" si="53"/>
        <v>0</v>
      </c>
      <c r="W425" s="196" t="e">
        <f t="shared" si="54"/>
        <v>#DIV/0!</v>
      </c>
      <c r="X425" s="197" t="e">
        <f t="shared" si="55"/>
        <v>#DIV/0!</v>
      </c>
    </row>
    <row r="426" ht="11.4" hidden="1" customHeight="1" spans="1:24">
      <c r="A426" s="184" t="s">
        <v>1706</v>
      </c>
      <c r="B426" s="184" t="s">
        <v>125</v>
      </c>
      <c r="C426" s="184" t="s">
        <v>1101</v>
      </c>
      <c r="D426" s="185" t="s">
        <v>522</v>
      </c>
      <c r="E426" s="186" t="s">
        <v>906</v>
      </c>
      <c r="F426" s="186" t="s">
        <v>907</v>
      </c>
      <c r="G426" s="186" t="s">
        <v>1102</v>
      </c>
      <c r="H426" s="186" t="s">
        <v>1707</v>
      </c>
      <c r="I426" s="187" t="s">
        <v>1119</v>
      </c>
      <c r="J426" s="187" t="s">
        <v>1120</v>
      </c>
      <c r="K426" s="188"/>
      <c r="L426" s="188"/>
      <c r="M426" s="189" t="s">
        <v>847</v>
      </c>
      <c r="N426" s="190">
        <v>171.66</v>
      </c>
      <c r="O426" s="190">
        <f t="shared" si="48"/>
        <v>187.11</v>
      </c>
      <c r="P426" s="191">
        <f t="shared" si="49"/>
        <v>0</v>
      </c>
      <c r="Q426" s="192">
        <f t="shared" si="50"/>
        <v>0</v>
      </c>
      <c r="R426" s="193"/>
      <c r="S426" s="194"/>
      <c r="T426" s="195">
        <f t="shared" si="51"/>
        <v>0</v>
      </c>
      <c r="U426" s="195">
        <f t="shared" si="52"/>
        <v>0</v>
      </c>
      <c r="V426" s="195">
        <f t="shared" si="53"/>
        <v>0</v>
      </c>
      <c r="W426" s="196" t="e">
        <f t="shared" si="54"/>
        <v>#DIV/0!</v>
      </c>
      <c r="X426" s="197" t="e">
        <f t="shared" si="55"/>
        <v>#DIV/0!</v>
      </c>
    </row>
    <row r="427" ht="11.4" hidden="1" customHeight="1" spans="1:24">
      <c r="A427" s="184" t="s">
        <v>1706</v>
      </c>
      <c r="B427" s="184" t="s">
        <v>125</v>
      </c>
      <c r="C427" s="184" t="s">
        <v>1101</v>
      </c>
      <c r="D427" s="185" t="s">
        <v>522</v>
      </c>
      <c r="E427" s="186" t="s">
        <v>906</v>
      </c>
      <c r="F427" s="186" t="s">
        <v>907</v>
      </c>
      <c r="G427" s="186" t="s">
        <v>1102</v>
      </c>
      <c r="H427" s="186" t="s">
        <v>1707</v>
      </c>
      <c r="I427" s="187" t="s">
        <v>1121</v>
      </c>
      <c r="J427" s="187" t="s">
        <v>1122</v>
      </c>
      <c r="K427" s="188"/>
      <c r="L427" s="188"/>
      <c r="M427" s="189" t="s">
        <v>847</v>
      </c>
      <c r="N427" s="190">
        <v>189.15</v>
      </c>
      <c r="O427" s="190">
        <f t="shared" si="48"/>
        <v>206.17</v>
      </c>
      <c r="P427" s="191">
        <f t="shared" si="49"/>
        <v>0</v>
      </c>
      <c r="Q427" s="192">
        <f t="shared" si="50"/>
        <v>0</v>
      </c>
      <c r="R427" s="193"/>
      <c r="S427" s="194"/>
      <c r="T427" s="195">
        <f t="shared" si="51"/>
        <v>0</v>
      </c>
      <c r="U427" s="195">
        <f t="shared" si="52"/>
        <v>0</v>
      </c>
      <c r="V427" s="195">
        <f t="shared" si="53"/>
        <v>0</v>
      </c>
      <c r="W427" s="196" t="e">
        <f t="shared" si="54"/>
        <v>#DIV/0!</v>
      </c>
      <c r="X427" s="197" t="e">
        <f t="shared" si="55"/>
        <v>#DIV/0!</v>
      </c>
    </row>
    <row r="428" ht="11.4" hidden="1" customHeight="1" spans="1:24">
      <c r="A428" s="184" t="s">
        <v>1706</v>
      </c>
      <c r="B428" s="184" t="s">
        <v>125</v>
      </c>
      <c r="C428" s="184" t="s">
        <v>1101</v>
      </c>
      <c r="D428" s="185" t="s">
        <v>522</v>
      </c>
      <c r="E428" s="186" t="s">
        <v>906</v>
      </c>
      <c r="F428" s="186" t="s">
        <v>907</v>
      </c>
      <c r="G428" s="186" t="s">
        <v>1102</v>
      </c>
      <c r="H428" s="186" t="s">
        <v>1707</v>
      </c>
      <c r="I428" s="187" t="s">
        <v>1123</v>
      </c>
      <c r="J428" s="187" t="s">
        <v>1124</v>
      </c>
      <c r="K428" s="188"/>
      <c r="L428" s="188"/>
      <c r="M428" s="189" t="s">
        <v>807</v>
      </c>
      <c r="N428" s="190">
        <v>41.36</v>
      </c>
      <c r="O428" s="190">
        <f t="shared" si="48"/>
        <v>45.08</v>
      </c>
      <c r="P428" s="191">
        <f t="shared" si="49"/>
        <v>0</v>
      </c>
      <c r="Q428" s="192">
        <f t="shared" si="50"/>
        <v>0</v>
      </c>
      <c r="R428" s="193"/>
      <c r="S428" s="194"/>
      <c r="T428" s="195">
        <f t="shared" si="51"/>
        <v>0</v>
      </c>
      <c r="U428" s="195">
        <f t="shared" si="52"/>
        <v>0</v>
      </c>
      <c r="V428" s="195">
        <f t="shared" si="53"/>
        <v>0</v>
      </c>
      <c r="W428" s="196" t="e">
        <f t="shared" si="54"/>
        <v>#DIV/0!</v>
      </c>
      <c r="X428" s="197" t="e">
        <f t="shared" si="55"/>
        <v>#DIV/0!</v>
      </c>
    </row>
    <row r="429" ht="11.4" hidden="1" customHeight="1" spans="1:24">
      <c r="A429" s="184" t="s">
        <v>1706</v>
      </c>
      <c r="B429" s="184" t="s">
        <v>125</v>
      </c>
      <c r="C429" s="184" t="s">
        <v>1101</v>
      </c>
      <c r="D429" s="185" t="s">
        <v>522</v>
      </c>
      <c r="E429" s="186" t="s">
        <v>906</v>
      </c>
      <c r="F429" s="186" t="s">
        <v>907</v>
      </c>
      <c r="G429" s="186" t="s">
        <v>1102</v>
      </c>
      <c r="H429" s="186" t="s">
        <v>1707</v>
      </c>
      <c r="I429" s="187" t="s">
        <v>1125</v>
      </c>
      <c r="J429" s="187" t="s">
        <v>1126</v>
      </c>
      <c r="K429" s="188"/>
      <c r="L429" s="188"/>
      <c r="M429" s="189" t="s">
        <v>807</v>
      </c>
      <c r="N429" s="190">
        <v>38.94</v>
      </c>
      <c r="O429" s="190">
        <f t="shared" si="48"/>
        <v>42.44</v>
      </c>
      <c r="P429" s="191">
        <f t="shared" si="49"/>
        <v>0</v>
      </c>
      <c r="Q429" s="192">
        <f t="shared" si="50"/>
        <v>0</v>
      </c>
      <c r="R429" s="193"/>
      <c r="S429" s="194"/>
      <c r="T429" s="195">
        <f t="shared" si="51"/>
        <v>0</v>
      </c>
      <c r="U429" s="195">
        <f t="shared" si="52"/>
        <v>0</v>
      </c>
      <c r="V429" s="195">
        <f t="shared" si="53"/>
        <v>0</v>
      </c>
      <c r="W429" s="196" t="e">
        <f t="shared" si="54"/>
        <v>#DIV/0!</v>
      </c>
      <c r="X429" s="197" t="e">
        <f t="shared" si="55"/>
        <v>#DIV/0!</v>
      </c>
    </row>
    <row r="430" ht="11.4" hidden="1" customHeight="1" spans="1:24">
      <c r="A430" s="184" t="s">
        <v>1706</v>
      </c>
      <c r="B430" s="184" t="s">
        <v>125</v>
      </c>
      <c r="C430" s="184" t="s">
        <v>1101</v>
      </c>
      <c r="D430" s="185" t="s">
        <v>522</v>
      </c>
      <c r="E430" s="186" t="s">
        <v>906</v>
      </c>
      <c r="F430" s="186" t="s">
        <v>907</v>
      </c>
      <c r="G430" s="186" t="s">
        <v>1102</v>
      </c>
      <c r="H430" s="186" t="s">
        <v>1707</v>
      </c>
      <c r="I430" s="187" t="s">
        <v>1127</v>
      </c>
      <c r="J430" s="187" t="s">
        <v>1128</v>
      </c>
      <c r="K430" s="188"/>
      <c r="L430" s="188"/>
      <c r="M430" s="189" t="s">
        <v>807</v>
      </c>
      <c r="N430" s="190">
        <v>40.15</v>
      </c>
      <c r="O430" s="190">
        <f t="shared" si="48"/>
        <v>43.76</v>
      </c>
      <c r="P430" s="191">
        <f t="shared" si="49"/>
        <v>0</v>
      </c>
      <c r="Q430" s="192">
        <f t="shared" si="50"/>
        <v>0</v>
      </c>
      <c r="R430" s="193"/>
      <c r="S430" s="194"/>
      <c r="T430" s="195">
        <f t="shared" si="51"/>
        <v>0</v>
      </c>
      <c r="U430" s="195">
        <f t="shared" si="52"/>
        <v>0</v>
      </c>
      <c r="V430" s="195">
        <f t="shared" si="53"/>
        <v>0</v>
      </c>
      <c r="W430" s="196" t="e">
        <f t="shared" si="54"/>
        <v>#DIV/0!</v>
      </c>
      <c r="X430" s="197" t="e">
        <f t="shared" si="55"/>
        <v>#DIV/0!</v>
      </c>
    </row>
    <row r="431" ht="11.4" hidden="1" customHeight="1" spans="1:24">
      <c r="A431" s="184" t="s">
        <v>1706</v>
      </c>
      <c r="B431" s="184" t="s">
        <v>125</v>
      </c>
      <c r="C431" s="184" t="s">
        <v>1101</v>
      </c>
      <c r="D431" s="185" t="s">
        <v>522</v>
      </c>
      <c r="E431" s="186" t="s">
        <v>906</v>
      </c>
      <c r="F431" s="186" t="s">
        <v>907</v>
      </c>
      <c r="G431" s="186" t="s">
        <v>1102</v>
      </c>
      <c r="H431" s="186" t="s">
        <v>1707</v>
      </c>
      <c r="I431" s="187" t="s">
        <v>1708</v>
      </c>
      <c r="J431" s="187" t="s">
        <v>1709</v>
      </c>
      <c r="K431" s="188"/>
      <c r="L431" s="188"/>
      <c r="M431" s="189" t="s">
        <v>847</v>
      </c>
      <c r="N431" s="190">
        <v>203.87</v>
      </c>
      <c r="O431" s="190">
        <f t="shared" si="48"/>
        <v>222.22</v>
      </c>
      <c r="P431" s="191">
        <f t="shared" si="49"/>
        <v>0</v>
      </c>
      <c r="Q431" s="192">
        <f t="shared" si="50"/>
        <v>0</v>
      </c>
      <c r="R431" s="193"/>
      <c r="S431" s="194"/>
      <c r="T431" s="195">
        <f t="shared" si="51"/>
        <v>0</v>
      </c>
      <c r="U431" s="195">
        <f t="shared" si="52"/>
        <v>0</v>
      </c>
      <c r="V431" s="195">
        <f t="shared" si="53"/>
        <v>0</v>
      </c>
      <c r="W431" s="196" t="e">
        <f t="shared" si="54"/>
        <v>#DIV/0!</v>
      </c>
      <c r="X431" s="197" t="e">
        <f t="shared" si="55"/>
        <v>#DIV/0!</v>
      </c>
    </row>
    <row r="432" ht="11.4" hidden="1" customHeight="1" spans="1:24">
      <c r="A432" s="184" t="s">
        <v>1706</v>
      </c>
      <c r="B432" s="184" t="s">
        <v>125</v>
      </c>
      <c r="C432" s="184" t="s">
        <v>1101</v>
      </c>
      <c r="D432" s="185" t="s">
        <v>522</v>
      </c>
      <c r="E432" s="186" t="s">
        <v>906</v>
      </c>
      <c r="F432" s="186" t="s">
        <v>907</v>
      </c>
      <c r="G432" s="186" t="s">
        <v>1102</v>
      </c>
      <c r="H432" s="186" t="s">
        <v>1707</v>
      </c>
      <c r="I432" s="187" t="s">
        <v>1710</v>
      </c>
      <c r="J432" s="187" t="s">
        <v>1711</v>
      </c>
      <c r="K432" s="188"/>
      <c r="L432" s="188"/>
      <c r="M432" s="189" t="s">
        <v>807</v>
      </c>
      <c r="N432" s="190">
        <v>101.27</v>
      </c>
      <c r="O432" s="190">
        <f t="shared" si="48"/>
        <v>110.38</v>
      </c>
      <c r="P432" s="191">
        <f t="shared" si="49"/>
        <v>0</v>
      </c>
      <c r="Q432" s="192">
        <f t="shared" si="50"/>
        <v>0</v>
      </c>
      <c r="R432" s="193"/>
      <c r="S432" s="194"/>
      <c r="T432" s="195">
        <f t="shared" si="51"/>
        <v>0</v>
      </c>
      <c r="U432" s="195">
        <f t="shared" si="52"/>
        <v>0</v>
      </c>
      <c r="V432" s="195">
        <f t="shared" si="53"/>
        <v>0</v>
      </c>
      <c r="W432" s="196" t="e">
        <f t="shared" si="54"/>
        <v>#DIV/0!</v>
      </c>
      <c r="X432" s="197" t="e">
        <f t="shared" si="55"/>
        <v>#DIV/0!</v>
      </c>
    </row>
    <row r="433" ht="11.4" hidden="1" customHeight="1" spans="1:24">
      <c r="A433" s="184" t="s">
        <v>1706</v>
      </c>
      <c r="B433" s="184" t="s">
        <v>125</v>
      </c>
      <c r="C433" s="184" t="s">
        <v>1101</v>
      </c>
      <c r="D433" s="185" t="s">
        <v>522</v>
      </c>
      <c r="E433" s="186" t="s">
        <v>906</v>
      </c>
      <c r="F433" s="186" t="s">
        <v>907</v>
      </c>
      <c r="G433" s="186" t="s">
        <v>1102</v>
      </c>
      <c r="H433" s="186" t="s">
        <v>1707</v>
      </c>
      <c r="I433" s="187" t="s">
        <v>1712</v>
      </c>
      <c r="J433" s="187" t="s">
        <v>1713</v>
      </c>
      <c r="K433" s="188"/>
      <c r="L433" s="188"/>
      <c r="M433" s="189" t="s">
        <v>847</v>
      </c>
      <c r="N433" s="190">
        <v>194.19</v>
      </c>
      <c r="O433" s="190">
        <f t="shared" si="48"/>
        <v>211.67</v>
      </c>
      <c r="P433" s="191">
        <f t="shared" si="49"/>
        <v>0</v>
      </c>
      <c r="Q433" s="192">
        <f t="shared" si="50"/>
        <v>0</v>
      </c>
      <c r="R433" s="193"/>
      <c r="S433" s="194"/>
      <c r="T433" s="195">
        <f t="shared" si="51"/>
        <v>0</v>
      </c>
      <c r="U433" s="195">
        <f t="shared" si="52"/>
        <v>0</v>
      </c>
      <c r="V433" s="195">
        <f t="shared" si="53"/>
        <v>0</v>
      </c>
      <c r="W433" s="196" t="e">
        <f t="shared" si="54"/>
        <v>#DIV/0!</v>
      </c>
      <c r="X433" s="197" t="e">
        <f t="shared" si="55"/>
        <v>#DIV/0!</v>
      </c>
    </row>
    <row r="434" ht="11.4" hidden="1" customHeight="1" spans="1:24">
      <c r="A434" s="184" t="s">
        <v>1706</v>
      </c>
      <c r="B434" s="184" t="s">
        <v>125</v>
      </c>
      <c r="C434" s="184" t="s">
        <v>1101</v>
      </c>
      <c r="D434" s="185" t="s">
        <v>522</v>
      </c>
      <c r="E434" s="186" t="s">
        <v>906</v>
      </c>
      <c r="F434" s="186" t="s">
        <v>907</v>
      </c>
      <c r="G434" s="186" t="s">
        <v>1102</v>
      </c>
      <c r="H434" s="186" t="s">
        <v>1707</v>
      </c>
      <c r="I434" s="187" t="s">
        <v>1714</v>
      </c>
      <c r="J434" s="187" t="s">
        <v>1715</v>
      </c>
      <c r="K434" s="188"/>
      <c r="L434" s="188"/>
      <c r="M434" s="189" t="s">
        <v>807</v>
      </c>
      <c r="N434" s="190">
        <v>83.12</v>
      </c>
      <c r="O434" s="190">
        <f t="shared" si="48"/>
        <v>90.6</v>
      </c>
      <c r="P434" s="191">
        <f t="shared" si="49"/>
        <v>0</v>
      </c>
      <c r="Q434" s="192">
        <f t="shared" si="50"/>
        <v>0</v>
      </c>
      <c r="R434" s="193"/>
      <c r="S434" s="194"/>
      <c r="T434" s="195">
        <f t="shared" si="51"/>
        <v>0</v>
      </c>
      <c r="U434" s="195">
        <f t="shared" si="52"/>
        <v>0</v>
      </c>
      <c r="V434" s="195">
        <f t="shared" si="53"/>
        <v>0</v>
      </c>
      <c r="W434" s="196" t="e">
        <f t="shared" si="54"/>
        <v>#DIV/0!</v>
      </c>
      <c r="X434" s="197" t="e">
        <f t="shared" si="55"/>
        <v>#DIV/0!</v>
      </c>
    </row>
    <row r="435" ht="11.4" hidden="1" customHeight="1" spans="1:24">
      <c r="A435" s="184" t="s">
        <v>1706</v>
      </c>
      <c r="B435" s="184" t="s">
        <v>125</v>
      </c>
      <c r="C435" s="184" t="s">
        <v>1101</v>
      </c>
      <c r="D435" s="185" t="s">
        <v>522</v>
      </c>
      <c r="E435" s="186" t="s">
        <v>906</v>
      </c>
      <c r="F435" s="186" t="s">
        <v>907</v>
      </c>
      <c r="G435" s="186" t="s">
        <v>1102</v>
      </c>
      <c r="H435" s="186" t="s">
        <v>1707</v>
      </c>
      <c r="I435" s="187" t="s">
        <v>1716</v>
      </c>
      <c r="J435" s="187" t="s">
        <v>1717</v>
      </c>
      <c r="K435" s="188">
        <v>3.73</v>
      </c>
      <c r="L435" s="188">
        <v>3.73</v>
      </c>
      <c r="M435" s="189" t="s">
        <v>847</v>
      </c>
      <c r="N435" s="190">
        <v>202.66</v>
      </c>
      <c r="O435" s="190">
        <f t="shared" si="48"/>
        <v>220.9</v>
      </c>
      <c r="P435" s="191">
        <f t="shared" si="49"/>
        <v>755.92</v>
      </c>
      <c r="Q435" s="192">
        <f t="shared" si="50"/>
        <v>755.92</v>
      </c>
      <c r="R435" s="193"/>
      <c r="S435" s="194"/>
      <c r="T435" s="195">
        <f t="shared" si="51"/>
        <v>0</v>
      </c>
      <c r="U435" s="195">
        <f t="shared" si="52"/>
        <v>0</v>
      </c>
      <c r="V435" s="195">
        <f t="shared" si="53"/>
        <v>0</v>
      </c>
      <c r="W435" s="196">
        <f t="shared" si="54"/>
        <v>0</v>
      </c>
      <c r="X435" s="197">
        <f t="shared" si="55"/>
        <v>0</v>
      </c>
    </row>
    <row r="436" ht="11.4" hidden="1" customHeight="1" spans="1:24">
      <c r="A436" s="184" t="s">
        <v>1706</v>
      </c>
      <c r="B436" s="184" t="s">
        <v>125</v>
      </c>
      <c r="C436" s="184" t="s">
        <v>1101</v>
      </c>
      <c r="D436" s="185" t="s">
        <v>522</v>
      </c>
      <c r="E436" s="186" t="s">
        <v>906</v>
      </c>
      <c r="F436" s="186" t="s">
        <v>907</v>
      </c>
      <c r="G436" s="186" t="s">
        <v>1102</v>
      </c>
      <c r="H436" s="186" t="s">
        <v>1707</v>
      </c>
      <c r="I436" s="187" t="s">
        <v>1718</v>
      </c>
      <c r="J436" s="187" t="s">
        <v>1719</v>
      </c>
      <c r="K436" s="188"/>
      <c r="L436" s="188"/>
      <c r="M436" s="189" t="s">
        <v>807</v>
      </c>
      <c r="N436" s="190">
        <v>101.27</v>
      </c>
      <c r="O436" s="190">
        <f t="shared" si="48"/>
        <v>110.38</v>
      </c>
      <c r="P436" s="191">
        <f t="shared" si="49"/>
        <v>0</v>
      </c>
      <c r="Q436" s="192">
        <f t="shared" si="50"/>
        <v>0</v>
      </c>
      <c r="R436" s="193"/>
      <c r="S436" s="194"/>
      <c r="T436" s="195">
        <f t="shared" si="51"/>
        <v>0</v>
      </c>
      <c r="U436" s="195">
        <f t="shared" si="52"/>
        <v>0</v>
      </c>
      <c r="V436" s="195">
        <f t="shared" si="53"/>
        <v>0</v>
      </c>
      <c r="W436" s="196" t="e">
        <f t="shared" si="54"/>
        <v>#DIV/0!</v>
      </c>
      <c r="X436" s="197" t="e">
        <f t="shared" si="55"/>
        <v>#DIV/0!</v>
      </c>
    </row>
    <row r="437" ht="11.4" hidden="1" customHeight="1" spans="1:24">
      <c r="A437" s="184" t="s">
        <v>1706</v>
      </c>
      <c r="B437" s="184" t="s">
        <v>125</v>
      </c>
      <c r="C437" s="184" t="s">
        <v>1101</v>
      </c>
      <c r="D437" s="185" t="s">
        <v>522</v>
      </c>
      <c r="E437" s="186" t="s">
        <v>906</v>
      </c>
      <c r="F437" s="186" t="s">
        <v>907</v>
      </c>
      <c r="G437" s="186" t="s">
        <v>1102</v>
      </c>
      <c r="H437" s="186" t="s">
        <v>1707</v>
      </c>
      <c r="I437" s="187" t="s">
        <v>1141</v>
      </c>
      <c r="J437" s="187" t="s">
        <v>1142</v>
      </c>
      <c r="K437" s="188"/>
      <c r="L437" s="188"/>
      <c r="M437" s="189" t="s">
        <v>847</v>
      </c>
      <c r="N437" s="190">
        <v>196.14</v>
      </c>
      <c r="O437" s="190">
        <f t="shared" si="48"/>
        <v>213.79</v>
      </c>
      <c r="P437" s="191">
        <f t="shared" si="49"/>
        <v>0</v>
      </c>
      <c r="Q437" s="192">
        <f t="shared" si="50"/>
        <v>0</v>
      </c>
      <c r="R437" s="193"/>
      <c r="S437" s="194"/>
      <c r="T437" s="195">
        <f t="shared" si="51"/>
        <v>0</v>
      </c>
      <c r="U437" s="195">
        <f t="shared" si="52"/>
        <v>0</v>
      </c>
      <c r="V437" s="195">
        <f t="shared" si="53"/>
        <v>0</v>
      </c>
      <c r="W437" s="196" t="e">
        <f t="shared" si="54"/>
        <v>#DIV/0!</v>
      </c>
      <c r="X437" s="197" t="e">
        <f t="shared" si="55"/>
        <v>#DIV/0!</v>
      </c>
    </row>
    <row r="438" ht="11.4" hidden="1" customHeight="1" spans="1:24">
      <c r="A438" s="184" t="s">
        <v>1706</v>
      </c>
      <c r="B438" s="184" t="s">
        <v>125</v>
      </c>
      <c r="C438" s="184" t="s">
        <v>1101</v>
      </c>
      <c r="D438" s="185" t="s">
        <v>522</v>
      </c>
      <c r="E438" s="186" t="s">
        <v>906</v>
      </c>
      <c r="F438" s="186" t="s">
        <v>907</v>
      </c>
      <c r="G438" s="186" t="s">
        <v>1102</v>
      </c>
      <c r="H438" s="186" t="s">
        <v>1707</v>
      </c>
      <c r="I438" s="187" t="s">
        <v>1143</v>
      </c>
      <c r="J438" s="187" t="s">
        <v>1144</v>
      </c>
      <c r="K438" s="188"/>
      <c r="L438" s="188"/>
      <c r="M438" s="189" t="s">
        <v>807</v>
      </c>
      <c r="N438" s="190">
        <v>41.47</v>
      </c>
      <c r="O438" s="190">
        <f t="shared" si="48"/>
        <v>45.2</v>
      </c>
      <c r="P438" s="191">
        <f t="shared" si="49"/>
        <v>0</v>
      </c>
      <c r="Q438" s="192">
        <f t="shared" si="50"/>
        <v>0</v>
      </c>
      <c r="R438" s="193"/>
      <c r="S438" s="194"/>
      <c r="T438" s="195">
        <f t="shared" si="51"/>
        <v>0</v>
      </c>
      <c r="U438" s="195">
        <f t="shared" si="52"/>
        <v>0</v>
      </c>
      <c r="V438" s="195">
        <f t="shared" si="53"/>
        <v>0</v>
      </c>
      <c r="W438" s="196" t="e">
        <f t="shared" si="54"/>
        <v>#DIV/0!</v>
      </c>
      <c r="X438" s="197" t="e">
        <f t="shared" si="55"/>
        <v>#DIV/0!</v>
      </c>
    </row>
    <row r="439" ht="11.4" hidden="1" customHeight="1" spans="1:24">
      <c r="A439" s="184" t="s">
        <v>1706</v>
      </c>
      <c r="B439" s="184" t="s">
        <v>125</v>
      </c>
      <c r="C439" s="184" t="s">
        <v>1101</v>
      </c>
      <c r="D439" s="185" t="s">
        <v>522</v>
      </c>
      <c r="E439" s="186" t="s">
        <v>906</v>
      </c>
      <c r="F439" s="186" t="s">
        <v>907</v>
      </c>
      <c r="G439" s="186" t="s">
        <v>1102</v>
      </c>
      <c r="H439" s="186" t="s">
        <v>1707</v>
      </c>
      <c r="I439" s="187" t="s">
        <v>1145</v>
      </c>
      <c r="J439" s="187" t="s">
        <v>1146</v>
      </c>
      <c r="K439" s="188"/>
      <c r="L439" s="188"/>
      <c r="M439" s="189" t="s">
        <v>847</v>
      </c>
      <c r="N439" s="190">
        <v>179.82</v>
      </c>
      <c r="O439" s="190">
        <f t="shared" si="48"/>
        <v>196</v>
      </c>
      <c r="P439" s="191">
        <f t="shared" si="49"/>
        <v>0</v>
      </c>
      <c r="Q439" s="192">
        <f t="shared" si="50"/>
        <v>0</v>
      </c>
      <c r="R439" s="193"/>
      <c r="S439" s="194"/>
      <c r="T439" s="195">
        <f t="shared" si="51"/>
        <v>0</v>
      </c>
      <c r="U439" s="195">
        <f t="shared" si="52"/>
        <v>0</v>
      </c>
      <c r="V439" s="195">
        <f t="shared" si="53"/>
        <v>0</v>
      </c>
      <c r="W439" s="196" t="e">
        <f t="shared" si="54"/>
        <v>#DIV/0!</v>
      </c>
      <c r="X439" s="197" t="e">
        <f t="shared" si="55"/>
        <v>#DIV/0!</v>
      </c>
    </row>
    <row r="440" ht="11.4" hidden="1" customHeight="1" spans="1:24">
      <c r="A440" s="184" t="s">
        <v>1706</v>
      </c>
      <c r="B440" s="184" t="s">
        <v>125</v>
      </c>
      <c r="C440" s="184" t="s">
        <v>1101</v>
      </c>
      <c r="D440" s="185" t="s">
        <v>522</v>
      </c>
      <c r="E440" s="186" t="s">
        <v>906</v>
      </c>
      <c r="F440" s="186" t="s">
        <v>907</v>
      </c>
      <c r="G440" s="186" t="s">
        <v>1102</v>
      </c>
      <c r="H440" s="186" t="s">
        <v>1707</v>
      </c>
      <c r="I440" s="187" t="s">
        <v>1147</v>
      </c>
      <c r="J440" s="187" t="s">
        <v>1148</v>
      </c>
      <c r="K440" s="188"/>
      <c r="L440" s="188"/>
      <c r="M440" s="189" t="s">
        <v>807</v>
      </c>
      <c r="N440" s="190">
        <v>37.84</v>
      </c>
      <c r="O440" s="190">
        <f t="shared" si="48"/>
        <v>41.25</v>
      </c>
      <c r="P440" s="191">
        <f t="shared" si="49"/>
        <v>0</v>
      </c>
      <c r="Q440" s="192">
        <f t="shared" si="50"/>
        <v>0</v>
      </c>
      <c r="R440" s="193"/>
      <c r="S440" s="194"/>
      <c r="T440" s="195">
        <f t="shared" si="51"/>
        <v>0</v>
      </c>
      <c r="U440" s="195">
        <f t="shared" si="52"/>
        <v>0</v>
      </c>
      <c r="V440" s="195">
        <f t="shared" si="53"/>
        <v>0</v>
      </c>
      <c r="W440" s="196" t="e">
        <f t="shared" si="54"/>
        <v>#DIV/0!</v>
      </c>
      <c r="X440" s="197" t="e">
        <f t="shared" si="55"/>
        <v>#DIV/0!</v>
      </c>
    </row>
    <row r="441" ht="11.4" hidden="1" customHeight="1" spans="1:24">
      <c r="A441" s="184" t="s">
        <v>1706</v>
      </c>
      <c r="B441" s="184" t="s">
        <v>125</v>
      </c>
      <c r="C441" s="184" t="s">
        <v>1101</v>
      </c>
      <c r="D441" s="185" t="s">
        <v>522</v>
      </c>
      <c r="E441" s="186" t="s">
        <v>906</v>
      </c>
      <c r="F441" s="186" t="s">
        <v>907</v>
      </c>
      <c r="G441" s="186" t="s">
        <v>1102</v>
      </c>
      <c r="H441" s="186" t="s">
        <v>1707</v>
      </c>
      <c r="I441" s="187" t="s">
        <v>1149</v>
      </c>
      <c r="J441" s="187" t="s">
        <v>1150</v>
      </c>
      <c r="K441" s="188"/>
      <c r="L441" s="188"/>
      <c r="M441" s="189" t="s">
        <v>847</v>
      </c>
      <c r="N441" s="190">
        <v>193.81</v>
      </c>
      <c r="O441" s="190">
        <f t="shared" si="48"/>
        <v>211.25</v>
      </c>
      <c r="P441" s="191">
        <f t="shared" si="49"/>
        <v>0</v>
      </c>
      <c r="Q441" s="192">
        <f t="shared" si="50"/>
        <v>0</v>
      </c>
      <c r="R441" s="193"/>
      <c r="S441" s="194"/>
      <c r="T441" s="195">
        <f t="shared" si="51"/>
        <v>0</v>
      </c>
      <c r="U441" s="195">
        <f t="shared" si="52"/>
        <v>0</v>
      </c>
      <c r="V441" s="195">
        <f t="shared" si="53"/>
        <v>0</v>
      </c>
      <c r="W441" s="196" t="e">
        <f t="shared" si="54"/>
        <v>#DIV/0!</v>
      </c>
      <c r="X441" s="197" t="e">
        <f t="shared" si="55"/>
        <v>#DIV/0!</v>
      </c>
    </row>
    <row r="442" ht="11.4" hidden="1" customHeight="1" spans="1:24">
      <c r="A442" s="184" t="s">
        <v>1706</v>
      </c>
      <c r="B442" s="184" t="s">
        <v>125</v>
      </c>
      <c r="C442" s="184" t="s">
        <v>1101</v>
      </c>
      <c r="D442" s="185" t="s">
        <v>522</v>
      </c>
      <c r="E442" s="186" t="s">
        <v>906</v>
      </c>
      <c r="F442" s="186" t="s">
        <v>907</v>
      </c>
      <c r="G442" s="186" t="s">
        <v>1102</v>
      </c>
      <c r="H442" s="186" t="s">
        <v>1707</v>
      </c>
      <c r="I442" s="187" t="s">
        <v>1151</v>
      </c>
      <c r="J442" s="187" t="s">
        <v>1152</v>
      </c>
      <c r="K442" s="188"/>
      <c r="L442" s="188"/>
      <c r="M442" s="189" t="s">
        <v>807</v>
      </c>
      <c r="N442" s="190">
        <v>39.05</v>
      </c>
      <c r="O442" s="190">
        <f t="shared" si="48"/>
        <v>42.56</v>
      </c>
      <c r="P442" s="191">
        <f t="shared" si="49"/>
        <v>0</v>
      </c>
      <c r="Q442" s="192">
        <f t="shared" si="50"/>
        <v>0</v>
      </c>
      <c r="R442" s="193"/>
      <c r="S442" s="194"/>
      <c r="T442" s="195">
        <f t="shared" si="51"/>
        <v>0</v>
      </c>
      <c r="U442" s="195">
        <f t="shared" si="52"/>
        <v>0</v>
      </c>
      <c r="V442" s="195">
        <f t="shared" si="53"/>
        <v>0</v>
      </c>
      <c r="W442" s="196" t="e">
        <f t="shared" si="54"/>
        <v>#DIV/0!</v>
      </c>
      <c r="X442" s="197" t="e">
        <f t="shared" si="55"/>
        <v>#DIV/0!</v>
      </c>
    </row>
    <row r="443" ht="11.4" hidden="1" customHeight="1" spans="1:24">
      <c r="A443" s="184" t="s">
        <v>1706</v>
      </c>
      <c r="B443" s="184" t="s">
        <v>125</v>
      </c>
      <c r="C443" s="184" t="s">
        <v>1101</v>
      </c>
      <c r="D443" s="185" t="s">
        <v>522</v>
      </c>
      <c r="E443" s="186" t="s">
        <v>906</v>
      </c>
      <c r="F443" s="186" t="s">
        <v>907</v>
      </c>
      <c r="G443" s="186" t="s">
        <v>1102</v>
      </c>
      <c r="H443" s="186" t="s">
        <v>1707</v>
      </c>
      <c r="I443" s="187" t="s">
        <v>1153</v>
      </c>
      <c r="J443" s="187" t="s">
        <v>1154</v>
      </c>
      <c r="K443" s="188"/>
      <c r="L443" s="188"/>
      <c r="M443" s="189" t="s">
        <v>847</v>
      </c>
      <c r="N443" s="190">
        <v>178.2</v>
      </c>
      <c r="O443" s="190">
        <f t="shared" si="48"/>
        <v>194.24</v>
      </c>
      <c r="P443" s="191">
        <f t="shared" si="49"/>
        <v>0</v>
      </c>
      <c r="Q443" s="192">
        <f t="shared" si="50"/>
        <v>0</v>
      </c>
      <c r="R443" s="193"/>
      <c r="S443" s="194"/>
      <c r="T443" s="195">
        <f t="shared" si="51"/>
        <v>0</v>
      </c>
      <c r="U443" s="195">
        <f t="shared" si="52"/>
        <v>0</v>
      </c>
      <c r="V443" s="195">
        <f t="shared" si="53"/>
        <v>0</v>
      </c>
      <c r="W443" s="196" t="e">
        <f t="shared" si="54"/>
        <v>#DIV/0!</v>
      </c>
      <c r="X443" s="197" t="e">
        <f t="shared" si="55"/>
        <v>#DIV/0!</v>
      </c>
    </row>
    <row r="444" ht="11.4" hidden="1" customHeight="1" spans="1:24">
      <c r="A444" s="184" t="s">
        <v>1706</v>
      </c>
      <c r="B444" s="184" t="s">
        <v>125</v>
      </c>
      <c r="C444" s="184" t="s">
        <v>1101</v>
      </c>
      <c r="D444" s="185" t="s">
        <v>522</v>
      </c>
      <c r="E444" s="186" t="s">
        <v>906</v>
      </c>
      <c r="F444" s="186" t="s">
        <v>907</v>
      </c>
      <c r="G444" s="186" t="s">
        <v>1102</v>
      </c>
      <c r="H444" s="186" t="s">
        <v>1707</v>
      </c>
      <c r="I444" s="187" t="s">
        <v>1155</v>
      </c>
      <c r="J444" s="187" t="s">
        <v>1156</v>
      </c>
      <c r="K444" s="188"/>
      <c r="L444" s="188"/>
      <c r="M444" s="189" t="s">
        <v>847</v>
      </c>
      <c r="N444" s="190">
        <v>170.67</v>
      </c>
      <c r="O444" s="190">
        <f t="shared" si="48"/>
        <v>186.03</v>
      </c>
      <c r="P444" s="191">
        <f t="shared" si="49"/>
        <v>0</v>
      </c>
      <c r="Q444" s="192">
        <f t="shared" si="50"/>
        <v>0</v>
      </c>
      <c r="R444" s="193"/>
      <c r="S444" s="194"/>
      <c r="T444" s="195">
        <f t="shared" si="51"/>
        <v>0</v>
      </c>
      <c r="U444" s="195">
        <f t="shared" si="52"/>
        <v>0</v>
      </c>
      <c r="V444" s="195">
        <f t="shared" si="53"/>
        <v>0</v>
      </c>
      <c r="W444" s="196" t="e">
        <f t="shared" si="54"/>
        <v>#DIV/0!</v>
      </c>
      <c r="X444" s="197" t="e">
        <f t="shared" si="55"/>
        <v>#DIV/0!</v>
      </c>
    </row>
    <row r="445" ht="11.4" hidden="1" customHeight="1" spans="1:24">
      <c r="A445" s="184" t="s">
        <v>1706</v>
      </c>
      <c r="B445" s="184" t="s">
        <v>125</v>
      </c>
      <c r="C445" s="184" t="s">
        <v>1101</v>
      </c>
      <c r="D445" s="185" t="s">
        <v>522</v>
      </c>
      <c r="E445" s="186" t="s">
        <v>906</v>
      </c>
      <c r="F445" s="186" t="s">
        <v>907</v>
      </c>
      <c r="G445" s="186" t="s">
        <v>1102</v>
      </c>
      <c r="H445" s="186" t="s">
        <v>1707</v>
      </c>
      <c r="I445" s="187" t="s">
        <v>1157</v>
      </c>
      <c r="J445" s="187" t="s">
        <v>1158</v>
      </c>
      <c r="K445" s="188"/>
      <c r="L445" s="188"/>
      <c r="M445" s="189" t="s">
        <v>847</v>
      </c>
      <c r="N445" s="190">
        <v>181.7</v>
      </c>
      <c r="O445" s="190">
        <f t="shared" si="48"/>
        <v>198.05</v>
      </c>
      <c r="P445" s="191">
        <f t="shared" si="49"/>
        <v>0</v>
      </c>
      <c r="Q445" s="192">
        <f t="shared" si="50"/>
        <v>0</v>
      </c>
      <c r="R445" s="193"/>
      <c r="S445" s="194"/>
      <c r="T445" s="195">
        <f t="shared" si="51"/>
        <v>0</v>
      </c>
      <c r="U445" s="195">
        <f t="shared" si="52"/>
        <v>0</v>
      </c>
      <c r="V445" s="195">
        <f t="shared" si="53"/>
        <v>0</v>
      </c>
      <c r="W445" s="196" t="e">
        <f t="shared" si="54"/>
        <v>#DIV/0!</v>
      </c>
      <c r="X445" s="197" t="e">
        <f t="shared" si="55"/>
        <v>#DIV/0!</v>
      </c>
    </row>
    <row r="446" ht="11.4" hidden="1" customHeight="1" spans="1:24">
      <c r="A446" s="184" t="s">
        <v>1706</v>
      </c>
      <c r="B446" s="184" t="s">
        <v>125</v>
      </c>
      <c r="C446" s="184" t="s">
        <v>1101</v>
      </c>
      <c r="D446" s="185" t="s">
        <v>522</v>
      </c>
      <c r="E446" s="186" t="s">
        <v>906</v>
      </c>
      <c r="F446" s="186" t="s">
        <v>907</v>
      </c>
      <c r="G446" s="186" t="s">
        <v>1102</v>
      </c>
      <c r="H446" s="186" t="s">
        <v>1720</v>
      </c>
      <c r="I446" s="187" t="s">
        <v>1175</v>
      </c>
      <c r="J446" s="187" t="s">
        <v>1176</v>
      </c>
      <c r="K446" s="188"/>
      <c r="L446" s="188"/>
      <c r="M446" s="189" t="s">
        <v>847</v>
      </c>
      <c r="N446" s="190">
        <v>114.06</v>
      </c>
      <c r="O446" s="190">
        <f t="shared" si="48"/>
        <v>124.33</v>
      </c>
      <c r="P446" s="191">
        <f t="shared" si="49"/>
        <v>0</v>
      </c>
      <c r="Q446" s="192">
        <f t="shared" si="50"/>
        <v>0</v>
      </c>
      <c r="R446" s="193"/>
      <c r="S446" s="194"/>
      <c r="T446" s="195">
        <f t="shared" si="51"/>
        <v>0</v>
      </c>
      <c r="U446" s="195">
        <f t="shared" si="52"/>
        <v>0</v>
      </c>
      <c r="V446" s="195">
        <f t="shared" si="53"/>
        <v>0</v>
      </c>
      <c r="W446" s="196" t="e">
        <f t="shared" si="54"/>
        <v>#DIV/0!</v>
      </c>
      <c r="X446" s="197" t="e">
        <f t="shared" si="55"/>
        <v>#DIV/0!</v>
      </c>
    </row>
    <row r="447" ht="11.4" hidden="1" customHeight="1" spans="1:24">
      <c r="A447" s="184" t="s">
        <v>1706</v>
      </c>
      <c r="B447" s="184" t="s">
        <v>125</v>
      </c>
      <c r="C447" s="184" t="s">
        <v>1101</v>
      </c>
      <c r="D447" s="185" t="s">
        <v>522</v>
      </c>
      <c r="E447" s="186" t="s">
        <v>906</v>
      </c>
      <c r="F447" s="186" t="s">
        <v>907</v>
      </c>
      <c r="G447" s="186" t="s">
        <v>1102</v>
      </c>
      <c r="H447" s="186" t="s">
        <v>1720</v>
      </c>
      <c r="I447" s="187" t="s">
        <v>1178</v>
      </c>
      <c r="J447" s="187" t="s">
        <v>1179</v>
      </c>
      <c r="K447" s="188"/>
      <c r="L447" s="188"/>
      <c r="M447" s="189" t="s">
        <v>847</v>
      </c>
      <c r="N447" s="190">
        <v>197.83</v>
      </c>
      <c r="O447" s="190">
        <f t="shared" si="48"/>
        <v>215.63</v>
      </c>
      <c r="P447" s="191">
        <f t="shared" si="49"/>
        <v>0</v>
      </c>
      <c r="Q447" s="192">
        <f t="shared" si="50"/>
        <v>0</v>
      </c>
      <c r="R447" s="193"/>
      <c r="S447" s="194"/>
      <c r="T447" s="195">
        <f t="shared" si="51"/>
        <v>0</v>
      </c>
      <c r="U447" s="195">
        <f t="shared" si="52"/>
        <v>0</v>
      </c>
      <c r="V447" s="195">
        <f t="shared" si="53"/>
        <v>0</v>
      </c>
      <c r="W447" s="196" t="e">
        <f t="shared" si="54"/>
        <v>#DIV/0!</v>
      </c>
      <c r="X447" s="197" t="e">
        <f t="shared" si="55"/>
        <v>#DIV/0!</v>
      </c>
    </row>
    <row r="448" ht="11.4" hidden="1" customHeight="1" spans="1:24">
      <c r="A448" s="184" t="s">
        <v>1706</v>
      </c>
      <c r="B448" s="184" t="s">
        <v>125</v>
      </c>
      <c r="C448" s="184" t="s">
        <v>1101</v>
      </c>
      <c r="D448" s="185" t="s">
        <v>522</v>
      </c>
      <c r="E448" s="186" t="s">
        <v>906</v>
      </c>
      <c r="F448" s="186" t="s">
        <v>907</v>
      </c>
      <c r="G448" s="186" t="s">
        <v>1102</v>
      </c>
      <c r="H448" s="186" t="s">
        <v>1720</v>
      </c>
      <c r="I448" s="187" t="s">
        <v>1181</v>
      </c>
      <c r="J448" s="187" t="s">
        <v>1182</v>
      </c>
      <c r="K448" s="188"/>
      <c r="L448" s="188"/>
      <c r="M448" s="189" t="s">
        <v>847</v>
      </c>
      <c r="N448" s="190">
        <v>182.9</v>
      </c>
      <c r="O448" s="190">
        <f t="shared" si="48"/>
        <v>199.36</v>
      </c>
      <c r="P448" s="191">
        <f t="shared" si="49"/>
        <v>0</v>
      </c>
      <c r="Q448" s="192">
        <f t="shared" si="50"/>
        <v>0</v>
      </c>
      <c r="R448" s="193"/>
      <c r="S448" s="194"/>
      <c r="T448" s="195">
        <f t="shared" si="51"/>
        <v>0</v>
      </c>
      <c r="U448" s="195">
        <f t="shared" si="52"/>
        <v>0</v>
      </c>
      <c r="V448" s="195">
        <f t="shared" si="53"/>
        <v>0</v>
      </c>
      <c r="W448" s="196" t="e">
        <f t="shared" si="54"/>
        <v>#DIV/0!</v>
      </c>
      <c r="X448" s="197" t="e">
        <f t="shared" si="55"/>
        <v>#DIV/0!</v>
      </c>
    </row>
    <row r="449" ht="11.4" hidden="1" customHeight="1" spans="1:24">
      <c r="A449" s="184" t="s">
        <v>1706</v>
      </c>
      <c r="B449" s="184" t="s">
        <v>125</v>
      </c>
      <c r="C449" s="184" t="s">
        <v>1101</v>
      </c>
      <c r="D449" s="185" t="s">
        <v>522</v>
      </c>
      <c r="E449" s="186" t="s">
        <v>906</v>
      </c>
      <c r="F449" s="186" t="s">
        <v>907</v>
      </c>
      <c r="G449" s="186" t="s">
        <v>1102</v>
      </c>
      <c r="H449" s="186" t="s">
        <v>1720</v>
      </c>
      <c r="I449" s="187" t="s">
        <v>1183</v>
      </c>
      <c r="J449" s="187" t="s">
        <v>1184</v>
      </c>
      <c r="K449" s="188"/>
      <c r="L449" s="188"/>
      <c r="M449" s="189" t="s">
        <v>847</v>
      </c>
      <c r="N449" s="190">
        <v>186.66</v>
      </c>
      <c r="O449" s="190">
        <f t="shared" si="48"/>
        <v>203.46</v>
      </c>
      <c r="P449" s="191">
        <f t="shared" si="49"/>
        <v>0</v>
      </c>
      <c r="Q449" s="192">
        <f t="shared" si="50"/>
        <v>0</v>
      </c>
      <c r="R449" s="193"/>
      <c r="S449" s="194"/>
      <c r="T449" s="195">
        <f t="shared" si="51"/>
        <v>0</v>
      </c>
      <c r="U449" s="195">
        <f t="shared" si="52"/>
        <v>0</v>
      </c>
      <c r="V449" s="195">
        <f t="shared" si="53"/>
        <v>0</v>
      </c>
      <c r="W449" s="196" t="e">
        <f t="shared" si="54"/>
        <v>#DIV/0!</v>
      </c>
      <c r="X449" s="197" t="e">
        <f t="shared" si="55"/>
        <v>#DIV/0!</v>
      </c>
    </row>
    <row r="450" ht="11.4" hidden="1" customHeight="1" spans="1:24">
      <c r="A450" s="184" t="s">
        <v>1706</v>
      </c>
      <c r="B450" s="184" t="s">
        <v>125</v>
      </c>
      <c r="C450" s="184" t="s">
        <v>1101</v>
      </c>
      <c r="D450" s="185" t="s">
        <v>522</v>
      </c>
      <c r="E450" s="186" t="s">
        <v>906</v>
      </c>
      <c r="F450" s="186" t="s">
        <v>907</v>
      </c>
      <c r="G450" s="186" t="s">
        <v>1102</v>
      </c>
      <c r="H450" s="186" t="s">
        <v>1720</v>
      </c>
      <c r="I450" s="187" t="s">
        <v>1185</v>
      </c>
      <c r="J450" s="187" t="s">
        <v>1186</v>
      </c>
      <c r="K450" s="188"/>
      <c r="L450" s="188"/>
      <c r="M450" s="189" t="s">
        <v>847</v>
      </c>
      <c r="N450" s="190">
        <v>174.35</v>
      </c>
      <c r="O450" s="190">
        <f t="shared" si="48"/>
        <v>190.04</v>
      </c>
      <c r="P450" s="191">
        <f t="shared" si="49"/>
        <v>0</v>
      </c>
      <c r="Q450" s="192">
        <f t="shared" si="50"/>
        <v>0</v>
      </c>
      <c r="R450" s="193"/>
      <c r="S450" s="194"/>
      <c r="T450" s="195">
        <f t="shared" si="51"/>
        <v>0</v>
      </c>
      <c r="U450" s="195">
        <f t="shared" si="52"/>
        <v>0</v>
      </c>
      <c r="V450" s="195">
        <f t="shared" si="53"/>
        <v>0</v>
      </c>
      <c r="W450" s="196" t="e">
        <f t="shared" si="54"/>
        <v>#DIV/0!</v>
      </c>
      <c r="X450" s="197" t="e">
        <f t="shared" si="55"/>
        <v>#DIV/0!</v>
      </c>
    </row>
    <row r="451" ht="11.4" hidden="1" customHeight="1" spans="1:24">
      <c r="A451" s="184" t="s">
        <v>1706</v>
      </c>
      <c r="B451" s="184" t="s">
        <v>125</v>
      </c>
      <c r="C451" s="184" t="s">
        <v>1101</v>
      </c>
      <c r="D451" s="185" t="s">
        <v>522</v>
      </c>
      <c r="E451" s="186" t="s">
        <v>906</v>
      </c>
      <c r="F451" s="186" t="s">
        <v>907</v>
      </c>
      <c r="G451" s="186" t="s">
        <v>1102</v>
      </c>
      <c r="H451" s="186" t="s">
        <v>1720</v>
      </c>
      <c r="I451" s="187" t="s">
        <v>1193</v>
      </c>
      <c r="J451" s="187" t="s">
        <v>1194</v>
      </c>
      <c r="K451" s="188"/>
      <c r="L451" s="188"/>
      <c r="M451" s="189" t="s">
        <v>847</v>
      </c>
      <c r="N451" s="190">
        <v>70.85</v>
      </c>
      <c r="O451" s="190">
        <f t="shared" si="48"/>
        <v>77.23</v>
      </c>
      <c r="P451" s="191">
        <f t="shared" si="49"/>
        <v>0</v>
      </c>
      <c r="Q451" s="192">
        <f t="shared" si="50"/>
        <v>0</v>
      </c>
      <c r="R451" s="193"/>
      <c r="S451" s="194"/>
      <c r="T451" s="195">
        <f t="shared" si="51"/>
        <v>0</v>
      </c>
      <c r="U451" s="195">
        <f t="shared" si="52"/>
        <v>0</v>
      </c>
      <c r="V451" s="195">
        <f t="shared" si="53"/>
        <v>0</v>
      </c>
      <c r="W451" s="196" t="e">
        <f t="shared" si="54"/>
        <v>#DIV/0!</v>
      </c>
      <c r="X451" s="197" t="e">
        <f t="shared" si="55"/>
        <v>#DIV/0!</v>
      </c>
    </row>
    <row r="452" ht="11.4" hidden="1" customHeight="1" spans="1:24">
      <c r="A452" s="184" t="s">
        <v>1706</v>
      </c>
      <c r="B452" s="184" t="s">
        <v>125</v>
      </c>
      <c r="C452" s="184" t="s">
        <v>1101</v>
      </c>
      <c r="D452" s="185" t="s">
        <v>522</v>
      </c>
      <c r="E452" s="186" t="s">
        <v>906</v>
      </c>
      <c r="F452" s="186" t="s">
        <v>907</v>
      </c>
      <c r="G452" s="186" t="s">
        <v>1102</v>
      </c>
      <c r="H452" s="186" t="s">
        <v>1720</v>
      </c>
      <c r="I452" s="187" t="s">
        <v>1195</v>
      </c>
      <c r="J452" s="187" t="s">
        <v>1196</v>
      </c>
      <c r="K452" s="188"/>
      <c r="L452" s="188"/>
      <c r="M452" s="189" t="s">
        <v>847</v>
      </c>
      <c r="N452" s="190">
        <v>307.56</v>
      </c>
      <c r="O452" s="190">
        <f t="shared" si="48"/>
        <v>335.24</v>
      </c>
      <c r="P452" s="191">
        <f t="shared" si="49"/>
        <v>0</v>
      </c>
      <c r="Q452" s="192">
        <f t="shared" si="50"/>
        <v>0</v>
      </c>
      <c r="R452" s="193"/>
      <c r="S452" s="194"/>
      <c r="T452" s="195">
        <f t="shared" si="51"/>
        <v>0</v>
      </c>
      <c r="U452" s="195">
        <f t="shared" si="52"/>
        <v>0</v>
      </c>
      <c r="V452" s="195">
        <f t="shared" si="53"/>
        <v>0</v>
      </c>
      <c r="W452" s="196" t="e">
        <f t="shared" si="54"/>
        <v>#DIV/0!</v>
      </c>
      <c r="X452" s="197" t="e">
        <f t="shared" si="55"/>
        <v>#DIV/0!</v>
      </c>
    </row>
    <row r="453" ht="11.4" hidden="1" customHeight="1" spans="1:24">
      <c r="A453" s="184" t="s">
        <v>1706</v>
      </c>
      <c r="B453" s="184" t="s">
        <v>125</v>
      </c>
      <c r="C453" s="184" t="s">
        <v>1101</v>
      </c>
      <c r="D453" s="185" t="s">
        <v>522</v>
      </c>
      <c r="E453" s="186" t="s">
        <v>906</v>
      </c>
      <c r="F453" s="186" t="s">
        <v>907</v>
      </c>
      <c r="G453" s="186" t="s">
        <v>1102</v>
      </c>
      <c r="H453" s="186" t="s">
        <v>1720</v>
      </c>
      <c r="I453" s="187" t="s">
        <v>1197</v>
      </c>
      <c r="J453" s="187" t="s">
        <v>1198</v>
      </c>
      <c r="K453" s="188"/>
      <c r="L453" s="188"/>
      <c r="M453" s="189" t="s">
        <v>847</v>
      </c>
      <c r="N453" s="190">
        <v>39.59</v>
      </c>
      <c r="O453" s="190">
        <f t="shared" si="48"/>
        <v>43.15</v>
      </c>
      <c r="P453" s="191">
        <f t="shared" si="49"/>
        <v>0</v>
      </c>
      <c r="Q453" s="192">
        <f t="shared" si="50"/>
        <v>0</v>
      </c>
      <c r="R453" s="193"/>
      <c r="S453" s="194"/>
      <c r="T453" s="195">
        <f t="shared" si="51"/>
        <v>0</v>
      </c>
      <c r="U453" s="195">
        <f t="shared" si="52"/>
        <v>0</v>
      </c>
      <c r="V453" s="195">
        <f t="shared" si="53"/>
        <v>0</v>
      </c>
      <c r="W453" s="196" t="e">
        <f t="shared" si="54"/>
        <v>#DIV/0!</v>
      </c>
      <c r="X453" s="197" t="e">
        <f t="shared" si="55"/>
        <v>#DIV/0!</v>
      </c>
    </row>
    <row r="454" ht="11.4" hidden="1" customHeight="1" spans="1:24">
      <c r="A454" s="184" t="s">
        <v>1706</v>
      </c>
      <c r="B454" s="184" t="s">
        <v>125</v>
      </c>
      <c r="C454" s="184" t="s">
        <v>1101</v>
      </c>
      <c r="D454" s="185" t="s">
        <v>522</v>
      </c>
      <c r="E454" s="186" t="s">
        <v>906</v>
      </c>
      <c r="F454" s="186" t="s">
        <v>907</v>
      </c>
      <c r="G454" s="186" t="s">
        <v>1102</v>
      </c>
      <c r="H454" s="186" t="s">
        <v>1720</v>
      </c>
      <c r="I454" s="187" t="s">
        <v>1559</v>
      </c>
      <c r="J454" s="187" t="s">
        <v>1560</v>
      </c>
      <c r="K454" s="188">
        <v>1.32</v>
      </c>
      <c r="L454" s="188">
        <v>1.32</v>
      </c>
      <c r="M454" s="189" t="s">
        <v>847</v>
      </c>
      <c r="N454" s="190">
        <v>58.39</v>
      </c>
      <c r="O454" s="190">
        <f t="shared" si="48"/>
        <v>63.65</v>
      </c>
      <c r="P454" s="191">
        <f t="shared" si="49"/>
        <v>77.07</v>
      </c>
      <c r="Q454" s="192">
        <f t="shared" si="50"/>
        <v>77.07</v>
      </c>
      <c r="R454" s="193"/>
      <c r="S454" s="194"/>
      <c r="T454" s="195">
        <f t="shared" si="51"/>
        <v>0</v>
      </c>
      <c r="U454" s="195">
        <f t="shared" si="52"/>
        <v>0</v>
      </c>
      <c r="V454" s="195">
        <f t="shared" si="53"/>
        <v>0</v>
      </c>
      <c r="W454" s="196">
        <f t="shared" si="54"/>
        <v>0</v>
      </c>
      <c r="X454" s="199">
        <f t="shared" si="55"/>
        <v>0</v>
      </c>
    </row>
    <row r="455" ht="11.4" hidden="1" customHeight="1" spans="1:24">
      <c r="A455" s="184" t="s">
        <v>1706</v>
      </c>
      <c r="B455" s="184" t="s">
        <v>125</v>
      </c>
      <c r="C455" s="184" t="s">
        <v>1101</v>
      </c>
      <c r="D455" s="185" t="s">
        <v>522</v>
      </c>
      <c r="E455" s="186" t="s">
        <v>906</v>
      </c>
      <c r="F455" s="186" t="s">
        <v>907</v>
      </c>
      <c r="G455" s="186" t="s">
        <v>1102</v>
      </c>
      <c r="H455" s="186" t="s">
        <v>1720</v>
      </c>
      <c r="I455" s="187" t="s">
        <v>1199</v>
      </c>
      <c r="J455" s="187" t="s">
        <v>1200</v>
      </c>
      <c r="K455" s="188"/>
      <c r="L455" s="188"/>
      <c r="M455" s="189" t="s">
        <v>847</v>
      </c>
      <c r="N455" s="190">
        <v>203.22</v>
      </c>
      <c r="O455" s="190">
        <f t="shared" si="48"/>
        <v>221.51</v>
      </c>
      <c r="P455" s="191">
        <f t="shared" si="49"/>
        <v>0</v>
      </c>
      <c r="Q455" s="192">
        <f t="shared" si="50"/>
        <v>0</v>
      </c>
      <c r="R455" s="193"/>
      <c r="S455" s="194"/>
      <c r="T455" s="195">
        <f t="shared" si="51"/>
        <v>0</v>
      </c>
      <c r="U455" s="195">
        <f t="shared" si="52"/>
        <v>0</v>
      </c>
      <c r="V455" s="195">
        <f t="shared" si="53"/>
        <v>0</v>
      </c>
      <c r="W455" s="196" t="e">
        <f t="shared" si="54"/>
        <v>#DIV/0!</v>
      </c>
      <c r="X455" s="197" t="e">
        <f t="shared" si="55"/>
        <v>#DIV/0!</v>
      </c>
    </row>
    <row r="456" ht="11.4" hidden="1" customHeight="1" spans="1:24">
      <c r="A456" s="184" t="s">
        <v>1706</v>
      </c>
      <c r="B456" s="184" t="s">
        <v>125</v>
      </c>
      <c r="C456" s="184" t="s">
        <v>1101</v>
      </c>
      <c r="D456" s="185" t="s">
        <v>522</v>
      </c>
      <c r="E456" s="186" t="s">
        <v>906</v>
      </c>
      <c r="F456" s="186" t="s">
        <v>907</v>
      </c>
      <c r="G456" s="186" t="s">
        <v>1102</v>
      </c>
      <c r="H456" s="186" t="s">
        <v>1720</v>
      </c>
      <c r="I456" s="187" t="s">
        <v>1201</v>
      </c>
      <c r="J456" s="187" t="s">
        <v>1202</v>
      </c>
      <c r="K456" s="188"/>
      <c r="L456" s="188"/>
      <c r="M456" s="189" t="s">
        <v>847</v>
      </c>
      <c r="N456" s="190">
        <v>268.9</v>
      </c>
      <c r="O456" s="190">
        <f t="shared" si="48"/>
        <v>293.1</v>
      </c>
      <c r="P456" s="191">
        <f t="shared" si="49"/>
        <v>0</v>
      </c>
      <c r="Q456" s="192">
        <f t="shared" si="50"/>
        <v>0</v>
      </c>
      <c r="R456" s="193"/>
      <c r="S456" s="194"/>
      <c r="T456" s="195">
        <f t="shared" si="51"/>
        <v>0</v>
      </c>
      <c r="U456" s="195">
        <f t="shared" si="52"/>
        <v>0</v>
      </c>
      <c r="V456" s="195">
        <f t="shared" si="53"/>
        <v>0</v>
      </c>
      <c r="W456" s="196" t="e">
        <f t="shared" si="54"/>
        <v>#DIV/0!</v>
      </c>
      <c r="X456" s="197" t="e">
        <f t="shared" si="55"/>
        <v>#DIV/0!</v>
      </c>
    </row>
    <row r="457" ht="11.4" hidden="1" customHeight="1" spans="1:24">
      <c r="A457" s="184" t="s">
        <v>1706</v>
      </c>
      <c r="B457" s="184" t="s">
        <v>125</v>
      </c>
      <c r="C457" s="184" t="s">
        <v>1101</v>
      </c>
      <c r="D457" s="185" t="s">
        <v>522</v>
      </c>
      <c r="E457" s="186" t="s">
        <v>906</v>
      </c>
      <c r="F457" s="186" t="s">
        <v>907</v>
      </c>
      <c r="G457" s="186" t="s">
        <v>1102</v>
      </c>
      <c r="H457" s="186" t="s">
        <v>1720</v>
      </c>
      <c r="I457" s="187" t="s">
        <v>1203</v>
      </c>
      <c r="J457" s="187" t="s">
        <v>1204</v>
      </c>
      <c r="K457" s="188"/>
      <c r="L457" s="188"/>
      <c r="M457" s="189" t="s">
        <v>847</v>
      </c>
      <c r="N457" s="190">
        <v>17.39</v>
      </c>
      <c r="O457" s="190">
        <f t="shared" si="48"/>
        <v>18.96</v>
      </c>
      <c r="P457" s="191">
        <f t="shared" si="49"/>
        <v>0</v>
      </c>
      <c r="Q457" s="192">
        <f t="shared" si="50"/>
        <v>0</v>
      </c>
      <c r="R457" s="193"/>
      <c r="S457" s="194"/>
      <c r="T457" s="195">
        <f t="shared" si="51"/>
        <v>0</v>
      </c>
      <c r="U457" s="195">
        <f t="shared" si="52"/>
        <v>0</v>
      </c>
      <c r="V457" s="195">
        <f t="shared" si="53"/>
        <v>0</v>
      </c>
      <c r="W457" s="196" t="e">
        <f t="shared" si="54"/>
        <v>#DIV/0!</v>
      </c>
      <c r="X457" s="197" t="e">
        <f t="shared" si="55"/>
        <v>#DIV/0!</v>
      </c>
    </row>
    <row r="458" ht="11.4" hidden="1" customHeight="1" spans="1:24">
      <c r="A458" s="184" t="s">
        <v>1706</v>
      </c>
      <c r="B458" s="184" t="s">
        <v>125</v>
      </c>
      <c r="C458" s="184" t="s">
        <v>1101</v>
      </c>
      <c r="D458" s="185" t="s">
        <v>522</v>
      </c>
      <c r="E458" s="186" t="s">
        <v>906</v>
      </c>
      <c r="F458" s="186" t="s">
        <v>907</v>
      </c>
      <c r="G458" s="186" t="s">
        <v>1102</v>
      </c>
      <c r="H458" s="186" t="s">
        <v>1720</v>
      </c>
      <c r="I458" s="187" t="s">
        <v>1206</v>
      </c>
      <c r="J458" s="187" t="s">
        <v>1207</v>
      </c>
      <c r="K458" s="188"/>
      <c r="L458" s="188"/>
      <c r="M458" s="189" t="s">
        <v>847</v>
      </c>
      <c r="N458" s="190">
        <v>266.78</v>
      </c>
      <c r="O458" s="190">
        <f t="shared" si="48"/>
        <v>290.79</v>
      </c>
      <c r="P458" s="191">
        <f t="shared" si="49"/>
        <v>0</v>
      </c>
      <c r="Q458" s="192">
        <f t="shared" si="50"/>
        <v>0</v>
      </c>
      <c r="R458" s="193"/>
      <c r="S458" s="194"/>
      <c r="T458" s="195">
        <f t="shared" si="51"/>
        <v>0</v>
      </c>
      <c r="U458" s="195">
        <f t="shared" si="52"/>
        <v>0</v>
      </c>
      <c r="V458" s="195">
        <f t="shared" si="53"/>
        <v>0</v>
      </c>
      <c r="W458" s="196" t="e">
        <f t="shared" si="54"/>
        <v>#DIV/0!</v>
      </c>
      <c r="X458" s="197" t="e">
        <f t="shared" si="55"/>
        <v>#DIV/0!</v>
      </c>
    </row>
    <row r="459" ht="11.4" hidden="1" customHeight="1" spans="1:24">
      <c r="A459" s="184" t="s">
        <v>1706</v>
      </c>
      <c r="B459" s="184" t="s">
        <v>125</v>
      </c>
      <c r="C459" s="184" t="s">
        <v>1101</v>
      </c>
      <c r="D459" s="185" t="s">
        <v>522</v>
      </c>
      <c r="E459" s="186" t="s">
        <v>906</v>
      </c>
      <c r="F459" s="186" t="s">
        <v>907</v>
      </c>
      <c r="G459" s="186" t="s">
        <v>1102</v>
      </c>
      <c r="H459" s="186" t="s">
        <v>1720</v>
      </c>
      <c r="I459" s="187" t="s">
        <v>1210</v>
      </c>
      <c r="J459" s="187" t="s">
        <v>1211</v>
      </c>
      <c r="K459" s="188"/>
      <c r="L459" s="188"/>
      <c r="M459" s="189" t="s">
        <v>847</v>
      </c>
      <c r="N459" s="190">
        <v>288.72</v>
      </c>
      <c r="O459" s="190">
        <f t="shared" si="48"/>
        <v>314.7</v>
      </c>
      <c r="P459" s="191">
        <f t="shared" si="49"/>
        <v>0</v>
      </c>
      <c r="Q459" s="192">
        <f t="shared" si="50"/>
        <v>0</v>
      </c>
      <c r="R459" s="193"/>
      <c r="S459" s="194"/>
      <c r="T459" s="195">
        <f t="shared" si="51"/>
        <v>0</v>
      </c>
      <c r="U459" s="195">
        <f t="shared" si="52"/>
        <v>0</v>
      </c>
      <c r="V459" s="195">
        <f t="shared" si="53"/>
        <v>0</v>
      </c>
      <c r="W459" s="196" t="e">
        <f t="shared" si="54"/>
        <v>#DIV/0!</v>
      </c>
      <c r="X459" s="197" t="e">
        <f t="shared" si="55"/>
        <v>#DIV/0!</v>
      </c>
    </row>
    <row r="460" ht="11.4" hidden="1" customHeight="1" spans="1:24">
      <c r="A460" s="184" t="s">
        <v>1706</v>
      </c>
      <c r="B460" s="184" t="s">
        <v>125</v>
      </c>
      <c r="C460" s="184" t="s">
        <v>1101</v>
      </c>
      <c r="D460" s="185" t="s">
        <v>522</v>
      </c>
      <c r="E460" s="186" t="s">
        <v>906</v>
      </c>
      <c r="F460" s="186" t="s">
        <v>907</v>
      </c>
      <c r="G460" s="186" t="s">
        <v>1102</v>
      </c>
      <c r="H460" s="186" t="s">
        <v>1720</v>
      </c>
      <c r="I460" s="187" t="s">
        <v>1212</v>
      </c>
      <c r="J460" s="187" t="s">
        <v>1213</v>
      </c>
      <c r="K460" s="188"/>
      <c r="L460" s="188"/>
      <c r="M460" s="189" t="s">
        <v>847</v>
      </c>
      <c r="N460" s="190">
        <v>267.97</v>
      </c>
      <c r="O460" s="190">
        <f t="shared" si="48"/>
        <v>292.09</v>
      </c>
      <c r="P460" s="191">
        <f t="shared" si="49"/>
        <v>0</v>
      </c>
      <c r="Q460" s="192">
        <f t="shared" si="50"/>
        <v>0</v>
      </c>
      <c r="R460" s="193"/>
      <c r="S460" s="194"/>
      <c r="T460" s="195">
        <f t="shared" si="51"/>
        <v>0</v>
      </c>
      <c r="U460" s="195">
        <f t="shared" si="52"/>
        <v>0</v>
      </c>
      <c r="V460" s="195">
        <f t="shared" si="53"/>
        <v>0</v>
      </c>
      <c r="W460" s="196" t="e">
        <f t="shared" si="54"/>
        <v>#DIV/0!</v>
      </c>
      <c r="X460" s="197" t="e">
        <f t="shared" si="55"/>
        <v>#DIV/0!</v>
      </c>
    </row>
    <row r="461" ht="11.4" hidden="1" customHeight="1" spans="1:24">
      <c r="A461" s="184" t="s">
        <v>1706</v>
      </c>
      <c r="B461" s="184" t="s">
        <v>125</v>
      </c>
      <c r="C461" s="184" t="s">
        <v>1101</v>
      </c>
      <c r="D461" s="185" t="s">
        <v>522</v>
      </c>
      <c r="E461" s="186" t="s">
        <v>906</v>
      </c>
      <c r="F461" s="186" t="s">
        <v>907</v>
      </c>
      <c r="G461" s="186" t="s">
        <v>1102</v>
      </c>
      <c r="H461" s="186" t="s">
        <v>1720</v>
      </c>
      <c r="I461" s="187" t="s">
        <v>1216</v>
      </c>
      <c r="J461" s="187" t="s">
        <v>1217</v>
      </c>
      <c r="K461" s="188"/>
      <c r="L461" s="188"/>
      <c r="M461" s="189" t="s">
        <v>847</v>
      </c>
      <c r="N461" s="190">
        <v>288.72</v>
      </c>
      <c r="O461" s="190">
        <f t="shared" ref="O461:O524" si="56">ROUND(N461*(1+$F$10),2)</f>
        <v>314.7</v>
      </c>
      <c r="P461" s="191">
        <f t="shared" ref="P461:P524" si="57">ROUND(K461*N461,2)</f>
        <v>0</v>
      </c>
      <c r="Q461" s="192">
        <f t="shared" ref="Q461:Q524" si="58">ROUND(L461*N461,2)</f>
        <v>0</v>
      </c>
      <c r="R461" s="193"/>
      <c r="S461" s="194"/>
      <c r="T461" s="195">
        <f t="shared" ref="T461:T524" si="59">K461-L461</f>
        <v>0</v>
      </c>
      <c r="U461" s="195">
        <f t="shared" ref="U461:U524" si="60">P461-Q461</f>
        <v>0</v>
      </c>
      <c r="V461" s="195">
        <f t="shared" ref="V461:V524" si="61">ABS(U461)</f>
        <v>0</v>
      </c>
      <c r="W461" s="196" t="e">
        <f t="shared" ref="W461:W524" si="62">T461/L461</f>
        <v>#DIV/0!</v>
      </c>
      <c r="X461" s="197" t="e">
        <f t="shared" ref="X461:X524" si="63">ABS(W461)</f>
        <v>#DIV/0!</v>
      </c>
    </row>
    <row r="462" ht="11.4" hidden="1" customHeight="1" spans="1:24">
      <c r="A462" s="184" t="s">
        <v>1706</v>
      </c>
      <c r="B462" s="184" t="s">
        <v>125</v>
      </c>
      <c r="C462" s="184" t="s">
        <v>1101</v>
      </c>
      <c r="D462" s="185" t="s">
        <v>522</v>
      </c>
      <c r="E462" s="186" t="s">
        <v>906</v>
      </c>
      <c r="F462" s="186" t="s">
        <v>907</v>
      </c>
      <c r="G462" s="186" t="s">
        <v>1102</v>
      </c>
      <c r="H462" s="186" t="s">
        <v>1720</v>
      </c>
      <c r="I462" s="187" t="s">
        <v>1218</v>
      </c>
      <c r="J462" s="187" t="s">
        <v>1219</v>
      </c>
      <c r="K462" s="188"/>
      <c r="L462" s="188"/>
      <c r="M462" s="189" t="s">
        <v>847</v>
      </c>
      <c r="N462" s="190">
        <v>250.15</v>
      </c>
      <c r="O462" s="190">
        <f t="shared" si="56"/>
        <v>272.66</v>
      </c>
      <c r="P462" s="191">
        <f t="shared" si="57"/>
        <v>0</v>
      </c>
      <c r="Q462" s="192">
        <f t="shared" si="58"/>
        <v>0</v>
      </c>
      <c r="R462" s="193"/>
      <c r="S462" s="194"/>
      <c r="T462" s="195">
        <f t="shared" si="59"/>
        <v>0</v>
      </c>
      <c r="U462" s="195">
        <f t="shared" si="60"/>
        <v>0</v>
      </c>
      <c r="V462" s="195">
        <f t="shared" si="61"/>
        <v>0</v>
      </c>
      <c r="W462" s="196" t="e">
        <f t="shared" si="62"/>
        <v>#DIV/0!</v>
      </c>
      <c r="X462" s="197" t="e">
        <f t="shared" si="63"/>
        <v>#DIV/0!</v>
      </c>
    </row>
    <row r="463" ht="11.4" hidden="1" customHeight="1" spans="1:24">
      <c r="A463" s="184" t="s">
        <v>1706</v>
      </c>
      <c r="B463" s="184" t="s">
        <v>125</v>
      </c>
      <c r="C463" s="184" t="s">
        <v>1101</v>
      </c>
      <c r="D463" s="185" t="s">
        <v>522</v>
      </c>
      <c r="E463" s="186" t="s">
        <v>906</v>
      </c>
      <c r="F463" s="186" t="s">
        <v>907</v>
      </c>
      <c r="G463" s="186" t="s">
        <v>1102</v>
      </c>
      <c r="H463" s="186" t="s">
        <v>1720</v>
      </c>
      <c r="I463" s="187" t="s">
        <v>1222</v>
      </c>
      <c r="J463" s="187" t="s">
        <v>1223</v>
      </c>
      <c r="K463" s="188"/>
      <c r="L463" s="188"/>
      <c r="M463" s="189" t="s">
        <v>847</v>
      </c>
      <c r="N463" s="190">
        <v>270.9</v>
      </c>
      <c r="O463" s="190">
        <f t="shared" si="56"/>
        <v>295.28</v>
      </c>
      <c r="P463" s="191">
        <f t="shared" si="57"/>
        <v>0</v>
      </c>
      <c r="Q463" s="192">
        <f t="shared" si="58"/>
        <v>0</v>
      </c>
      <c r="R463" s="193"/>
      <c r="S463" s="194"/>
      <c r="T463" s="195">
        <f t="shared" si="59"/>
        <v>0</v>
      </c>
      <c r="U463" s="195">
        <f t="shared" si="60"/>
        <v>0</v>
      </c>
      <c r="V463" s="195">
        <f t="shared" si="61"/>
        <v>0</v>
      </c>
      <c r="W463" s="196" t="e">
        <f t="shared" si="62"/>
        <v>#DIV/0!</v>
      </c>
      <c r="X463" s="197" t="e">
        <f t="shared" si="63"/>
        <v>#DIV/0!</v>
      </c>
    </row>
    <row r="464" ht="11.4" hidden="1" customHeight="1" spans="1:24">
      <c r="A464" s="184" t="s">
        <v>1706</v>
      </c>
      <c r="B464" s="184" t="s">
        <v>125</v>
      </c>
      <c r="C464" s="184" t="s">
        <v>1101</v>
      </c>
      <c r="D464" s="185" t="s">
        <v>522</v>
      </c>
      <c r="E464" s="186" t="s">
        <v>906</v>
      </c>
      <c r="F464" s="186" t="s">
        <v>907</v>
      </c>
      <c r="G464" s="186" t="s">
        <v>1102</v>
      </c>
      <c r="H464" s="186" t="s">
        <v>1720</v>
      </c>
      <c r="I464" s="187" t="s">
        <v>1224</v>
      </c>
      <c r="J464" s="187" t="s">
        <v>1225</v>
      </c>
      <c r="K464" s="188"/>
      <c r="L464" s="188"/>
      <c r="M464" s="189" t="s">
        <v>847</v>
      </c>
      <c r="N464" s="190">
        <v>385.58</v>
      </c>
      <c r="O464" s="190">
        <f t="shared" si="56"/>
        <v>420.28</v>
      </c>
      <c r="P464" s="191">
        <f t="shared" si="57"/>
        <v>0</v>
      </c>
      <c r="Q464" s="192">
        <f t="shared" si="58"/>
        <v>0</v>
      </c>
      <c r="R464" s="193"/>
      <c r="S464" s="194"/>
      <c r="T464" s="195">
        <f t="shared" si="59"/>
        <v>0</v>
      </c>
      <c r="U464" s="195">
        <f t="shared" si="60"/>
        <v>0</v>
      </c>
      <c r="V464" s="195">
        <f t="shared" si="61"/>
        <v>0</v>
      </c>
      <c r="W464" s="196" t="e">
        <f t="shared" si="62"/>
        <v>#DIV/0!</v>
      </c>
      <c r="X464" s="197" t="e">
        <f t="shared" si="63"/>
        <v>#DIV/0!</v>
      </c>
    </row>
    <row r="465" ht="11.4" hidden="1" customHeight="1" spans="1:27">
      <c r="A465" s="184" t="s">
        <v>1706</v>
      </c>
      <c r="B465" s="184" t="s">
        <v>125</v>
      </c>
      <c r="C465" s="184" t="s">
        <v>1101</v>
      </c>
      <c r="D465" s="185" t="s">
        <v>522</v>
      </c>
      <c r="E465" s="186" t="s">
        <v>906</v>
      </c>
      <c r="F465" s="186" t="s">
        <v>907</v>
      </c>
      <c r="G465" s="186" t="s">
        <v>1102</v>
      </c>
      <c r="H465" s="186" t="s">
        <v>1720</v>
      </c>
      <c r="I465" s="187" t="s">
        <v>1228</v>
      </c>
      <c r="J465" s="187" t="s">
        <v>1229</v>
      </c>
      <c r="K465" s="188"/>
      <c r="L465" s="188"/>
      <c r="M465" s="189" t="s">
        <v>847</v>
      </c>
      <c r="N465" s="190">
        <v>406.33</v>
      </c>
      <c r="O465" s="190">
        <f t="shared" si="56"/>
        <v>442.9</v>
      </c>
      <c r="P465" s="191">
        <f t="shared" si="57"/>
        <v>0</v>
      </c>
      <c r="Q465" s="192">
        <f t="shared" si="58"/>
        <v>0</v>
      </c>
      <c r="R465" s="193"/>
      <c r="S465" s="194"/>
      <c r="T465" s="195">
        <f t="shared" si="59"/>
        <v>0</v>
      </c>
      <c r="U465" s="195">
        <f t="shared" si="60"/>
        <v>0</v>
      </c>
      <c r="V465" s="195">
        <f t="shared" si="61"/>
        <v>0</v>
      </c>
      <c r="W465" s="196" t="e">
        <f t="shared" si="62"/>
        <v>#DIV/0!</v>
      </c>
      <c r="X465" s="197" t="e">
        <f t="shared" si="63"/>
        <v>#DIV/0!</v>
      </c>
    </row>
    <row r="466" ht="11.4" hidden="1" customHeight="1" spans="1:27">
      <c r="A466" s="184" t="s">
        <v>1706</v>
      </c>
      <c r="B466" s="184" t="s">
        <v>125</v>
      </c>
      <c r="C466" s="184" t="s">
        <v>1101</v>
      </c>
      <c r="D466" s="185" t="s">
        <v>522</v>
      </c>
      <c r="E466" s="186" t="s">
        <v>906</v>
      </c>
      <c r="F466" s="186" t="s">
        <v>907</v>
      </c>
      <c r="G466" s="186" t="s">
        <v>1102</v>
      </c>
      <c r="H466" s="186" t="s">
        <v>1720</v>
      </c>
      <c r="I466" s="187" t="s">
        <v>1230</v>
      </c>
      <c r="J466" s="187" t="s">
        <v>1231</v>
      </c>
      <c r="K466" s="188"/>
      <c r="L466" s="188"/>
      <c r="M466" s="189" t="s">
        <v>847</v>
      </c>
      <c r="N466" s="190">
        <v>387.96</v>
      </c>
      <c r="O466" s="190">
        <f t="shared" si="56"/>
        <v>422.88</v>
      </c>
      <c r="P466" s="191">
        <f t="shared" si="57"/>
        <v>0</v>
      </c>
      <c r="Q466" s="192">
        <f t="shared" si="58"/>
        <v>0</v>
      </c>
      <c r="R466" s="193"/>
      <c r="S466" s="194"/>
      <c r="T466" s="195">
        <f t="shared" si="59"/>
        <v>0</v>
      </c>
      <c r="U466" s="195">
        <f t="shared" si="60"/>
        <v>0</v>
      </c>
      <c r="V466" s="195">
        <f t="shared" si="61"/>
        <v>0</v>
      </c>
      <c r="W466" s="196" t="e">
        <f t="shared" si="62"/>
        <v>#DIV/0!</v>
      </c>
      <c r="X466" s="197" t="e">
        <f t="shared" si="63"/>
        <v>#DIV/0!</v>
      </c>
    </row>
    <row r="467" ht="11.4" hidden="1" customHeight="1" spans="1:27">
      <c r="A467" s="184" t="s">
        <v>1706</v>
      </c>
      <c r="B467" s="184" t="s">
        <v>125</v>
      </c>
      <c r="C467" s="184" t="s">
        <v>1101</v>
      </c>
      <c r="D467" s="185" t="s">
        <v>522</v>
      </c>
      <c r="E467" s="186" t="s">
        <v>906</v>
      </c>
      <c r="F467" s="186" t="s">
        <v>907</v>
      </c>
      <c r="G467" s="186" t="s">
        <v>1102</v>
      </c>
      <c r="H467" s="186" t="s">
        <v>1720</v>
      </c>
      <c r="I467" s="187" t="s">
        <v>1234</v>
      </c>
      <c r="J467" s="187" t="s">
        <v>1235</v>
      </c>
      <c r="K467" s="188"/>
      <c r="L467" s="188"/>
      <c r="M467" s="189" t="s">
        <v>847</v>
      </c>
      <c r="N467" s="190">
        <v>408.71</v>
      </c>
      <c r="O467" s="190">
        <f t="shared" si="56"/>
        <v>445.49</v>
      </c>
      <c r="P467" s="191">
        <f t="shared" si="57"/>
        <v>0</v>
      </c>
      <c r="Q467" s="192">
        <f t="shared" si="58"/>
        <v>0</v>
      </c>
      <c r="R467" s="193"/>
      <c r="S467" s="194"/>
      <c r="T467" s="195">
        <f t="shared" si="59"/>
        <v>0</v>
      </c>
      <c r="U467" s="195">
        <f t="shared" si="60"/>
        <v>0</v>
      </c>
      <c r="V467" s="195">
        <f t="shared" si="61"/>
        <v>0</v>
      </c>
      <c r="W467" s="196" t="e">
        <f t="shared" si="62"/>
        <v>#DIV/0!</v>
      </c>
      <c r="X467" s="197" t="e">
        <f t="shared" si="63"/>
        <v>#DIV/0!</v>
      </c>
    </row>
    <row r="468" ht="11.4" hidden="1" customHeight="1" spans="1:27">
      <c r="A468" s="184" t="s">
        <v>1706</v>
      </c>
      <c r="B468" s="184" t="s">
        <v>125</v>
      </c>
      <c r="C468" s="184" t="s">
        <v>1101</v>
      </c>
      <c r="D468" s="185" t="s">
        <v>522</v>
      </c>
      <c r="E468" s="186" t="s">
        <v>906</v>
      </c>
      <c r="F468" s="186" t="s">
        <v>907</v>
      </c>
      <c r="G468" s="186" t="s">
        <v>1102</v>
      </c>
      <c r="H468" s="186" t="s">
        <v>1720</v>
      </c>
      <c r="I468" s="187" t="s">
        <v>1236</v>
      </c>
      <c r="J468" s="187" t="s">
        <v>1237</v>
      </c>
      <c r="K468" s="188"/>
      <c r="L468" s="188"/>
      <c r="M468" s="189" t="s">
        <v>847</v>
      </c>
      <c r="N468" s="190">
        <v>385.58</v>
      </c>
      <c r="O468" s="190">
        <f t="shared" si="56"/>
        <v>420.28</v>
      </c>
      <c r="P468" s="191">
        <f t="shared" si="57"/>
        <v>0</v>
      </c>
      <c r="Q468" s="192">
        <f t="shared" si="58"/>
        <v>0</v>
      </c>
      <c r="R468" s="193"/>
      <c r="S468" s="194"/>
      <c r="T468" s="195">
        <f t="shared" si="59"/>
        <v>0</v>
      </c>
      <c r="U468" s="195">
        <f t="shared" si="60"/>
        <v>0</v>
      </c>
      <c r="V468" s="195">
        <f t="shared" si="61"/>
        <v>0</v>
      </c>
      <c r="W468" s="196" t="e">
        <f t="shared" si="62"/>
        <v>#DIV/0!</v>
      </c>
      <c r="X468" s="197" t="e">
        <f t="shared" si="63"/>
        <v>#DIV/0!</v>
      </c>
    </row>
    <row r="469" ht="11.4" hidden="1" customHeight="1" spans="1:27">
      <c r="A469" s="184" t="s">
        <v>1706</v>
      </c>
      <c r="B469" s="184" t="s">
        <v>125</v>
      </c>
      <c r="C469" s="184" t="s">
        <v>1101</v>
      </c>
      <c r="D469" s="185" t="s">
        <v>522</v>
      </c>
      <c r="E469" s="186" t="s">
        <v>906</v>
      </c>
      <c r="F469" s="186" t="s">
        <v>907</v>
      </c>
      <c r="G469" s="186" t="s">
        <v>1102</v>
      </c>
      <c r="H469" s="186" t="s">
        <v>1720</v>
      </c>
      <c r="I469" s="187" t="s">
        <v>1240</v>
      </c>
      <c r="J469" s="187" t="s">
        <v>1241</v>
      </c>
      <c r="K469" s="188"/>
      <c r="L469" s="188"/>
      <c r="M469" s="189" t="s">
        <v>847</v>
      </c>
      <c r="N469" s="190">
        <v>406.33</v>
      </c>
      <c r="O469" s="190">
        <f t="shared" si="56"/>
        <v>442.9</v>
      </c>
      <c r="P469" s="191">
        <f t="shared" si="57"/>
        <v>0</v>
      </c>
      <c r="Q469" s="192">
        <f t="shared" si="58"/>
        <v>0</v>
      </c>
      <c r="R469" s="193"/>
      <c r="S469" s="194"/>
      <c r="T469" s="195">
        <f t="shared" si="59"/>
        <v>0</v>
      </c>
      <c r="U469" s="195">
        <f t="shared" si="60"/>
        <v>0</v>
      </c>
      <c r="V469" s="195">
        <f t="shared" si="61"/>
        <v>0</v>
      </c>
      <c r="W469" s="196" t="e">
        <f t="shared" si="62"/>
        <v>#DIV/0!</v>
      </c>
      <c r="X469" s="197" t="e">
        <f t="shared" si="63"/>
        <v>#DIV/0!</v>
      </c>
    </row>
    <row r="470" ht="11.4" hidden="1" customHeight="1" spans="1:27">
      <c r="A470" s="184" t="s">
        <v>1706</v>
      </c>
      <c r="B470" s="184" t="s">
        <v>125</v>
      </c>
      <c r="C470" s="184" t="s">
        <v>1101</v>
      </c>
      <c r="D470" s="185" t="s">
        <v>522</v>
      </c>
      <c r="E470" s="186" t="s">
        <v>906</v>
      </c>
      <c r="F470" s="186" t="s">
        <v>907</v>
      </c>
      <c r="G470" s="186" t="s">
        <v>1102</v>
      </c>
      <c r="H470" s="186" t="s">
        <v>1722</v>
      </c>
      <c r="I470" s="187" t="s">
        <v>1359</v>
      </c>
      <c r="J470" s="187" t="s">
        <v>1360</v>
      </c>
      <c r="K470" s="188"/>
      <c r="L470" s="188"/>
      <c r="M470" s="189" t="s">
        <v>847</v>
      </c>
      <c r="N470" s="190">
        <v>127.36</v>
      </c>
      <c r="O470" s="190">
        <f t="shared" si="56"/>
        <v>138.82</v>
      </c>
      <c r="P470" s="191">
        <f t="shared" si="57"/>
        <v>0</v>
      </c>
      <c r="Q470" s="192">
        <f t="shared" si="58"/>
        <v>0</v>
      </c>
      <c r="R470" s="193"/>
      <c r="S470" s="194"/>
      <c r="T470" s="195">
        <f t="shared" si="59"/>
        <v>0</v>
      </c>
      <c r="U470" s="195">
        <f t="shared" si="60"/>
        <v>0</v>
      </c>
      <c r="V470" s="195">
        <f t="shared" si="61"/>
        <v>0</v>
      </c>
      <c r="W470" s="196" t="e">
        <f t="shared" si="62"/>
        <v>#DIV/0!</v>
      </c>
      <c r="X470" s="197" t="e">
        <f t="shared" si="63"/>
        <v>#DIV/0!</v>
      </c>
    </row>
    <row r="471" ht="11.4" hidden="1" customHeight="1" spans="1:27">
      <c r="A471" s="184" t="s">
        <v>1706</v>
      </c>
      <c r="B471" s="184" t="s">
        <v>125</v>
      </c>
      <c r="C471" s="184" t="s">
        <v>1101</v>
      </c>
      <c r="D471" s="185" t="s">
        <v>522</v>
      </c>
      <c r="E471" s="186" t="s">
        <v>906</v>
      </c>
      <c r="F471" s="186" t="s">
        <v>907</v>
      </c>
      <c r="G471" s="186" t="s">
        <v>1102</v>
      </c>
      <c r="H471" s="186" t="s">
        <v>1722</v>
      </c>
      <c r="I471" s="187" t="s">
        <v>1362</v>
      </c>
      <c r="J471" s="187" t="s">
        <v>1363</v>
      </c>
      <c r="K471" s="188"/>
      <c r="L471" s="188"/>
      <c r="M471" s="189" t="s">
        <v>847</v>
      </c>
      <c r="N471" s="190">
        <v>138.36</v>
      </c>
      <c r="O471" s="190">
        <f t="shared" si="56"/>
        <v>150.81</v>
      </c>
      <c r="P471" s="191">
        <f t="shared" si="57"/>
        <v>0</v>
      </c>
      <c r="Q471" s="192">
        <f t="shared" si="58"/>
        <v>0</v>
      </c>
      <c r="R471" s="193"/>
      <c r="S471" s="194"/>
      <c r="T471" s="195">
        <f t="shared" si="59"/>
        <v>0</v>
      </c>
      <c r="U471" s="195">
        <f t="shared" si="60"/>
        <v>0</v>
      </c>
      <c r="V471" s="195">
        <f t="shared" si="61"/>
        <v>0</v>
      </c>
      <c r="W471" s="196" t="e">
        <f t="shared" si="62"/>
        <v>#DIV/0!</v>
      </c>
      <c r="X471" s="197" t="e">
        <f t="shared" si="63"/>
        <v>#DIV/0!</v>
      </c>
    </row>
    <row r="472" ht="11.4" hidden="1" customHeight="1" spans="1:27">
      <c r="A472" s="184" t="s">
        <v>1706</v>
      </c>
      <c r="B472" s="184" t="s">
        <v>125</v>
      </c>
      <c r="C472" s="184" t="s">
        <v>1101</v>
      </c>
      <c r="D472" s="185" t="s">
        <v>522</v>
      </c>
      <c r="E472" s="186" t="s">
        <v>906</v>
      </c>
      <c r="F472" s="186" t="s">
        <v>907</v>
      </c>
      <c r="G472" s="186" t="s">
        <v>1102</v>
      </c>
      <c r="H472" s="186" t="s">
        <v>1722</v>
      </c>
      <c r="I472" s="187" t="s">
        <v>1723</v>
      </c>
      <c r="J472" s="187" t="s">
        <v>1724</v>
      </c>
      <c r="K472" s="188"/>
      <c r="L472" s="188"/>
      <c r="M472" s="189" t="s">
        <v>847</v>
      </c>
      <c r="N472" s="190">
        <v>132.76</v>
      </c>
      <c r="O472" s="190">
        <f t="shared" si="56"/>
        <v>144.71</v>
      </c>
      <c r="P472" s="191">
        <f t="shared" si="57"/>
        <v>0</v>
      </c>
      <c r="Q472" s="192">
        <f t="shared" si="58"/>
        <v>0</v>
      </c>
      <c r="R472" s="193"/>
      <c r="S472" s="194"/>
      <c r="T472" s="195">
        <f t="shared" si="59"/>
        <v>0</v>
      </c>
      <c r="U472" s="195">
        <f t="shared" si="60"/>
        <v>0</v>
      </c>
      <c r="V472" s="195">
        <f t="shared" si="61"/>
        <v>0</v>
      </c>
      <c r="W472" s="196" t="e">
        <f t="shared" si="62"/>
        <v>#DIV/0!</v>
      </c>
      <c r="X472" s="197" t="e">
        <f t="shared" si="63"/>
        <v>#DIV/0!</v>
      </c>
    </row>
    <row r="473" ht="11.4" hidden="1" customHeight="1" spans="1:27">
      <c r="A473" s="184" t="s">
        <v>1706</v>
      </c>
      <c r="B473" s="184" t="s">
        <v>125</v>
      </c>
      <c r="C473" s="184" t="s">
        <v>1101</v>
      </c>
      <c r="D473" s="185" t="s">
        <v>522</v>
      </c>
      <c r="E473" s="186" t="s">
        <v>906</v>
      </c>
      <c r="F473" s="186" t="s">
        <v>907</v>
      </c>
      <c r="G473" s="186" t="s">
        <v>1102</v>
      </c>
      <c r="H473" s="186" t="s">
        <v>1722</v>
      </c>
      <c r="I473" s="187" t="s">
        <v>1384</v>
      </c>
      <c r="J473" s="187" t="s">
        <v>1385</v>
      </c>
      <c r="K473" s="188">
        <v>1.32</v>
      </c>
      <c r="L473" s="188">
        <v>1.32</v>
      </c>
      <c r="M473" s="189" t="s">
        <v>847</v>
      </c>
      <c r="N473" s="190">
        <v>139.73</v>
      </c>
      <c r="O473" s="190">
        <f t="shared" si="56"/>
        <v>152.31</v>
      </c>
      <c r="P473" s="191">
        <f t="shared" si="57"/>
        <v>184.44</v>
      </c>
      <c r="Q473" s="192">
        <f t="shared" si="58"/>
        <v>184.44</v>
      </c>
      <c r="R473" s="193"/>
      <c r="S473" s="194"/>
      <c r="T473" s="195">
        <f t="shared" si="59"/>
        <v>0</v>
      </c>
      <c r="U473" s="195">
        <f t="shared" si="60"/>
        <v>0</v>
      </c>
      <c r="V473" s="195">
        <f t="shared" si="61"/>
        <v>0</v>
      </c>
      <c r="W473" s="196">
        <f t="shared" si="62"/>
        <v>0</v>
      </c>
      <c r="X473" s="197">
        <f t="shared" si="63"/>
        <v>0</v>
      </c>
    </row>
    <row r="474" ht="11.4" hidden="1" customHeight="1" spans="1:27">
      <c r="A474" s="184" t="s">
        <v>1706</v>
      </c>
      <c r="B474" s="184" t="s">
        <v>125</v>
      </c>
      <c r="C474" s="184" t="s">
        <v>1101</v>
      </c>
      <c r="D474" s="185" t="s">
        <v>522</v>
      </c>
      <c r="E474" s="186" t="s">
        <v>906</v>
      </c>
      <c r="F474" s="186" t="s">
        <v>907</v>
      </c>
      <c r="G474" s="186" t="s">
        <v>1102</v>
      </c>
      <c r="H474" s="186" t="s">
        <v>1725</v>
      </c>
      <c r="I474" s="187" t="s">
        <v>1726</v>
      </c>
      <c r="J474" s="187" t="s">
        <v>3196</v>
      </c>
      <c r="K474" s="188"/>
      <c r="L474" s="188"/>
      <c r="M474" s="189" t="s">
        <v>793</v>
      </c>
      <c r="N474" s="190">
        <v>10720.16</v>
      </c>
      <c r="O474" s="190">
        <f t="shared" si="56"/>
        <v>11684.97</v>
      </c>
      <c r="P474" s="191">
        <f t="shared" si="57"/>
        <v>0</v>
      </c>
      <c r="Q474" s="192">
        <f t="shared" si="58"/>
        <v>0</v>
      </c>
      <c r="R474" s="193"/>
      <c r="S474" s="194"/>
      <c r="T474" s="195">
        <f t="shared" si="59"/>
        <v>0</v>
      </c>
      <c r="U474" s="195">
        <f t="shared" si="60"/>
        <v>0</v>
      </c>
      <c r="V474" s="195">
        <f t="shared" si="61"/>
        <v>0</v>
      </c>
      <c r="W474" s="196" t="e">
        <f t="shared" si="62"/>
        <v>#DIV/0!</v>
      </c>
      <c r="X474" s="197" t="e">
        <f t="shared" si="63"/>
        <v>#DIV/0!</v>
      </c>
    </row>
    <row r="475" ht="11.4" hidden="1" customHeight="1" spans="1:27">
      <c r="A475" s="184" t="s">
        <v>1706</v>
      </c>
      <c r="B475" s="184" t="s">
        <v>125</v>
      </c>
      <c r="C475" s="184" t="s">
        <v>1101</v>
      </c>
      <c r="D475" s="185" t="s">
        <v>522</v>
      </c>
      <c r="E475" s="186" t="s">
        <v>906</v>
      </c>
      <c r="F475" s="186" t="s">
        <v>907</v>
      </c>
      <c r="G475" s="186" t="s">
        <v>1102</v>
      </c>
      <c r="H475" s="186" t="s">
        <v>1725</v>
      </c>
      <c r="I475" s="187" t="s">
        <v>1728</v>
      </c>
      <c r="J475" s="187" t="s">
        <v>1729</v>
      </c>
      <c r="K475" s="200">
        <v>1</v>
      </c>
      <c r="L475" s="188"/>
      <c r="M475" s="189" t="s">
        <v>1580</v>
      </c>
      <c r="N475" s="190">
        <v>211.97</v>
      </c>
      <c r="O475" s="190">
        <f t="shared" si="56"/>
        <v>231.05</v>
      </c>
      <c r="P475" s="191">
        <f t="shared" si="57"/>
        <v>211.97</v>
      </c>
      <c r="Q475" s="192">
        <f t="shared" si="58"/>
        <v>0</v>
      </c>
      <c r="R475" s="193"/>
      <c r="S475" s="194"/>
      <c r="T475" s="195">
        <f t="shared" si="59"/>
        <v>1</v>
      </c>
      <c r="U475" s="195">
        <f t="shared" si="60"/>
        <v>211.97</v>
      </c>
      <c r="V475" s="195">
        <f t="shared" si="61"/>
        <v>211.97</v>
      </c>
      <c r="W475" s="196" t="e">
        <f t="shared" si="62"/>
        <v>#DIV/0!</v>
      </c>
      <c r="X475" s="197" t="e">
        <f t="shared" si="63"/>
        <v>#DIV/0!</v>
      </c>
      <c r="AA475" s="201" t="s">
        <v>3257</v>
      </c>
    </row>
    <row r="476" ht="11.4" hidden="1" customHeight="1" spans="1:27">
      <c r="A476" s="184" t="s">
        <v>1706</v>
      </c>
      <c r="B476" s="184" t="s">
        <v>125</v>
      </c>
      <c r="C476" s="184" t="s">
        <v>1101</v>
      </c>
      <c r="D476" s="185" t="s">
        <v>522</v>
      </c>
      <c r="E476" s="186" t="s">
        <v>906</v>
      </c>
      <c r="F476" s="186" t="s">
        <v>907</v>
      </c>
      <c r="G476" s="186" t="s">
        <v>1102</v>
      </c>
      <c r="H476" s="186" t="s">
        <v>1725</v>
      </c>
      <c r="I476" s="187" t="s">
        <v>1730</v>
      </c>
      <c r="J476" s="187" t="s">
        <v>1731</v>
      </c>
      <c r="K476" s="188"/>
      <c r="L476" s="188"/>
      <c r="M476" s="189" t="s">
        <v>1580</v>
      </c>
      <c r="N476" s="190">
        <v>191.29</v>
      </c>
      <c r="O476" s="190">
        <f t="shared" si="56"/>
        <v>208.51</v>
      </c>
      <c r="P476" s="191">
        <f t="shared" si="57"/>
        <v>0</v>
      </c>
      <c r="Q476" s="192">
        <f t="shared" si="58"/>
        <v>0</v>
      </c>
      <c r="R476" s="193"/>
      <c r="S476" s="194"/>
      <c r="T476" s="195">
        <f t="shared" si="59"/>
        <v>0</v>
      </c>
      <c r="U476" s="195">
        <f t="shared" si="60"/>
        <v>0</v>
      </c>
      <c r="V476" s="195">
        <f t="shared" si="61"/>
        <v>0</v>
      </c>
      <c r="W476" s="196" t="e">
        <f t="shared" si="62"/>
        <v>#DIV/0!</v>
      </c>
      <c r="X476" s="197" t="e">
        <f t="shared" si="63"/>
        <v>#DIV/0!</v>
      </c>
    </row>
    <row r="477" ht="11.4" hidden="1" customHeight="1" spans="1:27">
      <c r="A477" s="184" t="s">
        <v>1706</v>
      </c>
      <c r="B477" s="184" t="s">
        <v>125</v>
      </c>
      <c r="C477" s="184" t="s">
        <v>1101</v>
      </c>
      <c r="D477" s="185" t="s">
        <v>522</v>
      </c>
      <c r="E477" s="186" t="s">
        <v>906</v>
      </c>
      <c r="F477" s="186" t="s">
        <v>907</v>
      </c>
      <c r="G477" s="186" t="s">
        <v>1102</v>
      </c>
      <c r="H477" s="186" t="s">
        <v>1725</v>
      </c>
      <c r="I477" s="187" t="s">
        <v>1732</v>
      </c>
      <c r="J477" s="187" t="s">
        <v>1733</v>
      </c>
      <c r="K477" s="188"/>
      <c r="L477" s="188"/>
      <c r="M477" s="189" t="s">
        <v>793</v>
      </c>
      <c r="N477" s="190">
        <v>404.91</v>
      </c>
      <c r="O477" s="190">
        <f t="shared" si="56"/>
        <v>441.35</v>
      </c>
      <c r="P477" s="191">
        <f t="shared" si="57"/>
        <v>0</v>
      </c>
      <c r="Q477" s="192">
        <f t="shared" si="58"/>
        <v>0</v>
      </c>
      <c r="R477" s="193"/>
      <c r="S477" s="194"/>
      <c r="T477" s="195">
        <f t="shared" si="59"/>
        <v>0</v>
      </c>
      <c r="U477" s="195">
        <f t="shared" si="60"/>
        <v>0</v>
      </c>
      <c r="V477" s="195">
        <f t="shared" si="61"/>
        <v>0</v>
      </c>
      <c r="W477" s="196" t="e">
        <f t="shared" si="62"/>
        <v>#DIV/0!</v>
      </c>
      <c r="X477" s="197" t="e">
        <f t="shared" si="63"/>
        <v>#DIV/0!</v>
      </c>
    </row>
    <row r="478" ht="11.4" hidden="1" customHeight="1" spans="1:27">
      <c r="A478" s="184" t="s">
        <v>1706</v>
      </c>
      <c r="B478" s="184" t="s">
        <v>125</v>
      </c>
      <c r="C478" s="184" t="s">
        <v>1101</v>
      </c>
      <c r="D478" s="185" t="s">
        <v>522</v>
      </c>
      <c r="E478" s="186" t="s">
        <v>906</v>
      </c>
      <c r="F478" s="186" t="s">
        <v>907</v>
      </c>
      <c r="G478" s="186" t="s">
        <v>1102</v>
      </c>
      <c r="H478" s="186" t="s">
        <v>1725</v>
      </c>
      <c r="I478" s="187" t="s">
        <v>1734</v>
      </c>
      <c r="J478" s="187" t="s">
        <v>1735</v>
      </c>
      <c r="K478" s="188">
        <v>4.13</v>
      </c>
      <c r="L478" s="188">
        <v>4.13</v>
      </c>
      <c r="M478" s="189" t="s">
        <v>847</v>
      </c>
      <c r="N478" s="190">
        <v>645.8</v>
      </c>
      <c r="O478" s="190">
        <f t="shared" si="56"/>
        <v>703.92</v>
      </c>
      <c r="P478" s="191">
        <f t="shared" si="57"/>
        <v>2667.15</v>
      </c>
      <c r="Q478" s="192">
        <f t="shared" si="58"/>
        <v>2667.15</v>
      </c>
      <c r="R478" s="193"/>
      <c r="S478" s="194"/>
      <c r="T478" s="195">
        <f t="shared" si="59"/>
        <v>0</v>
      </c>
      <c r="U478" s="195">
        <f t="shared" si="60"/>
        <v>0</v>
      </c>
      <c r="V478" s="195">
        <f t="shared" si="61"/>
        <v>0</v>
      </c>
      <c r="W478" s="196">
        <f t="shared" si="62"/>
        <v>0</v>
      </c>
      <c r="X478" s="197">
        <f t="shared" si="63"/>
        <v>0</v>
      </c>
    </row>
    <row r="479" ht="11.4" hidden="1" customHeight="1" spans="1:27">
      <c r="A479" s="184" t="s">
        <v>1706</v>
      </c>
      <c r="B479" s="184" t="s">
        <v>125</v>
      </c>
      <c r="C479" s="184" t="s">
        <v>1101</v>
      </c>
      <c r="D479" s="185" t="s">
        <v>522</v>
      </c>
      <c r="E479" s="186" t="s">
        <v>906</v>
      </c>
      <c r="F479" s="186" t="s">
        <v>907</v>
      </c>
      <c r="G479" s="186" t="s">
        <v>1102</v>
      </c>
      <c r="H479" s="186" t="s">
        <v>1725</v>
      </c>
      <c r="I479" s="187" t="s">
        <v>1736</v>
      </c>
      <c r="J479" s="187" t="s">
        <v>1737</v>
      </c>
      <c r="K479" s="188"/>
      <c r="L479" s="188"/>
      <c r="M479" s="189" t="s">
        <v>847</v>
      </c>
      <c r="N479" s="190"/>
      <c r="O479" s="190">
        <f t="shared" si="56"/>
        <v>0</v>
      </c>
      <c r="P479" s="191">
        <f t="shared" si="57"/>
        <v>0</v>
      </c>
      <c r="Q479" s="192">
        <f t="shared" si="58"/>
        <v>0</v>
      </c>
      <c r="R479" s="193"/>
      <c r="S479" s="194"/>
      <c r="T479" s="195">
        <f t="shared" si="59"/>
        <v>0</v>
      </c>
      <c r="U479" s="195">
        <f t="shared" si="60"/>
        <v>0</v>
      </c>
      <c r="V479" s="195">
        <f t="shared" si="61"/>
        <v>0</v>
      </c>
      <c r="W479" s="196" t="e">
        <f t="shared" si="62"/>
        <v>#DIV/0!</v>
      </c>
      <c r="X479" s="197" t="e">
        <f t="shared" si="63"/>
        <v>#DIV/0!</v>
      </c>
    </row>
    <row r="480" ht="11.4" hidden="1" customHeight="1" spans="1:27">
      <c r="A480" s="184" t="s">
        <v>1706</v>
      </c>
      <c r="B480" s="184" t="s">
        <v>125</v>
      </c>
      <c r="C480" s="184" t="s">
        <v>1101</v>
      </c>
      <c r="D480" s="185" t="s">
        <v>522</v>
      </c>
      <c r="E480" s="186" t="s">
        <v>906</v>
      </c>
      <c r="F480" s="186" t="s">
        <v>907</v>
      </c>
      <c r="G480" s="186" t="s">
        <v>1102</v>
      </c>
      <c r="H480" s="186" t="s">
        <v>1725</v>
      </c>
      <c r="I480" s="187" t="s">
        <v>1738</v>
      </c>
      <c r="J480" s="187" t="s">
        <v>1739</v>
      </c>
      <c r="K480" s="188"/>
      <c r="L480" s="188"/>
      <c r="M480" s="189" t="s">
        <v>793</v>
      </c>
      <c r="N480" s="190"/>
      <c r="O480" s="190">
        <f t="shared" si="56"/>
        <v>0</v>
      </c>
      <c r="P480" s="191">
        <f t="shared" si="57"/>
        <v>0</v>
      </c>
      <c r="Q480" s="192">
        <f t="shared" si="58"/>
        <v>0</v>
      </c>
      <c r="R480" s="193"/>
      <c r="S480" s="194"/>
      <c r="T480" s="195">
        <f t="shared" si="59"/>
        <v>0</v>
      </c>
      <c r="U480" s="195">
        <f t="shared" si="60"/>
        <v>0</v>
      </c>
      <c r="V480" s="195">
        <f t="shared" si="61"/>
        <v>0</v>
      </c>
      <c r="W480" s="196" t="e">
        <f t="shared" si="62"/>
        <v>#DIV/0!</v>
      </c>
      <c r="X480" s="197" t="e">
        <f t="shared" si="63"/>
        <v>#DIV/0!</v>
      </c>
    </row>
    <row r="481" ht="11.4" hidden="1" customHeight="1" spans="1:24">
      <c r="A481" s="184" t="s">
        <v>1740</v>
      </c>
      <c r="B481" s="184" t="s">
        <v>109</v>
      </c>
      <c r="C481" s="184" t="s">
        <v>1101</v>
      </c>
      <c r="D481" s="185" t="s">
        <v>522</v>
      </c>
      <c r="E481" s="186" t="s">
        <v>906</v>
      </c>
      <c r="F481" s="186" t="s">
        <v>907</v>
      </c>
      <c r="G481" s="186" t="s">
        <v>1102</v>
      </c>
      <c r="H481" s="186" t="s">
        <v>1741</v>
      </c>
      <c r="I481" s="187" t="s">
        <v>1708</v>
      </c>
      <c r="J481" s="187" t="s">
        <v>1709</v>
      </c>
      <c r="K481" s="188"/>
      <c r="L481" s="188"/>
      <c r="M481" s="189" t="s">
        <v>847</v>
      </c>
      <c r="N481" s="190">
        <v>203.87</v>
      </c>
      <c r="O481" s="190">
        <f t="shared" si="56"/>
        <v>222.22</v>
      </c>
      <c r="P481" s="191">
        <f t="shared" si="57"/>
        <v>0</v>
      </c>
      <c r="Q481" s="192">
        <f t="shared" si="58"/>
        <v>0</v>
      </c>
      <c r="R481" s="193"/>
      <c r="S481" s="194"/>
      <c r="T481" s="195">
        <f t="shared" si="59"/>
        <v>0</v>
      </c>
      <c r="U481" s="195">
        <f t="shared" si="60"/>
        <v>0</v>
      </c>
      <c r="V481" s="195">
        <f t="shared" si="61"/>
        <v>0</v>
      </c>
      <c r="W481" s="196" t="e">
        <f t="shared" si="62"/>
        <v>#DIV/0!</v>
      </c>
      <c r="X481" s="197" t="e">
        <f t="shared" si="63"/>
        <v>#DIV/0!</v>
      </c>
    </row>
    <row r="482" ht="11.4" hidden="1" customHeight="1" spans="1:24">
      <c r="A482" s="184" t="s">
        <v>1740</v>
      </c>
      <c r="B482" s="184" t="s">
        <v>109</v>
      </c>
      <c r="C482" s="184" t="s">
        <v>1101</v>
      </c>
      <c r="D482" s="185" t="s">
        <v>522</v>
      </c>
      <c r="E482" s="186" t="s">
        <v>906</v>
      </c>
      <c r="F482" s="186" t="s">
        <v>907</v>
      </c>
      <c r="G482" s="186" t="s">
        <v>1102</v>
      </c>
      <c r="H482" s="186" t="s">
        <v>1741</v>
      </c>
      <c r="I482" s="187" t="s">
        <v>1710</v>
      </c>
      <c r="J482" s="187" t="s">
        <v>1711</v>
      </c>
      <c r="K482" s="188"/>
      <c r="L482" s="188"/>
      <c r="M482" s="189" t="s">
        <v>807</v>
      </c>
      <c r="N482" s="190">
        <v>101.27</v>
      </c>
      <c r="O482" s="190">
        <f t="shared" si="56"/>
        <v>110.38</v>
      </c>
      <c r="P482" s="191">
        <f t="shared" si="57"/>
        <v>0</v>
      </c>
      <c r="Q482" s="192">
        <f t="shared" si="58"/>
        <v>0</v>
      </c>
      <c r="R482" s="193"/>
      <c r="S482" s="194"/>
      <c r="T482" s="195">
        <f t="shared" si="59"/>
        <v>0</v>
      </c>
      <c r="U482" s="195">
        <f t="shared" si="60"/>
        <v>0</v>
      </c>
      <c r="V482" s="195">
        <f t="shared" si="61"/>
        <v>0</v>
      </c>
      <c r="W482" s="196" t="e">
        <f t="shared" si="62"/>
        <v>#DIV/0!</v>
      </c>
      <c r="X482" s="197" t="e">
        <f t="shared" si="63"/>
        <v>#DIV/0!</v>
      </c>
    </row>
    <row r="483" ht="11.4" hidden="1" customHeight="1" spans="1:24">
      <c r="A483" s="184" t="s">
        <v>1740</v>
      </c>
      <c r="B483" s="184" t="s">
        <v>109</v>
      </c>
      <c r="C483" s="184" t="s">
        <v>1101</v>
      </c>
      <c r="D483" s="185" t="s">
        <v>522</v>
      </c>
      <c r="E483" s="186" t="s">
        <v>906</v>
      </c>
      <c r="F483" s="186" t="s">
        <v>907</v>
      </c>
      <c r="G483" s="186" t="s">
        <v>1102</v>
      </c>
      <c r="H483" s="186" t="s">
        <v>1741</v>
      </c>
      <c r="I483" s="187" t="s">
        <v>1712</v>
      </c>
      <c r="J483" s="187" t="s">
        <v>1713</v>
      </c>
      <c r="K483" s="188"/>
      <c r="L483" s="188"/>
      <c r="M483" s="189" t="s">
        <v>847</v>
      </c>
      <c r="N483" s="190">
        <v>194.19</v>
      </c>
      <c r="O483" s="190">
        <f t="shared" si="56"/>
        <v>211.67</v>
      </c>
      <c r="P483" s="191">
        <f t="shared" si="57"/>
        <v>0</v>
      </c>
      <c r="Q483" s="192">
        <f t="shared" si="58"/>
        <v>0</v>
      </c>
      <c r="R483" s="193"/>
      <c r="S483" s="194"/>
      <c r="T483" s="195">
        <f t="shared" si="59"/>
        <v>0</v>
      </c>
      <c r="U483" s="195">
        <f t="shared" si="60"/>
        <v>0</v>
      </c>
      <c r="V483" s="195">
        <f t="shared" si="61"/>
        <v>0</v>
      </c>
      <c r="W483" s="196" t="e">
        <f t="shared" si="62"/>
        <v>#DIV/0!</v>
      </c>
      <c r="X483" s="197" t="e">
        <f t="shared" si="63"/>
        <v>#DIV/0!</v>
      </c>
    </row>
    <row r="484" ht="11.4" hidden="1" customHeight="1" spans="1:24">
      <c r="A484" s="184" t="s">
        <v>1740</v>
      </c>
      <c r="B484" s="184" t="s">
        <v>109</v>
      </c>
      <c r="C484" s="184" t="s">
        <v>1101</v>
      </c>
      <c r="D484" s="185" t="s">
        <v>522</v>
      </c>
      <c r="E484" s="186" t="s">
        <v>906</v>
      </c>
      <c r="F484" s="186" t="s">
        <v>907</v>
      </c>
      <c r="G484" s="186" t="s">
        <v>1102</v>
      </c>
      <c r="H484" s="186" t="s">
        <v>1741</v>
      </c>
      <c r="I484" s="187" t="s">
        <v>1714</v>
      </c>
      <c r="J484" s="187" t="s">
        <v>1715</v>
      </c>
      <c r="K484" s="188"/>
      <c r="L484" s="188"/>
      <c r="M484" s="189" t="s">
        <v>807</v>
      </c>
      <c r="N484" s="190">
        <v>83.12</v>
      </c>
      <c r="O484" s="190">
        <f t="shared" si="56"/>
        <v>90.6</v>
      </c>
      <c r="P484" s="191">
        <f t="shared" si="57"/>
        <v>0</v>
      </c>
      <c r="Q484" s="192">
        <f t="shared" si="58"/>
        <v>0</v>
      </c>
      <c r="R484" s="193"/>
      <c r="S484" s="194"/>
      <c r="T484" s="195">
        <f t="shared" si="59"/>
        <v>0</v>
      </c>
      <c r="U484" s="195">
        <f t="shared" si="60"/>
        <v>0</v>
      </c>
      <c r="V484" s="195">
        <f t="shared" si="61"/>
        <v>0</v>
      </c>
      <c r="W484" s="196" t="e">
        <f t="shared" si="62"/>
        <v>#DIV/0!</v>
      </c>
      <c r="X484" s="197" t="e">
        <f t="shared" si="63"/>
        <v>#DIV/0!</v>
      </c>
    </row>
    <row r="485" ht="11.4" hidden="1" customHeight="1" spans="1:24">
      <c r="A485" s="184" t="s">
        <v>1740</v>
      </c>
      <c r="B485" s="184" t="s">
        <v>109</v>
      </c>
      <c r="C485" s="184" t="s">
        <v>1101</v>
      </c>
      <c r="D485" s="185" t="s">
        <v>522</v>
      </c>
      <c r="E485" s="186" t="s">
        <v>906</v>
      </c>
      <c r="F485" s="186" t="s">
        <v>907</v>
      </c>
      <c r="G485" s="186" t="s">
        <v>1102</v>
      </c>
      <c r="H485" s="186" t="s">
        <v>1741</v>
      </c>
      <c r="I485" s="187" t="s">
        <v>1716</v>
      </c>
      <c r="J485" s="187" t="s">
        <v>1717</v>
      </c>
      <c r="K485" s="188">
        <v>52.11</v>
      </c>
      <c r="L485" s="188">
        <v>52.1</v>
      </c>
      <c r="M485" s="189" t="s">
        <v>847</v>
      </c>
      <c r="N485" s="190">
        <v>202.66</v>
      </c>
      <c r="O485" s="190">
        <f t="shared" si="56"/>
        <v>220.9</v>
      </c>
      <c r="P485" s="191">
        <f t="shared" si="57"/>
        <v>10560.61</v>
      </c>
      <c r="Q485" s="192">
        <f t="shared" si="58"/>
        <v>10558.59</v>
      </c>
      <c r="R485" s="193"/>
      <c r="S485" s="194"/>
      <c r="T485" s="195">
        <f t="shared" si="59"/>
        <v>0.00999999999999801</v>
      </c>
      <c r="U485" s="195">
        <f t="shared" si="60"/>
        <v>2.02000000000044</v>
      </c>
      <c r="V485" s="195">
        <f t="shared" si="61"/>
        <v>2.02000000000044</v>
      </c>
      <c r="W485" s="196">
        <f t="shared" si="62"/>
        <v>0.000191938579654472</v>
      </c>
      <c r="X485" s="197">
        <f t="shared" si="63"/>
        <v>0.000191938579654472</v>
      </c>
    </row>
    <row r="486" ht="11.4" hidden="1" customHeight="1" spans="1:24">
      <c r="A486" s="184" t="s">
        <v>1740</v>
      </c>
      <c r="B486" s="184" t="s">
        <v>109</v>
      </c>
      <c r="C486" s="184" t="s">
        <v>1101</v>
      </c>
      <c r="D486" s="185" t="s">
        <v>522</v>
      </c>
      <c r="E486" s="186" t="s">
        <v>906</v>
      </c>
      <c r="F486" s="186" t="s">
        <v>907</v>
      </c>
      <c r="G486" s="186" t="s">
        <v>1102</v>
      </c>
      <c r="H486" s="186" t="s">
        <v>1741</v>
      </c>
      <c r="I486" s="187" t="s">
        <v>1718</v>
      </c>
      <c r="J486" s="187" t="s">
        <v>1719</v>
      </c>
      <c r="K486" s="188">
        <v>47.33</v>
      </c>
      <c r="L486" s="188">
        <v>47.13</v>
      </c>
      <c r="M486" s="189" t="s">
        <v>807</v>
      </c>
      <c r="N486" s="190">
        <v>101.27</v>
      </c>
      <c r="O486" s="190">
        <f t="shared" si="56"/>
        <v>110.38</v>
      </c>
      <c r="P486" s="191">
        <f t="shared" si="57"/>
        <v>4793.11</v>
      </c>
      <c r="Q486" s="192">
        <f t="shared" si="58"/>
        <v>4772.86</v>
      </c>
      <c r="R486" s="193"/>
      <c r="S486" s="194"/>
      <c r="T486" s="195">
        <f t="shared" si="59"/>
        <v>0.199999999999996</v>
      </c>
      <c r="U486" s="195">
        <f t="shared" si="60"/>
        <v>20.25</v>
      </c>
      <c r="V486" s="195">
        <f t="shared" si="61"/>
        <v>20.25</v>
      </c>
      <c r="W486" s="196">
        <f t="shared" si="62"/>
        <v>0.00424358158285584</v>
      </c>
      <c r="X486" s="197">
        <f t="shared" si="63"/>
        <v>0.00424358158285584</v>
      </c>
    </row>
    <row r="487" ht="11.4" hidden="1" customHeight="1" spans="1:24">
      <c r="A487" s="184" t="s">
        <v>1740</v>
      </c>
      <c r="B487" s="184" t="s">
        <v>109</v>
      </c>
      <c r="C487" s="184" t="s">
        <v>1101</v>
      </c>
      <c r="D487" s="185" t="s">
        <v>522</v>
      </c>
      <c r="E487" s="186" t="s">
        <v>906</v>
      </c>
      <c r="F487" s="186" t="s">
        <v>907</v>
      </c>
      <c r="G487" s="186" t="s">
        <v>1102</v>
      </c>
      <c r="H487" s="186" t="s">
        <v>1741</v>
      </c>
      <c r="I487" s="187" t="s">
        <v>1104</v>
      </c>
      <c r="J487" s="187" t="s">
        <v>1105</v>
      </c>
      <c r="K487" s="188"/>
      <c r="L487" s="188"/>
      <c r="M487" s="189" t="s">
        <v>847</v>
      </c>
      <c r="N487" s="190">
        <v>180.78</v>
      </c>
      <c r="O487" s="190">
        <f t="shared" si="56"/>
        <v>197.05</v>
      </c>
      <c r="P487" s="191">
        <f t="shared" si="57"/>
        <v>0</v>
      </c>
      <c r="Q487" s="192">
        <f t="shared" si="58"/>
        <v>0</v>
      </c>
      <c r="R487" s="193"/>
      <c r="S487" s="194"/>
      <c r="T487" s="195">
        <f t="shared" si="59"/>
        <v>0</v>
      </c>
      <c r="U487" s="195">
        <f t="shared" si="60"/>
        <v>0</v>
      </c>
      <c r="V487" s="195">
        <f t="shared" si="61"/>
        <v>0</v>
      </c>
      <c r="W487" s="196" t="e">
        <f t="shared" si="62"/>
        <v>#DIV/0!</v>
      </c>
      <c r="X487" s="197" t="e">
        <f t="shared" si="63"/>
        <v>#DIV/0!</v>
      </c>
    </row>
    <row r="488" ht="11.4" hidden="1" customHeight="1" spans="1:24">
      <c r="A488" s="184" t="s">
        <v>1740</v>
      </c>
      <c r="B488" s="184" t="s">
        <v>109</v>
      </c>
      <c r="C488" s="184" t="s">
        <v>1101</v>
      </c>
      <c r="D488" s="185" t="s">
        <v>522</v>
      </c>
      <c r="E488" s="186" t="s">
        <v>906</v>
      </c>
      <c r="F488" s="186" t="s">
        <v>907</v>
      </c>
      <c r="G488" s="186" t="s">
        <v>1102</v>
      </c>
      <c r="H488" s="186" t="s">
        <v>1741</v>
      </c>
      <c r="I488" s="187" t="s">
        <v>1106</v>
      </c>
      <c r="J488" s="187" t="s">
        <v>1107</v>
      </c>
      <c r="K488" s="188"/>
      <c r="L488" s="188"/>
      <c r="M488" s="189" t="s">
        <v>807</v>
      </c>
      <c r="N488" s="190">
        <v>41.36</v>
      </c>
      <c r="O488" s="190">
        <f t="shared" si="56"/>
        <v>45.08</v>
      </c>
      <c r="P488" s="191">
        <f t="shared" si="57"/>
        <v>0</v>
      </c>
      <c r="Q488" s="192">
        <f t="shared" si="58"/>
        <v>0</v>
      </c>
      <c r="R488" s="193"/>
      <c r="S488" s="194"/>
      <c r="T488" s="195">
        <f t="shared" si="59"/>
        <v>0</v>
      </c>
      <c r="U488" s="195">
        <f t="shared" si="60"/>
        <v>0</v>
      </c>
      <c r="V488" s="195">
        <f t="shared" si="61"/>
        <v>0</v>
      </c>
      <c r="W488" s="196" t="e">
        <f t="shared" si="62"/>
        <v>#DIV/0!</v>
      </c>
      <c r="X488" s="197" t="e">
        <f t="shared" si="63"/>
        <v>#DIV/0!</v>
      </c>
    </row>
    <row r="489" ht="11.4" hidden="1" customHeight="1" spans="1:24">
      <c r="A489" s="184" t="s">
        <v>1740</v>
      </c>
      <c r="B489" s="184" t="s">
        <v>109</v>
      </c>
      <c r="C489" s="184" t="s">
        <v>1101</v>
      </c>
      <c r="D489" s="185" t="s">
        <v>522</v>
      </c>
      <c r="E489" s="186" t="s">
        <v>906</v>
      </c>
      <c r="F489" s="186" t="s">
        <v>907</v>
      </c>
      <c r="G489" s="186" t="s">
        <v>1102</v>
      </c>
      <c r="H489" s="186" t="s">
        <v>1741</v>
      </c>
      <c r="I489" s="187" t="s">
        <v>1109</v>
      </c>
      <c r="J489" s="187" t="s">
        <v>1110</v>
      </c>
      <c r="K489" s="188"/>
      <c r="L489" s="188"/>
      <c r="M489" s="189" t="s">
        <v>847</v>
      </c>
      <c r="N489" s="190">
        <v>160.21</v>
      </c>
      <c r="O489" s="190">
        <f t="shared" si="56"/>
        <v>174.63</v>
      </c>
      <c r="P489" s="191">
        <f t="shared" si="57"/>
        <v>0</v>
      </c>
      <c r="Q489" s="192">
        <f t="shared" si="58"/>
        <v>0</v>
      </c>
      <c r="R489" s="193"/>
      <c r="S489" s="194"/>
      <c r="T489" s="195">
        <f t="shared" si="59"/>
        <v>0</v>
      </c>
      <c r="U489" s="195">
        <f t="shared" si="60"/>
        <v>0</v>
      </c>
      <c r="V489" s="195">
        <f t="shared" si="61"/>
        <v>0</v>
      </c>
      <c r="W489" s="196" t="e">
        <f t="shared" si="62"/>
        <v>#DIV/0!</v>
      </c>
      <c r="X489" s="197" t="e">
        <f t="shared" si="63"/>
        <v>#DIV/0!</v>
      </c>
    </row>
    <row r="490" ht="11.4" hidden="1" customHeight="1" spans="1:24">
      <c r="A490" s="184" t="s">
        <v>1740</v>
      </c>
      <c r="B490" s="184" t="s">
        <v>109</v>
      </c>
      <c r="C490" s="184" t="s">
        <v>1101</v>
      </c>
      <c r="D490" s="185" t="s">
        <v>522</v>
      </c>
      <c r="E490" s="186" t="s">
        <v>906</v>
      </c>
      <c r="F490" s="186" t="s">
        <v>907</v>
      </c>
      <c r="G490" s="186" t="s">
        <v>1102</v>
      </c>
      <c r="H490" s="186" t="s">
        <v>1741</v>
      </c>
      <c r="I490" s="187" t="s">
        <v>1111</v>
      </c>
      <c r="J490" s="187" t="s">
        <v>1112</v>
      </c>
      <c r="K490" s="188"/>
      <c r="L490" s="188"/>
      <c r="M490" s="189" t="s">
        <v>807</v>
      </c>
      <c r="N490" s="190">
        <v>38.94</v>
      </c>
      <c r="O490" s="190">
        <f t="shared" si="56"/>
        <v>42.44</v>
      </c>
      <c r="P490" s="191">
        <f t="shared" si="57"/>
        <v>0</v>
      </c>
      <c r="Q490" s="192">
        <f t="shared" si="58"/>
        <v>0</v>
      </c>
      <c r="R490" s="193"/>
      <c r="S490" s="194"/>
      <c r="T490" s="195">
        <f t="shared" si="59"/>
        <v>0</v>
      </c>
      <c r="U490" s="195">
        <f t="shared" si="60"/>
        <v>0</v>
      </c>
      <c r="V490" s="195">
        <f t="shared" si="61"/>
        <v>0</v>
      </c>
      <c r="W490" s="196" t="e">
        <f t="shared" si="62"/>
        <v>#DIV/0!</v>
      </c>
      <c r="X490" s="197" t="e">
        <f t="shared" si="63"/>
        <v>#DIV/0!</v>
      </c>
    </row>
    <row r="491" ht="11.4" hidden="1" customHeight="1" spans="1:24">
      <c r="A491" s="184" t="s">
        <v>1740</v>
      </c>
      <c r="B491" s="184" t="s">
        <v>109</v>
      </c>
      <c r="C491" s="184" t="s">
        <v>1101</v>
      </c>
      <c r="D491" s="185" t="s">
        <v>522</v>
      </c>
      <c r="E491" s="186" t="s">
        <v>906</v>
      </c>
      <c r="F491" s="186" t="s">
        <v>907</v>
      </c>
      <c r="G491" s="186" t="s">
        <v>1102</v>
      </c>
      <c r="H491" s="186" t="s">
        <v>1741</v>
      </c>
      <c r="I491" s="187" t="s">
        <v>1113</v>
      </c>
      <c r="J491" s="187" t="s">
        <v>1114</v>
      </c>
      <c r="K491" s="188">
        <v>6.02</v>
      </c>
      <c r="L491" s="188">
        <v>6.01</v>
      </c>
      <c r="M491" s="189" t="s">
        <v>847</v>
      </c>
      <c r="N491" s="190">
        <v>181.99</v>
      </c>
      <c r="O491" s="190">
        <f t="shared" si="56"/>
        <v>198.37</v>
      </c>
      <c r="P491" s="191">
        <f t="shared" si="57"/>
        <v>1095.58</v>
      </c>
      <c r="Q491" s="192">
        <f t="shared" si="58"/>
        <v>1093.76</v>
      </c>
      <c r="R491" s="193"/>
      <c r="S491" s="194"/>
      <c r="T491" s="195">
        <f t="shared" si="59"/>
        <v>0.00999999999999979</v>
      </c>
      <c r="U491" s="195">
        <f t="shared" si="60"/>
        <v>1.81999999999994</v>
      </c>
      <c r="V491" s="195">
        <f t="shared" si="61"/>
        <v>1.81999999999994</v>
      </c>
      <c r="W491" s="196">
        <f t="shared" si="62"/>
        <v>0.00166389351081527</v>
      </c>
      <c r="X491" s="197">
        <f t="shared" si="63"/>
        <v>0.00166389351081527</v>
      </c>
    </row>
    <row r="492" ht="11.4" hidden="1" customHeight="1" spans="1:24">
      <c r="A492" s="184" t="s">
        <v>1740</v>
      </c>
      <c r="B492" s="184" t="s">
        <v>109</v>
      </c>
      <c r="C492" s="184" t="s">
        <v>1101</v>
      </c>
      <c r="D492" s="185" t="s">
        <v>522</v>
      </c>
      <c r="E492" s="186" t="s">
        <v>906</v>
      </c>
      <c r="F492" s="186" t="s">
        <v>907</v>
      </c>
      <c r="G492" s="186" t="s">
        <v>1102</v>
      </c>
      <c r="H492" s="186" t="s">
        <v>1741</v>
      </c>
      <c r="I492" s="187" t="s">
        <v>1115</v>
      </c>
      <c r="J492" s="187" t="s">
        <v>1116</v>
      </c>
      <c r="K492" s="188">
        <v>10.21</v>
      </c>
      <c r="L492" s="188">
        <v>10.2</v>
      </c>
      <c r="M492" s="189" t="s">
        <v>807</v>
      </c>
      <c r="N492" s="190">
        <v>42.57</v>
      </c>
      <c r="O492" s="190">
        <f t="shared" si="56"/>
        <v>46.4</v>
      </c>
      <c r="P492" s="191">
        <f t="shared" si="57"/>
        <v>434.64</v>
      </c>
      <c r="Q492" s="192">
        <f t="shared" si="58"/>
        <v>434.21</v>
      </c>
      <c r="R492" s="193"/>
      <c r="S492" s="194"/>
      <c r="T492" s="195">
        <f t="shared" si="59"/>
        <v>0.0100000000000016</v>
      </c>
      <c r="U492" s="195">
        <f t="shared" si="60"/>
        <v>0.430000000000007</v>
      </c>
      <c r="V492" s="195">
        <f t="shared" si="61"/>
        <v>0.430000000000007</v>
      </c>
      <c r="W492" s="196">
        <f t="shared" si="62"/>
        <v>0.000980392156862898</v>
      </c>
      <c r="X492" s="197">
        <f t="shared" si="63"/>
        <v>0.000980392156862898</v>
      </c>
    </row>
    <row r="493" ht="11.4" hidden="1" customHeight="1" spans="1:24">
      <c r="A493" s="184" t="s">
        <v>1740</v>
      </c>
      <c r="B493" s="184" t="s">
        <v>109</v>
      </c>
      <c r="C493" s="184" t="s">
        <v>1101</v>
      </c>
      <c r="D493" s="185" t="s">
        <v>522</v>
      </c>
      <c r="E493" s="186" t="s">
        <v>906</v>
      </c>
      <c r="F493" s="186" t="s">
        <v>907</v>
      </c>
      <c r="G493" s="186" t="s">
        <v>1102</v>
      </c>
      <c r="H493" s="186" t="s">
        <v>1741</v>
      </c>
      <c r="I493" s="187" t="s">
        <v>1117</v>
      </c>
      <c r="J493" s="187" t="s">
        <v>1118</v>
      </c>
      <c r="K493" s="188"/>
      <c r="L493" s="188"/>
      <c r="M493" s="189" t="s">
        <v>847</v>
      </c>
      <c r="N493" s="190">
        <v>187.98</v>
      </c>
      <c r="O493" s="190">
        <f t="shared" si="56"/>
        <v>204.9</v>
      </c>
      <c r="P493" s="191">
        <f t="shared" si="57"/>
        <v>0</v>
      </c>
      <c r="Q493" s="192">
        <f t="shared" si="58"/>
        <v>0</v>
      </c>
      <c r="R493" s="193"/>
      <c r="S493" s="194"/>
      <c r="T493" s="195">
        <f t="shared" si="59"/>
        <v>0</v>
      </c>
      <c r="U493" s="195">
        <f t="shared" si="60"/>
        <v>0</v>
      </c>
      <c r="V493" s="195">
        <f t="shared" si="61"/>
        <v>0</v>
      </c>
      <c r="W493" s="196" t="e">
        <f t="shared" si="62"/>
        <v>#DIV/0!</v>
      </c>
      <c r="X493" s="197" t="e">
        <f t="shared" si="63"/>
        <v>#DIV/0!</v>
      </c>
    </row>
    <row r="494" ht="11.4" hidden="1" customHeight="1" spans="1:24">
      <c r="A494" s="184" t="s">
        <v>1740</v>
      </c>
      <c r="B494" s="184" t="s">
        <v>109</v>
      </c>
      <c r="C494" s="184" t="s">
        <v>1101</v>
      </c>
      <c r="D494" s="185" t="s">
        <v>522</v>
      </c>
      <c r="E494" s="186" t="s">
        <v>906</v>
      </c>
      <c r="F494" s="186" t="s">
        <v>907</v>
      </c>
      <c r="G494" s="186" t="s">
        <v>1102</v>
      </c>
      <c r="H494" s="186" t="s">
        <v>1741</v>
      </c>
      <c r="I494" s="187" t="s">
        <v>1119</v>
      </c>
      <c r="J494" s="187" t="s">
        <v>1120</v>
      </c>
      <c r="K494" s="188"/>
      <c r="L494" s="188"/>
      <c r="M494" s="189" t="s">
        <v>847</v>
      </c>
      <c r="N494" s="190">
        <v>171.66</v>
      </c>
      <c r="O494" s="190">
        <f t="shared" si="56"/>
        <v>187.11</v>
      </c>
      <c r="P494" s="191">
        <f t="shared" si="57"/>
        <v>0</v>
      </c>
      <c r="Q494" s="192">
        <f t="shared" si="58"/>
        <v>0</v>
      </c>
      <c r="R494" s="193"/>
      <c r="S494" s="194"/>
      <c r="T494" s="195">
        <f t="shared" si="59"/>
        <v>0</v>
      </c>
      <c r="U494" s="195">
        <f t="shared" si="60"/>
        <v>0</v>
      </c>
      <c r="V494" s="195">
        <f t="shared" si="61"/>
        <v>0</v>
      </c>
      <c r="W494" s="196" t="e">
        <f t="shared" si="62"/>
        <v>#DIV/0!</v>
      </c>
      <c r="X494" s="197" t="e">
        <f t="shared" si="63"/>
        <v>#DIV/0!</v>
      </c>
    </row>
    <row r="495" ht="11.4" hidden="1" customHeight="1" spans="1:24">
      <c r="A495" s="184" t="s">
        <v>1740</v>
      </c>
      <c r="B495" s="184" t="s">
        <v>109</v>
      </c>
      <c r="C495" s="184" t="s">
        <v>1101</v>
      </c>
      <c r="D495" s="185" t="s">
        <v>522</v>
      </c>
      <c r="E495" s="186" t="s">
        <v>906</v>
      </c>
      <c r="F495" s="186" t="s">
        <v>907</v>
      </c>
      <c r="G495" s="186" t="s">
        <v>1102</v>
      </c>
      <c r="H495" s="186" t="s">
        <v>1741</v>
      </c>
      <c r="I495" s="187" t="s">
        <v>1121</v>
      </c>
      <c r="J495" s="187" t="s">
        <v>1122</v>
      </c>
      <c r="K495" s="188"/>
      <c r="L495" s="188"/>
      <c r="M495" s="189" t="s">
        <v>847</v>
      </c>
      <c r="N495" s="190">
        <v>189.15</v>
      </c>
      <c r="O495" s="190">
        <f t="shared" si="56"/>
        <v>206.17</v>
      </c>
      <c r="P495" s="191">
        <f t="shared" si="57"/>
        <v>0</v>
      </c>
      <c r="Q495" s="192">
        <f t="shared" si="58"/>
        <v>0</v>
      </c>
      <c r="R495" s="193"/>
      <c r="S495" s="194"/>
      <c r="T495" s="195">
        <f t="shared" si="59"/>
        <v>0</v>
      </c>
      <c r="U495" s="195">
        <f t="shared" si="60"/>
        <v>0</v>
      </c>
      <c r="V495" s="195">
        <f t="shared" si="61"/>
        <v>0</v>
      </c>
      <c r="W495" s="196" t="e">
        <f t="shared" si="62"/>
        <v>#DIV/0!</v>
      </c>
      <c r="X495" s="197" t="e">
        <f t="shared" si="63"/>
        <v>#DIV/0!</v>
      </c>
    </row>
    <row r="496" ht="11.4" hidden="1" customHeight="1" spans="1:24">
      <c r="A496" s="184" t="s">
        <v>1740</v>
      </c>
      <c r="B496" s="184" t="s">
        <v>109</v>
      </c>
      <c r="C496" s="184" t="s">
        <v>1101</v>
      </c>
      <c r="D496" s="185" t="s">
        <v>522</v>
      </c>
      <c r="E496" s="186" t="s">
        <v>906</v>
      </c>
      <c r="F496" s="186" t="s">
        <v>907</v>
      </c>
      <c r="G496" s="186" t="s">
        <v>1102</v>
      </c>
      <c r="H496" s="186" t="s">
        <v>1741</v>
      </c>
      <c r="I496" s="187" t="s">
        <v>1123</v>
      </c>
      <c r="J496" s="187" t="s">
        <v>1124</v>
      </c>
      <c r="K496" s="188"/>
      <c r="L496" s="188"/>
      <c r="M496" s="189" t="s">
        <v>807</v>
      </c>
      <c r="N496" s="190">
        <v>41.36</v>
      </c>
      <c r="O496" s="190">
        <f t="shared" si="56"/>
        <v>45.08</v>
      </c>
      <c r="P496" s="191">
        <f t="shared" si="57"/>
        <v>0</v>
      </c>
      <c r="Q496" s="192">
        <f t="shared" si="58"/>
        <v>0</v>
      </c>
      <c r="R496" s="193"/>
      <c r="S496" s="194"/>
      <c r="T496" s="195">
        <f t="shared" si="59"/>
        <v>0</v>
      </c>
      <c r="U496" s="195">
        <f t="shared" si="60"/>
        <v>0</v>
      </c>
      <c r="V496" s="195">
        <f t="shared" si="61"/>
        <v>0</v>
      </c>
      <c r="W496" s="196" t="e">
        <f t="shared" si="62"/>
        <v>#DIV/0!</v>
      </c>
      <c r="X496" s="197" t="e">
        <f t="shared" si="63"/>
        <v>#DIV/0!</v>
      </c>
    </row>
    <row r="497" ht="11.4" hidden="1" customHeight="1" spans="1:24">
      <c r="A497" s="184" t="s">
        <v>1740</v>
      </c>
      <c r="B497" s="184" t="s">
        <v>109</v>
      </c>
      <c r="C497" s="184" t="s">
        <v>1101</v>
      </c>
      <c r="D497" s="185" t="s">
        <v>522</v>
      </c>
      <c r="E497" s="186" t="s">
        <v>906</v>
      </c>
      <c r="F497" s="186" t="s">
        <v>907</v>
      </c>
      <c r="G497" s="186" t="s">
        <v>1102</v>
      </c>
      <c r="H497" s="186" t="s">
        <v>1741</v>
      </c>
      <c r="I497" s="187" t="s">
        <v>1125</v>
      </c>
      <c r="J497" s="187" t="s">
        <v>1126</v>
      </c>
      <c r="K497" s="188"/>
      <c r="L497" s="188"/>
      <c r="M497" s="189" t="s">
        <v>807</v>
      </c>
      <c r="N497" s="190">
        <v>38.94</v>
      </c>
      <c r="O497" s="190">
        <f t="shared" si="56"/>
        <v>42.44</v>
      </c>
      <c r="P497" s="191">
        <f t="shared" si="57"/>
        <v>0</v>
      </c>
      <c r="Q497" s="192">
        <f t="shared" si="58"/>
        <v>0</v>
      </c>
      <c r="R497" s="193"/>
      <c r="S497" s="194"/>
      <c r="T497" s="195">
        <f t="shared" si="59"/>
        <v>0</v>
      </c>
      <c r="U497" s="195">
        <f t="shared" si="60"/>
        <v>0</v>
      </c>
      <c r="V497" s="195">
        <f t="shared" si="61"/>
        <v>0</v>
      </c>
      <c r="W497" s="196" t="e">
        <f t="shared" si="62"/>
        <v>#DIV/0!</v>
      </c>
      <c r="X497" s="197" t="e">
        <f t="shared" si="63"/>
        <v>#DIV/0!</v>
      </c>
    </row>
    <row r="498" ht="11.4" hidden="1" customHeight="1" spans="1:24">
      <c r="A498" s="184" t="s">
        <v>1740</v>
      </c>
      <c r="B498" s="184" t="s">
        <v>109</v>
      </c>
      <c r="C498" s="184" t="s">
        <v>1101</v>
      </c>
      <c r="D498" s="185" t="s">
        <v>522</v>
      </c>
      <c r="E498" s="186" t="s">
        <v>906</v>
      </c>
      <c r="F498" s="186" t="s">
        <v>907</v>
      </c>
      <c r="G498" s="186" t="s">
        <v>1102</v>
      </c>
      <c r="H498" s="186" t="s">
        <v>1741</v>
      </c>
      <c r="I498" s="187" t="s">
        <v>1127</v>
      </c>
      <c r="J498" s="187" t="s">
        <v>1128</v>
      </c>
      <c r="K498" s="188"/>
      <c r="L498" s="188"/>
      <c r="M498" s="189" t="s">
        <v>807</v>
      </c>
      <c r="N498" s="190">
        <v>40.15</v>
      </c>
      <c r="O498" s="190">
        <f t="shared" si="56"/>
        <v>43.76</v>
      </c>
      <c r="P498" s="191">
        <f t="shared" si="57"/>
        <v>0</v>
      </c>
      <c r="Q498" s="192">
        <f t="shared" si="58"/>
        <v>0</v>
      </c>
      <c r="R498" s="193"/>
      <c r="S498" s="194"/>
      <c r="T498" s="195">
        <f t="shared" si="59"/>
        <v>0</v>
      </c>
      <c r="U498" s="195">
        <f t="shared" si="60"/>
        <v>0</v>
      </c>
      <c r="V498" s="195">
        <f t="shared" si="61"/>
        <v>0</v>
      </c>
      <c r="W498" s="196" t="e">
        <f t="shared" si="62"/>
        <v>#DIV/0!</v>
      </c>
      <c r="X498" s="197" t="e">
        <f t="shared" si="63"/>
        <v>#DIV/0!</v>
      </c>
    </row>
    <row r="499" ht="11.4" hidden="1" customHeight="1" spans="1:24">
      <c r="A499" s="184" t="s">
        <v>1740</v>
      </c>
      <c r="B499" s="184" t="s">
        <v>109</v>
      </c>
      <c r="C499" s="184" t="s">
        <v>1101</v>
      </c>
      <c r="D499" s="185" t="s">
        <v>522</v>
      </c>
      <c r="E499" s="186" t="s">
        <v>906</v>
      </c>
      <c r="F499" s="186" t="s">
        <v>907</v>
      </c>
      <c r="G499" s="186" t="s">
        <v>1102</v>
      </c>
      <c r="H499" s="186" t="s">
        <v>1741</v>
      </c>
      <c r="I499" s="187" t="s">
        <v>1141</v>
      </c>
      <c r="J499" s="187" t="s">
        <v>1142</v>
      </c>
      <c r="K499" s="188"/>
      <c r="L499" s="188"/>
      <c r="M499" s="189" t="s">
        <v>847</v>
      </c>
      <c r="N499" s="190">
        <v>196.14</v>
      </c>
      <c r="O499" s="190">
        <f t="shared" si="56"/>
        <v>213.79</v>
      </c>
      <c r="P499" s="191">
        <f t="shared" si="57"/>
        <v>0</v>
      </c>
      <c r="Q499" s="192">
        <f t="shared" si="58"/>
        <v>0</v>
      </c>
      <c r="R499" s="193"/>
      <c r="S499" s="194"/>
      <c r="T499" s="195">
        <f t="shared" si="59"/>
        <v>0</v>
      </c>
      <c r="U499" s="195">
        <f t="shared" si="60"/>
        <v>0</v>
      </c>
      <c r="V499" s="195">
        <f t="shared" si="61"/>
        <v>0</v>
      </c>
      <c r="W499" s="196" t="e">
        <f t="shared" si="62"/>
        <v>#DIV/0!</v>
      </c>
      <c r="X499" s="197" t="e">
        <f t="shared" si="63"/>
        <v>#DIV/0!</v>
      </c>
    </row>
    <row r="500" ht="11.4" hidden="1" customHeight="1" spans="1:24">
      <c r="A500" s="184" t="s">
        <v>1740</v>
      </c>
      <c r="B500" s="184" t="s">
        <v>109</v>
      </c>
      <c r="C500" s="184" t="s">
        <v>1101</v>
      </c>
      <c r="D500" s="185" t="s">
        <v>522</v>
      </c>
      <c r="E500" s="186" t="s">
        <v>906</v>
      </c>
      <c r="F500" s="186" t="s">
        <v>907</v>
      </c>
      <c r="G500" s="186" t="s">
        <v>1102</v>
      </c>
      <c r="H500" s="186" t="s">
        <v>1741</v>
      </c>
      <c r="I500" s="187" t="s">
        <v>1143</v>
      </c>
      <c r="J500" s="187" t="s">
        <v>1144</v>
      </c>
      <c r="K500" s="188"/>
      <c r="L500" s="188"/>
      <c r="M500" s="189" t="s">
        <v>807</v>
      </c>
      <c r="N500" s="190">
        <v>41.47</v>
      </c>
      <c r="O500" s="190">
        <f t="shared" si="56"/>
        <v>45.2</v>
      </c>
      <c r="P500" s="191">
        <f t="shared" si="57"/>
        <v>0</v>
      </c>
      <c r="Q500" s="192">
        <f t="shared" si="58"/>
        <v>0</v>
      </c>
      <c r="R500" s="193"/>
      <c r="S500" s="194"/>
      <c r="T500" s="195">
        <f t="shared" si="59"/>
        <v>0</v>
      </c>
      <c r="U500" s="195">
        <f t="shared" si="60"/>
        <v>0</v>
      </c>
      <c r="V500" s="195">
        <f t="shared" si="61"/>
        <v>0</v>
      </c>
      <c r="W500" s="196" t="e">
        <f t="shared" si="62"/>
        <v>#DIV/0!</v>
      </c>
      <c r="X500" s="197" t="e">
        <f t="shared" si="63"/>
        <v>#DIV/0!</v>
      </c>
    </row>
    <row r="501" ht="11.4" hidden="1" customHeight="1" spans="1:24">
      <c r="A501" s="184" t="s">
        <v>1740</v>
      </c>
      <c r="B501" s="184" t="s">
        <v>109</v>
      </c>
      <c r="C501" s="184" t="s">
        <v>1101</v>
      </c>
      <c r="D501" s="185" t="s">
        <v>522</v>
      </c>
      <c r="E501" s="186" t="s">
        <v>906</v>
      </c>
      <c r="F501" s="186" t="s">
        <v>907</v>
      </c>
      <c r="G501" s="186" t="s">
        <v>1102</v>
      </c>
      <c r="H501" s="186" t="s">
        <v>1741</v>
      </c>
      <c r="I501" s="187" t="s">
        <v>1145</v>
      </c>
      <c r="J501" s="187" t="s">
        <v>1146</v>
      </c>
      <c r="K501" s="188"/>
      <c r="L501" s="188"/>
      <c r="M501" s="189" t="s">
        <v>847</v>
      </c>
      <c r="N501" s="190">
        <v>179.82</v>
      </c>
      <c r="O501" s="190">
        <f t="shared" si="56"/>
        <v>196</v>
      </c>
      <c r="P501" s="191">
        <f t="shared" si="57"/>
        <v>0</v>
      </c>
      <c r="Q501" s="192">
        <f t="shared" si="58"/>
        <v>0</v>
      </c>
      <c r="R501" s="193"/>
      <c r="S501" s="194"/>
      <c r="T501" s="195">
        <f t="shared" si="59"/>
        <v>0</v>
      </c>
      <c r="U501" s="195">
        <f t="shared" si="60"/>
        <v>0</v>
      </c>
      <c r="V501" s="195">
        <f t="shared" si="61"/>
        <v>0</v>
      </c>
      <c r="W501" s="196" t="e">
        <f t="shared" si="62"/>
        <v>#DIV/0!</v>
      </c>
      <c r="X501" s="197" t="e">
        <f t="shared" si="63"/>
        <v>#DIV/0!</v>
      </c>
    </row>
    <row r="502" ht="11.4" hidden="1" customHeight="1" spans="1:24">
      <c r="A502" s="184" t="s">
        <v>1740</v>
      </c>
      <c r="B502" s="184" t="s">
        <v>109</v>
      </c>
      <c r="C502" s="184" t="s">
        <v>1101</v>
      </c>
      <c r="D502" s="185" t="s">
        <v>522</v>
      </c>
      <c r="E502" s="186" t="s">
        <v>906</v>
      </c>
      <c r="F502" s="186" t="s">
        <v>907</v>
      </c>
      <c r="G502" s="186" t="s">
        <v>1102</v>
      </c>
      <c r="H502" s="186" t="s">
        <v>1741</v>
      </c>
      <c r="I502" s="187" t="s">
        <v>1147</v>
      </c>
      <c r="J502" s="187" t="s">
        <v>1148</v>
      </c>
      <c r="K502" s="188"/>
      <c r="L502" s="188"/>
      <c r="M502" s="189" t="s">
        <v>807</v>
      </c>
      <c r="N502" s="190">
        <v>37.84</v>
      </c>
      <c r="O502" s="190">
        <f t="shared" si="56"/>
        <v>41.25</v>
      </c>
      <c r="P502" s="191">
        <f t="shared" si="57"/>
        <v>0</v>
      </c>
      <c r="Q502" s="192">
        <f t="shared" si="58"/>
        <v>0</v>
      </c>
      <c r="R502" s="193"/>
      <c r="S502" s="194"/>
      <c r="T502" s="195">
        <f t="shared" si="59"/>
        <v>0</v>
      </c>
      <c r="U502" s="195">
        <f t="shared" si="60"/>
        <v>0</v>
      </c>
      <c r="V502" s="195">
        <f t="shared" si="61"/>
        <v>0</v>
      </c>
      <c r="W502" s="196" t="e">
        <f t="shared" si="62"/>
        <v>#DIV/0!</v>
      </c>
      <c r="X502" s="197" t="e">
        <f t="shared" si="63"/>
        <v>#DIV/0!</v>
      </c>
    </row>
    <row r="503" ht="11.4" hidden="1" customHeight="1" spans="1:24">
      <c r="A503" s="184" t="s">
        <v>1740</v>
      </c>
      <c r="B503" s="184" t="s">
        <v>109</v>
      </c>
      <c r="C503" s="184" t="s">
        <v>1101</v>
      </c>
      <c r="D503" s="185" t="s">
        <v>522</v>
      </c>
      <c r="E503" s="186" t="s">
        <v>906</v>
      </c>
      <c r="F503" s="186" t="s">
        <v>907</v>
      </c>
      <c r="G503" s="186" t="s">
        <v>1102</v>
      </c>
      <c r="H503" s="186" t="s">
        <v>1741</v>
      </c>
      <c r="I503" s="187" t="s">
        <v>1149</v>
      </c>
      <c r="J503" s="187" t="s">
        <v>1150</v>
      </c>
      <c r="K503" s="188"/>
      <c r="L503" s="188"/>
      <c r="M503" s="189" t="s">
        <v>847</v>
      </c>
      <c r="N503" s="190">
        <v>193.81</v>
      </c>
      <c r="O503" s="190">
        <f t="shared" si="56"/>
        <v>211.25</v>
      </c>
      <c r="P503" s="191">
        <f t="shared" si="57"/>
        <v>0</v>
      </c>
      <c r="Q503" s="192">
        <f t="shared" si="58"/>
        <v>0</v>
      </c>
      <c r="R503" s="193"/>
      <c r="S503" s="194"/>
      <c r="T503" s="195">
        <f t="shared" si="59"/>
        <v>0</v>
      </c>
      <c r="U503" s="195">
        <f t="shared" si="60"/>
        <v>0</v>
      </c>
      <c r="V503" s="195">
        <f t="shared" si="61"/>
        <v>0</v>
      </c>
      <c r="W503" s="196" t="e">
        <f t="shared" si="62"/>
        <v>#DIV/0!</v>
      </c>
      <c r="X503" s="197" t="e">
        <f t="shared" si="63"/>
        <v>#DIV/0!</v>
      </c>
    </row>
    <row r="504" ht="11.4" hidden="1" customHeight="1" spans="1:24">
      <c r="A504" s="184" t="s">
        <v>1740</v>
      </c>
      <c r="B504" s="184" t="s">
        <v>109</v>
      </c>
      <c r="C504" s="184" t="s">
        <v>1101</v>
      </c>
      <c r="D504" s="185" t="s">
        <v>522</v>
      </c>
      <c r="E504" s="186" t="s">
        <v>906</v>
      </c>
      <c r="F504" s="186" t="s">
        <v>907</v>
      </c>
      <c r="G504" s="186" t="s">
        <v>1102</v>
      </c>
      <c r="H504" s="186" t="s">
        <v>1741</v>
      </c>
      <c r="I504" s="187" t="s">
        <v>1151</v>
      </c>
      <c r="J504" s="187" t="s">
        <v>1152</v>
      </c>
      <c r="K504" s="188"/>
      <c r="L504" s="188"/>
      <c r="M504" s="189" t="s">
        <v>807</v>
      </c>
      <c r="N504" s="190">
        <v>39.05</v>
      </c>
      <c r="O504" s="190">
        <f t="shared" si="56"/>
        <v>42.56</v>
      </c>
      <c r="P504" s="191">
        <f t="shared" si="57"/>
        <v>0</v>
      </c>
      <c r="Q504" s="192">
        <f t="shared" si="58"/>
        <v>0</v>
      </c>
      <c r="R504" s="193"/>
      <c r="S504" s="194"/>
      <c r="T504" s="195">
        <f t="shared" si="59"/>
        <v>0</v>
      </c>
      <c r="U504" s="195">
        <f t="shared" si="60"/>
        <v>0</v>
      </c>
      <c r="V504" s="195">
        <f t="shared" si="61"/>
        <v>0</v>
      </c>
      <c r="W504" s="196" t="e">
        <f t="shared" si="62"/>
        <v>#DIV/0!</v>
      </c>
      <c r="X504" s="197" t="e">
        <f t="shared" si="63"/>
        <v>#DIV/0!</v>
      </c>
    </row>
    <row r="505" ht="11.4" hidden="1" customHeight="1" spans="1:24">
      <c r="A505" s="184" t="s">
        <v>1740</v>
      </c>
      <c r="B505" s="184" t="s">
        <v>109</v>
      </c>
      <c r="C505" s="184" t="s">
        <v>1101</v>
      </c>
      <c r="D505" s="185" t="s">
        <v>522</v>
      </c>
      <c r="E505" s="186" t="s">
        <v>906</v>
      </c>
      <c r="F505" s="186" t="s">
        <v>907</v>
      </c>
      <c r="G505" s="186" t="s">
        <v>1102</v>
      </c>
      <c r="H505" s="186" t="s">
        <v>1741</v>
      </c>
      <c r="I505" s="187" t="s">
        <v>1743</v>
      </c>
      <c r="J505" s="187" t="s">
        <v>1744</v>
      </c>
      <c r="K505" s="188">
        <v>10.28</v>
      </c>
      <c r="L505" s="188">
        <v>10.28</v>
      </c>
      <c r="M505" s="189" t="s">
        <v>847</v>
      </c>
      <c r="N505" s="190">
        <v>46.31</v>
      </c>
      <c r="O505" s="190">
        <f t="shared" si="56"/>
        <v>50.48</v>
      </c>
      <c r="P505" s="191">
        <f t="shared" si="57"/>
        <v>476.07</v>
      </c>
      <c r="Q505" s="192">
        <f t="shared" si="58"/>
        <v>476.07</v>
      </c>
      <c r="R505" s="193"/>
      <c r="S505" s="194"/>
      <c r="T505" s="195">
        <f t="shared" si="59"/>
        <v>0</v>
      </c>
      <c r="U505" s="195">
        <f t="shared" si="60"/>
        <v>0</v>
      </c>
      <c r="V505" s="195">
        <f t="shared" si="61"/>
        <v>0</v>
      </c>
      <c r="W505" s="196">
        <f t="shared" si="62"/>
        <v>0</v>
      </c>
      <c r="X505" s="197">
        <f t="shared" si="63"/>
        <v>0</v>
      </c>
    </row>
    <row r="506" ht="11.4" hidden="1" customHeight="1" spans="1:24">
      <c r="A506" s="184" t="s">
        <v>1740</v>
      </c>
      <c r="B506" s="184" t="s">
        <v>109</v>
      </c>
      <c r="C506" s="184" t="s">
        <v>1101</v>
      </c>
      <c r="D506" s="185" t="s">
        <v>522</v>
      </c>
      <c r="E506" s="186" t="s">
        <v>906</v>
      </c>
      <c r="F506" s="186" t="s">
        <v>907</v>
      </c>
      <c r="G506" s="186" t="s">
        <v>1102</v>
      </c>
      <c r="H506" s="186" t="s">
        <v>1479</v>
      </c>
      <c r="I506" s="187" t="s">
        <v>1745</v>
      </c>
      <c r="J506" s="187" t="s">
        <v>1746</v>
      </c>
      <c r="K506" s="188"/>
      <c r="L506" s="188"/>
      <c r="M506" s="189" t="s">
        <v>847</v>
      </c>
      <c r="N506" s="190">
        <v>118.11</v>
      </c>
      <c r="O506" s="190">
        <f t="shared" si="56"/>
        <v>128.74</v>
      </c>
      <c r="P506" s="191">
        <f t="shared" si="57"/>
        <v>0</v>
      </c>
      <c r="Q506" s="192">
        <f t="shared" si="58"/>
        <v>0</v>
      </c>
      <c r="R506" s="193"/>
      <c r="S506" s="194"/>
      <c r="T506" s="195">
        <f t="shared" si="59"/>
        <v>0</v>
      </c>
      <c r="U506" s="195">
        <f t="shared" si="60"/>
        <v>0</v>
      </c>
      <c r="V506" s="195">
        <f t="shared" si="61"/>
        <v>0</v>
      </c>
      <c r="W506" s="196" t="e">
        <f t="shared" si="62"/>
        <v>#DIV/0!</v>
      </c>
      <c r="X506" s="197" t="e">
        <f t="shared" si="63"/>
        <v>#DIV/0!</v>
      </c>
    </row>
    <row r="507" ht="11.4" hidden="1" customHeight="1" spans="1:24">
      <c r="A507" s="184" t="s">
        <v>1740</v>
      </c>
      <c r="B507" s="184" t="s">
        <v>109</v>
      </c>
      <c r="C507" s="184" t="s">
        <v>1101</v>
      </c>
      <c r="D507" s="185" t="s">
        <v>522</v>
      </c>
      <c r="E507" s="186" t="s">
        <v>906</v>
      </c>
      <c r="F507" s="186" t="s">
        <v>907</v>
      </c>
      <c r="G507" s="186" t="s">
        <v>1102</v>
      </c>
      <c r="H507" s="186" t="s">
        <v>1479</v>
      </c>
      <c r="I507" s="187" t="s">
        <v>1747</v>
      </c>
      <c r="J507" s="187" t="s">
        <v>1748</v>
      </c>
      <c r="K507" s="188"/>
      <c r="L507" s="188"/>
      <c r="M507" s="189" t="s">
        <v>847</v>
      </c>
      <c r="N507" s="190">
        <v>113.49</v>
      </c>
      <c r="O507" s="190">
        <f t="shared" si="56"/>
        <v>123.7</v>
      </c>
      <c r="P507" s="191">
        <f t="shared" si="57"/>
        <v>0</v>
      </c>
      <c r="Q507" s="192">
        <f t="shared" si="58"/>
        <v>0</v>
      </c>
      <c r="R507" s="193"/>
      <c r="S507" s="194"/>
      <c r="T507" s="195">
        <f t="shared" si="59"/>
        <v>0</v>
      </c>
      <c r="U507" s="195">
        <f t="shared" si="60"/>
        <v>0</v>
      </c>
      <c r="V507" s="195">
        <f t="shared" si="61"/>
        <v>0</v>
      </c>
      <c r="W507" s="196" t="e">
        <f t="shared" si="62"/>
        <v>#DIV/0!</v>
      </c>
      <c r="X507" s="197" t="e">
        <f t="shared" si="63"/>
        <v>#DIV/0!</v>
      </c>
    </row>
    <row r="508" ht="11.4" hidden="1" customHeight="1" spans="1:24">
      <c r="A508" s="184" t="s">
        <v>1740</v>
      </c>
      <c r="B508" s="184" t="s">
        <v>109</v>
      </c>
      <c r="C508" s="184" t="s">
        <v>1101</v>
      </c>
      <c r="D508" s="185" t="s">
        <v>522</v>
      </c>
      <c r="E508" s="186" t="s">
        <v>906</v>
      </c>
      <c r="F508" s="186" t="s">
        <v>907</v>
      </c>
      <c r="G508" s="186" t="s">
        <v>1102</v>
      </c>
      <c r="H508" s="186" t="s">
        <v>1479</v>
      </c>
      <c r="I508" s="187" t="s">
        <v>1749</v>
      </c>
      <c r="J508" s="187" t="s">
        <v>1750</v>
      </c>
      <c r="K508" s="188">
        <v>124.93</v>
      </c>
      <c r="L508" s="188">
        <v>124.46</v>
      </c>
      <c r="M508" s="189" t="s">
        <v>847</v>
      </c>
      <c r="N508" s="190">
        <v>118.11</v>
      </c>
      <c r="O508" s="190">
        <f t="shared" si="56"/>
        <v>128.74</v>
      </c>
      <c r="P508" s="191">
        <f t="shared" si="57"/>
        <v>14755.48</v>
      </c>
      <c r="Q508" s="192">
        <f t="shared" si="58"/>
        <v>14699.97</v>
      </c>
      <c r="R508" s="193"/>
      <c r="S508" s="194"/>
      <c r="T508" s="195">
        <f t="shared" si="59"/>
        <v>0.470000000000013</v>
      </c>
      <c r="U508" s="195">
        <f t="shared" si="60"/>
        <v>55.5100000000002</v>
      </c>
      <c r="V508" s="195">
        <f t="shared" si="61"/>
        <v>55.5100000000002</v>
      </c>
      <c r="W508" s="196">
        <f t="shared" si="62"/>
        <v>0.00377631367507644</v>
      </c>
      <c r="X508" s="197">
        <f t="shared" si="63"/>
        <v>0.00377631367507644</v>
      </c>
    </row>
    <row r="509" ht="11.4" hidden="1" customHeight="1" spans="1:24">
      <c r="A509" s="184" t="s">
        <v>1740</v>
      </c>
      <c r="B509" s="184" t="s">
        <v>109</v>
      </c>
      <c r="C509" s="184" t="s">
        <v>1101</v>
      </c>
      <c r="D509" s="185" t="s">
        <v>522</v>
      </c>
      <c r="E509" s="186" t="s">
        <v>906</v>
      </c>
      <c r="F509" s="186" t="s">
        <v>907</v>
      </c>
      <c r="G509" s="186" t="s">
        <v>1102</v>
      </c>
      <c r="H509" s="186" t="s">
        <v>1479</v>
      </c>
      <c r="I509" s="187" t="s">
        <v>1751</v>
      </c>
      <c r="J509" s="187" t="s">
        <v>1752</v>
      </c>
      <c r="K509" s="188"/>
      <c r="L509" s="188"/>
      <c r="M509" s="189" t="s">
        <v>847</v>
      </c>
      <c r="N509" s="190">
        <v>467.36</v>
      </c>
      <c r="O509" s="190">
        <f t="shared" si="56"/>
        <v>509.42</v>
      </c>
      <c r="P509" s="191">
        <f t="shared" si="57"/>
        <v>0</v>
      </c>
      <c r="Q509" s="192">
        <f t="shared" si="58"/>
        <v>0</v>
      </c>
      <c r="R509" s="193"/>
      <c r="S509" s="194"/>
      <c r="T509" s="195">
        <f t="shared" si="59"/>
        <v>0</v>
      </c>
      <c r="U509" s="195">
        <f t="shared" si="60"/>
        <v>0</v>
      </c>
      <c r="V509" s="195">
        <f t="shared" si="61"/>
        <v>0</v>
      </c>
      <c r="W509" s="196" t="e">
        <f t="shared" si="62"/>
        <v>#DIV/0!</v>
      </c>
      <c r="X509" s="197" t="e">
        <f t="shared" si="63"/>
        <v>#DIV/0!</v>
      </c>
    </row>
    <row r="510" ht="11.4" hidden="1" customHeight="1" spans="1:24">
      <c r="A510" s="184" t="s">
        <v>1740</v>
      </c>
      <c r="B510" s="184" t="s">
        <v>109</v>
      </c>
      <c r="C510" s="184" t="s">
        <v>1101</v>
      </c>
      <c r="D510" s="185" t="s">
        <v>522</v>
      </c>
      <c r="E510" s="186" t="s">
        <v>906</v>
      </c>
      <c r="F510" s="186" t="s">
        <v>907</v>
      </c>
      <c r="G510" s="186" t="s">
        <v>1102</v>
      </c>
      <c r="H510" s="186" t="s">
        <v>1479</v>
      </c>
      <c r="I510" s="187" t="s">
        <v>1753</v>
      </c>
      <c r="J510" s="187" t="s">
        <v>1754</v>
      </c>
      <c r="K510" s="188">
        <v>7</v>
      </c>
      <c r="L510" s="188">
        <v>7</v>
      </c>
      <c r="M510" s="189" t="s">
        <v>1755</v>
      </c>
      <c r="N510" s="190">
        <v>184.69</v>
      </c>
      <c r="O510" s="190">
        <f t="shared" si="56"/>
        <v>201.31</v>
      </c>
      <c r="P510" s="191">
        <f t="shared" si="57"/>
        <v>1292.83</v>
      </c>
      <c r="Q510" s="192">
        <f t="shared" si="58"/>
        <v>1292.83</v>
      </c>
      <c r="R510" s="193"/>
      <c r="S510" s="194"/>
      <c r="T510" s="195">
        <f t="shared" si="59"/>
        <v>0</v>
      </c>
      <c r="U510" s="195">
        <f t="shared" si="60"/>
        <v>0</v>
      </c>
      <c r="V510" s="195">
        <f t="shared" si="61"/>
        <v>0</v>
      </c>
      <c r="W510" s="196">
        <f t="shared" si="62"/>
        <v>0</v>
      </c>
      <c r="X510" s="197">
        <f t="shared" si="63"/>
        <v>0</v>
      </c>
    </row>
    <row r="511" ht="11.4" hidden="1" customHeight="1" spans="1:24">
      <c r="A511" s="184" t="s">
        <v>1740</v>
      </c>
      <c r="B511" s="184" t="s">
        <v>109</v>
      </c>
      <c r="C511" s="184" t="s">
        <v>1101</v>
      </c>
      <c r="D511" s="185" t="s">
        <v>522</v>
      </c>
      <c r="E511" s="186" t="s">
        <v>906</v>
      </c>
      <c r="F511" s="186" t="s">
        <v>907</v>
      </c>
      <c r="G511" s="186" t="s">
        <v>1102</v>
      </c>
      <c r="H511" s="186" t="s">
        <v>1479</v>
      </c>
      <c r="I511" s="187" t="s">
        <v>1756</v>
      </c>
      <c r="J511" s="187" t="s">
        <v>1757</v>
      </c>
      <c r="K511" s="188">
        <v>2</v>
      </c>
      <c r="L511" s="188">
        <v>2</v>
      </c>
      <c r="M511" s="189" t="s">
        <v>1755</v>
      </c>
      <c r="N511" s="190">
        <v>374.99</v>
      </c>
      <c r="O511" s="190">
        <f t="shared" si="56"/>
        <v>408.74</v>
      </c>
      <c r="P511" s="191">
        <f t="shared" si="57"/>
        <v>749.98</v>
      </c>
      <c r="Q511" s="192">
        <f t="shared" si="58"/>
        <v>749.98</v>
      </c>
      <c r="R511" s="193"/>
      <c r="S511" s="194"/>
      <c r="T511" s="195">
        <f t="shared" si="59"/>
        <v>0</v>
      </c>
      <c r="U511" s="195">
        <f t="shared" si="60"/>
        <v>0</v>
      </c>
      <c r="V511" s="195">
        <f t="shared" si="61"/>
        <v>0</v>
      </c>
      <c r="W511" s="196">
        <f t="shared" si="62"/>
        <v>0</v>
      </c>
      <c r="X511" s="197">
        <f t="shared" si="63"/>
        <v>0</v>
      </c>
    </row>
    <row r="512" ht="11.4" hidden="1" customHeight="1" spans="1:24">
      <c r="A512" s="184" t="s">
        <v>1740</v>
      </c>
      <c r="B512" s="184" t="s">
        <v>109</v>
      </c>
      <c r="C512" s="184" t="s">
        <v>1101</v>
      </c>
      <c r="D512" s="185" t="s">
        <v>522</v>
      </c>
      <c r="E512" s="186" t="s">
        <v>906</v>
      </c>
      <c r="F512" s="186" t="s">
        <v>907</v>
      </c>
      <c r="G512" s="186" t="s">
        <v>1102</v>
      </c>
      <c r="H512" s="186" t="s">
        <v>1479</v>
      </c>
      <c r="I512" s="187" t="s">
        <v>1758</v>
      </c>
      <c r="J512" s="187" t="s">
        <v>1759</v>
      </c>
      <c r="K512" s="188"/>
      <c r="L512" s="188"/>
      <c r="M512" s="189" t="s">
        <v>847</v>
      </c>
      <c r="N512" s="190">
        <v>167.98</v>
      </c>
      <c r="O512" s="190">
        <f t="shared" si="56"/>
        <v>183.1</v>
      </c>
      <c r="P512" s="191">
        <f t="shared" si="57"/>
        <v>0</v>
      </c>
      <c r="Q512" s="192">
        <f t="shared" si="58"/>
        <v>0</v>
      </c>
      <c r="R512" s="193"/>
      <c r="S512" s="194"/>
      <c r="T512" s="195">
        <f t="shared" si="59"/>
        <v>0</v>
      </c>
      <c r="U512" s="195">
        <f t="shared" si="60"/>
        <v>0</v>
      </c>
      <c r="V512" s="195">
        <f t="shared" si="61"/>
        <v>0</v>
      </c>
      <c r="W512" s="196" t="e">
        <f t="shared" si="62"/>
        <v>#DIV/0!</v>
      </c>
      <c r="X512" s="197" t="e">
        <f t="shared" si="63"/>
        <v>#DIV/0!</v>
      </c>
    </row>
    <row r="513" ht="11.4" hidden="1" customHeight="1" spans="1:24">
      <c r="A513" s="184" t="s">
        <v>1740</v>
      </c>
      <c r="B513" s="184" t="s">
        <v>109</v>
      </c>
      <c r="C513" s="184" t="s">
        <v>1101</v>
      </c>
      <c r="D513" s="185" t="s">
        <v>522</v>
      </c>
      <c r="E513" s="186" t="s">
        <v>906</v>
      </c>
      <c r="F513" s="186" t="s">
        <v>907</v>
      </c>
      <c r="G513" s="186" t="s">
        <v>1102</v>
      </c>
      <c r="H513" s="186" t="s">
        <v>1479</v>
      </c>
      <c r="I513" s="187" t="s">
        <v>1760</v>
      </c>
      <c r="J513" s="187" t="s">
        <v>1761</v>
      </c>
      <c r="K513" s="188"/>
      <c r="L513" s="188"/>
      <c r="M513" s="189" t="s">
        <v>847</v>
      </c>
      <c r="N513" s="190">
        <v>147.41</v>
      </c>
      <c r="O513" s="190">
        <f t="shared" si="56"/>
        <v>160.68</v>
      </c>
      <c r="P513" s="191">
        <f t="shared" si="57"/>
        <v>0</v>
      </c>
      <c r="Q513" s="192">
        <f t="shared" si="58"/>
        <v>0</v>
      </c>
      <c r="R513" s="193"/>
      <c r="S513" s="194"/>
      <c r="T513" s="195">
        <f t="shared" si="59"/>
        <v>0</v>
      </c>
      <c r="U513" s="195">
        <f t="shared" si="60"/>
        <v>0</v>
      </c>
      <c r="V513" s="195">
        <f t="shared" si="61"/>
        <v>0</v>
      </c>
      <c r="W513" s="196" t="e">
        <f t="shared" si="62"/>
        <v>#DIV/0!</v>
      </c>
      <c r="X513" s="197" t="e">
        <f t="shared" si="63"/>
        <v>#DIV/0!</v>
      </c>
    </row>
    <row r="514" ht="11.4" hidden="1" customHeight="1" spans="1:24">
      <c r="A514" s="184" t="s">
        <v>1740</v>
      </c>
      <c r="B514" s="184" t="s">
        <v>109</v>
      </c>
      <c r="C514" s="184" t="s">
        <v>1101</v>
      </c>
      <c r="D514" s="185" t="s">
        <v>522</v>
      </c>
      <c r="E514" s="186" t="s">
        <v>906</v>
      </c>
      <c r="F514" s="186" t="s">
        <v>907</v>
      </c>
      <c r="G514" s="186" t="s">
        <v>1102</v>
      </c>
      <c r="H514" s="186" t="s">
        <v>1479</v>
      </c>
      <c r="I514" s="187" t="s">
        <v>1294</v>
      </c>
      <c r="J514" s="187" t="s">
        <v>1295</v>
      </c>
      <c r="K514" s="188"/>
      <c r="L514" s="188"/>
      <c r="M514" s="189" t="s">
        <v>847</v>
      </c>
      <c r="N514" s="190">
        <v>169.19</v>
      </c>
      <c r="O514" s="190">
        <f t="shared" si="56"/>
        <v>184.42</v>
      </c>
      <c r="P514" s="191">
        <f t="shared" si="57"/>
        <v>0</v>
      </c>
      <c r="Q514" s="192">
        <f t="shared" si="58"/>
        <v>0</v>
      </c>
      <c r="R514" s="193"/>
      <c r="S514" s="194"/>
      <c r="T514" s="195">
        <f t="shared" si="59"/>
        <v>0</v>
      </c>
      <c r="U514" s="195">
        <f t="shared" si="60"/>
        <v>0</v>
      </c>
      <c r="V514" s="195">
        <f t="shared" si="61"/>
        <v>0</v>
      </c>
      <c r="W514" s="196" t="e">
        <f t="shared" si="62"/>
        <v>#DIV/0!</v>
      </c>
      <c r="X514" s="197" t="e">
        <f t="shared" si="63"/>
        <v>#DIV/0!</v>
      </c>
    </row>
    <row r="515" ht="11.4" hidden="1" customHeight="1" spans="1:24">
      <c r="A515" s="184" t="s">
        <v>1740</v>
      </c>
      <c r="B515" s="184" t="s">
        <v>109</v>
      </c>
      <c r="C515" s="184" t="s">
        <v>1101</v>
      </c>
      <c r="D515" s="185" t="s">
        <v>522</v>
      </c>
      <c r="E515" s="186" t="s">
        <v>906</v>
      </c>
      <c r="F515" s="186" t="s">
        <v>907</v>
      </c>
      <c r="G515" s="186" t="s">
        <v>1102</v>
      </c>
      <c r="H515" s="186" t="s">
        <v>1479</v>
      </c>
      <c r="I515" s="187" t="s">
        <v>1314</v>
      </c>
      <c r="J515" s="187" t="s">
        <v>1315</v>
      </c>
      <c r="K515" s="188"/>
      <c r="L515" s="188"/>
      <c r="M515" s="189" t="s">
        <v>847</v>
      </c>
      <c r="N515" s="190">
        <v>179.53</v>
      </c>
      <c r="O515" s="190">
        <f t="shared" si="56"/>
        <v>195.69</v>
      </c>
      <c r="P515" s="191">
        <f t="shared" si="57"/>
        <v>0</v>
      </c>
      <c r="Q515" s="192">
        <f t="shared" si="58"/>
        <v>0</v>
      </c>
      <c r="R515" s="193"/>
      <c r="S515" s="194"/>
      <c r="T515" s="195">
        <f t="shared" si="59"/>
        <v>0</v>
      </c>
      <c r="U515" s="195">
        <f t="shared" si="60"/>
        <v>0</v>
      </c>
      <c r="V515" s="195">
        <f t="shared" si="61"/>
        <v>0</v>
      </c>
      <c r="W515" s="196" t="e">
        <f t="shared" si="62"/>
        <v>#DIV/0!</v>
      </c>
      <c r="X515" s="197" t="e">
        <f t="shared" si="63"/>
        <v>#DIV/0!</v>
      </c>
    </row>
    <row r="516" ht="11.4" hidden="1" customHeight="1" spans="1:24">
      <c r="A516" s="184" t="s">
        <v>1740</v>
      </c>
      <c r="B516" s="184" t="s">
        <v>109</v>
      </c>
      <c r="C516" s="184" t="s">
        <v>1101</v>
      </c>
      <c r="D516" s="185" t="s">
        <v>522</v>
      </c>
      <c r="E516" s="186" t="s">
        <v>906</v>
      </c>
      <c r="F516" s="186" t="s">
        <v>907</v>
      </c>
      <c r="G516" s="186" t="s">
        <v>1102</v>
      </c>
      <c r="H516" s="186" t="s">
        <v>1479</v>
      </c>
      <c r="I516" s="187" t="s">
        <v>1316</v>
      </c>
      <c r="J516" s="187" t="s">
        <v>1317</v>
      </c>
      <c r="K516" s="188"/>
      <c r="L516" s="188"/>
      <c r="M516" s="189" t="s">
        <v>847</v>
      </c>
      <c r="N516" s="190">
        <v>168.64</v>
      </c>
      <c r="O516" s="190">
        <f t="shared" si="56"/>
        <v>183.82</v>
      </c>
      <c r="P516" s="191">
        <f t="shared" si="57"/>
        <v>0</v>
      </c>
      <c r="Q516" s="192">
        <f t="shared" si="58"/>
        <v>0</v>
      </c>
      <c r="R516" s="193"/>
      <c r="S516" s="194"/>
      <c r="T516" s="195">
        <f t="shared" si="59"/>
        <v>0</v>
      </c>
      <c r="U516" s="195">
        <f t="shared" si="60"/>
        <v>0</v>
      </c>
      <c r="V516" s="195">
        <f t="shared" si="61"/>
        <v>0</v>
      </c>
      <c r="W516" s="196" t="e">
        <f t="shared" si="62"/>
        <v>#DIV/0!</v>
      </c>
      <c r="X516" s="197" t="e">
        <f t="shared" si="63"/>
        <v>#DIV/0!</v>
      </c>
    </row>
    <row r="517" ht="11.4" hidden="1" customHeight="1" spans="1:24">
      <c r="A517" s="184" t="s">
        <v>1740</v>
      </c>
      <c r="B517" s="184" t="s">
        <v>109</v>
      </c>
      <c r="C517" s="184" t="s">
        <v>1101</v>
      </c>
      <c r="D517" s="185" t="s">
        <v>522</v>
      </c>
      <c r="E517" s="186" t="s">
        <v>906</v>
      </c>
      <c r="F517" s="186" t="s">
        <v>907</v>
      </c>
      <c r="G517" s="186" t="s">
        <v>1102</v>
      </c>
      <c r="H517" s="186" t="s">
        <v>1479</v>
      </c>
      <c r="I517" s="187" t="s">
        <v>1318</v>
      </c>
      <c r="J517" s="187" t="s">
        <v>1319</v>
      </c>
      <c r="K517" s="188"/>
      <c r="L517" s="188"/>
      <c r="M517" s="189" t="s">
        <v>847</v>
      </c>
      <c r="N517" s="190">
        <v>179.53</v>
      </c>
      <c r="O517" s="190">
        <f t="shared" si="56"/>
        <v>195.69</v>
      </c>
      <c r="P517" s="191">
        <f t="shared" si="57"/>
        <v>0</v>
      </c>
      <c r="Q517" s="192">
        <f t="shared" si="58"/>
        <v>0</v>
      </c>
      <c r="R517" s="193"/>
      <c r="S517" s="194"/>
      <c r="T517" s="195">
        <f t="shared" si="59"/>
        <v>0</v>
      </c>
      <c r="U517" s="195">
        <f t="shared" si="60"/>
        <v>0</v>
      </c>
      <c r="V517" s="195">
        <f t="shared" si="61"/>
        <v>0</v>
      </c>
      <c r="W517" s="196" t="e">
        <f t="shared" si="62"/>
        <v>#DIV/0!</v>
      </c>
      <c r="X517" s="197" t="e">
        <f t="shared" si="63"/>
        <v>#DIV/0!</v>
      </c>
    </row>
    <row r="518" ht="11.4" hidden="1" customHeight="1" spans="1:24">
      <c r="A518" s="184" t="s">
        <v>1740</v>
      </c>
      <c r="B518" s="184" t="s">
        <v>109</v>
      </c>
      <c r="C518" s="184" t="s">
        <v>1101</v>
      </c>
      <c r="D518" s="185" t="s">
        <v>522</v>
      </c>
      <c r="E518" s="186" t="s">
        <v>906</v>
      </c>
      <c r="F518" s="186" t="s">
        <v>907</v>
      </c>
      <c r="G518" s="186" t="s">
        <v>1102</v>
      </c>
      <c r="H518" s="186" t="s">
        <v>1479</v>
      </c>
      <c r="I518" s="187" t="s">
        <v>1175</v>
      </c>
      <c r="J518" s="187" t="s">
        <v>1176</v>
      </c>
      <c r="K518" s="188"/>
      <c r="L518" s="188"/>
      <c r="M518" s="189" t="s">
        <v>847</v>
      </c>
      <c r="N518" s="190">
        <v>114.06</v>
      </c>
      <c r="O518" s="190">
        <f t="shared" si="56"/>
        <v>124.33</v>
      </c>
      <c r="P518" s="191">
        <f t="shared" si="57"/>
        <v>0</v>
      </c>
      <c r="Q518" s="192">
        <f t="shared" si="58"/>
        <v>0</v>
      </c>
      <c r="R518" s="193"/>
      <c r="S518" s="194"/>
      <c r="T518" s="195">
        <f t="shared" si="59"/>
        <v>0</v>
      </c>
      <c r="U518" s="195">
        <f t="shared" si="60"/>
        <v>0</v>
      </c>
      <c r="V518" s="195">
        <f t="shared" si="61"/>
        <v>0</v>
      </c>
      <c r="W518" s="196" t="e">
        <f t="shared" si="62"/>
        <v>#DIV/0!</v>
      </c>
      <c r="X518" s="197" t="e">
        <f t="shared" si="63"/>
        <v>#DIV/0!</v>
      </c>
    </row>
    <row r="519" ht="11.4" hidden="1" customHeight="1" spans="1:24">
      <c r="A519" s="184" t="s">
        <v>1740</v>
      </c>
      <c r="B519" s="184" t="s">
        <v>109</v>
      </c>
      <c r="C519" s="184" t="s">
        <v>1101</v>
      </c>
      <c r="D519" s="185" t="s">
        <v>522</v>
      </c>
      <c r="E519" s="186" t="s">
        <v>906</v>
      </c>
      <c r="F519" s="186" t="s">
        <v>907</v>
      </c>
      <c r="G519" s="186" t="s">
        <v>1102</v>
      </c>
      <c r="H519" s="186" t="s">
        <v>1479</v>
      </c>
      <c r="I519" s="187" t="s">
        <v>1178</v>
      </c>
      <c r="J519" s="187" t="s">
        <v>1179</v>
      </c>
      <c r="K519" s="188"/>
      <c r="L519" s="188"/>
      <c r="M519" s="189" t="s">
        <v>847</v>
      </c>
      <c r="N519" s="190">
        <v>197.83</v>
      </c>
      <c r="O519" s="190">
        <f t="shared" si="56"/>
        <v>215.63</v>
      </c>
      <c r="P519" s="191">
        <f t="shared" si="57"/>
        <v>0</v>
      </c>
      <c r="Q519" s="192">
        <f t="shared" si="58"/>
        <v>0</v>
      </c>
      <c r="R519" s="193"/>
      <c r="S519" s="194"/>
      <c r="T519" s="195">
        <f t="shared" si="59"/>
        <v>0</v>
      </c>
      <c r="U519" s="195">
        <f t="shared" si="60"/>
        <v>0</v>
      </c>
      <c r="V519" s="195">
        <f t="shared" si="61"/>
        <v>0</v>
      </c>
      <c r="W519" s="196" t="e">
        <f t="shared" si="62"/>
        <v>#DIV/0!</v>
      </c>
      <c r="X519" s="197" t="e">
        <f t="shared" si="63"/>
        <v>#DIV/0!</v>
      </c>
    </row>
    <row r="520" ht="11.4" hidden="1" customHeight="1" spans="1:24">
      <c r="A520" s="184" t="s">
        <v>1740</v>
      </c>
      <c r="B520" s="184" t="s">
        <v>109</v>
      </c>
      <c r="C520" s="184" t="s">
        <v>1101</v>
      </c>
      <c r="D520" s="185" t="s">
        <v>522</v>
      </c>
      <c r="E520" s="186" t="s">
        <v>906</v>
      </c>
      <c r="F520" s="186" t="s">
        <v>907</v>
      </c>
      <c r="G520" s="186" t="s">
        <v>1102</v>
      </c>
      <c r="H520" s="186" t="s">
        <v>1479</v>
      </c>
      <c r="I520" s="187" t="s">
        <v>1181</v>
      </c>
      <c r="J520" s="187" t="s">
        <v>1182</v>
      </c>
      <c r="K520" s="188"/>
      <c r="L520" s="188"/>
      <c r="M520" s="189" t="s">
        <v>847</v>
      </c>
      <c r="N520" s="190">
        <v>182.9</v>
      </c>
      <c r="O520" s="190">
        <f t="shared" si="56"/>
        <v>199.36</v>
      </c>
      <c r="P520" s="191">
        <f t="shared" si="57"/>
        <v>0</v>
      </c>
      <c r="Q520" s="192">
        <f t="shared" si="58"/>
        <v>0</v>
      </c>
      <c r="R520" s="193"/>
      <c r="S520" s="194"/>
      <c r="T520" s="195">
        <f t="shared" si="59"/>
        <v>0</v>
      </c>
      <c r="U520" s="195">
        <f t="shared" si="60"/>
        <v>0</v>
      </c>
      <c r="V520" s="195">
        <f t="shared" si="61"/>
        <v>0</v>
      </c>
      <c r="W520" s="196" t="e">
        <f t="shared" si="62"/>
        <v>#DIV/0!</v>
      </c>
      <c r="X520" s="197" t="e">
        <f t="shared" si="63"/>
        <v>#DIV/0!</v>
      </c>
    </row>
    <row r="521" ht="11.4" hidden="1" customHeight="1" spans="1:24">
      <c r="A521" s="184" t="s">
        <v>1740</v>
      </c>
      <c r="B521" s="184" t="s">
        <v>109</v>
      </c>
      <c r="C521" s="184" t="s">
        <v>1101</v>
      </c>
      <c r="D521" s="185" t="s">
        <v>522</v>
      </c>
      <c r="E521" s="186" t="s">
        <v>906</v>
      </c>
      <c r="F521" s="186" t="s">
        <v>907</v>
      </c>
      <c r="G521" s="186" t="s">
        <v>1102</v>
      </c>
      <c r="H521" s="186" t="s">
        <v>1479</v>
      </c>
      <c r="I521" s="187" t="s">
        <v>1183</v>
      </c>
      <c r="J521" s="187" t="s">
        <v>1184</v>
      </c>
      <c r="K521" s="188"/>
      <c r="L521" s="188"/>
      <c r="M521" s="189" t="s">
        <v>847</v>
      </c>
      <c r="N521" s="190">
        <v>186.66</v>
      </c>
      <c r="O521" s="190">
        <f t="shared" si="56"/>
        <v>203.46</v>
      </c>
      <c r="P521" s="191">
        <f t="shared" si="57"/>
        <v>0</v>
      </c>
      <c r="Q521" s="192">
        <f t="shared" si="58"/>
        <v>0</v>
      </c>
      <c r="R521" s="193"/>
      <c r="S521" s="194"/>
      <c r="T521" s="195">
        <f t="shared" si="59"/>
        <v>0</v>
      </c>
      <c r="U521" s="195">
        <f t="shared" si="60"/>
        <v>0</v>
      </c>
      <c r="V521" s="195">
        <f t="shared" si="61"/>
        <v>0</v>
      </c>
      <c r="W521" s="196" t="e">
        <f t="shared" si="62"/>
        <v>#DIV/0!</v>
      </c>
      <c r="X521" s="197" t="e">
        <f t="shared" si="63"/>
        <v>#DIV/0!</v>
      </c>
    </row>
    <row r="522" ht="11.4" hidden="1" customHeight="1" spans="1:24">
      <c r="A522" s="184" t="s">
        <v>1740</v>
      </c>
      <c r="B522" s="184" t="s">
        <v>109</v>
      </c>
      <c r="C522" s="184" t="s">
        <v>1101</v>
      </c>
      <c r="D522" s="185" t="s">
        <v>522</v>
      </c>
      <c r="E522" s="186" t="s">
        <v>906</v>
      </c>
      <c r="F522" s="186" t="s">
        <v>907</v>
      </c>
      <c r="G522" s="186" t="s">
        <v>1102</v>
      </c>
      <c r="H522" s="186" t="s">
        <v>1479</v>
      </c>
      <c r="I522" s="187" t="s">
        <v>1185</v>
      </c>
      <c r="J522" s="187" t="s">
        <v>1186</v>
      </c>
      <c r="K522" s="188"/>
      <c r="L522" s="188"/>
      <c r="M522" s="189" t="s">
        <v>847</v>
      </c>
      <c r="N522" s="190">
        <v>174.35</v>
      </c>
      <c r="O522" s="190">
        <f t="shared" si="56"/>
        <v>190.04</v>
      </c>
      <c r="P522" s="191">
        <f t="shared" si="57"/>
        <v>0</v>
      </c>
      <c r="Q522" s="192">
        <f t="shared" si="58"/>
        <v>0</v>
      </c>
      <c r="R522" s="193"/>
      <c r="S522" s="194"/>
      <c r="T522" s="195">
        <f t="shared" si="59"/>
        <v>0</v>
      </c>
      <c r="U522" s="195">
        <f t="shared" si="60"/>
        <v>0</v>
      </c>
      <c r="V522" s="195">
        <f t="shared" si="61"/>
        <v>0</v>
      </c>
      <c r="W522" s="196" t="e">
        <f t="shared" si="62"/>
        <v>#DIV/0!</v>
      </c>
      <c r="X522" s="197" t="e">
        <f t="shared" si="63"/>
        <v>#DIV/0!</v>
      </c>
    </row>
    <row r="523" ht="11.4" hidden="1" customHeight="1" spans="1:24">
      <c r="A523" s="184" t="s">
        <v>1740</v>
      </c>
      <c r="B523" s="184" t="s">
        <v>109</v>
      </c>
      <c r="C523" s="184" t="s">
        <v>1101</v>
      </c>
      <c r="D523" s="185" t="s">
        <v>522</v>
      </c>
      <c r="E523" s="186" t="s">
        <v>906</v>
      </c>
      <c r="F523" s="186" t="s">
        <v>907</v>
      </c>
      <c r="G523" s="186" t="s">
        <v>1102</v>
      </c>
      <c r="H523" s="186" t="s">
        <v>1479</v>
      </c>
      <c r="I523" s="187" t="s">
        <v>1193</v>
      </c>
      <c r="J523" s="187" t="s">
        <v>1194</v>
      </c>
      <c r="K523" s="188"/>
      <c r="L523" s="188"/>
      <c r="M523" s="189" t="s">
        <v>847</v>
      </c>
      <c r="N523" s="190">
        <v>70.85</v>
      </c>
      <c r="O523" s="190">
        <f t="shared" si="56"/>
        <v>77.23</v>
      </c>
      <c r="P523" s="191">
        <f t="shared" si="57"/>
        <v>0</v>
      </c>
      <c r="Q523" s="192">
        <f t="shared" si="58"/>
        <v>0</v>
      </c>
      <c r="R523" s="193"/>
      <c r="S523" s="194"/>
      <c r="T523" s="195">
        <f t="shared" si="59"/>
        <v>0</v>
      </c>
      <c r="U523" s="195">
        <f t="shared" si="60"/>
        <v>0</v>
      </c>
      <c r="V523" s="195">
        <f t="shared" si="61"/>
        <v>0</v>
      </c>
      <c r="W523" s="196" t="e">
        <f t="shared" si="62"/>
        <v>#DIV/0!</v>
      </c>
      <c r="X523" s="197" t="e">
        <f t="shared" si="63"/>
        <v>#DIV/0!</v>
      </c>
    </row>
    <row r="524" ht="11.4" hidden="1" customHeight="1" spans="1:24">
      <c r="A524" s="184" t="s">
        <v>1740</v>
      </c>
      <c r="B524" s="184" t="s">
        <v>109</v>
      </c>
      <c r="C524" s="184" t="s">
        <v>1101</v>
      </c>
      <c r="D524" s="185" t="s">
        <v>522</v>
      </c>
      <c r="E524" s="186" t="s">
        <v>906</v>
      </c>
      <c r="F524" s="186" t="s">
        <v>907</v>
      </c>
      <c r="G524" s="186" t="s">
        <v>1102</v>
      </c>
      <c r="H524" s="186" t="s">
        <v>1479</v>
      </c>
      <c r="I524" s="187" t="s">
        <v>1195</v>
      </c>
      <c r="J524" s="187" t="s">
        <v>1196</v>
      </c>
      <c r="K524" s="188"/>
      <c r="L524" s="188"/>
      <c r="M524" s="189" t="s">
        <v>847</v>
      </c>
      <c r="N524" s="190">
        <v>307.56</v>
      </c>
      <c r="O524" s="190">
        <f t="shared" si="56"/>
        <v>335.24</v>
      </c>
      <c r="P524" s="191">
        <f t="shared" si="57"/>
        <v>0</v>
      </c>
      <c r="Q524" s="192">
        <f t="shared" si="58"/>
        <v>0</v>
      </c>
      <c r="R524" s="193"/>
      <c r="S524" s="194"/>
      <c r="T524" s="195">
        <f t="shared" si="59"/>
        <v>0</v>
      </c>
      <c r="U524" s="195">
        <f t="shared" si="60"/>
        <v>0</v>
      </c>
      <c r="V524" s="195">
        <f t="shared" si="61"/>
        <v>0</v>
      </c>
      <c r="W524" s="196" t="e">
        <f t="shared" si="62"/>
        <v>#DIV/0!</v>
      </c>
      <c r="X524" s="197" t="e">
        <f t="shared" si="63"/>
        <v>#DIV/0!</v>
      </c>
    </row>
    <row r="525" ht="11.4" hidden="1" customHeight="1" spans="1:24">
      <c r="A525" s="184" t="s">
        <v>1740</v>
      </c>
      <c r="B525" s="184" t="s">
        <v>109</v>
      </c>
      <c r="C525" s="184" t="s">
        <v>1101</v>
      </c>
      <c r="D525" s="185" t="s">
        <v>522</v>
      </c>
      <c r="E525" s="186" t="s">
        <v>906</v>
      </c>
      <c r="F525" s="186" t="s">
        <v>907</v>
      </c>
      <c r="G525" s="186" t="s">
        <v>1102</v>
      </c>
      <c r="H525" s="186" t="s">
        <v>1479</v>
      </c>
      <c r="I525" s="187" t="s">
        <v>1197</v>
      </c>
      <c r="J525" s="187" t="s">
        <v>1198</v>
      </c>
      <c r="K525" s="188"/>
      <c r="L525" s="188"/>
      <c r="M525" s="189" t="s">
        <v>847</v>
      </c>
      <c r="N525" s="190">
        <v>39.59</v>
      </c>
      <c r="O525" s="190">
        <f t="shared" ref="O525:O588" si="64">ROUND(N525*(1+$F$10),2)</f>
        <v>43.15</v>
      </c>
      <c r="P525" s="191">
        <f t="shared" ref="P525:P588" si="65">ROUND(K525*N525,2)</f>
        <v>0</v>
      </c>
      <c r="Q525" s="192">
        <f t="shared" ref="Q525:Q588" si="66">ROUND(L525*N525,2)</f>
        <v>0</v>
      </c>
      <c r="R525" s="193"/>
      <c r="S525" s="194"/>
      <c r="T525" s="195">
        <f t="shared" ref="T525:T588" si="67">K525-L525</f>
        <v>0</v>
      </c>
      <c r="U525" s="195">
        <f t="shared" ref="U525:U588" si="68">P525-Q525</f>
        <v>0</v>
      </c>
      <c r="V525" s="195">
        <f t="shared" ref="V525:V588" si="69">ABS(U525)</f>
        <v>0</v>
      </c>
      <c r="W525" s="196" t="e">
        <f t="shared" ref="W525:W588" si="70">T525/L525</f>
        <v>#DIV/0!</v>
      </c>
      <c r="X525" s="197" t="e">
        <f t="shared" ref="X525:X588" si="71">ABS(W525)</f>
        <v>#DIV/0!</v>
      </c>
    </row>
    <row r="526" ht="11.4" hidden="1" customHeight="1" spans="1:24">
      <c r="A526" s="184" t="s">
        <v>1740</v>
      </c>
      <c r="B526" s="184" t="s">
        <v>109</v>
      </c>
      <c r="C526" s="184" t="s">
        <v>1101</v>
      </c>
      <c r="D526" s="185" t="s">
        <v>522</v>
      </c>
      <c r="E526" s="186" t="s">
        <v>906</v>
      </c>
      <c r="F526" s="186" t="s">
        <v>907</v>
      </c>
      <c r="G526" s="186" t="s">
        <v>1102</v>
      </c>
      <c r="H526" s="186" t="s">
        <v>1479</v>
      </c>
      <c r="I526" s="187" t="s">
        <v>1559</v>
      </c>
      <c r="J526" s="187" t="s">
        <v>1560</v>
      </c>
      <c r="K526" s="188">
        <v>32.78</v>
      </c>
      <c r="L526" s="188">
        <v>32.76</v>
      </c>
      <c r="M526" s="189" t="s">
        <v>847</v>
      </c>
      <c r="N526" s="190">
        <v>58.39</v>
      </c>
      <c r="O526" s="190">
        <f t="shared" si="64"/>
        <v>63.65</v>
      </c>
      <c r="P526" s="191">
        <f t="shared" si="65"/>
        <v>1914.02</v>
      </c>
      <c r="Q526" s="192">
        <f t="shared" si="66"/>
        <v>1912.86</v>
      </c>
      <c r="R526" s="193"/>
      <c r="S526" s="194"/>
      <c r="T526" s="195">
        <f t="shared" si="67"/>
        <v>0.0200000000000031</v>
      </c>
      <c r="U526" s="195">
        <f t="shared" si="68"/>
        <v>1.16000000000008</v>
      </c>
      <c r="V526" s="195">
        <f t="shared" si="69"/>
        <v>1.16000000000008</v>
      </c>
      <c r="W526" s="196">
        <f t="shared" si="70"/>
        <v>0.000610500610500706</v>
      </c>
      <c r="X526" s="199">
        <f t="shared" si="71"/>
        <v>0.000610500610500706</v>
      </c>
    </row>
    <row r="527" ht="11.4" hidden="1" customHeight="1" spans="1:24">
      <c r="A527" s="184" t="s">
        <v>1740</v>
      </c>
      <c r="B527" s="184" t="s">
        <v>109</v>
      </c>
      <c r="C527" s="184" t="s">
        <v>1101</v>
      </c>
      <c r="D527" s="185" t="s">
        <v>522</v>
      </c>
      <c r="E527" s="186" t="s">
        <v>906</v>
      </c>
      <c r="F527" s="186" t="s">
        <v>907</v>
      </c>
      <c r="G527" s="186" t="s">
        <v>1102</v>
      </c>
      <c r="H527" s="186" t="s">
        <v>1479</v>
      </c>
      <c r="I527" s="187" t="s">
        <v>1203</v>
      </c>
      <c r="J527" s="187" t="s">
        <v>1204</v>
      </c>
      <c r="K527" s="188"/>
      <c r="L527" s="188"/>
      <c r="M527" s="189" t="s">
        <v>847</v>
      </c>
      <c r="N527" s="190">
        <v>17.39</v>
      </c>
      <c r="O527" s="190">
        <f t="shared" si="64"/>
        <v>18.96</v>
      </c>
      <c r="P527" s="191">
        <f t="shared" si="65"/>
        <v>0</v>
      </c>
      <c r="Q527" s="192">
        <f t="shared" si="66"/>
        <v>0</v>
      </c>
      <c r="R527" s="193"/>
      <c r="S527" s="194"/>
      <c r="T527" s="195">
        <f t="shared" si="67"/>
        <v>0</v>
      </c>
      <c r="U527" s="195">
        <f t="shared" si="68"/>
        <v>0</v>
      </c>
      <c r="V527" s="195">
        <f t="shared" si="69"/>
        <v>0</v>
      </c>
      <c r="W527" s="196" t="e">
        <f t="shared" si="70"/>
        <v>#DIV/0!</v>
      </c>
      <c r="X527" s="197" t="e">
        <f t="shared" si="71"/>
        <v>#DIV/0!</v>
      </c>
    </row>
    <row r="528" ht="11.4" hidden="1" customHeight="1" spans="1:24">
      <c r="A528" s="184" t="s">
        <v>1740</v>
      </c>
      <c r="B528" s="184" t="s">
        <v>109</v>
      </c>
      <c r="C528" s="184" t="s">
        <v>1101</v>
      </c>
      <c r="D528" s="185" t="s">
        <v>522</v>
      </c>
      <c r="E528" s="186" t="s">
        <v>906</v>
      </c>
      <c r="F528" s="186" t="s">
        <v>907</v>
      </c>
      <c r="G528" s="186" t="s">
        <v>1102</v>
      </c>
      <c r="H528" s="186" t="s">
        <v>1763</v>
      </c>
      <c r="I528" s="187" t="s">
        <v>1723</v>
      </c>
      <c r="J528" s="187" t="s">
        <v>1724</v>
      </c>
      <c r="K528" s="188">
        <v>53.29</v>
      </c>
      <c r="L528" s="188">
        <f>49.54+6.32</f>
        <v>55.86</v>
      </c>
      <c r="M528" s="189" t="s">
        <v>847</v>
      </c>
      <c r="N528" s="190">
        <v>132.76</v>
      </c>
      <c r="O528" s="190">
        <f t="shared" si="64"/>
        <v>144.71</v>
      </c>
      <c r="P528" s="191">
        <f t="shared" si="65"/>
        <v>7074.78</v>
      </c>
      <c r="Q528" s="192">
        <f t="shared" si="66"/>
        <v>7415.97</v>
      </c>
      <c r="R528" s="193"/>
      <c r="S528" s="194"/>
      <c r="T528" s="195">
        <f t="shared" si="67"/>
        <v>-2.57</v>
      </c>
      <c r="U528" s="195">
        <f t="shared" si="68"/>
        <v>-341.190000000001</v>
      </c>
      <c r="V528" s="195">
        <f t="shared" si="69"/>
        <v>341.190000000001</v>
      </c>
      <c r="W528" s="196">
        <f t="shared" si="70"/>
        <v>-0.0460078768349445</v>
      </c>
      <c r="X528" s="199">
        <f t="shared" si="71"/>
        <v>0.0460078768349445</v>
      </c>
    </row>
    <row r="529" ht="11.4" hidden="1" customHeight="1" spans="1:24">
      <c r="A529" s="184" t="s">
        <v>1740</v>
      </c>
      <c r="B529" s="184" t="s">
        <v>109</v>
      </c>
      <c r="C529" s="184" t="s">
        <v>1101</v>
      </c>
      <c r="D529" s="185" t="s">
        <v>522</v>
      </c>
      <c r="E529" s="186" t="s">
        <v>906</v>
      </c>
      <c r="F529" s="186" t="s">
        <v>907</v>
      </c>
      <c r="G529" s="186" t="s">
        <v>1102</v>
      </c>
      <c r="H529" s="186" t="s">
        <v>1763</v>
      </c>
      <c r="I529" s="187" t="s">
        <v>1764</v>
      </c>
      <c r="J529" s="187" t="s">
        <v>1765</v>
      </c>
      <c r="K529" s="188"/>
      <c r="L529" s="188">
        <v>8.35</v>
      </c>
      <c r="M529" s="189" t="s">
        <v>847</v>
      </c>
      <c r="N529" s="190">
        <v>139.73</v>
      </c>
      <c r="O529" s="190">
        <f t="shared" si="64"/>
        <v>152.31</v>
      </c>
      <c r="P529" s="191">
        <f t="shared" si="65"/>
        <v>0</v>
      </c>
      <c r="Q529" s="192">
        <f t="shared" si="66"/>
        <v>1166.75</v>
      </c>
      <c r="R529" s="193"/>
      <c r="S529" s="194"/>
      <c r="T529" s="195">
        <f t="shared" si="67"/>
        <v>-8.35</v>
      </c>
      <c r="U529" s="195">
        <f t="shared" si="68"/>
        <v>-1166.75</v>
      </c>
      <c r="V529" s="195">
        <f t="shared" si="69"/>
        <v>1166.75</v>
      </c>
      <c r="W529" s="196">
        <f t="shared" si="70"/>
        <v>-1</v>
      </c>
      <c r="X529" s="197">
        <f t="shared" si="71"/>
        <v>1</v>
      </c>
    </row>
    <row r="530" ht="11.4" hidden="1" customHeight="1" spans="1:24">
      <c r="A530" s="184" t="s">
        <v>1740</v>
      </c>
      <c r="B530" s="184" t="s">
        <v>109</v>
      </c>
      <c r="C530" s="184" t="s">
        <v>1101</v>
      </c>
      <c r="D530" s="185" t="s">
        <v>522</v>
      </c>
      <c r="E530" s="186" t="s">
        <v>906</v>
      </c>
      <c r="F530" s="186" t="s">
        <v>907</v>
      </c>
      <c r="G530" s="186" t="s">
        <v>1102</v>
      </c>
      <c r="H530" s="186" t="s">
        <v>1763</v>
      </c>
      <c r="I530" s="187" t="s">
        <v>1359</v>
      </c>
      <c r="J530" s="187" t="s">
        <v>1360</v>
      </c>
      <c r="K530" s="188"/>
      <c r="L530" s="188"/>
      <c r="M530" s="189" t="s">
        <v>847</v>
      </c>
      <c r="N530" s="190">
        <v>127.36</v>
      </c>
      <c r="O530" s="190">
        <f t="shared" si="64"/>
        <v>138.82</v>
      </c>
      <c r="P530" s="191">
        <f t="shared" si="65"/>
        <v>0</v>
      </c>
      <c r="Q530" s="192">
        <f t="shared" si="66"/>
        <v>0</v>
      </c>
      <c r="R530" s="193"/>
      <c r="S530" s="194"/>
      <c r="T530" s="195">
        <f t="shared" si="67"/>
        <v>0</v>
      </c>
      <c r="U530" s="195">
        <f t="shared" si="68"/>
        <v>0</v>
      </c>
      <c r="V530" s="195">
        <f t="shared" si="69"/>
        <v>0</v>
      </c>
      <c r="W530" s="196" t="e">
        <f t="shared" si="70"/>
        <v>#DIV/0!</v>
      </c>
      <c r="X530" s="197" t="e">
        <f t="shared" si="71"/>
        <v>#DIV/0!</v>
      </c>
    </row>
    <row r="531" ht="11.4" hidden="1" customHeight="1" spans="1:24">
      <c r="A531" s="184" t="s">
        <v>1740</v>
      </c>
      <c r="B531" s="184" t="s">
        <v>109</v>
      </c>
      <c r="C531" s="184" t="s">
        <v>1101</v>
      </c>
      <c r="D531" s="185" t="s">
        <v>522</v>
      </c>
      <c r="E531" s="186" t="s">
        <v>906</v>
      </c>
      <c r="F531" s="186" t="s">
        <v>907</v>
      </c>
      <c r="G531" s="186" t="s">
        <v>1102</v>
      </c>
      <c r="H531" s="186" t="s">
        <v>1763</v>
      </c>
      <c r="I531" s="187" t="s">
        <v>1362</v>
      </c>
      <c r="J531" s="187" t="s">
        <v>1363</v>
      </c>
      <c r="K531" s="188"/>
      <c r="L531" s="188"/>
      <c r="M531" s="189" t="s">
        <v>847</v>
      </c>
      <c r="N531" s="190">
        <v>138.36</v>
      </c>
      <c r="O531" s="190">
        <f t="shared" si="64"/>
        <v>150.81</v>
      </c>
      <c r="P531" s="191">
        <f t="shared" si="65"/>
        <v>0</v>
      </c>
      <c r="Q531" s="192">
        <f t="shared" si="66"/>
        <v>0</v>
      </c>
      <c r="R531" s="193"/>
      <c r="S531" s="194"/>
      <c r="T531" s="195">
        <f t="shared" si="67"/>
        <v>0</v>
      </c>
      <c r="U531" s="195">
        <f t="shared" si="68"/>
        <v>0</v>
      </c>
      <c r="V531" s="195">
        <f t="shared" si="69"/>
        <v>0</v>
      </c>
      <c r="W531" s="196" t="e">
        <f t="shared" si="70"/>
        <v>#DIV/0!</v>
      </c>
      <c r="X531" s="197" t="e">
        <f t="shared" si="71"/>
        <v>#DIV/0!</v>
      </c>
    </row>
    <row r="532" ht="11.4" hidden="1" customHeight="1" spans="1:24">
      <c r="A532" s="184" t="s">
        <v>1740</v>
      </c>
      <c r="B532" s="184" t="s">
        <v>109</v>
      </c>
      <c r="C532" s="184" t="s">
        <v>1101</v>
      </c>
      <c r="D532" s="185" t="s">
        <v>522</v>
      </c>
      <c r="E532" s="186" t="s">
        <v>906</v>
      </c>
      <c r="F532" s="186" t="s">
        <v>907</v>
      </c>
      <c r="G532" s="186" t="s">
        <v>1102</v>
      </c>
      <c r="H532" s="186" t="s">
        <v>1763</v>
      </c>
      <c r="I532" s="187" t="s">
        <v>1766</v>
      </c>
      <c r="J532" s="187" t="s">
        <v>1767</v>
      </c>
      <c r="K532" s="188"/>
      <c r="L532" s="188"/>
      <c r="M532" s="189" t="s">
        <v>807</v>
      </c>
      <c r="N532" s="190">
        <v>323.64</v>
      </c>
      <c r="O532" s="190">
        <f t="shared" si="64"/>
        <v>352.77</v>
      </c>
      <c r="P532" s="191">
        <f t="shared" si="65"/>
        <v>0</v>
      </c>
      <c r="Q532" s="192">
        <f t="shared" si="66"/>
        <v>0</v>
      </c>
      <c r="R532" s="193"/>
      <c r="S532" s="194"/>
      <c r="T532" s="195">
        <f t="shared" si="67"/>
        <v>0</v>
      </c>
      <c r="U532" s="195">
        <f t="shared" si="68"/>
        <v>0</v>
      </c>
      <c r="V532" s="195">
        <f t="shared" si="69"/>
        <v>0</v>
      </c>
      <c r="W532" s="196" t="e">
        <f t="shared" si="70"/>
        <v>#DIV/0!</v>
      </c>
      <c r="X532" s="197" t="e">
        <f t="shared" si="71"/>
        <v>#DIV/0!</v>
      </c>
    </row>
    <row r="533" ht="11.4" hidden="1" customHeight="1" spans="1:24">
      <c r="A533" s="184" t="s">
        <v>1740</v>
      </c>
      <c r="B533" s="184" t="s">
        <v>109</v>
      </c>
      <c r="C533" s="184" t="s">
        <v>1101</v>
      </c>
      <c r="D533" s="185" t="s">
        <v>522</v>
      </c>
      <c r="E533" s="186" t="s">
        <v>906</v>
      </c>
      <c r="F533" s="186" t="s">
        <v>907</v>
      </c>
      <c r="G533" s="186" t="s">
        <v>1102</v>
      </c>
      <c r="H533" s="186" t="s">
        <v>1768</v>
      </c>
      <c r="I533" s="187" t="s">
        <v>1769</v>
      </c>
      <c r="J533" s="187" t="s">
        <v>1770</v>
      </c>
      <c r="K533" s="188"/>
      <c r="L533" s="188"/>
      <c r="M533" s="189" t="s">
        <v>807</v>
      </c>
      <c r="N533" s="190">
        <v>1368.15</v>
      </c>
      <c r="O533" s="190">
        <f t="shared" si="64"/>
        <v>1491.28</v>
      </c>
      <c r="P533" s="191">
        <f t="shared" si="65"/>
        <v>0</v>
      </c>
      <c r="Q533" s="192">
        <f t="shared" si="66"/>
        <v>0</v>
      </c>
      <c r="R533" s="193"/>
      <c r="S533" s="194"/>
      <c r="T533" s="195">
        <f t="shared" si="67"/>
        <v>0</v>
      </c>
      <c r="U533" s="195">
        <f t="shared" si="68"/>
        <v>0</v>
      </c>
      <c r="V533" s="195">
        <f t="shared" si="69"/>
        <v>0</v>
      </c>
      <c r="W533" s="196" t="e">
        <f t="shared" si="70"/>
        <v>#DIV/0!</v>
      </c>
      <c r="X533" s="197" t="e">
        <f t="shared" si="71"/>
        <v>#DIV/0!</v>
      </c>
    </row>
    <row r="534" ht="11.4" hidden="1" customHeight="1" spans="1:24">
      <c r="A534" s="184" t="s">
        <v>1740</v>
      </c>
      <c r="B534" s="184" t="s">
        <v>109</v>
      </c>
      <c r="C534" s="184" t="s">
        <v>1101</v>
      </c>
      <c r="D534" s="185" t="s">
        <v>522</v>
      </c>
      <c r="E534" s="186" t="s">
        <v>906</v>
      </c>
      <c r="F534" s="186" t="s">
        <v>907</v>
      </c>
      <c r="G534" s="186" t="s">
        <v>1102</v>
      </c>
      <c r="H534" s="186" t="s">
        <v>1768</v>
      </c>
      <c r="I534" s="187" t="s">
        <v>1771</v>
      </c>
      <c r="J534" s="154" t="s">
        <v>1772</v>
      </c>
      <c r="K534" s="188">
        <v>1</v>
      </c>
      <c r="L534" s="188">
        <v>1</v>
      </c>
      <c r="M534" s="189" t="s">
        <v>793</v>
      </c>
      <c r="N534" s="190">
        <v>1175</v>
      </c>
      <c r="O534" s="190">
        <f t="shared" si="64"/>
        <v>1280.75</v>
      </c>
      <c r="P534" s="191">
        <f t="shared" si="65"/>
        <v>1175</v>
      </c>
      <c r="Q534" s="192">
        <f t="shared" si="66"/>
        <v>1175</v>
      </c>
      <c r="R534" s="193"/>
      <c r="S534" s="194"/>
      <c r="T534" s="195">
        <f t="shared" si="67"/>
        <v>0</v>
      </c>
      <c r="U534" s="195">
        <f t="shared" si="68"/>
        <v>0</v>
      </c>
      <c r="V534" s="195">
        <f t="shared" si="69"/>
        <v>0</v>
      </c>
      <c r="W534" s="196">
        <f t="shared" si="70"/>
        <v>0</v>
      </c>
      <c r="X534" s="197">
        <f t="shared" si="71"/>
        <v>0</v>
      </c>
    </row>
    <row r="535" ht="11.4" hidden="1" customHeight="1" spans="1:24">
      <c r="A535" s="184" t="s">
        <v>1740</v>
      </c>
      <c r="B535" s="184" t="s">
        <v>109</v>
      </c>
      <c r="C535" s="184" t="s">
        <v>1101</v>
      </c>
      <c r="D535" s="185" t="s">
        <v>522</v>
      </c>
      <c r="E535" s="186" t="s">
        <v>906</v>
      </c>
      <c r="F535" s="186" t="s">
        <v>907</v>
      </c>
      <c r="G535" s="186" t="s">
        <v>1102</v>
      </c>
      <c r="H535" s="186" t="s">
        <v>1768</v>
      </c>
      <c r="I535" s="187" t="s">
        <v>1774</v>
      </c>
      <c r="J535" s="187" t="s">
        <v>1775</v>
      </c>
      <c r="K535" s="188"/>
      <c r="L535" s="188"/>
      <c r="M535" s="189" t="s">
        <v>793</v>
      </c>
      <c r="N535" s="190"/>
      <c r="O535" s="190">
        <f t="shared" si="64"/>
        <v>0</v>
      </c>
      <c r="P535" s="191">
        <f t="shared" si="65"/>
        <v>0</v>
      </c>
      <c r="Q535" s="192">
        <f t="shared" si="66"/>
        <v>0</v>
      </c>
      <c r="R535" s="193"/>
      <c r="S535" s="194"/>
      <c r="T535" s="195">
        <f t="shared" si="67"/>
        <v>0</v>
      </c>
      <c r="U535" s="195">
        <f t="shared" si="68"/>
        <v>0</v>
      </c>
      <c r="V535" s="195">
        <f t="shared" si="69"/>
        <v>0</v>
      </c>
      <c r="W535" s="196" t="e">
        <f t="shared" si="70"/>
        <v>#DIV/0!</v>
      </c>
      <c r="X535" s="197" t="e">
        <f t="shared" si="71"/>
        <v>#DIV/0!</v>
      </c>
    </row>
    <row r="536" ht="11.4" hidden="1" customHeight="1" spans="1:24">
      <c r="A536" s="184" t="s">
        <v>1740</v>
      </c>
      <c r="B536" s="184" t="s">
        <v>109</v>
      </c>
      <c r="C536" s="184" t="s">
        <v>1101</v>
      </c>
      <c r="D536" s="185" t="s">
        <v>522</v>
      </c>
      <c r="E536" s="186" t="s">
        <v>906</v>
      </c>
      <c r="F536" s="186" t="s">
        <v>907</v>
      </c>
      <c r="G536" s="186" t="s">
        <v>1102</v>
      </c>
      <c r="H536" s="186" t="s">
        <v>1768</v>
      </c>
      <c r="I536" s="187" t="s">
        <v>1776</v>
      </c>
      <c r="J536" s="187" t="s">
        <v>1777</v>
      </c>
      <c r="K536" s="188"/>
      <c r="L536" s="188"/>
      <c r="M536" s="189" t="s">
        <v>1778</v>
      </c>
      <c r="N536" s="190">
        <v>1841.7</v>
      </c>
      <c r="O536" s="190">
        <f t="shared" si="64"/>
        <v>2007.45</v>
      </c>
      <c r="P536" s="191">
        <f t="shared" si="65"/>
        <v>0</v>
      </c>
      <c r="Q536" s="192">
        <f t="shared" si="66"/>
        <v>0</v>
      </c>
      <c r="R536" s="193"/>
      <c r="S536" s="194"/>
      <c r="T536" s="195">
        <f t="shared" si="67"/>
        <v>0</v>
      </c>
      <c r="U536" s="195">
        <f t="shared" si="68"/>
        <v>0</v>
      </c>
      <c r="V536" s="195">
        <f t="shared" si="69"/>
        <v>0</v>
      </c>
      <c r="W536" s="196" t="e">
        <f t="shared" si="70"/>
        <v>#DIV/0!</v>
      </c>
      <c r="X536" s="197" t="e">
        <f t="shared" si="71"/>
        <v>#DIV/0!</v>
      </c>
    </row>
    <row r="537" ht="11.4" hidden="1" customHeight="1" spans="1:24">
      <c r="A537" s="184" t="s">
        <v>1740</v>
      </c>
      <c r="B537" s="184" t="s">
        <v>109</v>
      </c>
      <c r="C537" s="184" t="s">
        <v>1101</v>
      </c>
      <c r="D537" s="185" t="s">
        <v>522</v>
      </c>
      <c r="E537" s="186" t="s">
        <v>906</v>
      </c>
      <c r="F537" s="186" t="s">
        <v>907</v>
      </c>
      <c r="G537" s="186" t="s">
        <v>1102</v>
      </c>
      <c r="H537" s="186" t="s">
        <v>1768</v>
      </c>
      <c r="I537" s="187" t="s">
        <v>1779</v>
      </c>
      <c r="J537" s="154" t="s">
        <v>1780</v>
      </c>
      <c r="K537" s="188">
        <v>1</v>
      </c>
      <c r="L537" s="188">
        <v>1</v>
      </c>
      <c r="M537" s="189" t="s">
        <v>793</v>
      </c>
      <c r="N537" s="190">
        <v>493.05</v>
      </c>
      <c r="O537" s="190">
        <f t="shared" si="64"/>
        <v>537.42</v>
      </c>
      <c r="P537" s="191">
        <f t="shared" si="65"/>
        <v>493.05</v>
      </c>
      <c r="Q537" s="192">
        <f t="shared" si="66"/>
        <v>493.05</v>
      </c>
      <c r="R537" s="193"/>
      <c r="S537" s="194"/>
      <c r="T537" s="195">
        <f t="shared" si="67"/>
        <v>0</v>
      </c>
      <c r="U537" s="195">
        <f t="shared" si="68"/>
        <v>0</v>
      </c>
      <c r="V537" s="195">
        <f t="shared" si="69"/>
        <v>0</v>
      </c>
      <c r="W537" s="196">
        <f t="shared" si="70"/>
        <v>0</v>
      </c>
      <c r="X537" s="197">
        <f t="shared" si="71"/>
        <v>0</v>
      </c>
    </row>
    <row r="538" ht="11.4" hidden="1" customHeight="1" spans="1:24">
      <c r="A538" s="184" t="s">
        <v>1781</v>
      </c>
      <c r="B538" s="184" t="s">
        <v>130</v>
      </c>
      <c r="C538" s="184" t="s">
        <v>1782</v>
      </c>
      <c r="D538" s="185" t="s">
        <v>522</v>
      </c>
      <c r="E538" s="186" t="s">
        <v>906</v>
      </c>
      <c r="F538" s="186" t="s">
        <v>907</v>
      </c>
      <c r="G538" s="186" t="s">
        <v>1102</v>
      </c>
      <c r="H538" s="186" t="s">
        <v>1783</v>
      </c>
      <c r="I538" s="187" t="s">
        <v>1784</v>
      </c>
      <c r="J538" s="187" t="s">
        <v>1785</v>
      </c>
      <c r="K538" s="188"/>
      <c r="L538" s="188"/>
      <c r="M538" s="189" t="s">
        <v>847</v>
      </c>
      <c r="N538" s="190">
        <v>153.82</v>
      </c>
      <c r="O538" s="190">
        <f t="shared" si="64"/>
        <v>167.66</v>
      </c>
      <c r="P538" s="191">
        <f t="shared" si="65"/>
        <v>0</v>
      </c>
      <c r="Q538" s="192">
        <f t="shared" si="66"/>
        <v>0</v>
      </c>
      <c r="R538" s="193"/>
      <c r="S538" s="194"/>
      <c r="T538" s="195">
        <f t="shared" si="67"/>
        <v>0</v>
      </c>
      <c r="U538" s="195">
        <f t="shared" si="68"/>
        <v>0</v>
      </c>
      <c r="V538" s="195">
        <f t="shared" si="69"/>
        <v>0</v>
      </c>
      <c r="W538" s="196" t="e">
        <f t="shared" si="70"/>
        <v>#DIV/0!</v>
      </c>
      <c r="X538" s="197" t="e">
        <f t="shared" si="71"/>
        <v>#DIV/0!</v>
      </c>
    </row>
    <row r="539" ht="11.4" hidden="1" customHeight="1" spans="1:24">
      <c r="A539" s="184" t="s">
        <v>1781</v>
      </c>
      <c r="B539" s="184" t="s">
        <v>130</v>
      </c>
      <c r="C539" s="184" t="s">
        <v>1782</v>
      </c>
      <c r="D539" s="185" t="s">
        <v>522</v>
      </c>
      <c r="E539" s="186" t="s">
        <v>906</v>
      </c>
      <c r="F539" s="186" t="s">
        <v>907</v>
      </c>
      <c r="G539" s="186" t="s">
        <v>1102</v>
      </c>
      <c r="H539" s="186" t="s">
        <v>1783</v>
      </c>
      <c r="I539" s="187" t="s">
        <v>1786</v>
      </c>
      <c r="J539" s="187" t="s">
        <v>1787</v>
      </c>
      <c r="K539" s="188">
        <v>261.79</v>
      </c>
      <c r="L539" s="188">
        <v>263.07</v>
      </c>
      <c r="M539" s="189" t="s">
        <v>847</v>
      </c>
      <c r="N539" s="190">
        <v>121.97</v>
      </c>
      <c r="O539" s="190">
        <f t="shared" si="64"/>
        <v>132.95</v>
      </c>
      <c r="P539" s="191">
        <f t="shared" si="65"/>
        <v>31930.53</v>
      </c>
      <c r="Q539" s="192">
        <f t="shared" si="66"/>
        <v>32086.65</v>
      </c>
      <c r="R539" s="193"/>
      <c r="S539" s="194"/>
      <c r="T539" s="195">
        <f t="shared" si="67"/>
        <v>-1.27999999999997</v>
      </c>
      <c r="U539" s="195">
        <f t="shared" si="68"/>
        <v>-156.120000000003</v>
      </c>
      <c r="V539" s="195">
        <f t="shared" si="69"/>
        <v>156.120000000003</v>
      </c>
      <c r="W539" s="196">
        <f t="shared" si="70"/>
        <v>-0.00486562511878957</v>
      </c>
      <c r="X539" s="197">
        <f t="shared" si="71"/>
        <v>0.00486562511878957</v>
      </c>
    </row>
    <row r="540" ht="11.4" hidden="1" customHeight="1" spans="1:24">
      <c r="A540" s="184" t="s">
        <v>1781</v>
      </c>
      <c r="B540" s="184" t="s">
        <v>130</v>
      </c>
      <c r="C540" s="184" t="s">
        <v>1782</v>
      </c>
      <c r="D540" s="185" t="s">
        <v>522</v>
      </c>
      <c r="E540" s="186" t="s">
        <v>906</v>
      </c>
      <c r="F540" s="186" t="s">
        <v>907</v>
      </c>
      <c r="G540" s="186" t="s">
        <v>1102</v>
      </c>
      <c r="H540" s="186" t="s">
        <v>1783</v>
      </c>
      <c r="I540" s="187" t="s">
        <v>1788</v>
      </c>
      <c r="J540" s="187" t="s">
        <v>1789</v>
      </c>
      <c r="K540" s="188"/>
      <c r="L540" s="188"/>
      <c r="M540" s="189" t="s">
        <v>847</v>
      </c>
      <c r="N540" s="190">
        <v>93.01</v>
      </c>
      <c r="O540" s="190">
        <f t="shared" si="64"/>
        <v>101.38</v>
      </c>
      <c r="P540" s="191">
        <f t="shared" si="65"/>
        <v>0</v>
      </c>
      <c r="Q540" s="192">
        <f t="shared" si="66"/>
        <v>0</v>
      </c>
      <c r="R540" s="193"/>
      <c r="S540" s="194"/>
      <c r="T540" s="195">
        <f t="shared" si="67"/>
        <v>0</v>
      </c>
      <c r="U540" s="195">
        <f t="shared" si="68"/>
        <v>0</v>
      </c>
      <c r="V540" s="195">
        <f t="shared" si="69"/>
        <v>0</v>
      </c>
      <c r="W540" s="196" t="e">
        <f t="shared" si="70"/>
        <v>#DIV/0!</v>
      </c>
      <c r="X540" s="197" t="e">
        <f t="shared" si="71"/>
        <v>#DIV/0!</v>
      </c>
    </row>
    <row r="541" ht="11.4" hidden="1" customHeight="1" spans="1:24">
      <c r="A541" s="184" t="s">
        <v>1781</v>
      </c>
      <c r="B541" s="184" t="s">
        <v>130</v>
      </c>
      <c r="C541" s="184" t="s">
        <v>1782</v>
      </c>
      <c r="D541" s="185" t="s">
        <v>522</v>
      </c>
      <c r="E541" s="186" t="s">
        <v>906</v>
      </c>
      <c r="F541" s="186" t="s">
        <v>907</v>
      </c>
      <c r="G541" s="186" t="s">
        <v>1102</v>
      </c>
      <c r="H541" s="186" t="s">
        <v>1783</v>
      </c>
      <c r="I541" s="187" t="s">
        <v>1790</v>
      </c>
      <c r="J541" s="187" t="s">
        <v>1791</v>
      </c>
      <c r="K541" s="188"/>
      <c r="L541" s="188"/>
      <c r="M541" s="189" t="s">
        <v>847</v>
      </c>
      <c r="N541" s="190">
        <v>147.12</v>
      </c>
      <c r="O541" s="190">
        <f t="shared" si="64"/>
        <v>160.36</v>
      </c>
      <c r="P541" s="191">
        <f t="shared" si="65"/>
        <v>0</v>
      </c>
      <c r="Q541" s="192">
        <f t="shared" si="66"/>
        <v>0</v>
      </c>
      <c r="R541" s="193"/>
      <c r="S541" s="194"/>
      <c r="T541" s="195">
        <f t="shared" si="67"/>
        <v>0</v>
      </c>
      <c r="U541" s="195">
        <f t="shared" si="68"/>
        <v>0</v>
      </c>
      <c r="V541" s="195">
        <f t="shared" si="69"/>
        <v>0</v>
      </c>
      <c r="W541" s="196" t="e">
        <f t="shared" si="70"/>
        <v>#DIV/0!</v>
      </c>
      <c r="X541" s="197" t="e">
        <f t="shared" si="71"/>
        <v>#DIV/0!</v>
      </c>
    </row>
    <row r="542" ht="11.4" hidden="1" customHeight="1" spans="1:24">
      <c r="A542" s="184" t="s">
        <v>1781</v>
      </c>
      <c r="B542" s="184" t="s">
        <v>130</v>
      </c>
      <c r="C542" s="184" t="s">
        <v>1782</v>
      </c>
      <c r="D542" s="185" t="s">
        <v>522</v>
      </c>
      <c r="E542" s="186" t="s">
        <v>906</v>
      </c>
      <c r="F542" s="186" t="s">
        <v>907</v>
      </c>
      <c r="G542" s="186" t="s">
        <v>1102</v>
      </c>
      <c r="H542" s="186" t="s">
        <v>1783</v>
      </c>
      <c r="I542" s="187" t="s">
        <v>1792</v>
      </c>
      <c r="J542" s="187" t="s">
        <v>1793</v>
      </c>
      <c r="K542" s="188"/>
      <c r="L542" s="188"/>
      <c r="M542" s="189" t="s">
        <v>847</v>
      </c>
      <c r="N542" s="190">
        <v>246.52</v>
      </c>
      <c r="O542" s="190">
        <f t="shared" si="64"/>
        <v>268.71</v>
      </c>
      <c r="P542" s="191">
        <f t="shared" si="65"/>
        <v>0</v>
      </c>
      <c r="Q542" s="192">
        <f t="shared" si="66"/>
        <v>0</v>
      </c>
      <c r="R542" s="193"/>
      <c r="S542" s="194"/>
      <c r="T542" s="195">
        <f t="shared" si="67"/>
        <v>0</v>
      </c>
      <c r="U542" s="195">
        <f t="shared" si="68"/>
        <v>0</v>
      </c>
      <c r="V542" s="195">
        <f t="shared" si="69"/>
        <v>0</v>
      </c>
      <c r="W542" s="196" t="e">
        <f t="shared" si="70"/>
        <v>#DIV/0!</v>
      </c>
      <c r="X542" s="197" t="e">
        <f t="shared" si="71"/>
        <v>#DIV/0!</v>
      </c>
    </row>
    <row r="543" ht="11.4" hidden="1" customHeight="1" spans="1:24">
      <c r="A543" s="184" t="s">
        <v>1781</v>
      </c>
      <c r="B543" s="184" t="s">
        <v>130</v>
      </c>
      <c r="C543" s="184" t="s">
        <v>1782</v>
      </c>
      <c r="D543" s="185" t="s">
        <v>522</v>
      </c>
      <c r="E543" s="186" t="s">
        <v>906</v>
      </c>
      <c r="F543" s="186" t="s">
        <v>907</v>
      </c>
      <c r="G543" s="186" t="s">
        <v>1102</v>
      </c>
      <c r="H543" s="186" t="s">
        <v>1783</v>
      </c>
      <c r="I543" s="187" t="s">
        <v>1794</v>
      </c>
      <c r="J543" s="187" t="s">
        <v>1795</v>
      </c>
      <c r="K543" s="188"/>
      <c r="L543" s="188"/>
      <c r="M543" s="189" t="s">
        <v>847</v>
      </c>
      <c r="N543" s="190">
        <v>142.03</v>
      </c>
      <c r="O543" s="190">
        <f t="shared" si="64"/>
        <v>154.81</v>
      </c>
      <c r="P543" s="191">
        <f t="shared" si="65"/>
        <v>0</v>
      </c>
      <c r="Q543" s="192">
        <f t="shared" si="66"/>
        <v>0</v>
      </c>
      <c r="R543" s="193"/>
      <c r="S543" s="194"/>
      <c r="T543" s="195">
        <f t="shared" si="67"/>
        <v>0</v>
      </c>
      <c r="U543" s="195">
        <f t="shared" si="68"/>
        <v>0</v>
      </c>
      <c r="V543" s="195">
        <f t="shared" si="69"/>
        <v>0</v>
      </c>
      <c r="W543" s="196" t="e">
        <f t="shared" si="70"/>
        <v>#DIV/0!</v>
      </c>
      <c r="X543" s="197" t="e">
        <f t="shared" si="71"/>
        <v>#DIV/0!</v>
      </c>
    </row>
    <row r="544" ht="11.4" hidden="1" customHeight="1" spans="1:24">
      <c r="A544" s="184" t="s">
        <v>1781</v>
      </c>
      <c r="B544" s="184" t="s">
        <v>130</v>
      </c>
      <c r="C544" s="184" t="s">
        <v>1782</v>
      </c>
      <c r="D544" s="185" t="s">
        <v>522</v>
      </c>
      <c r="E544" s="186" t="s">
        <v>906</v>
      </c>
      <c r="F544" s="186" t="s">
        <v>907</v>
      </c>
      <c r="G544" s="186" t="s">
        <v>1102</v>
      </c>
      <c r="H544" s="186" t="s">
        <v>1783</v>
      </c>
      <c r="I544" s="187" t="s">
        <v>1796</v>
      </c>
      <c r="J544" s="187" t="s">
        <v>1797</v>
      </c>
      <c r="K544" s="188"/>
      <c r="L544" s="188"/>
      <c r="M544" s="189" t="s">
        <v>807</v>
      </c>
      <c r="N544" s="190">
        <v>550.98</v>
      </c>
      <c r="O544" s="190">
        <f t="shared" si="64"/>
        <v>600.57</v>
      </c>
      <c r="P544" s="191">
        <f t="shared" si="65"/>
        <v>0</v>
      </c>
      <c r="Q544" s="192">
        <f t="shared" si="66"/>
        <v>0</v>
      </c>
      <c r="R544" s="193"/>
      <c r="S544" s="194"/>
      <c r="T544" s="195">
        <f t="shared" si="67"/>
        <v>0</v>
      </c>
      <c r="U544" s="195">
        <f t="shared" si="68"/>
        <v>0</v>
      </c>
      <c r="V544" s="195">
        <f t="shared" si="69"/>
        <v>0</v>
      </c>
      <c r="W544" s="196" t="e">
        <f t="shared" si="70"/>
        <v>#DIV/0!</v>
      </c>
      <c r="X544" s="197" t="e">
        <f t="shared" si="71"/>
        <v>#DIV/0!</v>
      </c>
    </row>
    <row r="545" ht="11.4" hidden="1" customHeight="1" spans="1:24">
      <c r="A545" s="184" t="s">
        <v>1781</v>
      </c>
      <c r="B545" s="184" t="s">
        <v>130</v>
      </c>
      <c r="C545" s="184" t="s">
        <v>1782</v>
      </c>
      <c r="D545" s="185" t="s">
        <v>522</v>
      </c>
      <c r="E545" s="186" t="s">
        <v>906</v>
      </c>
      <c r="F545" s="186" t="s">
        <v>907</v>
      </c>
      <c r="G545" s="186" t="s">
        <v>1102</v>
      </c>
      <c r="H545" s="186" t="s">
        <v>1783</v>
      </c>
      <c r="I545" s="187" t="s">
        <v>1799</v>
      </c>
      <c r="J545" s="187" t="s">
        <v>1800</v>
      </c>
      <c r="K545" s="188"/>
      <c r="L545" s="188"/>
      <c r="M545" s="189" t="s">
        <v>847</v>
      </c>
      <c r="N545" s="190">
        <v>360.14</v>
      </c>
      <c r="O545" s="190">
        <f t="shared" si="64"/>
        <v>392.55</v>
      </c>
      <c r="P545" s="191">
        <f t="shared" si="65"/>
        <v>0</v>
      </c>
      <c r="Q545" s="192">
        <f t="shared" si="66"/>
        <v>0</v>
      </c>
      <c r="R545" s="193"/>
      <c r="S545" s="194"/>
      <c r="T545" s="195">
        <f t="shared" si="67"/>
        <v>0</v>
      </c>
      <c r="U545" s="195">
        <f t="shared" si="68"/>
        <v>0</v>
      </c>
      <c r="V545" s="195">
        <f t="shared" si="69"/>
        <v>0</v>
      </c>
      <c r="W545" s="196" t="e">
        <f t="shared" si="70"/>
        <v>#DIV/0!</v>
      </c>
      <c r="X545" s="197" t="e">
        <f t="shared" si="71"/>
        <v>#DIV/0!</v>
      </c>
    </row>
    <row r="546" ht="11.4" hidden="1" customHeight="1" spans="1:24">
      <c r="A546" s="184" t="s">
        <v>1781</v>
      </c>
      <c r="B546" s="184" t="s">
        <v>130</v>
      </c>
      <c r="C546" s="184" t="s">
        <v>1782</v>
      </c>
      <c r="D546" s="185" t="s">
        <v>522</v>
      </c>
      <c r="E546" s="186" t="s">
        <v>906</v>
      </c>
      <c r="F546" s="186" t="s">
        <v>907</v>
      </c>
      <c r="G546" s="186" t="s">
        <v>1102</v>
      </c>
      <c r="H546" s="186" t="s">
        <v>1783</v>
      </c>
      <c r="I546" s="187" t="s">
        <v>1801</v>
      </c>
      <c r="J546" s="187" t="s">
        <v>1802</v>
      </c>
      <c r="K546" s="188"/>
      <c r="L546" s="188"/>
      <c r="M546" s="189" t="s">
        <v>847</v>
      </c>
      <c r="N546" s="190">
        <v>36.37</v>
      </c>
      <c r="O546" s="190">
        <f t="shared" si="64"/>
        <v>39.64</v>
      </c>
      <c r="P546" s="191">
        <f t="shared" si="65"/>
        <v>0</v>
      </c>
      <c r="Q546" s="192">
        <f t="shared" si="66"/>
        <v>0</v>
      </c>
      <c r="R546" s="193"/>
      <c r="S546" s="194"/>
      <c r="T546" s="195">
        <f t="shared" si="67"/>
        <v>0</v>
      </c>
      <c r="U546" s="195">
        <f t="shared" si="68"/>
        <v>0</v>
      </c>
      <c r="V546" s="195">
        <f t="shared" si="69"/>
        <v>0</v>
      </c>
      <c r="W546" s="196" t="e">
        <f t="shared" si="70"/>
        <v>#DIV/0!</v>
      </c>
      <c r="X546" s="197" t="e">
        <f t="shared" si="71"/>
        <v>#DIV/0!</v>
      </c>
    </row>
    <row r="547" ht="11.4" hidden="1" customHeight="1" spans="1:24">
      <c r="A547" s="184" t="s">
        <v>1781</v>
      </c>
      <c r="B547" s="184" t="s">
        <v>130</v>
      </c>
      <c r="C547" s="184" t="s">
        <v>1782</v>
      </c>
      <c r="D547" s="185" t="s">
        <v>522</v>
      </c>
      <c r="E547" s="186" t="s">
        <v>906</v>
      </c>
      <c r="F547" s="186" t="s">
        <v>907</v>
      </c>
      <c r="G547" s="186" t="s">
        <v>1102</v>
      </c>
      <c r="H547" s="186" t="s">
        <v>1783</v>
      </c>
      <c r="I547" s="187" t="s">
        <v>1803</v>
      </c>
      <c r="J547" s="154" t="s">
        <v>1804</v>
      </c>
      <c r="K547" s="188">
        <v>3</v>
      </c>
      <c r="L547" s="188">
        <v>3</v>
      </c>
      <c r="M547" s="189" t="s">
        <v>847</v>
      </c>
      <c r="N547" s="190">
        <v>106.36</v>
      </c>
      <c r="O547" s="190">
        <f t="shared" si="64"/>
        <v>115.93</v>
      </c>
      <c r="P547" s="191">
        <f t="shared" si="65"/>
        <v>319.08</v>
      </c>
      <c r="Q547" s="192">
        <f t="shared" si="66"/>
        <v>319.08</v>
      </c>
      <c r="R547" s="193"/>
      <c r="S547" s="194"/>
      <c r="T547" s="195">
        <f t="shared" si="67"/>
        <v>0</v>
      </c>
      <c r="U547" s="195">
        <f t="shared" si="68"/>
        <v>0</v>
      </c>
      <c r="V547" s="195">
        <f t="shared" si="69"/>
        <v>0</v>
      </c>
      <c r="W547" s="196">
        <f t="shared" si="70"/>
        <v>0</v>
      </c>
      <c r="X547" s="197">
        <f t="shared" si="71"/>
        <v>0</v>
      </c>
    </row>
    <row r="548" ht="11.4" hidden="1" customHeight="1" spans="1:24">
      <c r="A548" s="184" t="s">
        <v>1805</v>
      </c>
      <c r="B548" s="184" t="s">
        <v>127</v>
      </c>
      <c r="C548" s="184" t="s">
        <v>1101</v>
      </c>
      <c r="D548" s="185" t="s">
        <v>522</v>
      </c>
      <c r="E548" s="186" t="s">
        <v>906</v>
      </c>
      <c r="F548" s="186" t="s">
        <v>907</v>
      </c>
      <c r="G548" s="186" t="s">
        <v>1102</v>
      </c>
      <c r="H548" s="186" t="s">
        <v>1806</v>
      </c>
      <c r="I548" s="187" t="s">
        <v>1807</v>
      </c>
      <c r="J548" s="187" t="s">
        <v>1808</v>
      </c>
      <c r="K548" s="188">
        <v>3</v>
      </c>
      <c r="L548" s="188">
        <v>3</v>
      </c>
      <c r="M548" s="189" t="s">
        <v>1500</v>
      </c>
      <c r="N548" s="190">
        <v>2585.55</v>
      </c>
      <c r="O548" s="190">
        <f t="shared" si="64"/>
        <v>2818.25</v>
      </c>
      <c r="P548" s="191">
        <f t="shared" si="65"/>
        <v>7756.65</v>
      </c>
      <c r="Q548" s="192">
        <f t="shared" si="66"/>
        <v>7756.65</v>
      </c>
      <c r="R548" s="193"/>
      <c r="S548" s="194"/>
      <c r="T548" s="195">
        <f t="shared" si="67"/>
        <v>0</v>
      </c>
      <c r="U548" s="195">
        <f t="shared" si="68"/>
        <v>0</v>
      </c>
      <c r="V548" s="195">
        <f t="shared" si="69"/>
        <v>0</v>
      </c>
      <c r="W548" s="196">
        <f t="shared" si="70"/>
        <v>0</v>
      </c>
      <c r="X548" s="197">
        <f t="shared" si="71"/>
        <v>0</v>
      </c>
    </row>
    <row r="549" ht="11.4" hidden="1" customHeight="1" spans="1:24">
      <c r="A549" s="184" t="s">
        <v>1805</v>
      </c>
      <c r="B549" s="184" t="s">
        <v>127</v>
      </c>
      <c r="C549" s="184" t="s">
        <v>1101</v>
      </c>
      <c r="D549" s="185" t="s">
        <v>522</v>
      </c>
      <c r="E549" s="186" t="s">
        <v>906</v>
      </c>
      <c r="F549" s="186" t="s">
        <v>907</v>
      </c>
      <c r="G549" s="186" t="s">
        <v>1102</v>
      </c>
      <c r="H549" s="186" t="s">
        <v>1806</v>
      </c>
      <c r="I549" s="187" t="s">
        <v>1809</v>
      </c>
      <c r="J549" s="187" t="s">
        <v>1810</v>
      </c>
      <c r="K549" s="188"/>
      <c r="L549" s="188"/>
      <c r="M549" s="189" t="s">
        <v>1500</v>
      </c>
      <c r="N549" s="190">
        <v>2585.55</v>
      </c>
      <c r="O549" s="190">
        <f t="shared" si="64"/>
        <v>2818.25</v>
      </c>
      <c r="P549" s="191">
        <f t="shared" si="65"/>
        <v>0</v>
      </c>
      <c r="Q549" s="192">
        <f t="shared" si="66"/>
        <v>0</v>
      </c>
      <c r="R549" s="193"/>
      <c r="S549" s="194"/>
      <c r="T549" s="195">
        <f t="shared" si="67"/>
        <v>0</v>
      </c>
      <c r="U549" s="195">
        <f t="shared" si="68"/>
        <v>0</v>
      </c>
      <c r="V549" s="195">
        <f t="shared" si="69"/>
        <v>0</v>
      </c>
      <c r="W549" s="196" t="e">
        <f t="shared" si="70"/>
        <v>#DIV/0!</v>
      </c>
      <c r="X549" s="197" t="e">
        <f t="shared" si="71"/>
        <v>#DIV/0!</v>
      </c>
    </row>
    <row r="550" ht="11.4" hidden="1" customHeight="1" spans="1:24">
      <c r="A550" s="184" t="s">
        <v>1805</v>
      </c>
      <c r="B550" s="184" t="s">
        <v>127</v>
      </c>
      <c r="C550" s="184" t="s">
        <v>1101</v>
      </c>
      <c r="D550" s="185" t="s">
        <v>522</v>
      </c>
      <c r="E550" s="186" t="s">
        <v>906</v>
      </c>
      <c r="F550" s="186" t="s">
        <v>907</v>
      </c>
      <c r="G550" s="186" t="s">
        <v>1102</v>
      </c>
      <c r="H550" s="186" t="s">
        <v>1806</v>
      </c>
      <c r="I550" s="187" t="s">
        <v>1811</v>
      </c>
      <c r="J550" s="187" t="s">
        <v>1812</v>
      </c>
      <c r="K550" s="188"/>
      <c r="L550" s="188"/>
      <c r="M550" s="189" t="s">
        <v>1500</v>
      </c>
      <c r="N550" s="190">
        <v>2941.14</v>
      </c>
      <c r="O550" s="190">
        <f t="shared" si="64"/>
        <v>3205.84</v>
      </c>
      <c r="P550" s="191">
        <f t="shared" si="65"/>
        <v>0</v>
      </c>
      <c r="Q550" s="192">
        <f t="shared" si="66"/>
        <v>0</v>
      </c>
      <c r="R550" s="193"/>
      <c r="S550" s="194"/>
      <c r="T550" s="195">
        <f t="shared" si="67"/>
        <v>0</v>
      </c>
      <c r="U550" s="195">
        <f t="shared" si="68"/>
        <v>0</v>
      </c>
      <c r="V550" s="195">
        <f t="shared" si="69"/>
        <v>0</v>
      </c>
      <c r="W550" s="196" t="e">
        <f t="shared" si="70"/>
        <v>#DIV/0!</v>
      </c>
      <c r="X550" s="197" t="e">
        <f t="shared" si="71"/>
        <v>#DIV/0!</v>
      </c>
    </row>
    <row r="551" ht="11.4" hidden="1" customHeight="1" spans="1:24">
      <c r="A551" s="184" t="s">
        <v>1805</v>
      </c>
      <c r="B551" s="184" t="s">
        <v>127</v>
      </c>
      <c r="C551" s="184" t="s">
        <v>1101</v>
      </c>
      <c r="D551" s="185" t="s">
        <v>522</v>
      </c>
      <c r="E551" s="186" t="s">
        <v>906</v>
      </c>
      <c r="F551" s="186" t="s">
        <v>907</v>
      </c>
      <c r="G551" s="186" t="s">
        <v>1102</v>
      </c>
      <c r="H551" s="186" t="s">
        <v>1806</v>
      </c>
      <c r="I551" s="187" t="s">
        <v>1813</v>
      </c>
      <c r="J551" s="187" t="s">
        <v>1814</v>
      </c>
      <c r="K551" s="188"/>
      <c r="L551" s="188"/>
      <c r="M551" s="189" t="s">
        <v>1500</v>
      </c>
      <c r="N551" s="190">
        <v>1580.15</v>
      </c>
      <c r="O551" s="190">
        <f t="shared" si="64"/>
        <v>1722.36</v>
      </c>
      <c r="P551" s="191">
        <f t="shared" si="65"/>
        <v>0</v>
      </c>
      <c r="Q551" s="192">
        <f t="shared" si="66"/>
        <v>0</v>
      </c>
      <c r="R551" s="193"/>
      <c r="S551" s="194"/>
      <c r="T551" s="195">
        <f t="shared" si="67"/>
        <v>0</v>
      </c>
      <c r="U551" s="195">
        <f t="shared" si="68"/>
        <v>0</v>
      </c>
      <c r="V551" s="195">
        <f t="shared" si="69"/>
        <v>0</v>
      </c>
      <c r="W551" s="196" t="e">
        <f t="shared" si="70"/>
        <v>#DIV/0!</v>
      </c>
      <c r="X551" s="197" t="e">
        <f t="shared" si="71"/>
        <v>#DIV/0!</v>
      </c>
    </row>
    <row r="552" ht="11.4" hidden="1" customHeight="1" spans="1:24">
      <c r="A552" s="184" t="s">
        <v>1805</v>
      </c>
      <c r="B552" s="184" t="s">
        <v>127</v>
      </c>
      <c r="C552" s="184" t="s">
        <v>1101</v>
      </c>
      <c r="D552" s="185" t="s">
        <v>522</v>
      </c>
      <c r="E552" s="186" t="s">
        <v>906</v>
      </c>
      <c r="F552" s="186" t="s">
        <v>907</v>
      </c>
      <c r="G552" s="186" t="s">
        <v>1102</v>
      </c>
      <c r="H552" s="186" t="s">
        <v>1806</v>
      </c>
      <c r="I552" s="187" t="s">
        <v>1815</v>
      </c>
      <c r="J552" s="187" t="s">
        <v>1816</v>
      </c>
      <c r="K552" s="188"/>
      <c r="L552" s="188"/>
      <c r="M552" s="189" t="s">
        <v>1500</v>
      </c>
      <c r="N552" s="190">
        <v>1238.26</v>
      </c>
      <c r="O552" s="190">
        <f t="shared" si="64"/>
        <v>1349.7</v>
      </c>
      <c r="P552" s="191">
        <f t="shared" si="65"/>
        <v>0</v>
      </c>
      <c r="Q552" s="192">
        <f t="shared" si="66"/>
        <v>0</v>
      </c>
      <c r="R552" s="193"/>
      <c r="S552" s="194"/>
      <c r="T552" s="195">
        <f t="shared" si="67"/>
        <v>0</v>
      </c>
      <c r="U552" s="195">
        <f t="shared" si="68"/>
        <v>0</v>
      </c>
      <c r="V552" s="195">
        <f t="shared" si="69"/>
        <v>0</v>
      </c>
      <c r="W552" s="196" t="e">
        <f t="shared" si="70"/>
        <v>#DIV/0!</v>
      </c>
      <c r="X552" s="197" t="e">
        <f t="shared" si="71"/>
        <v>#DIV/0!</v>
      </c>
    </row>
    <row r="553" ht="11.4" hidden="1" customHeight="1" spans="1:24">
      <c r="A553" s="184" t="s">
        <v>1805</v>
      </c>
      <c r="B553" s="184" t="s">
        <v>127</v>
      </c>
      <c r="C553" s="184" t="s">
        <v>1101</v>
      </c>
      <c r="D553" s="185" t="s">
        <v>522</v>
      </c>
      <c r="E553" s="186" t="s">
        <v>906</v>
      </c>
      <c r="F553" s="186" t="s">
        <v>907</v>
      </c>
      <c r="G553" s="186" t="s">
        <v>1102</v>
      </c>
      <c r="H553" s="186" t="s">
        <v>1806</v>
      </c>
      <c r="I553" s="187" t="s">
        <v>1817</v>
      </c>
      <c r="J553" s="187" t="s">
        <v>1818</v>
      </c>
      <c r="K553" s="188"/>
      <c r="L553" s="188"/>
      <c r="M553" s="189" t="s">
        <v>1500</v>
      </c>
      <c r="N553" s="190">
        <v>1580.15</v>
      </c>
      <c r="O553" s="190">
        <f t="shared" si="64"/>
        <v>1722.36</v>
      </c>
      <c r="P553" s="191">
        <f t="shared" si="65"/>
        <v>0</v>
      </c>
      <c r="Q553" s="192">
        <f t="shared" si="66"/>
        <v>0</v>
      </c>
      <c r="R553" s="193"/>
      <c r="S553" s="194"/>
      <c r="T553" s="195">
        <f t="shared" si="67"/>
        <v>0</v>
      </c>
      <c r="U553" s="195">
        <f t="shared" si="68"/>
        <v>0</v>
      </c>
      <c r="V553" s="195">
        <f t="shared" si="69"/>
        <v>0</v>
      </c>
      <c r="W553" s="196" t="e">
        <f t="shared" si="70"/>
        <v>#DIV/0!</v>
      </c>
      <c r="X553" s="197" t="e">
        <f t="shared" si="71"/>
        <v>#DIV/0!</v>
      </c>
    </row>
    <row r="554" ht="11.4" hidden="1" customHeight="1" spans="1:24">
      <c r="A554" s="184" t="s">
        <v>1805</v>
      </c>
      <c r="B554" s="184" t="s">
        <v>127</v>
      </c>
      <c r="C554" s="184" t="s">
        <v>1101</v>
      </c>
      <c r="D554" s="185" t="s">
        <v>522</v>
      </c>
      <c r="E554" s="186" t="s">
        <v>906</v>
      </c>
      <c r="F554" s="186" t="s">
        <v>907</v>
      </c>
      <c r="G554" s="186" t="s">
        <v>1102</v>
      </c>
      <c r="H554" s="186" t="s">
        <v>1806</v>
      </c>
      <c r="I554" s="187" t="s">
        <v>1819</v>
      </c>
      <c r="J554" s="187" t="s">
        <v>1820</v>
      </c>
      <c r="K554" s="188"/>
      <c r="L554" s="188"/>
      <c r="M554" s="189" t="s">
        <v>1500</v>
      </c>
      <c r="N554" s="190">
        <v>1238.26</v>
      </c>
      <c r="O554" s="190">
        <f t="shared" si="64"/>
        <v>1349.7</v>
      </c>
      <c r="P554" s="191">
        <f t="shared" si="65"/>
        <v>0</v>
      </c>
      <c r="Q554" s="192">
        <f t="shared" si="66"/>
        <v>0</v>
      </c>
      <c r="R554" s="193"/>
      <c r="S554" s="194"/>
      <c r="T554" s="195">
        <f t="shared" si="67"/>
        <v>0</v>
      </c>
      <c r="U554" s="195">
        <f t="shared" si="68"/>
        <v>0</v>
      </c>
      <c r="V554" s="195">
        <f t="shared" si="69"/>
        <v>0</v>
      </c>
      <c r="W554" s="196" t="e">
        <f t="shared" si="70"/>
        <v>#DIV/0!</v>
      </c>
      <c r="X554" s="197" t="e">
        <f t="shared" si="71"/>
        <v>#DIV/0!</v>
      </c>
    </row>
    <row r="555" ht="11.4" hidden="1" customHeight="1" spans="1:24">
      <c r="A555" s="184" t="s">
        <v>1805</v>
      </c>
      <c r="B555" s="184" t="s">
        <v>127</v>
      </c>
      <c r="C555" s="184" t="s">
        <v>1101</v>
      </c>
      <c r="D555" s="185" t="s">
        <v>522</v>
      </c>
      <c r="E555" s="186" t="s">
        <v>906</v>
      </c>
      <c r="F555" s="186" t="s">
        <v>907</v>
      </c>
      <c r="G555" s="186" t="s">
        <v>1102</v>
      </c>
      <c r="H555" s="186" t="s">
        <v>1806</v>
      </c>
      <c r="I555" s="187" t="s">
        <v>1821</v>
      </c>
      <c r="J555" s="187" t="s">
        <v>1822</v>
      </c>
      <c r="K555" s="188"/>
      <c r="L555" s="188"/>
      <c r="M555" s="189" t="s">
        <v>1500</v>
      </c>
      <c r="N555" s="190">
        <v>972.95</v>
      </c>
      <c r="O555" s="190">
        <f t="shared" si="64"/>
        <v>1060.52</v>
      </c>
      <c r="P555" s="191">
        <f t="shared" si="65"/>
        <v>0</v>
      </c>
      <c r="Q555" s="192">
        <f t="shared" si="66"/>
        <v>0</v>
      </c>
      <c r="R555" s="193"/>
      <c r="S555" s="194"/>
      <c r="T555" s="195">
        <f t="shared" si="67"/>
        <v>0</v>
      </c>
      <c r="U555" s="195">
        <f t="shared" si="68"/>
        <v>0</v>
      </c>
      <c r="V555" s="195">
        <f t="shared" si="69"/>
        <v>0</v>
      </c>
      <c r="W555" s="196" t="e">
        <f t="shared" si="70"/>
        <v>#DIV/0!</v>
      </c>
      <c r="X555" s="197" t="e">
        <f t="shared" si="71"/>
        <v>#DIV/0!</v>
      </c>
    </row>
    <row r="556" ht="11.4" hidden="1" customHeight="1" spans="1:24">
      <c r="A556" s="184" t="s">
        <v>1805</v>
      </c>
      <c r="B556" s="184" t="s">
        <v>127</v>
      </c>
      <c r="C556" s="184" t="s">
        <v>1101</v>
      </c>
      <c r="D556" s="185" t="s">
        <v>522</v>
      </c>
      <c r="E556" s="186" t="s">
        <v>906</v>
      </c>
      <c r="F556" s="186" t="s">
        <v>907</v>
      </c>
      <c r="G556" s="186" t="s">
        <v>1102</v>
      </c>
      <c r="H556" s="186" t="s">
        <v>1806</v>
      </c>
      <c r="I556" s="187" t="s">
        <v>1823</v>
      </c>
      <c r="J556" s="187" t="s">
        <v>1824</v>
      </c>
      <c r="K556" s="188"/>
      <c r="L556" s="188"/>
      <c r="M556" s="189" t="s">
        <v>1500</v>
      </c>
      <c r="N556" s="190">
        <v>1852.95</v>
      </c>
      <c r="O556" s="190">
        <f t="shared" si="64"/>
        <v>2019.72</v>
      </c>
      <c r="P556" s="191">
        <f t="shared" si="65"/>
        <v>0</v>
      </c>
      <c r="Q556" s="192">
        <f t="shared" si="66"/>
        <v>0</v>
      </c>
      <c r="R556" s="193"/>
      <c r="S556" s="194"/>
      <c r="T556" s="195">
        <f t="shared" si="67"/>
        <v>0</v>
      </c>
      <c r="U556" s="195">
        <f t="shared" si="68"/>
        <v>0</v>
      </c>
      <c r="V556" s="195">
        <f t="shared" si="69"/>
        <v>0</v>
      </c>
      <c r="W556" s="196" t="e">
        <f t="shared" si="70"/>
        <v>#DIV/0!</v>
      </c>
      <c r="X556" s="197" t="e">
        <f t="shared" si="71"/>
        <v>#DIV/0!</v>
      </c>
    </row>
    <row r="557" ht="11.4" hidden="1" customHeight="1" spans="1:24">
      <c r="A557" s="184" t="s">
        <v>1805</v>
      </c>
      <c r="B557" s="184" t="s">
        <v>127</v>
      </c>
      <c r="C557" s="184" t="s">
        <v>1101</v>
      </c>
      <c r="D557" s="185" t="s">
        <v>522</v>
      </c>
      <c r="E557" s="186" t="s">
        <v>906</v>
      </c>
      <c r="F557" s="186" t="s">
        <v>907</v>
      </c>
      <c r="G557" s="186" t="s">
        <v>1102</v>
      </c>
      <c r="H557" s="186" t="s">
        <v>1806</v>
      </c>
      <c r="I557" s="187" t="s">
        <v>1825</v>
      </c>
      <c r="J557" s="187" t="s">
        <v>1826</v>
      </c>
      <c r="K557" s="188"/>
      <c r="L557" s="188"/>
      <c r="M557" s="189" t="s">
        <v>989</v>
      </c>
      <c r="N557" s="190">
        <v>2221.2</v>
      </c>
      <c r="O557" s="190">
        <f t="shared" si="64"/>
        <v>2421.11</v>
      </c>
      <c r="P557" s="191">
        <f t="shared" si="65"/>
        <v>0</v>
      </c>
      <c r="Q557" s="192">
        <f t="shared" si="66"/>
        <v>0</v>
      </c>
      <c r="R557" s="193"/>
      <c r="S557" s="194"/>
      <c r="T557" s="195">
        <f t="shared" si="67"/>
        <v>0</v>
      </c>
      <c r="U557" s="195">
        <f t="shared" si="68"/>
        <v>0</v>
      </c>
      <c r="V557" s="195">
        <f t="shared" si="69"/>
        <v>0</v>
      </c>
      <c r="W557" s="196" t="e">
        <f t="shared" si="70"/>
        <v>#DIV/0!</v>
      </c>
      <c r="X557" s="197" t="e">
        <f t="shared" si="71"/>
        <v>#DIV/0!</v>
      </c>
    </row>
    <row r="558" ht="11.4" hidden="1" customHeight="1" spans="1:24">
      <c r="A558" s="184" t="s">
        <v>1805</v>
      </c>
      <c r="B558" s="184" t="s">
        <v>127</v>
      </c>
      <c r="C558" s="184" t="s">
        <v>1101</v>
      </c>
      <c r="D558" s="185" t="s">
        <v>522</v>
      </c>
      <c r="E558" s="186" t="s">
        <v>906</v>
      </c>
      <c r="F558" s="186" t="s">
        <v>907</v>
      </c>
      <c r="G558" s="186" t="s">
        <v>1102</v>
      </c>
      <c r="H558" s="186" t="s">
        <v>1806</v>
      </c>
      <c r="I558" s="187" t="s">
        <v>1827</v>
      </c>
      <c r="J558" s="187" t="s">
        <v>1828</v>
      </c>
      <c r="K558" s="188"/>
      <c r="L558" s="188"/>
      <c r="M558" s="189" t="s">
        <v>1500</v>
      </c>
      <c r="N558" s="190">
        <v>1687.95</v>
      </c>
      <c r="O558" s="190">
        <f t="shared" si="64"/>
        <v>1839.87</v>
      </c>
      <c r="P558" s="191">
        <f t="shared" si="65"/>
        <v>0</v>
      </c>
      <c r="Q558" s="192">
        <f t="shared" si="66"/>
        <v>0</v>
      </c>
      <c r="R558" s="193"/>
      <c r="S558" s="194"/>
      <c r="T558" s="195">
        <f t="shared" si="67"/>
        <v>0</v>
      </c>
      <c r="U558" s="195">
        <f t="shared" si="68"/>
        <v>0</v>
      </c>
      <c r="V558" s="195">
        <f t="shared" si="69"/>
        <v>0</v>
      </c>
      <c r="W558" s="196" t="e">
        <f t="shared" si="70"/>
        <v>#DIV/0!</v>
      </c>
      <c r="X558" s="197" t="e">
        <f t="shared" si="71"/>
        <v>#DIV/0!</v>
      </c>
    </row>
    <row r="559" ht="11.4" hidden="1" customHeight="1" spans="1:24">
      <c r="A559" s="184" t="s">
        <v>1805</v>
      </c>
      <c r="B559" s="184" t="s">
        <v>127</v>
      </c>
      <c r="C559" s="184" t="s">
        <v>1101</v>
      </c>
      <c r="D559" s="185" t="s">
        <v>522</v>
      </c>
      <c r="E559" s="186" t="s">
        <v>906</v>
      </c>
      <c r="F559" s="186" t="s">
        <v>907</v>
      </c>
      <c r="G559" s="186" t="s">
        <v>1102</v>
      </c>
      <c r="H559" s="186" t="s">
        <v>1806</v>
      </c>
      <c r="I559" s="187" t="s">
        <v>1829</v>
      </c>
      <c r="J559" s="187" t="s">
        <v>1830</v>
      </c>
      <c r="K559" s="188"/>
      <c r="L559" s="188"/>
      <c r="M559" s="189" t="s">
        <v>847</v>
      </c>
      <c r="N559" s="190">
        <v>1204.38</v>
      </c>
      <c r="O559" s="190">
        <f t="shared" si="64"/>
        <v>1312.77</v>
      </c>
      <c r="P559" s="191">
        <f t="shared" si="65"/>
        <v>0</v>
      </c>
      <c r="Q559" s="192">
        <f t="shared" si="66"/>
        <v>0</v>
      </c>
      <c r="R559" s="193"/>
      <c r="S559" s="194"/>
      <c r="T559" s="195">
        <f t="shared" si="67"/>
        <v>0</v>
      </c>
      <c r="U559" s="195">
        <f t="shared" si="68"/>
        <v>0</v>
      </c>
      <c r="V559" s="195">
        <f t="shared" si="69"/>
        <v>0</v>
      </c>
      <c r="W559" s="196" t="e">
        <f t="shared" si="70"/>
        <v>#DIV/0!</v>
      </c>
      <c r="X559" s="197" t="e">
        <f t="shared" si="71"/>
        <v>#DIV/0!</v>
      </c>
    </row>
    <row r="560" ht="11.4" hidden="1" customHeight="1" spans="1:24">
      <c r="A560" s="184" t="s">
        <v>1805</v>
      </c>
      <c r="B560" s="184" t="s">
        <v>127</v>
      </c>
      <c r="C560" s="184" t="s">
        <v>1101</v>
      </c>
      <c r="D560" s="185" t="s">
        <v>522</v>
      </c>
      <c r="E560" s="186" t="s">
        <v>906</v>
      </c>
      <c r="F560" s="186" t="s">
        <v>907</v>
      </c>
      <c r="G560" s="186" t="s">
        <v>1102</v>
      </c>
      <c r="H560" s="186" t="s">
        <v>1806</v>
      </c>
      <c r="I560" s="187" t="s">
        <v>1831</v>
      </c>
      <c r="J560" s="187" t="s">
        <v>1832</v>
      </c>
      <c r="K560" s="188"/>
      <c r="L560" s="188"/>
      <c r="M560" s="189" t="s">
        <v>1500</v>
      </c>
      <c r="N560" s="190">
        <v>2804.45</v>
      </c>
      <c r="O560" s="190">
        <f t="shared" si="64"/>
        <v>3056.85</v>
      </c>
      <c r="P560" s="191">
        <f t="shared" si="65"/>
        <v>0</v>
      </c>
      <c r="Q560" s="192">
        <f t="shared" si="66"/>
        <v>0</v>
      </c>
      <c r="R560" s="193"/>
      <c r="S560" s="194"/>
      <c r="T560" s="195">
        <f t="shared" si="67"/>
        <v>0</v>
      </c>
      <c r="U560" s="195">
        <f t="shared" si="68"/>
        <v>0</v>
      </c>
      <c r="V560" s="195">
        <f t="shared" si="69"/>
        <v>0</v>
      </c>
      <c r="W560" s="196" t="e">
        <f t="shared" si="70"/>
        <v>#DIV/0!</v>
      </c>
      <c r="X560" s="197" t="e">
        <f t="shared" si="71"/>
        <v>#DIV/0!</v>
      </c>
    </row>
    <row r="561" ht="11.4" hidden="1" customHeight="1" spans="1:24">
      <c r="A561" s="184" t="s">
        <v>1805</v>
      </c>
      <c r="B561" s="184" t="s">
        <v>127</v>
      </c>
      <c r="C561" s="184" t="s">
        <v>1101</v>
      </c>
      <c r="D561" s="185" t="s">
        <v>522</v>
      </c>
      <c r="E561" s="186" t="s">
        <v>906</v>
      </c>
      <c r="F561" s="186" t="s">
        <v>907</v>
      </c>
      <c r="G561" s="186" t="s">
        <v>1102</v>
      </c>
      <c r="H561" s="186" t="s">
        <v>1806</v>
      </c>
      <c r="I561" s="187" t="s">
        <v>1833</v>
      </c>
      <c r="J561" s="187" t="s">
        <v>1834</v>
      </c>
      <c r="K561" s="188">
        <v>2</v>
      </c>
      <c r="L561" s="188">
        <v>2</v>
      </c>
      <c r="M561" s="189" t="s">
        <v>1500</v>
      </c>
      <c r="N561" s="190">
        <v>2496.45</v>
      </c>
      <c r="O561" s="190">
        <f t="shared" si="64"/>
        <v>2721.13</v>
      </c>
      <c r="P561" s="191">
        <f t="shared" si="65"/>
        <v>4992.9</v>
      </c>
      <c r="Q561" s="192">
        <f t="shared" si="66"/>
        <v>4992.9</v>
      </c>
      <c r="R561" s="193"/>
      <c r="S561" s="194"/>
      <c r="T561" s="195">
        <f t="shared" si="67"/>
        <v>0</v>
      </c>
      <c r="U561" s="195">
        <f t="shared" si="68"/>
        <v>0</v>
      </c>
      <c r="V561" s="195">
        <f t="shared" si="69"/>
        <v>0</v>
      </c>
      <c r="W561" s="196">
        <f t="shared" si="70"/>
        <v>0</v>
      </c>
      <c r="X561" s="197">
        <f t="shared" si="71"/>
        <v>0</v>
      </c>
    </row>
    <row r="562" ht="11.4" hidden="1" customHeight="1" spans="1:24">
      <c r="A562" s="184" t="s">
        <v>1805</v>
      </c>
      <c r="B562" s="184" t="s">
        <v>127</v>
      </c>
      <c r="C562" s="184" t="s">
        <v>1101</v>
      </c>
      <c r="D562" s="185" t="s">
        <v>522</v>
      </c>
      <c r="E562" s="186" t="s">
        <v>906</v>
      </c>
      <c r="F562" s="186" t="s">
        <v>907</v>
      </c>
      <c r="G562" s="186" t="s">
        <v>1102</v>
      </c>
      <c r="H562" s="186" t="s">
        <v>1806</v>
      </c>
      <c r="I562" s="187" t="s">
        <v>1835</v>
      </c>
      <c r="J562" s="187" t="s">
        <v>1836</v>
      </c>
      <c r="K562" s="188">
        <v>1</v>
      </c>
      <c r="L562" s="188">
        <v>1</v>
      </c>
      <c r="M562" s="189" t="s">
        <v>1837</v>
      </c>
      <c r="N562" s="190">
        <v>1332.65</v>
      </c>
      <c r="O562" s="190">
        <f t="shared" si="64"/>
        <v>1452.59</v>
      </c>
      <c r="P562" s="191">
        <f t="shared" si="65"/>
        <v>1332.65</v>
      </c>
      <c r="Q562" s="192">
        <f t="shared" si="66"/>
        <v>1332.65</v>
      </c>
      <c r="R562" s="193"/>
      <c r="S562" s="194"/>
      <c r="T562" s="195">
        <f t="shared" si="67"/>
        <v>0</v>
      </c>
      <c r="U562" s="195">
        <f t="shared" si="68"/>
        <v>0</v>
      </c>
      <c r="V562" s="195">
        <f t="shared" si="69"/>
        <v>0</v>
      </c>
      <c r="W562" s="196">
        <f t="shared" si="70"/>
        <v>0</v>
      </c>
      <c r="X562" s="197">
        <f t="shared" si="71"/>
        <v>0</v>
      </c>
    </row>
    <row r="563" ht="11.4" hidden="1" customHeight="1" spans="1:24">
      <c r="A563" s="184" t="s">
        <v>1805</v>
      </c>
      <c r="B563" s="184" t="s">
        <v>127</v>
      </c>
      <c r="C563" s="184" t="s">
        <v>1101</v>
      </c>
      <c r="D563" s="185" t="s">
        <v>522</v>
      </c>
      <c r="E563" s="186" t="s">
        <v>906</v>
      </c>
      <c r="F563" s="186" t="s">
        <v>907</v>
      </c>
      <c r="G563" s="186" t="s">
        <v>1102</v>
      </c>
      <c r="H563" s="186" t="s">
        <v>1806</v>
      </c>
      <c r="I563" s="187" t="s">
        <v>1838</v>
      </c>
      <c r="J563" s="187" t="s">
        <v>1839</v>
      </c>
      <c r="K563" s="188"/>
      <c r="L563" s="188"/>
      <c r="M563" s="189" t="s">
        <v>1837</v>
      </c>
      <c r="N563" s="190">
        <v>689.15</v>
      </c>
      <c r="O563" s="190">
        <f t="shared" si="64"/>
        <v>751.17</v>
      </c>
      <c r="P563" s="191">
        <f t="shared" si="65"/>
        <v>0</v>
      </c>
      <c r="Q563" s="192">
        <f t="shared" si="66"/>
        <v>0</v>
      </c>
      <c r="R563" s="193"/>
      <c r="S563" s="194"/>
      <c r="T563" s="195">
        <f t="shared" si="67"/>
        <v>0</v>
      </c>
      <c r="U563" s="195">
        <f t="shared" si="68"/>
        <v>0</v>
      </c>
      <c r="V563" s="195">
        <f t="shared" si="69"/>
        <v>0</v>
      </c>
      <c r="W563" s="196" t="e">
        <f t="shared" si="70"/>
        <v>#DIV/0!</v>
      </c>
      <c r="X563" s="197" t="e">
        <f t="shared" si="71"/>
        <v>#DIV/0!</v>
      </c>
    </row>
    <row r="564" ht="11.4" hidden="1" customHeight="1" spans="1:24">
      <c r="A564" s="184" t="s">
        <v>1805</v>
      </c>
      <c r="B564" s="184" t="s">
        <v>127</v>
      </c>
      <c r="C564" s="184" t="s">
        <v>1101</v>
      </c>
      <c r="D564" s="185" t="s">
        <v>522</v>
      </c>
      <c r="E564" s="186" t="s">
        <v>906</v>
      </c>
      <c r="F564" s="186" t="s">
        <v>907</v>
      </c>
      <c r="G564" s="186" t="s">
        <v>1102</v>
      </c>
      <c r="H564" s="186" t="s">
        <v>1806</v>
      </c>
      <c r="I564" s="187" t="s">
        <v>1840</v>
      </c>
      <c r="J564" s="187" t="s">
        <v>1841</v>
      </c>
      <c r="K564" s="188"/>
      <c r="L564" s="188"/>
      <c r="M564" s="189" t="s">
        <v>807</v>
      </c>
      <c r="N564" s="190">
        <v>76.08</v>
      </c>
      <c r="O564" s="190">
        <f t="shared" si="64"/>
        <v>82.93</v>
      </c>
      <c r="P564" s="191">
        <f t="shared" si="65"/>
        <v>0</v>
      </c>
      <c r="Q564" s="192">
        <f t="shared" si="66"/>
        <v>0</v>
      </c>
      <c r="R564" s="193"/>
      <c r="S564" s="194"/>
      <c r="T564" s="195">
        <f t="shared" si="67"/>
        <v>0</v>
      </c>
      <c r="U564" s="195">
        <f t="shared" si="68"/>
        <v>0</v>
      </c>
      <c r="V564" s="195">
        <f t="shared" si="69"/>
        <v>0</v>
      </c>
      <c r="W564" s="196" t="e">
        <f t="shared" si="70"/>
        <v>#DIV/0!</v>
      </c>
      <c r="X564" s="197" t="e">
        <f t="shared" si="71"/>
        <v>#DIV/0!</v>
      </c>
    </row>
    <row r="565" ht="11.4" hidden="1" customHeight="1" spans="1:24">
      <c r="A565" s="184" t="s">
        <v>1805</v>
      </c>
      <c r="B565" s="184" t="s">
        <v>127</v>
      </c>
      <c r="C565" s="184" t="s">
        <v>1101</v>
      </c>
      <c r="D565" s="185" t="s">
        <v>522</v>
      </c>
      <c r="E565" s="186" t="s">
        <v>906</v>
      </c>
      <c r="F565" s="186" t="s">
        <v>907</v>
      </c>
      <c r="G565" s="186" t="s">
        <v>1102</v>
      </c>
      <c r="H565" s="186" t="s">
        <v>1806</v>
      </c>
      <c r="I565" s="187" t="s">
        <v>1495</v>
      </c>
      <c r="J565" s="187" t="s">
        <v>1496</v>
      </c>
      <c r="K565" s="188"/>
      <c r="L565" s="188"/>
      <c r="M565" s="189" t="s">
        <v>807</v>
      </c>
      <c r="N565" s="190">
        <v>114.14</v>
      </c>
      <c r="O565" s="190">
        <f t="shared" si="64"/>
        <v>124.41</v>
      </c>
      <c r="P565" s="191">
        <f t="shared" si="65"/>
        <v>0</v>
      </c>
      <c r="Q565" s="192">
        <f t="shared" si="66"/>
        <v>0</v>
      </c>
      <c r="R565" s="193"/>
      <c r="S565" s="194"/>
      <c r="T565" s="195">
        <f t="shared" si="67"/>
        <v>0</v>
      </c>
      <c r="U565" s="195">
        <f t="shared" si="68"/>
        <v>0</v>
      </c>
      <c r="V565" s="195">
        <f t="shared" si="69"/>
        <v>0</v>
      </c>
      <c r="W565" s="196" t="e">
        <f t="shared" si="70"/>
        <v>#DIV/0!</v>
      </c>
      <c r="X565" s="197" t="e">
        <f t="shared" si="71"/>
        <v>#DIV/0!</v>
      </c>
    </row>
    <row r="566" ht="11.4" hidden="1" customHeight="1" spans="1:24">
      <c r="A566" s="184" t="s">
        <v>1805</v>
      </c>
      <c r="B566" s="184" t="s">
        <v>127</v>
      </c>
      <c r="C566" s="184" t="s">
        <v>1101</v>
      </c>
      <c r="D566" s="185" t="s">
        <v>522</v>
      </c>
      <c r="E566" s="186" t="s">
        <v>906</v>
      </c>
      <c r="F566" s="186" t="s">
        <v>907</v>
      </c>
      <c r="G566" s="186" t="s">
        <v>1102</v>
      </c>
      <c r="H566" s="186" t="s">
        <v>1806</v>
      </c>
      <c r="I566" s="187" t="s">
        <v>1842</v>
      </c>
      <c r="J566" s="187" t="s">
        <v>1843</v>
      </c>
      <c r="K566" s="188"/>
      <c r="L566" s="188"/>
      <c r="M566" s="189" t="s">
        <v>847</v>
      </c>
      <c r="N566" s="190">
        <v>46.31</v>
      </c>
      <c r="O566" s="190">
        <f t="shared" si="64"/>
        <v>50.48</v>
      </c>
      <c r="P566" s="191">
        <f t="shared" si="65"/>
        <v>0</v>
      </c>
      <c r="Q566" s="192">
        <f t="shared" si="66"/>
        <v>0</v>
      </c>
      <c r="R566" s="193"/>
      <c r="S566" s="194"/>
      <c r="T566" s="195">
        <f t="shared" si="67"/>
        <v>0</v>
      </c>
      <c r="U566" s="195">
        <f t="shared" si="68"/>
        <v>0</v>
      </c>
      <c r="V566" s="195">
        <f t="shared" si="69"/>
        <v>0</v>
      </c>
      <c r="W566" s="196" t="e">
        <f t="shared" si="70"/>
        <v>#DIV/0!</v>
      </c>
      <c r="X566" s="197" t="e">
        <f t="shared" si="71"/>
        <v>#DIV/0!</v>
      </c>
    </row>
    <row r="567" ht="11.4" hidden="1" customHeight="1" spans="1:24">
      <c r="A567" s="184" t="s">
        <v>1805</v>
      </c>
      <c r="B567" s="184" t="s">
        <v>127</v>
      </c>
      <c r="C567" s="184" t="s">
        <v>1101</v>
      </c>
      <c r="D567" s="185" t="s">
        <v>522</v>
      </c>
      <c r="E567" s="186" t="s">
        <v>906</v>
      </c>
      <c r="F567" s="186" t="s">
        <v>907</v>
      </c>
      <c r="G567" s="186" t="s">
        <v>1102</v>
      </c>
      <c r="H567" s="186" t="s">
        <v>1806</v>
      </c>
      <c r="I567" s="187" t="s">
        <v>1844</v>
      </c>
      <c r="J567" s="187" t="s">
        <v>1845</v>
      </c>
      <c r="K567" s="188"/>
      <c r="L567" s="188"/>
      <c r="M567" s="189" t="s">
        <v>847</v>
      </c>
      <c r="N567" s="190">
        <v>284.15</v>
      </c>
      <c r="O567" s="190">
        <f t="shared" si="64"/>
        <v>309.72</v>
      </c>
      <c r="P567" s="191">
        <f t="shared" si="65"/>
        <v>0</v>
      </c>
      <c r="Q567" s="192">
        <f t="shared" si="66"/>
        <v>0</v>
      </c>
      <c r="R567" s="193"/>
      <c r="S567" s="194"/>
      <c r="T567" s="195">
        <f t="shared" si="67"/>
        <v>0</v>
      </c>
      <c r="U567" s="195">
        <f t="shared" si="68"/>
        <v>0</v>
      </c>
      <c r="V567" s="195">
        <f t="shared" si="69"/>
        <v>0</v>
      </c>
      <c r="W567" s="196" t="e">
        <f t="shared" si="70"/>
        <v>#DIV/0!</v>
      </c>
      <c r="X567" s="197" t="e">
        <f t="shared" si="71"/>
        <v>#DIV/0!</v>
      </c>
    </row>
    <row r="568" ht="11.4" hidden="1" customHeight="1" spans="1:24">
      <c r="A568" s="184" t="s">
        <v>1805</v>
      </c>
      <c r="B568" s="184" t="s">
        <v>127</v>
      </c>
      <c r="C568" s="184" t="s">
        <v>1101</v>
      </c>
      <c r="D568" s="185" t="s">
        <v>522</v>
      </c>
      <c r="E568" s="186" t="s">
        <v>906</v>
      </c>
      <c r="F568" s="186" t="s">
        <v>907</v>
      </c>
      <c r="G568" s="186" t="s">
        <v>1102</v>
      </c>
      <c r="H568" s="186" t="s">
        <v>1806</v>
      </c>
      <c r="I568" s="187" t="s">
        <v>1846</v>
      </c>
      <c r="J568" s="187" t="s">
        <v>1847</v>
      </c>
      <c r="K568" s="188"/>
      <c r="L568" s="188"/>
      <c r="M568" s="189" t="s">
        <v>847</v>
      </c>
      <c r="N568" s="190">
        <v>648</v>
      </c>
      <c r="O568" s="190">
        <f t="shared" si="64"/>
        <v>706.32</v>
      </c>
      <c r="P568" s="191">
        <f t="shared" si="65"/>
        <v>0</v>
      </c>
      <c r="Q568" s="192">
        <f t="shared" si="66"/>
        <v>0</v>
      </c>
      <c r="R568" s="193"/>
      <c r="S568" s="194"/>
      <c r="T568" s="195">
        <f t="shared" si="67"/>
        <v>0</v>
      </c>
      <c r="U568" s="195">
        <f t="shared" si="68"/>
        <v>0</v>
      </c>
      <c r="V568" s="195">
        <f t="shared" si="69"/>
        <v>0</v>
      </c>
      <c r="W568" s="196" t="e">
        <f t="shared" si="70"/>
        <v>#DIV/0!</v>
      </c>
      <c r="X568" s="197" t="e">
        <f t="shared" si="71"/>
        <v>#DIV/0!</v>
      </c>
    </row>
    <row r="569" ht="11.4" hidden="1" customHeight="1" spans="1:24">
      <c r="A569" s="184" t="s">
        <v>1805</v>
      </c>
      <c r="B569" s="184" t="s">
        <v>127</v>
      </c>
      <c r="C569" s="184" t="s">
        <v>1101</v>
      </c>
      <c r="D569" s="185" t="s">
        <v>522</v>
      </c>
      <c r="E569" s="186" t="s">
        <v>906</v>
      </c>
      <c r="F569" s="186" t="s">
        <v>907</v>
      </c>
      <c r="G569" s="186" t="s">
        <v>1102</v>
      </c>
      <c r="H569" s="186" t="s">
        <v>1806</v>
      </c>
      <c r="I569" s="187" t="s">
        <v>1848</v>
      </c>
      <c r="J569" s="187" t="s">
        <v>1849</v>
      </c>
      <c r="K569" s="188"/>
      <c r="L569" s="188"/>
      <c r="M569" s="189" t="s">
        <v>807</v>
      </c>
      <c r="N569" s="190">
        <v>75.27</v>
      </c>
      <c r="O569" s="190">
        <f t="shared" si="64"/>
        <v>82.04</v>
      </c>
      <c r="P569" s="191">
        <f t="shared" si="65"/>
        <v>0</v>
      </c>
      <c r="Q569" s="192">
        <f t="shared" si="66"/>
        <v>0</v>
      </c>
      <c r="R569" s="193"/>
      <c r="S569" s="194"/>
      <c r="T569" s="195">
        <f t="shared" si="67"/>
        <v>0</v>
      </c>
      <c r="U569" s="195">
        <f t="shared" si="68"/>
        <v>0</v>
      </c>
      <c r="V569" s="195">
        <f t="shared" si="69"/>
        <v>0</v>
      </c>
      <c r="W569" s="196" t="e">
        <f t="shared" si="70"/>
        <v>#DIV/0!</v>
      </c>
      <c r="X569" s="197" t="e">
        <f t="shared" si="71"/>
        <v>#DIV/0!</v>
      </c>
    </row>
    <row r="570" ht="11.4" hidden="1" customHeight="1" spans="1:24">
      <c r="A570" s="184" t="s">
        <v>1805</v>
      </c>
      <c r="B570" s="184" t="s">
        <v>127</v>
      </c>
      <c r="C570" s="184" t="s">
        <v>1101</v>
      </c>
      <c r="D570" s="185" t="s">
        <v>522</v>
      </c>
      <c r="E570" s="186" t="s">
        <v>906</v>
      </c>
      <c r="F570" s="186" t="s">
        <v>907</v>
      </c>
      <c r="G570" s="186" t="s">
        <v>1102</v>
      </c>
      <c r="H570" s="186" t="s">
        <v>1806</v>
      </c>
      <c r="I570" s="187" t="s">
        <v>1851</v>
      </c>
      <c r="J570" s="187" t="s">
        <v>1852</v>
      </c>
      <c r="K570" s="188"/>
      <c r="L570" s="188"/>
      <c r="M570" s="189" t="s">
        <v>807</v>
      </c>
      <c r="N570" s="190">
        <v>845.78</v>
      </c>
      <c r="O570" s="190">
        <f t="shared" si="64"/>
        <v>921.9</v>
      </c>
      <c r="P570" s="191">
        <f t="shared" si="65"/>
        <v>0</v>
      </c>
      <c r="Q570" s="192">
        <f t="shared" si="66"/>
        <v>0</v>
      </c>
      <c r="R570" s="193"/>
      <c r="S570" s="194"/>
      <c r="T570" s="195">
        <f t="shared" si="67"/>
        <v>0</v>
      </c>
      <c r="U570" s="195">
        <f t="shared" si="68"/>
        <v>0</v>
      </c>
      <c r="V570" s="195">
        <f t="shared" si="69"/>
        <v>0</v>
      </c>
      <c r="W570" s="196" t="e">
        <f t="shared" si="70"/>
        <v>#DIV/0!</v>
      </c>
      <c r="X570" s="197" t="e">
        <f t="shared" si="71"/>
        <v>#DIV/0!</v>
      </c>
    </row>
    <row r="571" ht="11.4" hidden="1" customHeight="1" spans="1:24">
      <c r="A571" s="184" t="s">
        <v>1805</v>
      </c>
      <c r="B571" s="184" t="s">
        <v>127</v>
      </c>
      <c r="C571" s="184" t="s">
        <v>1101</v>
      </c>
      <c r="D571" s="185" t="s">
        <v>522</v>
      </c>
      <c r="E571" s="186" t="s">
        <v>906</v>
      </c>
      <c r="F571" s="186" t="s">
        <v>907</v>
      </c>
      <c r="G571" s="186" t="s">
        <v>1102</v>
      </c>
      <c r="H571" s="186" t="s">
        <v>1806</v>
      </c>
      <c r="I571" s="187" t="s">
        <v>1854</v>
      </c>
      <c r="J571" s="187" t="s">
        <v>1855</v>
      </c>
      <c r="K571" s="188">
        <v>1</v>
      </c>
      <c r="L571" s="188">
        <v>1</v>
      </c>
      <c r="M571" s="189" t="s">
        <v>1018</v>
      </c>
      <c r="N571" s="190">
        <v>658.89</v>
      </c>
      <c r="O571" s="190">
        <f t="shared" si="64"/>
        <v>718.19</v>
      </c>
      <c r="P571" s="191">
        <f t="shared" si="65"/>
        <v>658.89</v>
      </c>
      <c r="Q571" s="192">
        <f t="shared" si="66"/>
        <v>658.89</v>
      </c>
      <c r="R571" s="193"/>
      <c r="S571" s="194"/>
      <c r="T571" s="195">
        <f t="shared" si="67"/>
        <v>0</v>
      </c>
      <c r="U571" s="195">
        <f t="shared" si="68"/>
        <v>0</v>
      </c>
      <c r="V571" s="195">
        <f t="shared" si="69"/>
        <v>0</v>
      </c>
      <c r="W571" s="196">
        <f t="shared" si="70"/>
        <v>0</v>
      </c>
      <c r="X571" s="197">
        <f t="shared" si="71"/>
        <v>0</v>
      </c>
    </row>
    <row r="572" ht="11.4" hidden="1" customHeight="1" spans="1:24">
      <c r="A572" s="184" t="s">
        <v>1805</v>
      </c>
      <c r="B572" s="184" t="s">
        <v>127</v>
      </c>
      <c r="C572" s="184" t="s">
        <v>1101</v>
      </c>
      <c r="D572" s="185" t="s">
        <v>522</v>
      </c>
      <c r="E572" s="186" t="s">
        <v>906</v>
      </c>
      <c r="F572" s="186" t="s">
        <v>907</v>
      </c>
      <c r="G572" s="186" t="s">
        <v>1102</v>
      </c>
      <c r="H572" s="186" t="s">
        <v>1806</v>
      </c>
      <c r="I572" s="187" t="s">
        <v>1856</v>
      </c>
      <c r="J572" s="187" t="s">
        <v>1857</v>
      </c>
      <c r="K572" s="188">
        <v>1</v>
      </c>
      <c r="L572" s="188">
        <v>1</v>
      </c>
      <c r="M572" s="189" t="s">
        <v>793</v>
      </c>
      <c r="N572" s="190">
        <v>1160</v>
      </c>
      <c r="O572" s="190">
        <f t="shared" si="64"/>
        <v>1264.4</v>
      </c>
      <c r="P572" s="191">
        <f t="shared" si="65"/>
        <v>1160</v>
      </c>
      <c r="Q572" s="192">
        <f t="shared" si="66"/>
        <v>1160</v>
      </c>
      <c r="R572" s="193"/>
      <c r="S572" s="194"/>
      <c r="T572" s="195">
        <f t="shared" si="67"/>
        <v>0</v>
      </c>
      <c r="U572" s="195">
        <f t="shared" si="68"/>
        <v>0</v>
      </c>
      <c r="V572" s="195">
        <f t="shared" si="69"/>
        <v>0</v>
      </c>
      <c r="W572" s="196">
        <f t="shared" si="70"/>
        <v>0</v>
      </c>
      <c r="X572" s="197">
        <f t="shared" si="71"/>
        <v>0</v>
      </c>
    </row>
    <row r="573" ht="11.4" hidden="1" customHeight="1" spans="1:24">
      <c r="A573" s="184" t="s">
        <v>1805</v>
      </c>
      <c r="B573" s="184" t="s">
        <v>127</v>
      </c>
      <c r="C573" s="184" t="s">
        <v>1101</v>
      </c>
      <c r="D573" s="185" t="s">
        <v>522</v>
      </c>
      <c r="E573" s="186" t="s">
        <v>906</v>
      </c>
      <c r="F573" s="186" t="s">
        <v>907</v>
      </c>
      <c r="G573" s="186" t="s">
        <v>1102</v>
      </c>
      <c r="H573" s="186" t="s">
        <v>1806</v>
      </c>
      <c r="I573" s="187" t="s">
        <v>1858</v>
      </c>
      <c r="J573" s="187" t="s">
        <v>1859</v>
      </c>
      <c r="K573" s="188">
        <v>0.82</v>
      </c>
      <c r="L573" s="188">
        <v>0.82</v>
      </c>
      <c r="M573" s="189" t="s">
        <v>847</v>
      </c>
      <c r="N573" s="190">
        <v>54</v>
      </c>
      <c r="O573" s="190">
        <f t="shared" si="64"/>
        <v>58.86</v>
      </c>
      <c r="P573" s="191">
        <f t="shared" si="65"/>
        <v>44.28</v>
      </c>
      <c r="Q573" s="192">
        <f t="shared" si="66"/>
        <v>44.28</v>
      </c>
      <c r="R573" s="193"/>
      <c r="S573" s="194"/>
      <c r="T573" s="195">
        <f t="shared" si="67"/>
        <v>0</v>
      </c>
      <c r="U573" s="195">
        <f t="shared" si="68"/>
        <v>0</v>
      </c>
      <c r="V573" s="195">
        <f t="shared" si="69"/>
        <v>0</v>
      </c>
      <c r="W573" s="196">
        <f t="shared" si="70"/>
        <v>0</v>
      </c>
      <c r="X573" s="197">
        <f t="shared" si="71"/>
        <v>0</v>
      </c>
    </row>
    <row r="574" ht="11.4" hidden="1" customHeight="1" spans="1:24">
      <c r="A574" s="184" t="s">
        <v>1805</v>
      </c>
      <c r="B574" s="184" t="s">
        <v>127</v>
      </c>
      <c r="C574" s="184" t="s">
        <v>1101</v>
      </c>
      <c r="D574" s="185" t="s">
        <v>522</v>
      </c>
      <c r="E574" s="186" t="s">
        <v>906</v>
      </c>
      <c r="F574" s="186" t="s">
        <v>907</v>
      </c>
      <c r="G574" s="186" t="s">
        <v>1102</v>
      </c>
      <c r="H574" s="186" t="s">
        <v>1806</v>
      </c>
      <c r="I574" s="187" t="s">
        <v>1860</v>
      </c>
      <c r="J574" s="187" t="s">
        <v>1861</v>
      </c>
      <c r="K574" s="188"/>
      <c r="L574" s="188"/>
      <c r="M574" s="189" t="s">
        <v>847</v>
      </c>
      <c r="N574" s="190">
        <v>89.42</v>
      </c>
      <c r="O574" s="190">
        <f t="shared" si="64"/>
        <v>97.47</v>
      </c>
      <c r="P574" s="191">
        <f t="shared" si="65"/>
        <v>0</v>
      </c>
      <c r="Q574" s="192">
        <f t="shared" si="66"/>
        <v>0</v>
      </c>
      <c r="R574" s="193"/>
      <c r="S574" s="194"/>
      <c r="T574" s="195">
        <f t="shared" si="67"/>
        <v>0</v>
      </c>
      <c r="U574" s="195">
        <f t="shared" si="68"/>
        <v>0</v>
      </c>
      <c r="V574" s="195">
        <f t="shared" si="69"/>
        <v>0</v>
      </c>
      <c r="W574" s="196" t="e">
        <f t="shared" si="70"/>
        <v>#DIV/0!</v>
      </c>
      <c r="X574" s="197" t="e">
        <f t="shared" si="71"/>
        <v>#DIV/0!</v>
      </c>
    </row>
    <row r="575" ht="11.4" hidden="1" customHeight="1" spans="1:24">
      <c r="A575" s="184" t="s">
        <v>1805</v>
      </c>
      <c r="B575" s="184" t="s">
        <v>127</v>
      </c>
      <c r="C575" s="184" t="s">
        <v>1101</v>
      </c>
      <c r="D575" s="185" t="s">
        <v>522</v>
      </c>
      <c r="E575" s="186" t="s">
        <v>906</v>
      </c>
      <c r="F575" s="186" t="s">
        <v>907</v>
      </c>
      <c r="G575" s="186" t="s">
        <v>1102</v>
      </c>
      <c r="H575" s="186" t="s">
        <v>1806</v>
      </c>
      <c r="I575" s="187" t="s">
        <v>1862</v>
      </c>
      <c r="J575" s="187" t="s">
        <v>1863</v>
      </c>
      <c r="K575" s="188"/>
      <c r="L575" s="188"/>
      <c r="M575" s="189" t="s">
        <v>847</v>
      </c>
      <c r="N575" s="190">
        <v>85.02</v>
      </c>
      <c r="O575" s="190">
        <f t="shared" si="64"/>
        <v>92.67</v>
      </c>
      <c r="P575" s="191">
        <f t="shared" si="65"/>
        <v>0</v>
      </c>
      <c r="Q575" s="192">
        <f t="shared" si="66"/>
        <v>0</v>
      </c>
      <c r="R575" s="193"/>
      <c r="S575" s="194"/>
      <c r="T575" s="195">
        <f t="shared" si="67"/>
        <v>0</v>
      </c>
      <c r="U575" s="195">
        <f t="shared" si="68"/>
        <v>0</v>
      </c>
      <c r="V575" s="195">
        <f t="shared" si="69"/>
        <v>0</v>
      </c>
      <c r="W575" s="196" t="e">
        <f t="shared" si="70"/>
        <v>#DIV/0!</v>
      </c>
      <c r="X575" s="197" t="e">
        <f t="shared" si="71"/>
        <v>#DIV/0!</v>
      </c>
    </row>
    <row r="576" ht="11.4" hidden="1" customHeight="1" spans="1:24">
      <c r="A576" s="184" t="s">
        <v>1805</v>
      </c>
      <c r="B576" s="184" t="s">
        <v>127</v>
      </c>
      <c r="C576" s="184" t="s">
        <v>1101</v>
      </c>
      <c r="D576" s="185" t="s">
        <v>522</v>
      </c>
      <c r="E576" s="186" t="s">
        <v>906</v>
      </c>
      <c r="F576" s="186" t="s">
        <v>907</v>
      </c>
      <c r="G576" s="186" t="s">
        <v>1102</v>
      </c>
      <c r="H576" s="186" t="s">
        <v>1806</v>
      </c>
      <c r="I576" s="187" t="s">
        <v>1864</v>
      </c>
      <c r="J576" s="187" t="s">
        <v>1865</v>
      </c>
      <c r="K576" s="188"/>
      <c r="L576" s="188"/>
      <c r="M576" s="189" t="s">
        <v>847</v>
      </c>
      <c r="N576" s="190">
        <v>93.63</v>
      </c>
      <c r="O576" s="190">
        <f t="shared" si="64"/>
        <v>102.06</v>
      </c>
      <c r="P576" s="191">
        <f t="shared" si="65"/>
        <v>0</v>
      </c>
      <c r="Q576" s="192">
        <f t="shared" si="66"/>
        <v>0</v>
      </c>
      <c r="R576" s="193"/>
      <c r="S576" s="194"/>
      <c r="T576" s="195">
        <f t="shared" si="67"/>
        <v>0</v>
      </c>
      <c r="U576" s="195">
        <f t="shared" si="68"/>
        <v>0</v>
      </c>
      <c r="V576" s="195">
        <f t="shared" si="69"/>
        <v>0</v>
      </c>
      <c r="W576" s="196" t="e">
        <f t="shared" si="70"/>
        <v>#DIV/0!</v>
      </c>
      <c r="X576" s="197" t="e">
        <f t="shared" si="71"/>
        <v>#DIV/0!</v>
      </c>
    </row>
    <row r="577" ht="11.4" hidden="1" customHeight="1" spans="1:27">
      <c r="A577" s="184" t="s">
        <v>1805</v>
      </c>
      <c r="B577" s="184" t="s">
        <v>127</v>
      </c>
      <c r="C577" s="184" t="s">
        <v>1101</v>
      </c>
      <c r="D577" s="185" t="s">
        <v>522</v>
      </c>
      <c r="E577" s="186" t="s">
        <v>906</v>
      </c>
      <c r="F577" s="186" t="s">
        <v>907</v>
      </c>
      <c r="G577" s="186" t="s">
        <v>1102</v>
      </c>
      <c r="H577" s="186" t="s">
        <v>1806</v>
      </c>
      <c r="I577" s="187" t="s">
        <v>1866</v>
      </c>
      <c r="J577" s="187" t="s">
        <v>1867</v>
      </c>
      <c r="K577" s="188"/>
      <c r="L577" s="188"/>
      <c r="M577" s="189" t="s">
        <v>1018</v>
      </c>
      <c r="N577" s="190">
        <v>14.17</v>
      </c>
      <c r="O577" s="190">
        <f t="shared" si="64"/>
        <v>15.45</v>
      </c>
      <c r="P577" s="191">
        <f t="shared" si="65"/>
        <v>0</v>
      </c>
      <c r="Q577" s="192">
        <f t="shared" si="66"/>
        <v>0</v>
      </c>
      <c r="R577" s="193"/>
      <c r="S577" s="194"/>
      <c r="T577" s="195">
        <f t="shared" si="67"/>
        <v>0</v>
      </c>
      <c r="U577" s="195">
        <f t="shared" si="68"/>
        <v>0</v>
      </c>
      <c r="V577" s="195">
        <f t="shared" si="69"/>
        <v>0</v>
      </c>
      <c r="W577" s="196" t="e">
        <f t="shared" si="70"/>
        <v>#DIV/0!</v>
      </c>
      <c r="X577" s="197" t="e">
        <f t="shared" si="71"/>
        <v>#DIV/0!</v>
      </c>
    </row>
    <row r="578" ht="11.4" hidden="1" customHeight="1" spans="1:27">
      <c r="A578" s="184" t="s">
        <v>1805</v>
      </c>
      <c r="B578" s="184" t="s">
        <v>127</v>
      </c>
      <c r="C578" s="184" t="s">
        <v>1101</v>
      </c>
      <c r="D578" s="185" t="s">
        <v>522</v>
      </c>
      <c r="E578" s="186" t="s">
        <v>906</v>
      </c>
      <c r="F578" s="186" t="s">
        <v>907</v>
      </c>
      <c r="G578" s="186" t="s">
        <v>1102</v>
      </c>
      <c r="H578" s="186" t="s">
        <v>1806</v>
      </c>
      <c r="I578" s="187" t="s">
        <v>1868</v>
      </c>
      <c r="J578" s="187" t="s">
        <v>1869</v>
      </c>
      <c r="K578" s="188"/>
      <c r="L578" s="188"/>
      <c r="M578" s="189" t="s">
        <v>989</v>
      </c>
      <c r="N578" s="190">
        <v>794.43</v>
      </c>
      <c r="O578" s="190">
        <f t="shared" si="64"/>
        <v>865.93</v>
      </c>
      <c r="P578" s="191">
        <f t="shared" si="65"/>
        <v>0</v>
      </c>
      <c r="Q578" s="192">
        <f t="shared" si="66"/>
        <v>0</v>
      </c>
      <c r="R578" s="193"/>
      <c r="S578" s="194"/>
      <c r="T578" s="195">
        <f t="shared" si="67"/>
        <v>0</v>
      </c>
      <c r="U578" s="195">
        <f t="shared" si="68"/>
        <v>0</v>
      </c>
      <c r="V578" s="195">
        <f t="shared" si="69"/>
        <v>0</v>
      </c>
      <c r="W578" s="196" t="e">
        <f t="shared" si="70"/>
        <v>#DIV/0!</v>
      </c>
      <c r="X578" s="197" t="e">
        <f t="shared" si="71"/>
        <v>#DIV/0!</v>
      </c>
    </row>
    <row r="579" ht="11.4" hidden="1" customHeight="1" spans="1:27">
      <c r="A579" s="184" t="s">
        <v>1805</v>
      </c>
      <c r="B579" s="184" t="s">
        <v>127</v>
      </c>
      <c r="C579" s="184" t="s">
        <v>1101</v>
      </c>
      <c r="D579" s="185" t="s">
        <v>522</v>
      </c>
      <c r="E579" s="186" t="s">
        <v>906</v>
      </c>
      <c r="F579" s="186" t="s">
        <v>907</v>
      </c>
      <c r="G579" s="186" t="s">
        <v>1102</v>
      </c>
      <c r="H579" s="186" t="s">
        <v>1806</v>
      </c>
      <c r="I579" s="187" t="s">
        <v>1870</v>
      </c>
      <c r="J579" s="187" t="s">
        <v>1871</v>
      </c>
      <c r="K579" s="188"/>
      <c r="L579" s="188"/>
      <c r="M579" s="189" t="s">
        <v>989</v>
      </c>
      <c r="N579" s="190">
        <v>1467.85</v>
      </c>
      <c r="O579" s="190">
        <f t="shared" si="64"/>
        <v>1599.96</v>
      </c>
      <c r="P579" s="191">
        <f t="shared" si="65"/>
        <v>0</v>
      </c>
      <c r="Q579" s="192">
        <f t="shared" si="66"/>
        <v>0</v>
      </c>
      <c r="R579" s="193"/>
      <c r="S579" s="194"/>
      <c r="T579" s="195">
        <f t="shared" si="67"/>
        <v>0</v>
      </c>
      <c r="U579" s="195">
        <f t="shared" si="68"/>
        <v>0</v>
      </c>
      <c r="V579" s="195">
        <f t="shared" si="69"/>
        <v>0</v>
      </c>
      <c r="W579" s="196" t="e">
        <f t="shared" si="70"/>
        <v>#DIV/0!</v>
      </c>
      <c r="X579" s="197" t="e">
        <f t="shared" si="71"/>
        <v>#DIV/0!</v>
      </c>
    </row>
    <row r="580" ht="11.4" hidden="1" customHeight="1" spans="1:27">
      <c r="A580" s="184" t="s">
        <v>1805</v>
      </c>
      <c r="B580" s="184" t="s">
        <v>127</v>
      </c>
      <c r="C580" s="184" t="s">
        <v>1101</v>
      </c>
      <c r="D580" s="185" t="s">
        <v>522</v>
      </c>
      <c r="E580" s="186" t="s">
        <v>906</v>
      </c>
      <c r="F580" s="186" t="s">
        <v>907</v>
      </c>
      <c r="G580" s="186" t="s">
        <v>1102</v>
      </c>
      <c r="H580" s="186" t="s">
        <v>1806</v>
      </c>
      <c r="I580" s="187" t="s">
        <v>1872</v>
      </c>
      <c r="J580" s="154" t="s">
        <v>1873</v>
      </c>
      <c r="K580" s="188">
        <v>1</v>
      </c>
      <c r="L580" s="188">
        <v>1</v>
      </c>
      <c r="M580" s="189" t="s">
        <v>793</v>
      </c>
      <c r="N580" s="190">
        <v>1545.16</v>
      </c>
      <c r="O580" s="190">
        <f t="shared" si="64"/>
        <v>1684.22</v>
      </c>
      <c r="P580" s="191">
        <f t="shared" si="65"/>
        <v>1545.16</v>
      </c>
      <c r="Q580" s="192">
        <f t="shared" si="66"/>
        <v>1545.16</v>
      </c>
      <c r="R580" s="193"/>
      <c r="S580" s="194"/>
      <c r="T580" s="195">
        <f t="shared" si="67"/>
        <v>0</v>
      </c>
      <c r="U580" s="195">
        <f t="shared" si="68"/>
        <v>0</v>
      </c>
      <c r="V580" s="195">
        <f t="shared" si="69"/>
        <v>0</v>
      </c>
      <c r="W580" s="196">
        <f t="shared" si="70"/>
        <v>0</v>
      </c>
      <c r="X580" s="197">
        <f t="shared" si="71"/>
        <v>0</v>
      </c>
    </row>
    <row r="581" ht="11.4" hidden="1" customHeight="1" spans="1:27">
      <c r="A581" s="184" t="s">
        <v>1805</v>
      </c>
      <c r="B581" s="184" t="s">
        <v>109</v>
      </c>
      <c r="C581" s="184" t="s">
        <v>1101</v>
      </c>
      <c r="D581" s="185" t="s">
        <v>522</v>
      </c>
      <c r="E581" s="186" t="s">
        <v>906</v>
      </c>
      <c r="F581" s="186" t="s">
        <v>907</v>
      </c>
      <c r="G581" s="186" t="s">
        <v>1102</v>
      </c>
      <c r="H581" s="186" t="s">
        <v>1806</v>
      </c>
      <c r="I581" s="187" t="s">
        <v>1874</v>
      </c>
      <c r="J581" s="187" t="s">
        <v>1875</v>
      </c>
      <c r="K581" s="188"/>
      <c r="L581" s="188"/>
      <c r="M581" s="189" t="s">
        <v>1778</v>
      </c>
      <c r="N581" s="190">
        <v>899</v>
      </c>
      <c r="O581" s="190">
        <f t="shared" si="64"/>
        <v>979.91</v>
      </c>
      <c r="P581" s="191">
        <f t="shared" si="65"/>
        <v>0</v>
      </c>
      <c r="Q581" s="192">
        <f t="shared" si="66"/>
        <v>0</v>
      </c>
      <c r="R581" s="193"/>
      <c r="S581" s="194"/>
      <c r="T581" s="195">
        <f t="shared" si="67"/>
        <v>0</v>
      </c>
      <c r="U581" s="195">
        <f t="shared" si="68"/>
        <v>0</v>
      </c>
      <c r="V581" s="195">
        <f t="shared" si="69"/>
        <v>0</v>
      </c>
      <c r="W581" s="196" t="e">
        <f t="shared" si="70"/>
        <v>#DIV/0!</v>
      </c>
      <c r="X581" s="197" t="e">
        <f t="shared" si="71"/>
        <v>#DIV/0!</v>
      </c>
    </row>
    <row r="582" ht="11.4" hidden="1" customHeight="1" spans="1:27">
      <c r="A582" s="184" t="s">
        <v>1805</v>
      </c>
      <c r="B582" s="184" t="s">
        <v>127</v>
      </c>
      <c r="C582" s="184" t="s">
        <v>1101</v>
      </c>
      <c r="D582" s="185" t="s">
        <v>522</v>
      </c>
      <c r="E582" s="186" t="s">
        <v>906</v>
      </c>
      <c r="F582" s="186" t="s">
        <v>907</v>
      </c>
      <c r="G582" s="186" t="s">
        <v>1102</v>
      </c>
      <c r="H582" s="186" t="s">
        <v>1806</v>
      </c>
      <c r="I582" s="187" t="s">
        <v>1876</v>
      </c>
      <c r="J582" s="187" t="s">
        <v>1877</v>
      </c>
      <c r="K582" s="188"/>
      <c r="L582" s="188"/>
      <c r="M582" s="189" t="s">
        <v>847</v>
      </c>
      <c r="N582" s="190">
        <v>45.72</v>
      </c>
      <c r="O582" s="190">
        <f t="shared" si="64"/>
        <v>49.83</v>
      </c>
      <c r="P582" s="191">
        <f t="shared" si="65"/>
        <v>0</v>
      </c>
      <c r="Q582" s="192">
        <f t="shared" si="66"/>
        <v>0</v>
      </c>
      <c r="R582" s="193"/>
      <c r="S582" s="194"/>
      <c r="T582" s="195">
        <f t="shared" si="67"/>
        <v>0</v>
      </c>
      <c r="U582" s="195">
        <f t="shared" si="68"/>
        <v>0</v>
      </c>
      <c r="V582" s="195">
        <f t="shared" si="69"/>
        <v>0</v>
      </c>
      <c r="W582" s="196" t="e">
        <f t="shared" si="70"/>
        <v>#DIV/0!</v>
      </c>
      <c r="X582" s="197" t="e">
        <f t="shared" si="71"/>
        <v>#DIV/0!</v>
      </c>
    </row>
    <row r="583" ht="11.4" hidden="1" customHeight="1" spans="1:27">
      <c r="A583" s="184" t="s">
        <v>1879</v>
      </c>
      <c r="B583" s="184" t="s">
        <v>139</v>
      </c>
      <c r="C583" s="184" t="s">
        <v>1880</v>
      </c>
      <c r="D583" s="185" t="s">
        <v>522</v>
      </c>
      <c r="E583" s="186" t="s">
        <v>906</v>
      </c>
      <c r="F583" s="186" t="s">
        <v>907</v>
      </c>
      <c r="G583" s="186" t="s">
        <v>1881</v>
      </c>
      <c r="H583" s="186" t="s">
        <v>1882</v>
      </c>
      <c r="I583" s="187" t="s">
        <v>1883</v>
      </c>
      <c r="J583" s="154" t="s">
        <v>1884</v>
      </c>
      <c r="K583" s="188">
        <v>1</v>
      </c>
      <c r="L583" s="188">
        <v>1</v>
      </c>
      <c r="M583" s="189" t="s">
        <v>793</v>
      </c>
      <c r="N583" s="190">
        <v>4237.59</v>
      </c>
      <c r="O583" s="190">
        <f t="shared" si="64"/>
        <v>4618.97</v>
      </c>
      <c r="P583" s="191">
        <f t="shared" si="65"/>
        <v>4237.59</v>
      </c>
      <c r="Q583" s="192">
        <f t="shared" si="66"/>
        <v>4237.59</v>
      </c>
      <c r="R583" s="193"/>
      <c r="S583" s="194"/>
      <c r="T583" s="195">
        <f t="shared" si="67"/>
        <v>0</v>
      </c>
      <c r="U583" s="195">
        <f t="shared" si="68"/>
        <v>0</v>
      </c>
      <c r="V583" s="195">
        <f t="shared" si="69"/>
        <v>0</v>
      </c>
      <c r="W583" s="196">
        <f t="shared" si="70"/>
        <v>0</v>
      </c>
      <c r="X583" s="197">
        <f t="shared" si="71"/>
        <v>0</v>
      </c>
    </row>
    <row r="584" ht="11.4" hidden="1" customHeight="1" spans="1:27">
      <c r="A584" s="184" t="s">
        <v>1879</v>
      </c>
      <c r="B584" s="184" t="s">
        <v>139</v>
      </c>
      <c r="C584" s="184" t="s">
        <v>1880</v>
      </c>
      <c r="D584" s="185" t="s">
        <v>522</v>
      </c>
      <c r="E584" s="186" t="s">
        <v>906</v>
      </c>
      <c r="F584" s="186" t="s">
        <v>907</v>
      </c>
      <c r="G584" s="186" t="s">
        <v>1881</v>
      </c>
      <c r="H584" s="186" t="s">
        <v>1882</v>
      </c>
      <c r="I584" s="187" t="s">
        <v>1885</v>
      </c>
      <c r="J584" s="187" t="s">
        <v>1886</v>
      </c>
      <c r="K584" s="188"/>
      <c r="L584" s="188"/>
      <c r="M584" s="189" t="s">
        <v>793</v>
      </c>
      <c r="N584" s="190">
        <v>1859</v>
      </c>
      <c r="O584" s="190">
        <f t="shared" si="64"/>
        <v>2026.31</v>
      </c>
      <c r="P584" s="191">
        <f t="shared" si="65"/>
        <v>0</v>
      </c>
      <c r="Q584" s="192">
        <f t="shared" si="66"/>
        <v>0</v>
      </c>
      <c r="R584" s="193"/>
      <c r="S584" s="194"/>
      <c r="T584" s="195">
        <f t="shared" si="67"/>
        <v>0</v>
      </c>
      <c r="U584" s="195">
        <f t="shared" si="68"/>
        <v>0</v>
      </c>
      <c r="V584" s="195">
        <f t="shared" si="69"/>
        <v>0</v>
      </c>
      <c r="W584" s="196" t="e">
        <f t="shared" si="70"/>
        <v>#DIV/0!</v>
      </c>
      <c r="X584" s="197" t="e">
        <f t="shared" si="71"/>
        <v>#DIV/0!</v>
      </c>
    </row>
    <row r="585" ht="11.4" hidden="1" customHeight="1" spans="1:27">
      <c r="A585" s="184" t="s">
        <v>1879</v>
      </c>
      <c r="B585" s="184" t="s">
        <v>139</v>
      </c>
      <c r="C585" s="184" t="s">
        <v>1880</v>
      </c>
      <c r="D585" s="185" t="s">
        <v>522</v>
      </c>
      <c r="E585" s="186" t="s">
        <v>906</v>
      </c>
      <c r="F585" s="186" t="s">
        <v>907</v>
      </c>
      <c r="G585" s="186" t="s">
        <v>1881</v>
      </c>
      <c r="H585" s="186" t="s">
        <v>1882</v>
      </c>
      <c r="I585" s="187" t="s">
        <v>1887</v>
      </c>
      <c r="J585" s="154" t="s">
        <v>1888</v>
      </c>
      <c r="K585" s="188">
        <v>1</v>
      </c>
      <c r="L585" s="188">
        <v>1</v>
      </c>
      <c r="M585" s="189" t="s">
        <v>793</v>
      </c>
      <c r="N585" s="190">
        <v>1850</v>
      </c>
      <c r="O585" s="190">
        <f t="shared" si="64"/>
        <v>2016.5</v>
      </c>
      <c r="P585" s="191">
        <f t="shared" si="65"/>
        <v>1850</v>
      </c>
      <c r="Q585" s="192">
        <f t="shared" si="66"/>
        <v>1850</v>
      </c>
      <c r="R585" s="193"/>
      <c r="S585" s="194"/>
      <c r="T585" s="195">
        <f t="shared" si="67"/>
        <v>0</v>
      </c>
      <c r="U585" s="195">
        <f t="shared" si="68"/>
        <v>0</v>
      </c>
      <c r="V585" s="195">
        <f t="shared" si="69"/>
        <v>0</v>
      </c>
      <c r="W585" s="196">
        <f t="shared" si="70"/>
        <v>0</v>
      </c>
      <c r="X585" s="197">
        <f t="shared" si="71"/>
        <v>0</v>
      </c>
    </row>
    <row r="586" ht="11.4" hidden="1" customHeight="1" spans="1:27">
      <c r="A586" s="184" t="s">
        <v>1879</v>
      </c>
      <c r="B586" s="184" t="s">
        <v>139</v>
      </c>
      <c r="C586" s="184" t="s">
        <v>1880</v>
      </c>
      <c r="D586" s="185" t="s">
        <v>522</v>
      </c>
      <c r="E586" s="186" t="s">
        <v>906</v>
      </c>
      <c r="F586" s="186" t="s">
        <v>907</v>
      </c>
      <c r="G586" s="186" t="s">
        <v>1881</v>
      </c>
      <c r="H586" s="186" t="s">
        <v>1882</v>
      </c>
      <c r="I586" s="187" t="s">
        <v>1889</v>
      </c>
      <c r="J586" s="187" t="s">
        <v>1890</v>
      </c>
      <c r="K586" s="188"/>
      <c r="L586" s="188"/>
      <c r="M586" s="189" t="s">
        <v>793</v>
      </c>
      <c r="N586" s="190"/>
      <c r="O586" s="190">
        <f t="shared" si="64"/>
        <v>0</v>
      </c>
      <c r="P586" s="191">
        <f t="shared" si="65"/>
        <v>0</v>
      </c>
      <c r="Q586" s="192">
        <f t="shared" si="66"/>
        <v>0</v>
      </c>
      <c r="R586" s="193"/>
      <c r="S586" s="194"/>
      <c r="T586" s="195">
        <f t="shared" si="67"/>
        <v>0</v>
      </c>
      <c r="U586" s="195">
        <f t="shared" si="68"/>
        <v>0</v>
      </c>
      <c r="V586" s="195">
        <f t="shared" si="69"/>
        <v>0</v>
      </c>
      <c r="W586" s="196" t="e">
        <f t="shared" si="70"/>
        <v>#DIV/0!</v>
      </c>
      <c r="X586" s="197" t="e">
        <f t="shared" si="71"/>
        <v>#DIV/0!</v>
      </c>
    </row>
    <row r="587" ht="11.4" hidden="1" customHeight="1" spans="1:27">
      <c r="A587" s="184" t="s">
        <v>1879</v>
      </c>
      <c r="B587" s="184" t="s">
        <v>139</v>
      </c>
      <c r="C587" s="184" t="s">
        <v>1880</v>
      </c>
      <c r="D587" s="185" t="s">
        <v>522</v>
      </c>
      <c r="E587" s="186" t="s">
        <v>906</v>
      </c>
      <c r="F587" s="186" t="s">
        <v>907</v>
      </c>
      <c r="G587" s="186" t="s">
        <v>1881</v>
      </c>
      <c r="H587" s="186" t="s">
        <v>1891</v>
      </c>
      <c r="I587" s="187" t="s">
        <v>1892</v>
      </c>
      <c r="J587" s="154" t="s">
        <v>1893</v>
      </c>
      <c r="K587" s="200">
        <v>21</v>
      </c>
      <c r="L587" s="188">
        <v>20</v>
      </c>
      <c r="M587" s="189" t="s">
        <v>1778</v>
      </c>
      <c r="N587" s="190">
        <v>486.16</v>
      </c>
      <c r="O587" s="190">
        <f t="shared" si="64"/>
        <v>529.91</v>
      </c>
      <c r="P587" s="191">
        <f t="shared" si="65"/>
        <v>10209.36</v>
      </c>
      <c r="Q587" s="192">
        <f t="shared" si="66"/>
        <v>9723.2</v>
      </c>
      <c r="R587" s="193"/>
      <c r="S587" s="194"/>
      <c r="T587" s="195">
        <f t="shared" si="67"/>
        <v>1</v>
      </c>
      <c r="U587" s="195">
        <f t="shared" si="68"/>
        <v>486.16</v>
      </c>
      <c r="V587" s="195">
        <f t="shared" si="69"/>
        <v>486.16</v>
      </c>
      <c r="W587" s="196">
        <f t="shared" si="70"/>
        <v>0.05</v>
      </c>
      <c r="X587" s="197">
        <f t="shared" si="71"/>
        <v>0.05</v>
      </c>
      <c r="AA587" s="201" t="s">
        <v>3258</v>
      </c>
    </row>
    <row r="588" ht="11.4" hidden="1" customHeight="1" spans="1:27">
      <c r="A588" s="184" t="s">
        <v>1879</v>
      </c>
      <c r="B588" s="184" t="s">
        <v>139</v>
      </c>
      <c r="C588" s="184" t="s">
        <v>1880</v>
      </c>
      <c r="D588" s="185" t="s">
        <v>522</v>
      </c>
      <c r="E588" s="186" t="s">
        <v>906</v>
      </c>
      <c r="F588" s="186" t="s">
        <v>907</v>
      </c>
      <c r="G588" s="186" t="s">
        <v>1881</v>
      </c>
      <c r="H588" s="186" t="s">
        <v>1891</v>
      </c>
      <c r="I588" s="187" t="s">
        <v>1895</v>
      </c>
      <c r="J588" s="154" t="s">
        <v>1896</v>
      </c>
      <c r="K588" s="188">
        <v>36</v>
      </c>
      <c r="L588" s="188">
        <v>36</v>
      </c>
      <c r="M588" s="189" t="s">
        <v>1018</v>
      </c>
      <c r="N588" s="190">
        <v>105.21</v>
      </c>
      <c r="O588" s="190">
        <f t="shared" si="64"/>
        <v>114.68</v>
      </c>
      <c r="P588" s="191">
        <f t="shared" si="65"/>
        <v>3787.56</v>
      </c>
      <c r="Q588" s="192">
        <f t="shared" si="66"/>
        <v>3787.56</v>
      </c>
      <c r="R588" s="193"/>
      <c r="S588" s="194"/>
      <c r="T588" s="195">
        <f t="shared" si="67"/>
        <v>0</v>
      </c>
      <c r="U588" s="195">
        <f t="shared" si="68"/>
        <v>0</v>
      </c>
      <c r="V588" s="195">
        <f t="shared" si="69"/>
        <v>0</v>
      </c>
      <c r="W588" s="196">
        <f t="shared" si="70"/>
        <v>0</v>
      </c>
      <c r="X588" s="197">
        <f t="shared" si="71"/>
        <v>0</v>
      </c>
    </row>
    <row r="589" ht="11.4" hidden="1" customHeight="1" spans="1:27">
      <c r="A589" s="184" t="s">
        <v>1879</v>
      </c>
      <c r="B589" s="184" t="s">
        <v>139</v>
      </c>
      <c r="C589" s="184" t="s">
        <v>1880</v>
      </c>
      <c r="D589" s="185" t="s">
        <v>522</v>
      </c>
      <c r="E589" s="186" t="s">
        <v>906</v>
      </c>
      <c r="F589" s="186" t="s">
        <v>907</v>
      </c>
      <c r="G589" s="186" t="s">
        <v>1881</v>
      </c>
      <c r="H589" s="186" t="s">
        <v>1891</v>
      </c>
      <c r="I589" s="187" t="s">
        <v>1897</v>
      </c>
      <c r="J589" s="154" t="s">
        <v>1898</v>
      </c>
      <c r="K589" s="188">
        <v>1</v>
      </c>
      <c r="L589" s="188">
        <v>1</v>
      </c>
      <c r="M589" s="189" t="s">
        <v>1778</v>
      </c>
      <c r="N589" s="190">
        <v>511.41</v>
      </c>
      <c r="O589" s="190">
        <f t="shared" ref="O589:O652" si="72">ROUND(N589*(1+$F$10),2)</f>
        <v>557.44</v>
      </c>
      <c r="P589" s="191">
        <f t="shared" ref="P589:P652" si="73">ROUND(K589*N589,2)</f>
        <v>511.41</v>
      </c>
      <c r="Q589" s="192">
        <f t="shared" ref="Q589:Q652" si="74">ROUND(L589*N589,2)</f>
        <v>511.41</v>
      </c>
      <c r="R589" s="193"/>
      <c r="S589" s="194"/>
      <c r="T589" s="195">
        <f t="shared" ref="T589:T652" si="75">K589-L589</f>
        <v>0</v>
      </c>
      <c r="U589" s="195">
        <f t="shared" ref="U589:U652" si="76">P589-Q589</f>
        <v>0</v>
      </c>
      <c r="V589" s="195">
        <f t="shared" ref="V589:V652" si="77">ABS(U589)</f>
        <v>0</v>
      </c>
      <c r="W589" s="196">
        <f t="shared" ref="W589:W652" si="78">T589/L589</f>
        <v>0</v>
      </c>
      <c r="X589" s="197">
        <f t="shared" ref="X589:X652" si="79">ABS(W589)</f>
        <v>0</v>
      </c>
    </row>
    <row r="590" ht="11.4" hidden="1" customHeight="1" spans="1:27">
      <c r="A590" s="184" t="s">
        <v>1879</v>
      </c>
      <c r="B590" s="184" t="s">
        <v>139</v>
      </c>
      <c r="C590" s="184" t="s">
        <v>1880</v>
      </c>
      <c r="D590" s="185" t="s">
        <v>522</v>
      </c>
      <c r="E590" s="186" t="s">
        <v>906</v>
      </c>
      <c r="F590" s="186" t="s">
        <v>907</v>
      </c>
      <c r="G590" s="186" t="s">
        <v>1881</v>
      </c>
      <c r="H590" s="186" t="s">
        <v>1891</v>
      </c>
      <c r="I590" s="187" t="s">
        <v>1899</v>
      </c>
      <c r="J590" s="154" t="s">
        <v>1900</v>
      </c>
      <c r="K590" s="188">
        <v>16</v>
      </c>
      <c r="L590" s="188">
        <v>16</v>
      </c>
      <c r="M590" s="189" t="s">
        <v>1018</v>
      </c>
      <c r="N590" s="190">
        <v>105.85</v>
      </c>
      <c r="O590" s="190">
        <f t="shared" si="72"/>
        <v>115.38</v>
      </c>
      <c r="P590" s="191">
        <f t="shared" si="73"/>
        <v>1693.6</v>
      </c>
      <c r="Q590" s="192">
        <f t="shared" si="74"/>
        <v>1693.6</v>
      </c>
      <c r="R590" s="193"/>
      <c r="S590" s="194"/>
      <c r="T590" s="195">
        <f t="shared" si="75"/>
        <v>0</v>
      </c>
      <c r="U590" s="195">
        <f t="shared" si="76"/>
        <v>0</v>
      </c>
      <c r="V590" s="195">
        <f t="shared" si="77"/>
        <v>0</v>
      </c>
      <c r="W590" s="196">
        <f t="shared" si="78"/>
        <v>0</v>
      </c>
      <c r="X590" s="197">
        <f t="shared" si="79"/>
        <v>0</v>
      </c>
    </row>
    <row r="591" ht="11.4" hidden="1" customHeight="1" spans="1:27">
      <c r="A591" s="184" t="s">
        <v>1879</v>
      </c>
      <c r="B591" s="184" t="s">
        <v>139</v>
      </c>
      <c r="C591" s="184" t="s">
        <v>1880</v>
      </c>
      <c r="D591" s="185" t="s">
        <v>522</v>
      </c>
      <c r="E591" s="186" t="s">
        <v>906</v>
      </c>
      <c r="F591" s="186" t="s">
        <v>907</v>
      </c>
      <c r="G591" s="186" t="s">
        <v>1881</v>
      </c>
      <c r="H591" s="186" t="s">
        <v>1891</v>
      </c>
      <c r="I591" s="187" t="s">
        <v>1901</v>
      </c>
      <c r="J591" s="187" t="s">
        <v>1902</v>
      </c>
      <c r="K591" s="188"/>
      <c r="L591" s="188"/>
      <c r="M591" s="189" t="s">
        <v>1018</v>
      </c>
      <c r="N591" s="190">
        <v>82.71</v>
      </c>
      <c r="O591" s="190">
        <f t="shared" si="72"/>
        <v>90.15</v>
      </c>
      <c r="P591" s="191">
        <f t="shared" si="73"/>
        <v>0</v>
      </c>
      <c r="Q591" s="192">
        <f t="shared" si="74"/>
        <v>0</v>
      </c>
      <c r="R591" s="193"/>
      <c r="S591" s="194"/>
      <c r="T591" s="195">
        <f t="shared" si="75"/>
        <v>0</v>
      </c>
      <c r="U591" s="195">
        <f t="shared" si="76"/>
        <v>0</v>
      </c>
      <c r="V591" s="195">
        <f t="shared" si="77"/>
        <v>0</v>
      </c>
      <c r="W591" s="196" t="e">
        <f t="shared" si="78"/>
        <v>#DIV/0!</v>
      </c>
      <c r="X591" s="197" t="e">
        <f t="shared" si="79"/>
        <v>#DIV/0!</v>
      </c>
    </row>
    <row r="592" ht="11.4" hidden="1" customHeight="1" spans="1:27">
      <c r="A592" s="184" t="s">
        <v>1879</v>
      </c>
      <c r="B592" s="184" t="s">
        <v>139</v>
      </c>
      <c r="C592" s="184" t="s">
        <v>1880</v>
      </c>
      <c r="D592" s="185" t="s">
        <v>522</v>
      </c>
      <c r="E592" s="186" t="s">
        <v>906</v>
      </c>
      <c r="F592" s="186" t="s">
        <v>907</v>
      </c>
      <c r="G592" s="186" t="s">
        <v>1881</v>
      </c>
      <c r="H592" s="186" t="s">
        <v>1891</v>
      </c>
      <c r="I592" s="187" t="s">
        <v>1904</v>
      </c>
      <c r="J592" s="154" t="s">
        <v>1905</v>
      </c>
      <c r="K592" s="188">
        <v>3</v>
      </c>
      <c r="L592" s="188">
        <v>3</v>
      </c>
      <c r="M592" s="189" t="s">
        <v>1018</v>
      </c>
      <c r="N592" s="190">
        <v>536.25</v>
      </c>
      <c r="O592" s="190">
        <f t="shared" si="72"/>
        <v>584.51</v>
      </c>
      <c r="P592" s="191">
        <f t="shared" si="73"/>
        <v>1608.75</v>
      </c>
      <c r="Q592" s="192">
        <f t="shared" si="74"/>
        <v>1608.75</v>
      </c>
      <c r="R592" s="193"/>
      <c r="S592" s="194"/>
      <c r="T592" s="195">
        <f t="shared" si="75"/>
        <v>0</v>
      </c>
      <c r="U592" s="195">
        <f t="shared" si="76"/>
        <v>0</v>
      </c>
      <c r="V592" s="195">
        <f t="shared" si="77"/>
        <v>0</v>
      </c>
      <c r="W592" s="196">
        <f t="shared" si="78"/>
        <v>0</v>
      </c>
      <c r="X592" s="197">
        <f t="shared" si="79"/>
        <v>0</v>
      </c>
    </row>
    <row r="593" ht="11.4" hidden="1" customHeight="1" spans="1:24">
      <c r="A593" s="184" t="s">
        <v>1879</v>
      </c>
      <c r="B593" s="184" t="s">
        <v>139</v>
      </c>
      <c r="C593" s="184" t="s">
        <v>1880</v>
      </c>
      <c r="D593" s="185" t="s">
        <v>522</v>
      </c>
      <c r="E593" s="186" t="s">
        <v>906</v>
      </c>
      <c r="F593" s="186" t="s">
        <v>907</v>
      </c>
      <c r="G593" s="186" t="s">
        <v>1881</v>
      </c>
      <c r="H593" s="186" t="s">
        <v>1891</v>
      </c>
      <c r="I593" s="187" t="s">
        <v>1906</v>
      </c>
      <c r="J593" s="154" t="s">
        <v>1907</v>
      </c>
      <c r="K593" s="188">
        <v>2</v>
      </c>
      <c r="L593" s="188">
        <v>2</v>
      </c>
      <c r="M593" s="189" t="s">
        <v>1018</v>
      </c>
      <c r="N593" s="190">
        <v>453.75</v>
      </c>
      <c r="O593" s="190">
        <f t="shared" si="72"/>
        <v>494.59</v>
      </c>
      <c r="P593" s="191">
        <f t="shared" si="73"/>
        <v>907.5</v>
      </c>
      <c r="Q593" s="192">
        <f t="shared" si="74"/>
        <v>907.5</v>
      </c>
      <c r="R593" s="193"/>
      <c r="S593" s="194"/>
      <c r="T593" s="195">
        <f t="shared" si="75"/>
        <v>0</v>
      </c>
      <c r="U593" s="195">
        <f t="shared" si="76"/>
        <v>0</v>
      </c>
      <c r="V593" s="195">
        <f t="shared" si="77"/>
        <v>0</v>
      </c>
      <c r="W593" s="196">
        <f t="shared" si="78"/>
        <v>0</v>
      </c>
      <c r="X593" s="199">
        <f t="shared" si="79"/>
        <v>0</v>
      </c>
    </row>
    <row r="594" ht="11.4" hidden="1" customHeight="1" spans="1:24">
      <c r="A594" s="184" t="s">
        <v>1879</v>
      </c>
      <c r="B594" s="184" t="s">
        <v>139</v>
      </c>
      <c r="C594" s="184" t="s">
        <v>1880</v>
      </c>
      <c r="D594" s="185" t="s">
        <v>522</v>
      </c>
      <c r="E594" s="186" t="s">
        <v>906</v>
      </c>
      <c r="F594" s="186" t="s">
        <v>907</v>
      </c>
      <c r="G594" s="186" t="s">
        <v>1881</v>
      </c>
      <c r="H594" s="186" t="s">
        <v>1891</v>
      </c>
      <c r="I594" s="187" t="s">
        <v>1908</v>
      </c>
      <c r="J594" s="154" t="s">
        <v>1909</v>
      </c>
      <c r="K594" s="188">
        <v>1</v>
      </c>
      <c r="L594" s="188">
        <v>1</v>
      </c>
      <c r="M594" s="189" t="s">
        <v>1018</v>
      </c>
      <c r="N594" s="190">
        <v>1088.45</v>
      </c>
      <c r="O594" s="190">
        <f t="shared" si="72"/>
        <v>1186.41</v>
      </c>
      <c r="P594" s="191">
        <f t="shared" si="73"/>
        <v>1088.45</v>
      </c>
      <c r="Q594" s="192">
        <f t="shared" si="74"/>
        <v>1088.45</v>
      </c>
      <c r="R594" s="193"/>
      <c r="S594" s="194"/>
      <c r="T594" s="195">
        <f t="shared" si="75"/>
        <v>0</v>
      </c>
      <c r="U594" s="195">
        <f t="shared" si="76"/>
        <v>0</v>
      </c>
      <c r="V594" s="195">
        <f t="shared" si="77"/>
        <v>0</v>
      </c>
      <c r="W594" s="196">
        <f t="shared" si="78"/>
        <v>0</v>
      </c>
      <c r="X594" s="197">
        <f t="shared" si="79"/>
        <v>0</v>
      </c>
    </row>
    <row r="595" ht="11.4" hidden="1" customHeight="1" spans="1:24">
      <c r="A595" s="184" t="s">
        <v>1879</v>
      </c>
      <c r="B595" s="184" t="s">
        <v>139</v>
      </c>
      <c r="C595" s="184" t="s">
        <v>1880</v>
      </c>
      <c r="D595" s="185" t="s">
        <v>522</v>
      </c>
      <c r="E595" s="186" t="s">
        <v>906</v>
      </c>
      <c r="F595" s="186" t="s">
        <v>907</v>
      </c>
      <c r="G595" s="186" t="s">
        <v>1881</v>
      </c>
      <c r="H595" s="186" t="s">
        <v>1891</v>
      </c>
      <c r="I595" s="187" t="s">
        <v>1910</v>
      </c>
      <c r="J595" s="154" t="s">
        <v>1911</v>
      </c>
      <c r="K595" s="188">
        <v>1</v>
      </c>
      <c r="L595" s="188">
        <v>1</v>
      </c>
      <c r="M595" s="189" t="s">
        <v>1018</v>
      </c>
      <c r="N595" s="190">
        <v>359.26</v>
      </c>
      <c r="O595" s="190">
        <f t="shared" si="72"/>
        <v>391.59</v>
      </c>
      <c r="P595" s="191">
        <f t="shared" si="73"/>
        <v>359.26</v>
      </c>
      <c r="Q595" s="192">
        <f t="shared" si="74"/>
        <v>359.26</v>
      </c>
      <c r="R595" s="193"/>
      <c r="S595" s="194"/>
      <c r="T595" s="195">
        <f t="shared" si="75"/>
        <v>0</v>
      </c>
      <c r="U595" s="195">
        <f t="shared" si="76"/>
        <v>0</v>
      </c>
      <c r="V595" s="195">
        <f t="shared" si="77"/>
        <v>0</v>
      </c>
      <c r="W595" s="196">
        <f t="shared" si="78"/>
        <v>0</v>
      </c>
      <c r="X595" s="197">
        <f t="shared" si="79"/>
        <v>0</v>
      </c>
    </row>
    <row r="596" ht="11.4" hidden="1" customHeight="1" spans="1:24">
      <c r="A596" s="184" t="s">
        <v>1879</v>
      </c>
      <c r="B596" s="184" t="s">
        <v>139</v>
      </c>
      <c r="C596" s="184" t="s">
        <v>1880</v>
      </c>
      <c r="D596" s="185" t="s">
        <v>522</v>
      </c>
      <c r="E596" s="186" t="s">
        <v>906</v>
      </c>
      <c r="F596" s="186" t="s">
        <v>907</v>
      </c>
      <c r="G596" s="186" t="s">
        <v>1881</v>
      </c>
      <c r="H596" s="186" t="s">
        <v>1891</v>
      </c>
      <c r="I596" s="187" t="s">
        <v>1912</v>
      </c>
      <c r="J596" s="154" t="s">
        <v>1913</v>
      </c>
      <c r="K596" s="188">
        <v>3</v>
      </c>
      <c r="L596" s="188">
        <v>3</v>
      </c>
      <c r="M596" s="189" t="s">
        <v>1018</v>
      </c>
      <c r="N596" s="190">
        <v>708.28</v>
      </c>
      <c r="O596" s="190">
        <f t="shared" si="72"/>
        <v>772.03</v>
      </c>
      <c r="P596" s="191">
        <f t="shared" si="73"/>
        <v>2124.84</v>
      </c>
      <c r="Q596" s="192">
        <f t="shared" si="74"/>
        <v>2124.84</v>
      </c>
      <c r="R596" s="193"/>
      <c r="S596" s="194"/>
      <c r="T596" s="195">
        <f t="shared" si="75"/>
        <v>0</v>
      </c>
      <c r="U596" s="195">
        <f t="shared" si="76"/>
        <v>0</v>
      </c>
      <c r="V596" s="195">
        <f t="shared" si="77"/>
        <v>0</v>
      </c>
      <c r="W596" s="196">
        <f t="shared" si="78"/>
        <v>0</v>
      </c>
      <c r="X596" s="197">
        <f t="shared" si="79"/>
        <v>0</v>
      </c>
    </row>
    <row r="597" ht="11.4" hidden="1" customHeight="1" spans="1:24">
      <c r="A597" s="184" t="s">
        <v>1879</v>
      </c>
      <c r="B597" s="184" t="s">
        <v>139</v>
      </c>
      <c r="C597" s="184" t="s">
        <v>1880</v>
      </c>
      <c r="D597" s="185" t="s">
        <v>522</v>
      </c>
      <c r="E597" s="186" t="s">
        <v>906</v>
      </c>
      <c r="F597" s="186" t="s">
        <v>907</v>
      </c>
      <c r="G597" s="186" t="s">
        <v>1881</v>
      </c>
      <c r="H597" s="186" t="s">
        <v>1891</v>
      </c>
      <c r="I597" s="187" t="s">
        <v>1914</v>
      </c>
      <c r="J597" s="154" t="s">
        <v>1915</v>
      </c>
      <c r="K597" s="188">
        <v>1</v>
      </c>
      <c r="L597" s="188">
        <v>1</v>
      </c>
      <c r="M597" s="189" t="s">
        <v>1018</v>
      </c>
      <c r="N597" s="190">
        <v>535.04</v>
      </c>
      <c r="O597" s="190">
        <f t="shared" si="72"/>
        <v>583.19</v>
      </c>
      <c r="P597" s="191">
        <f t="shared" si="73"/>
        <v>535.04</v>
      </c>
      <c r="Q597" s="192">
        <f t="shared" si="74"/>
        <v>535.04</v>
      </c>
      <c r="R597" s="193"/>
      <c r="S597" s="194"/>
      <c r="T597" s="195">
        <f t="shared" si="75"/>
        <v>0</v>
      </c>
      <c r="U597" s="195">
        <f t="shared" si="76"/>
        <v>0</v>
      </c>
      <c r="V597" s="195">
        <f t="shared" si="77"/>
        <v>0</v>
      </c>
      <c r="W597" s="196">
        <f t="shared" si="78"/>
        <v>0</v>
      </c>
      <c r="X597" s="197">
        <f t="shared" si="79"/>
        <v>0</v>
      </c>
    </row>
    <row r="598" ht="11.4" hidden="1" customHeight="1" spans="1:24">
      <c r="A598" s="184" t="s">
        <v>1879</v>
      </c>
      <c r="B598" s="184" t="s">
        <v>139</v>
      </c>
      <c r="C598" s="184" t="s">
        <v>1880</v>
      </c>
      <c r="D598" s="185" t="s">
        <v>522</v>
      </c>
      <c r="E598" s="186" t="s">
        <v>906</v>
      </c>
      <c r="F598" s="186" t="s">
        <v>907</v>
      </c>
      <c r="G598" s="186" t="s">
        <v>1881</v>
      </c>
      <c r="H598" s="186" t="s">
        <v>1891</v>
      </c>
      <c r="I598" s="187" t="s">
        <v>1916</v>
      </c>
      <c r="J598" s="154" t="s">
        <v>1917</v>
      </c>
      <c r="K598" s="188">
        <v>3</v>
      </c>
      <c r="L598" s="188">
        <v>3</v>
      </c>
      <c r="M598" s="189" t="s">
        <v>1018</v>
      </c>
      <c r="N598" s="190">
        <v>752.5</v>
      </c>
      <c r="O598" s="190">
        <f t="shared" si="72"/>
        <v>820.23</v>
      </c>
      <c r="P598" s="191">
        <f t="shared" si="73"/>
        <v>2257.5</v>
      </c>
      <c r="Q598" s="192">
        <f t="shared" si="74"/>
        <v>2257.5</v>
      </c>
      <c r="R598" s="193"/>
      <c r="S598" s="194"/>
      <c r="T598" s="195">
        <f t="shared" si="75"/>
        <v>0</v>
      </c>
      <c r="U598" s="195">
        <f t="shared" si="76"/>
        <v>0</v>
      </c>
      <c r="V598" s="195">
        <f t="shared" si="77"/>
        <v>0</v>
      </c>
      <c r="W598" s="196">
        <f t="shared" si="78"/>
        <v>0</v>
      </c>
      <c r="X598" s="197">
        <f t="shared" si="79"/>
        <v>0</v>
      </c>
    </row>
    <row r="599" ht="11.4" hidden="1" customHeight="1" spans="1:24">
      <c r="A599" s="184" t="s">
        <v>1879</v>
      </c>
      <c r="B599" s="184" t="s">
        <v>139</v>
      </c>
      <c r="C599" s="184" t="s">
        <v>1880</v>
      </c>
      <c r="D599" s="185" t="s">
        <v>522</v>
      </c>
      <c r="E599" s="186" t="s">
        <v>906</v>
      </c>
      <c r="F599" s="186" t="s">
        <v>907</v>
      </c>
      <c r="G599" s="186" t="s">
        <v>1881</v>
      </c>
      <c r="H599" s="186" t="s">
        <v>1891</v>
      </c>
      <c r="I599" s="187" t="s">
        <v>1918</v>
      </c>
      <c r="J599" s="154" t="s">
        <v>1919</v>
      </c>
      <c r="K599" s="188">
        <v>1</v>
      </c>
      <c r="L599" s="188">
        <v>1</v>
      </c>
      <c r="M599" s="189" t="s">
        <v>1018</v>
      </c>
      <c r="N599" s="190">
        <v>2692.88</v>
      </c>
      <c r="O599" s="190">
        <f t="shared" si="72"/>
        <v>2935.24</v>
      </c>
      <c r="P599" s="191">
        <f t="shared" si="73"/>
        <v>2692.88</v>
      </c>
      <c r="Q599" s="192">
        <f t="shared" si="74"/>
        <v>2692.88</v>
      </c>
      <c r="R599" s="193"/>
      <c r="S599" s="194"/>
      <c r="T599" s="195">
        <f t="shared" si="75"/>
        <v>0</v>
      </c>
      <c r="U599" s="195">
        <f t="shared" si="76"/>
        <v>0</v>
      </c>
      <c r="V599" s="195">
        <f t="shared" si="77"/>
        <v>0</v>
      </c>
      <c r="W599" s="196">
        <f t="shared" si="78"/>
        <v>0</v>
      </c>
      <c r="X599" s="197">
        <f t="shared" si="79"/>
        <v>0</v>
      </c>
    </row>
    <row r="600" ht="11.4" hidden="1" customHeight="1" spans="1:24">
      <c r="A600" s="184" t="s">
        <v>1879</v>
      </c>
      <c r="B600" s="184" t="s">
        <v>139</v>
      </c>
      <c r="C600" s="184" t="s">
        <v>1880</v>
      </c>
      <c r="D600" s="185" t="s">
        <v>522</v>
      </c>
      <c r="E600" s="186" t="s">
        <v>906</v>
      </c>
      <c r="F600" s="186" t="s">
        <v>907</v>
      </c>
      <c r="G600" s="186" t="s">
        <v>1881</v>
      </c>
      <c r="H600" s="186" t="s">
        <v>1891</v>
      </c>
      <c r="I600" s="187" t="s">
        <v>1920</v>
      </c>
      <c r="J600" s="154" t="s">
        <v>1921</v>
      </c>
      <c r="K600" s="188">
        <v>5</v>
      </c>
      <c r="L600" s="188">
        <v>5</v>
      </c>
      <c r="M600" s="189" t="s">
        <v>1018</v>
      </c>
      <c r="N600" s="190">
        <v>1626.1</v>
      </c>
      <c r="O600" s="190">
        <f t="shared" si="72"/>
        <v>1772.45</v>
      </c>
      <c r="P600" s="191">
        <f t="shared" si="73"/>
        <v>8130.5</v>
      </c>
      <c r="Q600" s="192">
        <f t="shared" si="74"/>
        <v>8130.5</v>
      </c>
      <c r="R600" s="193"/>
      <c r="S600" s="194"/>
      <c r="T600" s="195">
        <f t="shared" si="75"/>
        <v>0</v>
      </c>
      <c r="U600" s="195">
        <f t="shared" si="76"/>
        <v>0</v>
      </c>
      <c r="V600" s="195">
        <f t="shared" si="77"/>
        <v>0</v>
      </c>
      <c r="W600" s="196">
        <f t="shared" si="78"/>
        <v>0</v>
      </c>
      <c r="X600" s="197">
        <f t="shared" si="79"/>
        <v>0</v>
      </c>
    </row>
    <row r="601" ht="11.4" hidden="1" customHeight="1" spans="1:24">
      <c r="A601" s="184" t="s">
        <v>1879</v>
      </c>
      <c r="B601" s="184" t="s">
        <v>139</v>
      </c>
      <c r="C601" s="184" t="s">
        <v>1880</v>
      </c>
      <c r="D601" s="185" t="s">
        <v>522</v>
      </c>
      <c r="E601" s="186" t="s">
        <v>906</v>
      </c>
      <c r="F601" s="186" t="s">
        <v>907</v>
      </c>
      <c r="G601" s="186" t="s">
        <v>1881</v>
      </c>
      <c r="H601" s="186" t="s">
        <v>1891</v>
      </c>
      <c r="I601" s="187" t="s">
        <v>1922</v>
      </c>
      <c r="J601" s="154" t="s">
        <v>1923</v>
      </c>
      <c r="K601" s="188">
        <v>2</v>
      </c>
      <c r="L601" s="188">
        <v>2</v>
      </c>
      <c r="M601" s="189" t="s">
        <v>1018</v>
      </c>
      <c r="N601" s="190">
        <v>1626.1</v>
      </c>
      <c r="O601" s="190">
        <f t="shared" si="72"/>
        <v>1772.45</v>
      </c>
      <c r="P601" s="191">
        <f t="shared" si="73"/>
        <v>3252.2</v>
      </c>
      <c r="Q601" s="192">
        <f t="shared" si="74"/>
        <v>3252.2</v>
      </c>
      <c r="R601" s="193"/>
      <c r="S601" s="194"/>
      <c r="T601" s="195">
        <f t="shared" si="75"/>
        <v>0</v>
      </c>
      <c r="U601" s="195">
        <f t="shared" si="76"/>
        <v>0</v>
      </c>
      <c r="V601" s="195">
        <f t="shared" si="77"/>
        <v>0</v>
      </c>
      <c r="W601" s="196">
        <f t="shared" si="78"/>
        <v>0</v>
      </c>
      <c r="X601" s="197">
        <f t="shared" si="79"/>
        <v>0</v>
      </c>
    </row>
    <row r="602" ht="11.4" hidden="1" customHeight="1" spans="1:24">
      <c r="A602" s="184" t="s">
        <v>1879</v>
      </c>
      <c r="B602" s="184" t="s">
        <v>139</v>
      </c>
      <c r="C602" s="184" t="s">
        <v>1880</v>
      </c>
      <c r="D602" s="185" t="s">
        <v>522</v>
      </c>
      <c r="E602" s="186" t="s">
        <v>906</v>
      </c>
      <c r="F602" s="186" t="s">
        <v>907</v>
      </c>
      <c r="G602" s="186" t="s">
        <v>1881</v>
      </c>
      <c r="H602" s="186" t="s">
        <v>1891</v>
      </c>
      <c r="I602" s="187" t="s">
        <v>1924</v>
      </c>
      <c r="J602" s="154" t="s">
        <v>1925</v>
      </c>
      <c r="K602" s="188">
        <v>1</v>
      </c>
      <c r="L602" s="188">
        <v>1</v>
      </c>
      <c r="M602" s="189" t="s">
        <v>1018</v>
      </c>
      <c r="N602" s="190">
        <v>1632.71</v>
      </c>
      <c r="O602" s="190">
        <f t="shared" si="72"/>
        <v>1779.65</v>
      </c>
      <c r="P602" s="191">
        <f t="shared" si="73"/>
        <v>1632.71</v>
      </c>
      <c r="Q602" s="192">
        <f t="shared" si="74"/>
        <v>1632.71</v>
      </c>
      <c r="R602" s="193"/>
      <c r="S602" s="194"/>
      <c r="T602" s="195">
        <f t="shared" si="75"/>
        <v>0</v>
      </c>
      <c r="U602" s="195">
        <f t="shared" si="76"/>
        <v>0</v>
      </c>
      <c r="V602" s="195">
        <f t="shared" si="77"/>
        <v>0</v>
      </c>
      <c r="W602" s="196">
        <f t="shared" si="78"/>
        <v>0</v>
      </c>
      <c r="X602" s="197">
        <f t="shared" si="79"/>
        <v>0</v>
      </c>
    </row>
    <row r="603" ht="11.4" hidden="1" customHeight="1" spans="1:24">
      <c r="A603" s="184" t="s">
        <v>1879</v>
      </c>
      <c r="B603" s="184" t="s">
        <v>139</v>
      </c>
      <c r="C603" s="184" t="s">
        <v>1880</v>
      </c>
      <c r="D603" s="185" t="s">
        <v>522</v>
      </c>
      <c r="E603" s="186" t="s">
        <v>906</v>
      </c>
      <c r="F603" s="186" t="s">
        <v>907</v>
      </c>
      <c r="G603" s="186" t="s">
        <v>1881</v>
      </c>
      <c r="H603" s="186" t="s">
        <v>1891</v>
      </c>
      <c r="I603" s="187" t="s">
        <v>1926</v>
      </c>
      <c r="J603" s="154" t="s">
        <v>1927</v>
      </c>
      <c r="K603" s="188">
        <v>1</v>
      </c>
      <c r="L603" s="188">
        <v>1</v>
      </c>
      <c r="M603" s="189" t="s">
        <v>1018</v>
      </c>
      <c r="N603" s="190">
        <v>2782.08</v>
      </c>
      <c r="O603" s="190">
        <f t="shared" si="72"/>
        <v>3032.47</v>
      </c>
      <c r="P603" s="191">
        <f t="shared" si="73"/>
        <v>2782.08</v>
      </c>
      <c r="Q603" s="192">
        <f t="shared" si="74"/>
        <v>2782.08</v>
      </c>
      <c r="R603" s="193"/>
      <c r="S603" s="194"/>
      <c r="T603" s="195">
        <f t="shared" si="75"/>
        <v>0</v>
      </c>
      <c r="U603" s="195">
        <f t="shared" si="76"/>
        <v>0</v>
      </c>
      <c r="V603" s="195">
        <f t="shared" si="77"/>
        <v>0</v>
      </c>
      <c r="W603" s="196">
        <f t="shared" si="78"/>
        <v>0</v>
      </c>
      <c r="X603" s="197">
        <f t="shared" si="79"/>
        <v>0</v>
      </c>
    </row>
    <row r="604" ht="11.4" hidden="1" customHeight="1" spans="1:24">
      <c r="A604" s="184" t="s">
        <v>1879</v>
      </c>
      <c r="B604" s="184" t="s">
        <v>139</v>
      </c>
      <c r="C604" s="184" t="s">
        <v>1880</v>
      </c>
      <c r="D604" s="185" t="s">
        <v>522</v>
      </c>
      <c r="E604" s="186" t="s">
        <v>906</v>
      </c>
      <c r="F604" s="186" t="s">
        <v>907</v>
      </c>
      <c r="G604" s="186" t="s">
        <v>1881</v>
      </c>
      <c r="H604" s="186" t="s">
        <v>1891</v>
      </c>
      <c r="I604" s="187" t="s">
        <v>1928</v>
      </c>
      <c r="J604" s="187" t="s">
        <v>1929</v>
      </c>
      <c r="K604" s="188"/>
      <c r="L604" s="188"/>
      <c r="M604" s="189" t="s">
        <v>807</v>
      </c>
      <c r="N604" s="190">
        <v>34.6</v>
      </c>
      <c r="O604" s="190">
        <f t="shared" si="72"/>
        <v>37.71</v>
      </c>
      <c r="P604" s="191">
        <f t="shared" si="73"/>
        <v>0</v>
      </c>
      <c r="Q604" s="192">
        <f t="shared" si="74"/>
        <v>0</v>
      </c>
      <c r="R604" s="193"/>
      <c r="S604" s="194"/>
      <c r="T604" s="195">
        <f t="shared" si="75"/>
        <v>0</v>
      </c>
      <c r="U604" s="195">
        <f t="shared" si="76"/>
        <v>0</v>
      </c>
      <c r="V604" s="195">
        <f t="shared" si="77"/>
        <v>0</v>
      </c>
      <c r="W604" s="196" t="e">
        <f t="shared" si="78"/>
        <v>#DIV/0!</v>
      </c>
      <c r="X604" s="197" t="e">
        <f t="shared" si="79"/>
        <v>#DIV/0!</v>
      </c>
    </row>
    <row r="605" ht="11.4" hidden="1" customHeight="1" spans="1:24">
      <c r="A605" s="184" t="s">
        <v>1879</v>
      </c>
      <c r="B605" s="184" t="s">
        <v>139</v>
      </c>
      <c r="C605" s="184" t="s">
        <v>1880</v>
      </c>
      <c r="D605" s="185" t="s">
        <v>522</v>
      </c>
      <c r="E605" s="186" t="s">
        <v>906</v>
      </c>
      <c r="F605" s="186" t="s">
        <v>907</v>
      </c>
      <c r="G605" s="186" t="s">
        <v>1881</v>
      </c>
      <c r="H605" s="186" t="s">
        <v>1891</v>
      </c>
      <c r="I605" s="187" t="s">
        <v>1930</v>
      </c>
      <c r="J605" s="187" t="s">
        <v>1931</v>
      </c>
      <c r="K605" s="188"/>
      <c r="L605" s="188"/>
      <c r="M605" s="189" t="s">
        <v>807</v>
      </c>
      <c r="N605" s="190">
        <v>34.6</v>
      </c>
      <c r="O605" s="190">
        <f t="shared" si="72"/>
        <v>37.71</v>
      </c>
      <c r="P605" s="191">
        <f t="shared" si="73"/>
        <v>0</v>
      </c>
      <c r="Q605" s="192">
        <f t="shared" si="74"/>
        <v>0</v>
      </c>
      <c r="R605" s="193"/>
      <c r="S605" s="194"/>
      <c r="T605" s="195">
        <f t="shared" si="75"/>
        <v>0</v>
      </c>
      <c r="U605" s="195">
        <f t="shared" si="76"/>
        <v>0</v>
      </c>
      <c r="V605" s="195">
        <f t="shared" si="77"/>
        <v>0</v>
      </c>
      <c r="W605" s="196" t="e">
        <f t="shared" si="78"/>
        <v>#DIV/0!</v>
      </c>
      <c r="X605" s="197" t="e">
        <f t="shared" si="79"/>
        <v>#DIV/0!</v>
      </c>
    </row>
    <row r="606" ht="11.4" hidden="1" customHeight="1" spans="1:24">
      <c r="A606" s="184" t="s">
        <v>1879</v>
      </c>
      <c r="B606" s="184" t="s">
        <v>139</v>
      </c>
      <c r="C606" s="184" t="s">
        <v>1880</v>
      </c>
      <c r="D606" s="185" t="s">
        <v>522</v>
      </c>
      <c r="E606" s="186" t="s">
        <v>906</v>
      </c>
      <c r="F606" s="186" t="s">
        <v>907</v>
      </c>
      <c r="G606" s="186" t="s">
        <v>1881</v>
      </c>
      <c r="H606" s="186" t="s">
        <v>1891</v>
      </c>
      <c r="I606" s="187" t="s">
        <v>1933</v>
      </c>
      <c r="J606" s="187" t="s">
        <v>1934</v>
      </c>
      <c r="K606" s="188"/>
      <c r="L606" s="188"/>
      <c r="M606" s="189" t="s">
        <v>1018</v>
      </c>
      <c r="N606" s="190">
        <v>711.58</v>
      </c>
      <c r="O606" s="190">
        <f t="shared" si="72"/>
        <v>775.62</v>
      </c>
      <c r="P606" s="191">
        <f t="shared" si="73"/>
        <v>0</v>
      </c>
      <c r="Q606" s="192">
        <f t="shared" si="74"/>
        <v>0</v>
      </c>
      <c r="R606" s="193"/>
      <c r="S606" s="194"/>
      <c r="T606" s="195">
        <f t="shared" si="75"/>
        <v>0</v>
      </c>
      <c r="U606" s="195">
        <f t="shared" si="76"/>
        <v>0</v>
      </c>
      <c r="V606" s="195">
        <f t="shared" si="77"/>
        <v>0</v>
      </c>
      <c r="W606" s="196" t="e">
        <f t="shared" si="78"/>
        <v>#DIV/0!</v>
      </c>
      <c r="X606" s="197" t="e">
        <f t="shared" si="79"/>
        <v>#DIV/0!</v>
      </c>
    </row>
    <row r="607" ht="11.4" hidden="1" customHeight="1" spans="1:24">
      <c r="A607" s="184" t="s">
        <v>1879</v>
      </c>
      <c r="B607" s="184" t="s">
        <v>139</v>
      </c>
      <c r="C607" s="184" t="s">
        <v>1880</v>
      </c>
      <c r="D607" s="185" t="s">
        <v>522</v>
      </c>
      <c r="E607" s="186" t="s">
        <v>906</v>
      </c>
      <c r="F607" s="186" t="s">
        <v>907</v>
      </c>
      <c r="G607" s="186" t="s">
        <v>1881</v>
      </c>
      <c r="H607" s="186" t="s">
        <v>1891</v>
      </c>
      <c r="I607" s="187" t="s">
        <v>1935</v>
      </c>
      <c r="J607" s="154" t="s">
        <v>1936</v>
      </c>
      <c r="K607" s="188">
        <v>1</v>
      </c>
      <c r="L607" s="188">
        <v>1</v>
      </c>
      <c r="M607" s="189" t="s">
        <v>1018</v>
      </c>
      <c r="N607" s="190">
        <v>560.34</v>
      </c>
      <c r="O607" s="190">
        <f t="shared" si="72"/>
        <v>610.77</v>
      </c>
      <c r="P607" s="191">
        <f t="shared" si="73"/>
        <v>560.34</v>
      </c>
      <c r="Q607" s="192">
        <f t="shared" si="74"/>
        <v>560.34</v>
      </c>
      <c r="R607" s="193"/>
      <c r="S607" s="194"/>
      <c r="T607" s="195">
        <f t="shared" si="75"/>
        <v>0</v>
      </c>
      <c r="U607" s="195">
        <f t="shared" si="76"/>
        <v>0</v>
      </c>
      <c r="V607" s="195">
        <f t="shared" si="77"/>
        <v>0</v>
      </c>
      <c r="W607" s="196">
        <f t="shared" si="78"/>
        <v>0</v>
      </c>
      <c r="X607" s="197">
        <f t="shared" si="79"/>
        <v>0</v>
      </c>
    </row>
    <row r="608" ht="11.4" hidden="1" customHeight="1" spans="1:24">
      <c r="A608" s="184" t="s">
        <v>1879</v>
      </c>
      <c r="B608" s="184" t="s">
        <v>139</v>
      </c>
      <c r="C608" s="184" t="s">
        <v>1880</v>
      </c>
      <c r="D608" s="185" t="s">
        <v>522</v>
      </c>
      <c r="E608" s="186" t="s">
        <v>906</v>
      </c>
      <c r="F608" s="186" t="s">
        <v>907</v>
      </c>
      <c r="G608" s="186" t="s">
        <v>1881</v>
      </c>
      <c r="H608" s="186" t="s">
        <v>1891</v>
      </c>
      <c r="I608" s="187" t="s">
        <v>1937</v>
      </c>
      <c r="J608" s="154" t="s">
        <v>1938</v>
      </c>
      <c r="K608" s="188">
        <v>1</v>
      </c>
      <c r="L608" s="188">
        <v>1</v>
      </c>
      <c r="M608" s="189" t="s">
        <v>989</v>
      </c>
      <c r="N608" s="190">
        <v>1550.45</v>
      </c>
      <c r="O608" s="190">
        <f t="shared" si="72"/>
        <v>1689.99</v>
      </c>
      <c r="P608" s="191">
        <f t="shared" si="73"/>
        <v>1550.45</v>
      </c>
      <c r="Q608" s="192">
        <f t="shared" si="74"/>
        <v>1550.45</v>
      </c>
      <c r="R608" s="193"/>
      <c r="S608" s="194"/>
      <c r="T608" s="195">
        <f t="shared" si="75"/>
        <v>0</v>
      </c>
      <c r="U608" s="195">
        <f t="shared" si="76"/>
        <v>0</v>
      </c>
      <c r="V608" s="195">
        <f t="shared" si="77"/>
        <v>0</v>
      </c>
      <c r="W608" s="196">
        <f t="shared" si="78"/>
        <v>0</v>
      </c>
      <c r="X608" s="197">
        <f t="shared" si="79"/>
        <v>0</v>
      </c>
    </row>
    <row r="609" ht="11.4" hidden="1" customHeight="1" spans="1:25">
      <c r="A609" s="184" t="s">
        <v>1879</v>
      </c>
      <c r="B609" s="184" t="s">
        <v>139</v>
      </c>
      <c r="C609" s="184" t="s">
        <v>1880</v>
      </c>
      <c r="D609" s="185" t="s">
        <v>522</v>
      </c>
      <c r="E609" s="186" t="s">
        <v>906</v>
      </c>
      <c r="F609" s="186" t="s">
        <v>907</v>
      </c>
      <c r="G609" s="186" t="s">
        <v>1881</v>
      </c>
      <c r="H609" s="186" t="s">
        <v>1891</v>
      </c>
      <c r="I609" s="187" t="s">
        <v>1940</v>
      </c>
      <c r="J609" s="187" t="s">
        <v>1941</v>
      </c>
      <c r="K609" s="188"/>
      <c r="L609" s="188"/>
      <c r="M609" s="189" t="s">
        <v>989</v>
      </c>
      <c r="N609" s="190">
        <v>1330.45</v>
      </c>
      <c r="O609" s="190">
        <f t="shared" si="72"/>
        <v>1450.19</v>
      </c>
      <c r="P609" s="191">
        <f t="shared" si="73"/>
        <v>0</v>
      </c>
      <c r="Q609" s="192">
        <f t="shared" si="74"/>
        <v>0</v>
      </c>
      <c r="R609" s="193"/>
      <c r="S609" s="194"/>
      <c r="T609" s="195">
        <f t="shared" si="75"/>
        <v>0</v>
      </c>
      <c r="U609" s="195">
        <f t="shared" si="76"/>
        <v>0</v>
      </c>
      <c r="V609" s="195">
        <f t="shared" si="77"/>
        <v>0</v>
      </c>
      <c r="W609" s="196" t="e">
        <f t="shared" si="78"/>
        <v>#DIV/0!</v>
      </c>
      <c r="X609" s="197" t="e">
        <f t="shared" si="79"/>
        <v>#DIV/0!</v>
      </c>
    </row>
    <row r="610" ht="11.4" hidden="1" customHeight="1" spans="1:25">
      <c r="A610" s="184" t="s">
        <v>1879</v>
      </c>
      <c r="B610" s="184" t="s">
        <v>139</v>
      </c>
      <c r="C610" s="184" t="s">
        <v>1880</v>
      </c>
      <c r="D610" s="185" t="s">
        <v>522</v>
      </c>
      <c r="E610" s="186" t="s">
        <v>906</v>
      </c>
      <c r="F610" s="186" t="s">
        <v>907</v>
      </c>
      <c r="G610" s="186" t="s">
        <v>1881</v>
      </c>
      <c r="H610" s="186" t="s">
        <v>1891</v>
      </c>
      <c r="I610" s="187" t="s">
        <v>1942</v>
      </c>
      <c r="J610" s="154" t="s">
        <v>1943</v>
      </c>
      <c r="K610" s="188">
        <v>1</v>
      </c>
      <c r="L610" s="188">
        <v>1</v>
      </c>
      <c r="M610" s="189" t="s">
        <v>1778</v>
      </c>
      <c r="N610" s="190">
        <v>1736.1</v>
      </c>
      <c r="O610" s="190">
        <f t="shared" si="72"/>
        <v>1892.35</v>
      </c>
      <c r="P610" s="191">
        <f t="shared" si="73"/>
        <v>1736.1</v>
      </c>
      <c r="Q610" s="192">
        <f t="shared" si="74"/>
        <v>1736.1</v>
      </c>
      <c r="R610" s="193"/>
      <c r="S610" s="194"/>
      <c r="T610" s="195">
        <f t="shared" si="75"/>
        <v>0</v>
      </c>
      <c r="U610" s="195">
        <f t="shared" si="76"/>
        <v>0</v>
      </c>
      <c r="V610" s="195">
        <f t="shared" si="77"/>
        <v>0</v>
      </c>
      <c r="W610" s="196">
        <f t="shared" si="78"/>
        <v>0</v>
      </c>
      <c r="X610" s="197">
        <f t="shared" si="79"/>
        <v>0</v>
      </c>
    </row>
    <row r="611" ht="11.4" hidden="1" customHeight="1" spans="1:25">
      <c r="A611" s="184" t="s">
        <v>1879</v>
      </c>
      <c r="B611" s="184" t="s">
        <v>139</v>
      </c>
      <c r="C611" s="184" t="s">
        <v>1880</v>
      </c>
      <c r="D611" s="185" t="s">
        <v>522</v>
      </c>
      <c r="E611" s="186" t="s">
        <v>906</v>
      </c>
      <c r="F611" s="186" t="s">
        <v>907</v>
      </c>
      <c r="G611" s="186" t="s">
        <v>1881</v>
      </c>
      <c r="H611" s="186" t="s">
        <v>1944</v>
      </c>
      <c r="I611" s="187" t="s">
        <v>1945</v>
      </c>
      <c r="J611" s="154" t="s">
        <v>1946</v>
      </c>
      <c r="K611" s="188">
        <v>1</v>
      </c>
      <c r="L611" s="188">
        <v>1</v>
      </c>
      <c r="M611" s="189" t="s">
        <v>793</v>
      </c>
      <c r="N611" s="190">
        <v>836.31</v>
      </c>
      <c r="O611" s="190">
        <f t="shared" si="72"/>
        <v>911.58</v>
      </c>
      <c r="P611" s="191">
        <f t="shared" si="73"/>
        <v>836.31</v>
      </c>
      <c r="Q611" s="192">
        <f t="shared" si="74"/>
        <v>836.31</v>
      </c>
      <c r="R611" s="193"/>
      <c r="S611" s="194"/>
      <c r="T611" s="195">
        <f t="shared" si="75"/>
        <v>0</v>
      </c>
      <c r="U611" s="195">
        <f t="shared" si="76"/>
        <v>0</v>
      </c>
      <c r="V611" s="195">
        <f t="shared" si="77"/>
        <v>0</v>
      </c>
      <c r="W611" s="196">
        <f t="shared" si="78"/>
        <v>0</v>
      </c>
      <c r="X611" s="197">
        <f t="shared" si="79"/>
        <v>0</v>
      </c>
    </row>
    <row r="612" ht="11.4" hidden="1" customHeight="1" spans="1:25">
      <c r="A612" s="184" t="s">
        <v>1879</v>
      </c>
      <c r="B612" s="184" t="s">
        <v>139</v>
      </c>
      <c r="C612" s="184" t="s">
        <v>1880</v>
      </c>
      <c r="D612" s="185" t="s">
        <v>522</v>
      </c>
      <c r="E612" s="186" t="s">
        <v>906</v>
      </c>
      <c r="F612" s="186" t="s">
        <v>907</v>
      </c>
      <c r="G612" s="186" t="s">
        <v>1881</v>
      </c>
      <c r="H612" s="186" t="s">
        <v>1944</v>
      </c>
      <c r="I612" s="187" t="s">
        <v>1948</v>
      </c>
      <c r="J612" s="154" t="s">
        <v>1949</v>
      </c>
      <c r="K612" s="188">
        <v>1</v>
      </c>
      <c r="L612" s="188">
        <v>1</v>
      </c>
      <c r="M612" s="189" t="s">
        <v>793</v>
      </c>
      <c r="N612" s="190">
        <v>3391.6</v>
      </c>
      <c r="O612" s="190">
        <f t="shared" si="72"/>
        <v>3696.84</v>
      </c>
      <c r="P612" s="191">
        <f t="shared" si="73"/>
        <v>3391.6</v>
      </c>
      <c r="Q612" s="192">
        <f t="shared" si="74"/>
        <v>3391.6</v>
      </c>
      <c r="R612" s="193"/>
      <c r="S612" s="194"/>
      <c r="T612" s="195">
        <f t="shared" si="75"/>
        <v>0</v>
      </c>
      <c r="U612" s="195">
        <f t="shared" si="76"/>
        <v>0</v>
      </c>
      <c r="V612" s="195">
        <f t="shared" si="77"/>
        <v>0</v>
      </c>
      <c r="W612" s="196">
        <f t="shared" si="78"/>
        <v>0</v>
      </c>
      <c r="X612" s="197">
        <f t="shared" si="79"/>
        <v>0</v>
      </c>
    </row>
    <row r="613" ht="11.4" hidden="1" customHeight="1" spans="1:25">
      <c r="A613" s="184" t="s">
        <v>1879</v>
      </c>
      <c r="B613" s="184" t="s">
        <v>139</v>
      </c>
      <c r="C613" s="184" t="s">
        <v>1880</v>
      </c>
      <c r="D613" s="185" t="s">
        <v>522</v>
      </c>
      <c r="E613" s="186" t="s">
        <v>906</v>
      </c>
      <c r="F613" s="186" t="s">
        <v>907</v>
      </c>
      <c r="G613" s="186" t="s">
        <v>1881</v>
      </c>
      <c r="H613" s="186" t="s">
        <v>1944</v>
      </c>
      <c r="I613" s="187" t="s">
        <v>1950</v>
      </c>
      <c r="J613" s="154" t="s">
        <v>1951</v>
      </c>
      <c r="K613" s="188">
        <v>1</v>
      </c>
      <c r="L613" s="188">
        <v>1</v>
      </c>
      <c r="M613" s="189" t="s">
        <v>793</v>
      </c>
      <c r="N613" s="190">
        <v>2028.7</v>
      </c>
      <c r="O613" s="190">
        <f t="shared" si="72"/>
        <v>2211.28</v>
      </c>
      <c r="P613" s="191">
        <f t="shared" si="73"/>
        <v>2028.7</v>
      </c>
      <c r="Q613" s="192">
        <f t="shared" si="74"/>
        <v>2028.7</v>
      </c>
      <c r="R613" s="193"/>
      <c r="S613" s="194"/>
      <c r="T613" s="195">
        <f t="shared" si="75"/>
        <v>0</v>
      </c>
      <c r="U613" s="195">
        <f t="shared" si="76"/>
        <v>0</v>
      </c>
      <c r="V613" s="195">
        <f t="shared" si="77"/>
        <v>0</v>
      </c>
      <c r="W613" s="196">
        <f t="shared" si="78"/>
        <v>0</v>
      </c>
      <c r="X613" s="197">
        <f t="shared" si="79"/>
        <v>0</v>
      </c>
    </row>
    <row r="614" ht="11.4" hidden="1" customHeight="1" spans="1:25">
      <c r="A614" s="184" t="s">
        <v>1879</v>
      </c>
      <c r="B614" s="184" t="s">
        <v>139</v>
      </c>
      <c r="C614" s="184" t="s">
        <v>1880</v>
      </c>
      <c r="D614" s="185" t="s">
        <v>522</v>
      </c>
      <c r="E614" s="186" t="s">
        <v>906</v>
      </c>
      <c r="F614" s="186" t="s">
        <v>907</v>
      </c>
      <c r="G614" s="186" t="s">
        <v>1881</v>
      </c>
      <c r="H614" s="186" t="s">
        <v>1944</v>
      </c>
      <c r="I614" s="187" t="s">
        <v>1952</v>
      </c>
      <c r="J614" s="161" t="s">
        <v>1953</v>
      </c>
      <c r="K614" s="188">
        <v>1</v>
      </c>
      <c r="L614" s="188">
        <v>1</v>
      </c>
      <c r="M614" s="189" t="s">
        <v>793</v>
      </c>
      <c r="N614" s="190">
        <v>1781.2</v>
      </c>
      <c r="O614" s="190">
        <f t="shared" si="72"/>
        <v>1941.51</v>
      </c>
      <c r="P614" s="191">
        <f t="shared" si="73"/>
        <v>1781.2</v>
      </c>
      <c r="Q614" s="192">
        <f t="shared" si="74"/>
        <v>1781.2</v>
      </c>
      <c r="R614" s="193"/>
      <c r="S614" s="194"/>
      <c r="T614" s="195">
        <f t="shared" si="75"/>
        <v>0</v>
      </c>
      <c r="U614" s="195">
        <f t="shared" si="76"/>
        <v>0</v>
      </c>
      <c r="V614" s="195">
        <f t="shared" si="77"/>
        <v>0</v>
      </c>
      <c r="W614" s="196">
        <f t="shared" si="78"/>
        <v>0</v>
      </c>
      <c r="X614" s="197">
        <f t="shared" si="79"/>
        <v>0</v>
      </c>
    </row>
    <row r="615" ht="11.4" hidden="1" customHeight="1" spans="1:25">
      <c r="A615" s="184" t="s">
        <v>1879</v>
      </c>
      <c r="B615" s="184" t="s">
        <v>139</v>
      </c>
      <c r="C615" s="184" t="s">
        <v>1880</v>
      </c>
      <c r="D615" s="185" t="s">
        <v>522</v>
      </c>
      <c r="E615" s="186" t="s">
        <v>906</v>
      </c>
      <c r="F615" s="186" t="s">
        <v>907</v>
      </c>
      <c r="G615" s="186" t="s">
        <v>1881</v>
      </c>
      <c r="H615" s="186" t="s">
        <v>1944</v>
      </c>
      <c r="I615" s="187" t="s">
        <v>1955</v>
      </c>
      <c r="J615" s="187" t="s">
        <v>1956</v>
      </c>
      <c r="K615" s="188"/>
      <c r="L615" s="188"/>
      <c r="M615" s="189" t="s">
        <v>793</v>
      </c>
      <c r="N615" s="190">
        <v>406.45</v>
      </c>
      <c r="O615" s="190">
        <f t="shared" si="72"/>
        <v>443.03</v>
      </c>
      <c r="P615" s="191">
        <f t="shared" si="73"/>
        <v>0</v>
      </c>
      <c r="Q615" s="192">
        <f t="shared" si="74"/>
        <v>0</v>
      </c>
      <c r="R615" s="193"/>
      <c r="S615" s="194"/>
      <c r="T615" s="195">
        <f t="shared" si="75"/>
        <v>0</v>
      </c>
      <c r="U615" s="195">
        <f t="shared" si="76"/>
        <v>0</v>
      </c>
      <c r="V615" s="195">
        <f t="shared" si="77"/>
        <v>0</v>
      </c>
      <c r="W615" s="196" t="e">
        <f t="shared" si="78"/>
        <v>#DIV/0!</v>
      </c>
      <c r="X615" s="197" t="e">
        <f t="shared" si="79"/>
        <v>#DIV/0!</v>
      </c>
    </row>
    <row r="616" ht="11.4" hidden="1" customHeight="1" spans="1:25">
      <c r="A616" s="184" t="s">
        <v>1879</v>
      </c>
      <c r="B616" s="184" t="s">
        <v>139</v>
      </c>
      <c r="C616" s="184" t="s">
        <v>1880</v>
      </c>
      <c r="D616" s="185" t="s">
        <v>522</v>
      </c>
      <c r="E616" s="186" t="s">
        <v>906</v>
      </c>
      <c r="F616" s="186" t="s">
        <v>907</v>
      </c>
      <c r="G616" s="186" t="s">
        <v>1881</v>
      </c>
      <c r="H616" s="186" t="s">
        <v>1944</v>
      </c>
      <c r="I616" s="187" t="s">
        <v>1957</v>
      </c>
      <c r="J616" s="154" t="s">
        <v>1958</v>
      </c>
      <c r="K616" s="188">
        <v>1</v>
      </c>
      <c r="L616" s="188">
        <v>1</v>
      </c>
      <c r="M616" s="189" t="s">
        <v>793</v>
      </c>
      <c r="N616" s="190">
        <v>835.76</v>
      </c>
      <c r="O616" s="190">
        <f t="shared" si="72"/>
        <v>910.98</v>
      </c>
      <c r="P616" s="191">
        <f t="shared" si="73"/>
        <v>835.76</v>
      </c>
      <c r="Q616" s="192">
        <f t="shared" si="74"/>
        <v>835.76</v>
      </c>
      <c r="R616" s="193"/>
      <c r="S616" s="194"/>
      <c r="T616" s="195">
        <f t="shared" si="75"/>
        <v>0</v>
      </c>
      <c r="U616" s="195">
        <f t="shared" si="76"/>
        <v>0</v>
      </c>
      <c r="V616" s="195">
        <f t="shared" si="77"/>
        <v>0</v>
      </c>
      <c r="W616" s="196">
        <f t="shared" si="78"/>
        <v>0</v>
      </c>
      <c r="X616" s="197">
        <f t="shared" si="79"/>
        <v>0</v>
      </c>
    </row>
    <row r="617" ht="11.4" hidden="1" customHeight="1" spans="1:25">
      <c r="A617" s="184" t="s">
        <v>1879</v>
      </c>
      <c r="B617" s="184" t="s">
        <v>139</v>
      </c>
      <c r="C617" s="184" t="s">
        <v>1880</v>
      </c>
      <c r="D617" s="185" t="s">
        <v>522</v>
      </c>
      <c r="E617" s="186" t="s">
        <v>906</v>
      </c>
      <c r="F617" s="186" t="s">
        <v>907</v>
      </c>
      <c r="G617" s="186" t="s">
        <v>1881</v>
      </c>
      <c r="H617" s="186" t="s">
        <v>1944</v>
      </c>
      <c r="I617" s="187" t="s">
        <v>1959</v>
      </c>
      <c r="J617" s="161" t="s">
        <v>1960</v>
      </c>
      <c r="K617" s="188">
        <v>1</v>
      </c>
      <c r="L617" s="188">
        <v>1</v>
      </c>
      <c r="M617" s="189" t="s">
        <v>793</v>
      </c>
      <c r="N617" s="190">
        <v>846.76</v>
      </c>
      <c r="O617" s="190">
        <f t="shared" si="72"/>
        <v>922.97</v>
      </c>
      <c r="P617" s="191">
        <f t="shared" si="73"/>
        <v>846.76</v>
      </c>
      <c r="Q617" s="192">
        <f t="shared" si="74"/>
        <v>846.76</v>
      </c>
      <c r="R617" s="193"/>
      <c r="S617" s="194"/>
      <c r="T617" s="195">
        <f t="shared" si="75"/>
        <v>0</v>
      </c>
      <c r="U617" s="195">
        <f t="shared" si="76"/>
        <v>0</v>
      </c>
      <c r="V617" s="195">
        <f t="shared" si="77"/>
        <v>0</v>
      </c>
      <c r="W617" s="196">
        <f t="shared" si="78"/>
        <v>0</v>
      </c>
      <c r="X617" s="197">
        <f t="shared" si="79"/>
        <v>0</v>
      </c>
    </row>
    <row r="618" ht="11.4" hidden="1" customHeight="1" spans="1:25">
      <c r="A618" s="184" t="s">
        <v>1879</v>
      </c>
      <c r="B618" s="184" t="s">
        <v>139</v>
      </c>
      <c r="C618" s="184" t="s">
        <v>1880</v>
      </c>
      <c r="D618" s="185" t="s">
        <v>522</v>
      </c>
      <c r="E618" s="186" t="s">
        <v>906</v>
      </c>
      <c r="F618" s="186" t="s">
        <v>907</v>
      </c>
      <c r="G618" s="186" t="s">
        <v>1881</v>
      </c>
      <c r="H618" s="186" t="s">
        <v>1944</v>
      </c>
      <c r="I618" s="187" t="s">
        <v>1961</v>
      </c>
      <c r="J618" s="187" t="s">
        <v>1962</v>
      </c>
      <c r="K618" s="188"/>
      <c r="L618" s="188"/>
      <c r="M618" s="189" t="s">
        <v>793</v>
      </c>
      <c r="N618" s="190">
        <v>836.31</v>
      </c>
      <c r="O618" s="190">
        <f t="shared" si="72"/>
        <v>911.58</v>
      </c>
      <c r="P618" s="191">
        <f t="shared" si="73"/>
        <v>0</v>
      </c>
      <c r="Q618" s="192">
        <f t="shared" si="74"/>
        <v>0</v>
      </c>
      <c r="R618" s="193"/>
      <c r="S618" s="194"/>
      <c r="T618" s="195">
        <f t="shared" si="75"/>
        <v>0</v>
      </c>
      <c r="U618" s="195">
        <f t="shared" si="76"/>
        <v>0</v>
      </c>
      <c r="V618" s="195">
        <f t="shared" si="77"/>
        <v>0</v>
      </c>
      <c r="W618" s="196" t="e">
        <f t="shared" si="78"/>
        <v>#DIV/0!</v>
      </c>
      <c r="X618" s="197" t="e">
        <f t="shared" si="79"/>
        <v>#DIV/0!</v>
      </c>
    </row>
    <row r="619" ht="11.4" hidden="1" customHeight="1" spans="1:25">
      <c r="A619" s="184" t="s">
        <v>1879</v>
      </c>
      <c r="B619" s="184" t="s">
        <v>139</v>
      </c>
      <c r="C619" s="184" t="s">
        <v>1880</v>
      </c>
      <c r="D619" s="185" t="s">
        <v>522</v>
      </c>
      <c r="E619" s="186" t="s">
        <v>906</v>
      </c>
      <c r="F619" s="186" t="s">
        <v>907</v>
      </c>
      <c r="G619" s="186" t="s">
        <v>1881</v>
      </c>
      <c r="H619" s="186" t="s">
        <v>1963</v>
      </c>
      <c r="I619" s="187" t="s">
        <v>1964</v>
      </c>
      <c r="J619" s="154" t="s">
        <v>1965</v>
      </c>
      <c r="K619" s="188">
        <v>5</v>
      </c>
      <c r="L619" s="188">
        <v>5</v>
      </c>
      <c r="M619" s="189" t="s">
        <v>1778</v>
      </c>
      <c r="N619" s="190">
        <v>500.38</v>
      </c>
      <c r="O619" s="190">
        <f t="shared" si="72"/>
        <v>545.41</v>
      </c>
      <c r="P619" s="191">
        <f t="shared" si="73"/>
        <v>2501.9</v>
      </c>
      <c r="Q619" s="192">
        <f t="shared" si="74"/>
        <v>2501.9</v>
      </c>
      <c r="R619" s="193"/>
      <c r="S619" s="194"/>
      <c r="T619" s="195">
        <f t="shared" si="75"/>
        <v>0</v>
      </c>
      <c r="U619" s="195">
        <f t="shared" si="76"/>
        <v>0</v>
      </c>
      <c r="V619" s="195">
        <f t="shared" si="77"/>
        <v>0</v>
      </c>
      <c r="W619" s="196">
        <f t="shared" si="78"/>
        <v>0</v>
      </c>
      <c r="X619" s="197">
        <f t="shared" si="79"/>
        <v>0</v>
      </c>
    </row>
    <row r="620" ht="11.4" hidden="1" customHeight="1" spans="1:25">
      <c r="A620" s="184" t="s">
        <v>1879</v>
      </c>
      <c r="B620" s="184" t="s">
        <v>139</v>
      </c>
      <c r="C620" s="184" t="s">
        <v>1880</v>
      </c>
      <c r="D620" s="185" t="s">
        <v>522</v>
      </c>
      <c r="E620" s="186" t="s">
        <v>906</v>
      </c>
      <c r="F620" s="186" t="s">
        <v>907</v>
      </c>
      <c r="G620" s="186" t="s">
        <v>1881</v>
      </c>
      <c r="H620" s="186" t="s">
        <v>1963</v>
      </c>
      <c r="I620" s="187" t="s">
        <v>1966</v>
      </c>
      <c r="J620" s="187" t="s">
        <v>1967</v>
      </c>
      <c r="K620" s="188"/>
      <c r="L620" s="188"/>
      <c r="M620" s="189" t="s">
        <v>1018</v>
      </c>
      <c r="N620" s="190">
        <v>63.27</v>
      </c>
      <c r="O620" s="190">
        <f t="shared" si="72"/>
        <v>68.96</v>
      </c>
      <c r="P620" s="191">
        <f t="shared" si="73"/>
        <v>0</v>
      </c>
      <c r="Q620" s="192">
        <f t="shared" si="74"/>
        <v>0</v>
      </c>
      <c r="R620" s="193"/>
      <c r="S620" s="194"/>
      <c r="T620" s="195">
        <f t="shared" si="75"/>
        <v>0</v>
      </c>
      <c r="U620" s="195">
        <f t="shared" si="76"/>
        <v>0</v>
      </c>
      <c r="V620" s="195">
        <f t="shared" si="77"/>
        <v>0</v>
      </c>
      <c r="W620" s="196" t="e">
        <f t="shared" si="78"/>
        <v>#DIV/0!</v>
      </c>
      <c r="X620" s="197" t="e">
        <f t="shared" si="79"/>
        <v>#DIV/0!</v>
      </c>
    </row>
    <row r="621" ht="11.4" hidden="1" customHeight="1" spans="1:25">
      <c r="A621" s="184" t="s">
        <v>1879</v>
      </c>
      <c r="B621" s="184" t="s">
        <v>139</v>
      </c>
      <c r="C621" s="184" t="s">
        <v>1880</v>
      </c>
      <c r="D621" s="185" t="s">
        <v>522</v>
      </c>
      <c r="E621" s="186" t="s">
        <v>906</v>
      </c>
      <c r="F621" s="186" t="s">
        <v>907</v>
      </c>
      <c r="G621" s="186" t="s">
        <v>1881</v>
      </c>
      <c r="H621" s="186" t="s">
        <v>1963</v>
      </c>
      <c r="I621" s="187" t="s">
        <v>1968</v>
      </c>
      <c r="J621" s="187" t="s">
        <v>1969</v>
      </c>
      <c r="K621" s="188"/>
      <c r="L621" s="188"/>
      <c r="M621" s="189" t="s">
        <v>807</v>
      </c>
      <c r="N621" s="190">
        <v>38.86</v>
      </c>
      <c r="O621" s="190">
        <f t="shared" si="72"/>
        <v>42.36</v>
      </c>
      <c r="P621" s="191">
        <f t="shared" si="73"/>
        <v>0</v>
      </c>
      <c r="Q621" s="192">
        <f t="shared" si="74"/>
        <v>0</v>
      </c>
      <c r="R621" s="193"/>
      <c r="S621" s="194"/>
      <c r="T621" s="195">
        <f t="shared" si="75"/>
        <v>0</v>
      </c>
      <c r="U621" s="195">
        <f t="shared" si="76"/>
        <v>0</v>
      </c>
      <c r="V621" s="195">
        <f t="shared" si="77"/>
        <v>0</v>
      </c>
      <c r="W621" s="196" t="e">
        <f t="shared" si="78"/>
        <v>#DIV/0!</v>
      </c>
      <c r="X621" s="197" t="e">
        <f t="shared" si="79"/>
        <v>#DIV/0!</v>
      </c>
    </row>
    <row r="622" ht="11.4" hidden="1" customHeight="1" spans="1:25">
      <c r="A622" s="184" t="s">
        <v>1879</v>
      </c>
      <c r="B622" s="184" t="s">
        <v>139</v>
      </c>
      <c r="C622" s="184" t="s">
        <v>1880</v>
      </c>
      <c r="D622" s="185" t="s">
        <v>522</v>
      </c>
      <c r="E622" s="186" t="s">
        <v>906</v>
      </c>
      <c r="F622" s="186" t="s">
        <v>907</v>
      </c>
      <c r="G622" s="186" t="s">
        <v>1881</v>
      </c>
      <c r="H622" s="186" t="s">
        <v>1971</v>
      </c>
      <c r="I622" s="187" t="s">
        <v>1972</v>
      </c>
      <c r="J622" s="154" t="s">
        <v>1973</v>
      </c>
      <c r="K622" s="188">
        <v>5</v>
      </c>
      <c r="L622" s="188">
        <v>5</v>
      </c>
      <c r="M622" s="189" t="s">
        <v>1778</v>
      </c>
      <c r="N622" s="190">
        <v>500.38</v>
      </c>
      <c r="O622" s="190">
        <f t="shared" si="72"/>
        <v>545.41</v>
      </c>
      <c r="P622" s="191">
        <f t="shared" si="73"/>
        <v>2501.9</v>
      </c>
      <c r="Q622" s="192">
        <f t="shared" si="74"/>
        <v>2501.9</v>
      </c>
      <c r="R622" s="193"/>
      <c r="S622" s="194"/>
      <c r="T622" s="195">
        <f t="shared" si="75"/>
        <v>0</v>
      </c>
      <c r="U622" s="195">
        <f t="shared" si="76"/>
        <v>0</v>
      </c>
      <c r="V622" s="195">
        <f t="shared" si="77"/>
        <v>0</v>
      </c>
      <c r="W622" s="196">
        <f t="shared" si="78"/>
        <v>0</v>
      </c>
      <c r="X622" s="197">
        <f t="shared" si="79"/>
        <v>0</v>
      </c>
    </row>
    <row r="623" ht="11.4" hidden="1" customHeight="1" spans="1:25">
      <c r="A623" s="184" t="s">
        <v>1879</v>
      </c>
      <c r="B623" s="184" t="s">
        <v>139</v>
      </c>
      <c r="C623" s="184" t="s">
        <v>1880</v>
      </c>
      <c r="D623" s="185" t="s">
        <v>522</v>
      </c>
      <c r="E623" s="186" t="s">
        <v>906</v>
      </c>
      <c r="F623" s="186" t="s">
        <v>907</v>
      </c>
      <c r="G623" s="186" t="s">
        <v>1881</v>
      </c>
      <c r="H623" s="186" t="s">
        <v>1974</v>
      </c>
      <c r="I623" s="187" t="s">
        <v>1975</v>
      </c>
      <c r="J623" s="187" t="s">
        <v>1976</v>
      </c>
      <c r="K623" s="188">
        <v>6</v>
      </c>
      <c r="L623" s="188">
        <v>6</v>
      </c>
      <c r="M623" s="189" t="s">
        <v>1018</v>
      </c>
      <c r="N623" s="190">
        <v>136.25</v>
      </c>
      <c r="O623" s="190">
        <f t="shared" si="72"/>
        <v>148.51</v>
      </c>
      <c r="P623" s="191">
        <f t="shared" si="73"/>
        <v>817.5</v>
      </c>
      <c r="Q623" s="192">
        <f t="shared" si="74"/>
        <v>817.5</v>
      </c>
      <c r="R623" s="193"/>
      <c r="S623" s="194"/>
      <c r="T623" s="195">
        <f t="shared" si="75"/>
        <v>0</v>
      </c>
      <c r="U623" s="195">
        <f t="shared" si="76"/>
        <v>0</v>
      </c>
      <c r="V623" s="195">
        <f t="shared" si="77"/>
        <v>0</v>
      </c>
      <c r="W623" s="196">
        <f t="shared" si="78"/>
        <v>0</v>
      </c>
      <c r="X623" s="197">
        <f t="shared" si="79"/>
        <v>0</v>
      </c>
    </row>
    <row r="624" ht="11.4" hidden="1" customHeight="1" spans="1:25">
      <c r="A624" s="184" t="s">
        <v>1879</v>
      </c>
      <c r="B624" s="184" t="s">
        <v>139</v>
      </c>
      <c r="C624" s="184" t="s">
        <v>1880</v>
      </c>
      <c r="D624" s="185" t="s">
        <v>522</v>
      </c>
      <c r="E624" s="186" t="s">
        <v>906</v>
      </c>
      <c r="F624" s="186" t="s">
        <v>907</v>
      </c>
      <c r="G624" s="186" t="s">
        <v>1881</v>
      </c>
      <c r="H624" s="186" t="s">
        <v>1974</v>
      </c>
      <c r="I624" s="187" t="s">
        <v>1977</v>
      </c>
      <c r="J624" s="187" t="s">
        <v>1978</v>
      </c>
      <c r="K624" s="188">
        <v>23</v>
      </c>
      <c r="L624" s="188">
        <v>23</v>
      </c>
      <c r="M624" s="189" t="s">
        <v>1018</v>
      </c>
      <c r="N624" s="190">
        <v>136.25</v>
      </c>
      <c r="O624" s="190">
        <f t="shared" si="72"/>
        <v>148.51</v>
      </c>
      <c r="P624" s="191">
        <f t="shared" si="73"/>
        <v>3133.75</v>
      </c>
      <c r="Q624" s="192">
        <f t="shared" si="74"/>
        <v>3133.75</v>
      </c>
      <c r="R624" s="193"/>
      <c r="S624" s="194"/>
      <c r="T624" s="195">
        <f t="shared" si="75"/>
        <v>0</v>
      </c>
      <c r="U624" s="195">
        <f t="shared" si="76"/>
        <v>0</v>
      </c>
      <c r="V624" s="195">
        <f t="shared" si="77"/>
        <v>0</v>
      </c>
      <c r="W624" s="196">
        <f t="shared" si="78"/>
        <v>0</v>
      </c>
      <c r="X624" s="199">
        <f t="shared" si="79"/>
        <v>0</v>
      </c>
      <c r="Y624" s="201" t="s">
        <v>3259</v>
      </c>
    </row>
    <row r="625" ht="11.4" hidden="1" customHeight="1" spans="1:25">
      <c r="A625" s="184" t="s">
        <v>1879</v>
      </c>
      <c r="B625" s="184" t="s">
        <v>139</v>
      </c>
      <c r="C625" s="184" t="s">
        <v>1880</v>
      </c>
      <c r="D625" s="185" t="s">
        <v>522</v>
      </c>
      <c r="E625" s="186" t="s">
        <v>906</v>
      </c>
      <c r="F625" s="186" t="s">
        <v>907</v>
      </c>
      <c r="G625" s="186" t="s">
        <v>1881</v>
      </c>
      <c r="H625" s="186" t="s">
        <v>1963</v>
      </c>
      <c r="I625" s="187" t="s">
        <v>1979</v>
      </c>
      <c r="J625" s="187" t="s">
        <v>1978</v>
      </c>
      <c r="K625" s="188">
        <v>89</v>
      </c>
      <c r="L625" s="188">
        <v>89</v>
      </c>
      <c r="M625" s="189" t="s">
        <v>1018</v>
      </c>
      <c r="N625" s="190">
        <v>136.25</v>
      </c>
      <c r="O625" s="190">
        <f t="shared" si="72"/>
        <v>148.51</v>
      </c>
      <c r="P625" s="191">
        <f t="shared" si="73"/>
        <v>12126.25</v>
      </c>
      <c r="Q625" s="192">
        <f t="shared" si="74"/>
        <v>12126.25</v>
      </c>
      <c r="R625" s="193"/>
      <c r="S625" s="194"/>
      <c r="T625" s="195">
        <f t="shared" si="75"/>
        <v>0</v>
      </c>
      <c r="U625" s="195">
        <f t="shared" si="76"/>
        <v>0</v>
      </c>
      <c r="V625" s="195">
        <f t="shared" si="77"/>
        <v>0</v>
      </c>
      <c r="W625" s="196">
        <f t="shared" si="78"/>
        <v>0</v>
      </c>
      <c r="X625" s="199">
        <f t="shared" si="79"/>
        <v>0</v>
      </c>
    </row>
    <row r="626" ht="11.4" hidden="1" customHeight="1" spans="1:25">
      <c r="A626" s="184" t="s">
        <v>1879</v>
      </c>
      <c r="B626" s="184" t="s">
        <v>139</v>
      </c>
      <c r="C626" s="184" t="s">
        <v>1880</v>
      </c>
      <c r="D626" s="185" t="s">
        <v>522</v>
      </c>
      <c r="E626" s="186" t="s">
        <v>906</v>
      </c>
      <c r="F626" s="186" t="s">
        <v>907</v>
      </c>
      <c r="G626" s="186" t="s">
        <v>1881</v>
      </c>
      <c r="H626" s="186" t="s">
        <v>1980</v>
      </c>
      <c r="I626" s="187" t="s">
        <v>1981</v>
      </c>
      <c r="J626" s="187" t="s">
        <v>1982</v>
      </c>
      <c r="K626" s="188"/>
      <c r="L626" s="188"/>
      <c r="M626" s="189" t="s">
        <v>807</v>
      </c>
      <c r="N626" s="190">
        <v>69.84</v>
      </c>
      <c r="O626" s="190">
        <f t="shared" si="72"/>
        <v>76.13</v>
      </c>
      <c r="P626" s="191">
        <f t="shared" si="73"/>
        <v>0</v>
      </c>
      <c r="Q626" s="192">
        <f t="shared" si="74"/>
        <v>0</v>
      </c>
      <c r="R626" s="193"/>
      <c r="S626" s="194"/>
      <c r="T626" s="195">
        <f t="shared" si="75"/>
        <v>0</v>
      </c>
      <c r="U626" s="195">
        <f t="shared" si="76"/>
        <v>0</v>
      </c>
      <c r="V626" s="195">
        <f t="shared" si="77"/>
        <v>0</v>
      </c>
      <c r="W626" s="196" t="e">
        <f t="shared" si="78"/>
        <v>#DIV/0!</v>
      </c>
      <c r="X626" s="197" t="e">
        <f t="shared" si="79"/>
        <v>#DIV/0!</v>
      </c>
    </row>
    <row r="627" ht="11.4" hidden="1" customHeight="1" spans="1:25">
      <c r="A627" s="184" t="s">
        <v>1879</v>
      </c>
      <c r="B627" s="184" t="s">
        <v>139</v>
      </c>
      <c r="C627" s="184" t="s">
        <v>1880</v>
      </c>
      <c r="D627" s="185" t="s">
        <v>522</v>
      </c>
      <c r="E627" s="186" t="s">
        <v>906</v>
      </c>
      <c r="F627" s="186" t="s">
        <v>907</v>
      </c>
      <c r="G627" s="186" t="s">
        <v>1881</v>
      </c>
      <c r="H627" s="186" t="s">
        <v>1980</v>
      </c>
      <c r="I627" s="187" t="s">
        <v>1984</v>
      </c>
      <c r="J627" s="202" t="s">
        <v>1985</v>
      </c>
      <c r="K627" s="203">
        <f t="shared" ref="K627:K632" si="80">L627</f>
        <v>23.72</v>
      </c>
      <c r="L627" s="188">
        <v>23.72</v>
      </c>
      <c r="M627" s="189" t="s">
        <v>807</v>
      </c>
      <c r="N627" s="190">
        <v>62.59</v>
      </c>
      <c r="O627" s="190">
        <f t="shared" si="72"/>
        <v>68.22</v>
      </c>
      <c r="P627" s="191">
        <f t="shared" si="73"/>
        <v>1484.63</v>
      </c>
      <c r="Q627" s="192">
        <f t="shared" si="74"/>
        <v>1484.63</v>
      </c>
      <c r="R627" s="193"/>
      <c r="S627" s="194"/>
      <c r="T627" s="195">
        <f t="shared" si="75"/>
        <v>0</v>
      </c>
      <c r="U627" s="195">
        <f t="shared" si="76"/>
        <v>0</v>
      </c>
      <c r="V627" s="195">
        <f t="shared" si="77"/>
        <v>0</v>
      </c>
      <c r="W627" s="196">
        <f t="shared" si="78"/>
        <v>0</v>
      </c>
      <c r="X627" s="197">
        <f t="shared" si="79"/>
        <v>0</v>
      </c>
      <c r="Y627" s="201" t="s">
        <v>1986</v>
      </c>
    </row>
    <row r="628" ht="11.4" hidden="1" customHeight="1" spans="1:25">
      <c r="A628" s="184" t="s">
        <v>1879</v>
      </c>
      <c r="B628" s="184" t="s">
        <v>139</v>
      </c>
      <c r="C628" s="184" t="s">
        <v>1880</v>
      </c>
      <c r="D628" s="185" t="s">
        <v>522</v>
      </c>
      <c r="E628" s="186" t="s">
        <v>906</v>
      </c>
      <c r="F628" s="186" t="s">
        <v>907</v>
      </c>
      <c r="G628" s="186" t="s">
        <v>1881</v>
      </c>
      <c r="H628" s="186" t="s">
        <v>1980</v>
      </c>
      <c r="I628" s="187" t="s">
        <v>1987</v>
      </c>
      <c r="J628" s="202" t="s">
        <v>1988</v>
      </c>
      <c r="K628" s="203">
        <f t="shared" si="80"/>
        <v>23.72</v>
      </c>
      <c r="L628" s="188">
        <v>23.72</v>
      </c>
      <c r="M628" s="189" t="s">
        <v>807</v>
      </c>
      <c r="N628" s="190">
        <v>52.61</v>
      </c>
      <c r="O628" s="190">
        <f t="shared" si="72"/>
        <v>57.34</v>
      </c>
      <c r="P628" s="191">
        <f t="shared" si="73"/>
        <v>1247.91</v>
      </c>
      <c r="Q628" s="192">
        <f t="shared" si="74"/>
        <v>1247.91</v>
      </c>
      <c r="R628" s="193"/>
      <c r="S628" s="194"/>
      <c r="T628" s="195">
        <f t="shared" si="75"/>
        <v>0</v>
      </c>
      <c r="U628" s="195">
        <f t="shared" si="76"/>
        <v>0</v>
      </c>
      <c r="V628" s="195">
        <f t="shared" si="77"/>
        <v>0</v>
      </c>
      <c r="W628" s="196">
        <f t="shared" si="78"/>
        <v>0</v>
      </c>
      <c r="X628" s="197">
        <f t="shared" si="79"/>
        <v>0</v>
      </c>
      <c r="Y628" s="201" t="s">
        <v>1986</v>
      </c>
    </row>
    <row r="629" ht="11.4" hidden="1" customHeight="1" spans="1:25">
      <c r="A629" s="184" t="s">
        <v>1879</v>
      </c>
      <c r="B629" s="184" t="s">
        <v>139</v>
      </c>
      <c r="C629" s="184" t="s">
        <v>1880</v>
      </c>
      <c r="D629" s="185" t="s">
        <v>522</v>
      </c>
      <c r="E629" s="186" t="s">
        <v>906</v>
      </c>
      <c r="F629" s="186" t="s">
        <v>907</v>
      </c>
      <c r="G629" s="186" t="s">
        <v>1881</v>
      </c>
      <c r="H629" s="186" t="s">
        <v>1980</v>
      </c>
      <c r="I629" s="187" t="s">
        <v>1989</v>
      </c>
      <c r="J629" s="187" t="s">
        <v>1990</v>
      </c>
      <c r="K629" s="188"/>
      <c r="L629" s="188"/>
      <c r="M629" s="189" t="s">
        <v>807</v>
      </c>
      <c r="N629" s="190">
        <v>33.42</v>
      </c>
      <c r="O629" s="190">
        <f t="shared" si="72"/>
        <v>36.43</v>
      </c>
      <c r="P629" s="191">
        <f t="shared" si="73"/>
        <v>0</v>
      </c>
      <c r="Q629" s="192">
        <f t="shared" si="74"/>
        <v>0</v>
      </c>
      <c r="R629" s="193"/>
      <c r="S629" s="194"/>
      <c r="T629" s="195">
        <f t="shared" si="75"/>
        <v>0</v>
      </c>
      <c r="U629" s="195">
        <f t="shared" si="76"/>
        <v>0</v>
      </c>
      <c r="V629" s="195">
        <f t="shared" si="77"/>
        <v>0</v>
      </c>
      <c r="W629" s="196" t="e">
        <f t="shared" si="78"/>
        <v>#DIV/0!</v>
      </c>
      <c r="X629" s="197" t="e">
        <f t="shared" si="79"/>
        <v>#DIV/0!</v>
      </c>
    </row>
    <row r="630" ht="11.4" hidden="1" customHeight="1" spans="1:25">
      <c r="A630" s="184" t="s">
        <v>1879</v>
      </c>
      <c r="B630" s="184" t="s">
        <v>139</v>
      </c>
      <c r="C630" s="184" t="s">
        <v>1880</v>
      </c>
      <c r="D630" s="185" t="s">
        <v>522</v>
      </c>
      <c r="E630" s="186" t="s">
        <v>906</v>
      </c>
      <c r="F630" s="186" t="s">
        <v>907</v>
      </c>
      <c r="G630" s="186" t="s">
        <v>1881</v>
      </c>
      <c r="H630" s="186" t="s">
        <v>1980</v>
      </c>
      <c r="I630" s="187" t="s">
        <v>1991</v>
      </c>
      <c r="J630" s="187" t="s">
        <v>1992</v>
      </c>
      <c r="K630" s="188"/>
      <c r="L630" s="188"/>
      <c r="M630" s="189" t="s">
        <v>807</v>
      </c>
      <c r="N630" s="190">
        <v>54.17</v>
      </c>
      <c r="O630" s="190">
        <f t="shared" si="72"/>
        <v>59.05</v>
      </c>
      <c r="P630" s="191">
        <f t="shared" si="73"/>
        <v>0</v>
      </c>
      <c r="Q630" s="192">
        <f t="shared" si="74"/>
        <v>0</v>
      </c>
      <c r="R630" s="193"/>
      <c r="S630" s="194"/>
      <c r="T630" s="195">
        <f t="shared" si="75"/>
        <v>0</v>
      </c>
      <c r="U630" s="195">
        <f t="shared" si="76"/>
        <v>0</v>
      </c>
      <c r="V630" s="195">
        <f t="shared" si="77"/>
        <v>0</v>
      </c>
      <c r="W630" s="196" t="e">
        <f t="shared" si="78"/>
        <v>#DIV/0!</v>
      </c>
      <c r="X630" s="197" t="e">
        <f t="shared" si="79"/>
        <v>#DIV/0!</v>
      </c>
    </row>
    <row r="631" ht="11.4" hidden="1" customHeight="1" spans="1:25">
      <c r="A631" s="184" t="s">
        <v>1879</v>
      </c>
      <c r="B631" s="184" t="s">
        <v>139</v>
      </c>
      <c r="C631" s="184" t="s">
        <v>1880</v>
      </c>
      <c r="D631" s="185" t="s">
        <v>522</v>
      </c>
      <c r="E631" s="186" t="s">
        <v>906</v>
      </c>
      <c r="F631" s="186" t="s">
        <v>907</v>
      </c>
      <c r="G631" s="186" t="s">
        <v>1881</v>
      </c>
      <c r="H631" s="186" t="s">
        <v>1980</v>
      </c>
      <c r="I631" s="187" t="s">
        <v>1993</v>
      </c>
      <c r="J631" s="202" t="s">
        <v>1994</v>
      </c>
      <c r="K631" s="203">
        <f t="shared" si="80"/>
        <v>23.59</v>
      </c>
      <c r="L631" s="188">
        <v>23.59</v>
      </c>
      <c r="M631" s="189" t="s">
        <v>807</v>
      </c>
      <c r="N631" s="190">
        <v>50.32</v>
      </c>
      <c r="O631" s="190">
        <f t="shared" si="72"/>
        <v>54.85</v>
      </c>
      <c r="P631" s="191">
        <f t="shared" si="73"/>
        <v>1187.05</v>
      </c>
      <c r="Q631" s="192">
        <f t="shared" si="74"/>
        <v>1187.05</v>
      </c>
      <c r="R631" s="193"/>
      <c r="S631" s="194"/>
      <c r="T631" s="195">
        <f t="shared" si="75"/>
        <v>0</v>
      </c>
      <c r="U631" s="195">
        <f t="shared" si="76"/>
        <v>0</v>
      </c>
      <c r="V631" s="195">
        <f t="shared" si="77"/>
        <v>0</v>
      </c>
      <c r="W631" s="196">
        <f t="shared" si="78"/>
        <v>0</v>
      </c>
      <c r="X631" s="197">
        <f t="shared" si="79"/>
        <v>0</v>
      </c>
      <c r="Y631" s="201" t="s">
        <v>1986</v>
      </c>
    </row>
    <row r="632" ht="11.4" hidden="1" customHeight="1" spans="1:25">
      <c r="A632" s="184" t="s">
        <v>1879</v>
      </c>
      <c r="B632" s="184" t="s">
        <v>139</v>
      </c>
      <c r="C632" s="184" t="s">
        <v>1880</v>
      </c>
      <c r="D632" s="185" t="s">
        <v>522</v>
      </c>
      <c r="E632" s="186" t="s">
        <v>906</v>
      </c>
      <c r="F632" s="186" t="s">
        <v>907</v>
      </c>
      <c r="G632" s="186" t="s">
        <v>1881</v>
      </c>
      <c r="H632" s="186" t="s">
        <v>1980</v>
      </c>
      <c r="I632" s="187" t="s">
        <v>1995</v>
      </c>
      <c r="J632" s="202" t="s">
        <v>1996</v>
      </c>
      <c r="K632" s="203">
        <f t="shared" si="80"/>
        <v>19.28</v>
      </c>
      <c r="L632" s="188">
        <v>19.28</v>
      </c>
      <c r="M632" s="189" t="s">
        <v>807</v>
      </c>
      <c r="N632" s="190">
        <v>32.72</v>
      </c>
      <c r="O632" s="190">
        <f t="shared" si="72"/>
        <v>35.66</v>
      </c>
      <c r="P632" s="191">
        <f t="shared" si="73"/>
        <v>630.84</v>
      </c>
      <c r="Q632" s="192">
        <f t="shared" si="74"/>
        <v>630.84</v>
      </c>
      <c r="R632" s="193"/>
      <c r="S632" s="194"/>
      <c r="T632" s="195">
        <f t="shared" si="75"/>
        <v>0</v>
      </c>
      <c r="U632" s="195">
        <f t="shared" si="76"/>
        <v>0</v>
      </c>
      <c r="V632" s="195">
        <f t="shared" si="77"/>
        <v>0</v>
      </c>
      <c r="W632" s="196">
        <f t="shared" si="78"/>
        <v>0</v>
      </c>
      <c r="X632" s="197">
        <f t="shared" si="79"/>
        <v>0</v>
      </c>
      <c r="Y632" s="201" t="s">
        <v>1986</v>
      </c>
    </row>
    <row r="633" ht="11.4" hidden="1" customHeight="1" spans="1:25">
      <c r="A633" s="184" t="s">
        <v>1879</v>
      </c>
      <c r="B633" s="184" t="s">
        <v>139</v>
      </c>
      <c r="C633" s="184" t="s">
        <v>1880</v>
      </c>
      <c r="D633" s="185" t="s">
        <v>522</v>
      </c>
      <c r="E633" s="186" t="s">
        <v>906</v>
      </c>
      <c r="F633" s="186" t="s">
        <v>907</v>
      </c>
      <c r="G633" s="186" t="s">
        <v>1881</v>
      </c>
      <c r="H633" s="186" t="s">
        <v>1980</v>
      </c>
      <c r="I633" s="187" t="s">
        <v>1997</v>
      </c>
      <c r="J633" s="187" t="s">
        <v>1998</v>
      </c>
      <c r="K633" s="188"/>
      <c r="L633" s="188"/>
      <c r="M633" s="189" t="s">
        <v>807</v>
      </c>
      <c r="N633" s="190">
        <v>58.29</v>
      </c>
      <c r="O633" s="190">
        <f t="shared" si="72"/>
        <v>63.54</v>
      </c>
      <c r="P633" s="191">
        <f t="shared" si="73"/>
        <v>0</v>
      </c>
      <c r="Q633" s="192">
        <f t="shared" si="74"/>
        <v>0</v>
      </c>
      <c r="R633" s="193"/>
      <c r="S633" s="194"/>
      <c r="T633" s="195">
        <f t="shared" si="75"/>
        <v>0</v>
      </c>
      <c r="U633" s="195">
        <f t="shared" si="76"/>
        <v>0</v>
      </c>
      <c r="V633" s="195">
        <f t="shared" si="77"/>
        <v>0</v>
      </c>
      <c r="W633" s="196" t="e">
        <f t="shared" si="78"/>
        <v>#DIV/0!</v>
      </c>
      <c r="X633" s="197" t="e">
        <f t="shared" si="79"/>
        <v>#DIV/0!</v>
      </c>
    </row>
    <row r="634" ht="11.4" hidden="1" customHeight="1" spans="1:25">
      <c r="A634" s="184" t="s">
        <v>1879</v>
      </c>
      <c r="B634" s="184" t="s">
        <v>139</v>
      </c>
      <c r="C634" s="184" t="s">
        <v>1880</v>
      </c>
      <c r="D634" s="185" t="s">
        <v>522</v>
      </c>
      <c r="E634" s="186" t="s">
        <v>906</v>
      </c>
      <c r="F634" s="186" t="s">
        <v>907</v>
      </c>
      <c r="G634" s="186" t="s">
        <v>1881</v>
      </c>
      <c r="H634" s="186" t="s">
        <v>1980</v>
      </c>
      <c r="I634" s="187" t="s">
        <v>1999</v>
      </c>
      <c r="J634" s="202" t="s">
        <v>2000</v>
      </c>
      <c r="K634" s="203">
        <f t="shared" ref="K634:K637" si="81">L634</f>
        <v>17.83</v>
      </c>
      <c r="L634" s="188">
        <v>17.83</v>
      </c>
      <c r="M634" s="189" t="s">
        <v>807</v>
      </c>
      <c r="N634" s="190">
        <v>45.54</v>
      </c>
      <c r="O634" s="190">
        <f t="shared" si="72"/>
        <v>49.64</v>
      </c>
      <c r="P634" s="191">
        <f t="shared" si="73"/>
        <v>811.98</v>
      </c>
      <c r="Q634" s="192">
        <f t="shared" si="74"/>
        <v>811.98</v>
      </c>
      <c r="R634" s="193"/>
      <c r="S634" s="194"/>
      <c r="T634" s="195">
        <f t="shared" si="75"/>
        <v>0</v>
      </c>
      <c r="U634" s="195">
        <f t="shared" si="76"/>
        <v>0</v>
      </c>
      <c r="V634" s="195">
        <f t="shared" si="77"/>
        <v>0</v>
      </c>
      <c r="W634" s="196">
        <f t="shared" si="78"/>
        <v>0</v>
      </c>
      <c r="X634" s="197">
        <f t="shared" si="79"/>
        <v>0</v>
      </c>
      <c r="Y634" s="201" t="s">
        <v>1986</v>
      </c>
    </row>
    <row r="635" ht="11.4" hidden="1" customHeight="1" spans="1:25">
      <c r="A635" s="184" t="s">
        <v>1879</v>
      </c>
      <c r="B635" s="184" t="s">
        <v>139</v>
      </c>
      <c r="C635" s="184" t="s">
        <v>1880</v>
      </c>
      <c r="D635" s="185" t="s">
        <v>522</v>
      </c>
      <c r="E635" s="186" t="s">
        <v>906</v>
      </c>
      <c r="F635" s="186" t="s">
        <v>907</v>
      </c>
      <c r="G635" s="186" t="s">
        <v>1881</v>
      </c>
      <c r="H635" s="186" t="s">
        <v>1980</v>
      </c>
      <c r="I635" s="187" t="s">
        <v>2001</v>
      </c>
      <c r="J635" s="202" t="s">
        <v>2002</v>
      </c>
      <c r="K635" s="203">
        <f t="shared" si="81"/>
        <v>28.99</v>
      </c>
      <c r="L635" s="188">
        <v>28.99</v>
      </c>
      <c r="M635" s="189" t="s">
        <v>807</v>
      </c>
      <c r="N635" s="190">
        <v>40.18</v>
      </c>
      <c r="O635" s="190">
        <f t="shared" si="72"/>
        <v>43.8</v>
      </c>
      <c r="P635" s="191">
        <f t="shared" si="73"/>
        <v>1164.82</v>
      </c>
      <c r="Q635" s="192">
        <f t="shared" si="74"/>
        <v>1164.82</v>
      </c>
      <c r="R635" s="193"/>
      <c r="S635" s="194"/>
      <c r="T635" s="195">
        <f t="shared" si="75"/>
        <v>0</v>
      </c>
      <c r="U635" s="195">
        <f t="shared" si="76"/>
        <v>0</v>
      </c>
      <c r="V635" s="195">
        <f t="shared" si="77"/>
        <v>0</v>
      </c>
      <c r="W635" s="196">
        <f t="shared" si="78"/>
        <v>0</v>
      </c>
      <c r="X635" s="197">
        <f t="shared" si="79"/>
        <v>0</v>
      </c>
      <c r="Y635" s="201" t="s">
        <v>1986</v>
      </c>
    </row>
    <row r="636" ht="11.4" hidden="1" customHeight="1" spans="1:25">
      <c r="A636" s="184" t="s">
        <v>1879</v>
      </c>
      <c r="B636" s="184" t="s">
        <v>139</v>
      </c>
      <c r="C636" s="184" t="s">
        <v>1880</v>
      </c>
      <c r="D636" s="185" t="s">
        <v>522</v>
      </c>
      <c r="E636" s="186" t="s">
        <v>906</v>
      </c>
      <c r="F636" s="186" t="s">
        <v>907</v>
      </c>
      <c r="G636" s="186" t="s">
        <v>1881</v>
      </c>
      <c r="H636" s="186" t="s">
        <v>1980</v>
      </c>
      <c r="I636" s="187" t="s">
        <v>2003</v>
      </c>
      <c r="J636" s="202" t="s">
        <v>2004</v>
      </c>
      <c r="K636" s="203">
        <f t="shared" si="81"/>
        <v>19.3</v>
      </c>
      <c r="L636" s="188">
        <v>19.3</v>
      </c>
      <c r="M636" s="189" t="s">
        <v>807</v>
      </c>
      <c r="N636" s="190">
        <v>28.14</v>
      </c>
      <c r="O636" s="190">
        <f t="shared" si="72"/>
        <v>30.67</v>
      </c>
      <c r="P636" s="191">
        <f t="shared" si="73"/>
        <v>543.1</v>
      </c>
      <c r="Q636" s="192">
        <f t="shared" si="74"/>
        <v>543.1</v>
      </c>
      <c r="R636" s="193"/>
      <c r="S636" s="194"/>
      <c r="T636" s="195">
        <f t="shared" si="75"/>
        <v>0</v>
      </c>
      <c r="U636" s="195">
        <f t="shared" si="76"/>
        <v>0</v>
      </c>
      <c r="V636" s="195">
        <f t="shared" si="77"/>
        <v>0</v>
      </c>
      <c r="W636" s="196">
        <f t="shared" si="78"/>
        <v>0</v>
      </c>
      <c r="X636" s="197">
        <f t="shared" si="79"/>
        <v>0</v>
      </c>
      <c r="Y636" s="201" t="s">
        <v>1986</v>
      </c>
    </row>
    <row r="637" ht="11.4" hidden="1" customHeight="1" spans="1:25">
      <c r="A637" s="184" t="s">
        <v>1879</v>
      </c>
      <c r="B637" s="184" t="s">
        <v>139</v>
      </c>
      <c r="C637" s="184" t="s">
        <v>1880</v>
      </c>
      <c r="D637" s="185" t="s">
        <v>522</v>
      </c>
      <c r="E637" s="186" t="s">
        <v>906</v>
      </c>
      <c r="F637" s="186" t="s">
        <v>907</v>
      </c>
      <c r="G637" s="186" t="s">
        <v>1881</v>
      </c>
      <c r="H637" s="186" t="s">
        <v>1980</v>
      </c>
      <c r="I637" s="187" t="s">
        <v>2005</v>
      </c>
      <c r="J637" s="204" t="s">
        <v>2006</v>
      </c>
      <c r="K637" s="203">
        <f t="shared" si="81"/>
        <v>73.1</v>
      </c>
      <c r="L637" s="188">
        <v>73.1</v>
      </c>
      <c r="M637" s="189" t="s">
        <v>807</v>
      </c>
      <c r="N637" s="190">
        <v>28.15</v>
      </c>
      <c r="O637" s="190">
        <f t="shared" si="72"/>
        <v>30.68</v>
      </c>
      <c r="P637" s="191">
        <f t="shared" si="73"/>
        <v>2057.77</v>
      </c>
      <c r="Q637" s="192">
        <f t="shared" si="74"/>
        <v>2057.77</v>
      </c>
      <c r="R637" s="193"/>
      <c r="S637" s="194"/>
      <c r="T637" s="195">
        <f t="shared" si="75"/>
        <v>0</v>
      </c>
      <c r="U637" s="195">
        <f t="shared" si="76"/>
        <v>0</v>
      </c>
      <c r="V637" s="195">
        <f t="shared" si="77"/>
        <v>0</v>
      </c>
      <c r="W637" s="196">
        <f t="shared" si="78"/>
        <v>0</v>
      </c>
      <c r="X637" s="197">
        <f t="shared" si="79"/>
        <v>0</v>
      </c>
      <c r="Y637" s="201" t="s">
        <v>1986</v>
      </c>
    </row>
    <row r="638" ht="11.4" hidden="1" customHeight="1" spans="1:25">
      <c r="A638" s="184" t="s">
        <v>1879</v>
      </c>
      <c r="B638" s="184" t="s">
        <v>139</v>
      </c>
      <c r="C638" s="184" t="s">
        <v>1880</v>
      </c>
      <c r="D638" s="185" t="s">
        <v>522</v>
      </c>
      <c r="E638" s="186" t="s">
        <v>906</v>
      </c>
      <c r="F638" s="186" t="s">
        <v>907</v>
      </c>
      <c r="G638" s="186" t="s">
        <v>1881</v>
      </c>
      <c r="H638" s="186" t="s">
        <v>1980</v>
      </c>
      <c r="I638" s="187" t="s">
        <v>2007</v>
      </c>
      <c r="J638" s="187" t="s">
        <v>2008</v>
      </c>
      <c r="K638" s="188">
        <v>1</v>
      </c>
      <c r="L638" s="188">
        <v>1</v>
      </c>
      <c r="M638" s="189" t="s">
        <v>1018</v>
      </c>
      <c r="N638" s="190">
        <v>1059.51</v>
      </c>
      <c r="O638" s="190">
        <f t="shared" si="72"/>
        <v>1154.87</v>
      </c>
      <c r="P638" s="191">
        <f t="shared" si="73"/>
        <v>1059.51</v>
      </c>
      <c r="Q638" s="192">
        <f t="shared" si="74"/>
        <v>1059.51</v>
      </c>
      <c r="R638" s="193"/>
      <c r="S638" s="194"/>
      <c r="T638" s="195">
        <f t="shared" si="75"/>
        <v>0</v>
      </c>
      <c r="U638" s="195">
        <f t="shared" si="76"/>
        <v>0</v>
      </c>
      <c r="V638" s="195">
        <f t="shared" si="77"/>
        <v>0</v>
      </c>
      <c r="W638" s="196">
        <f t="shared" si="78"/>
        <v>0</v>
      </c>
      <c r="X638" s="197">
        <f t="shared" si="79"/>
        <v>0</v>
      </c>
    </row>
    <row r="639" ht="11.4" hidden="1" customHeight="1" spans="1:25">
      <c r="A639" s="184" t="s">
        <v>1879</v>
      </c>
      <c r="B639" s="184" t="s">
        <v>139</v>
      </c>
      <c r="C639" s="184" t="s">
        <v>1880</v>
      </c>
      <c r="D639" s="185" t="s">
        <v>522</v>
      </c>
      <c r="E639" s="186" t="s">
        <v>906</v>
      </c>
      <c r="F639" s="186" t="s">
        <v>907</v>
      </c>
      <c r="G639" s="186" t="s">
        <v>1881</v>
      </c>
      <c r="H639" s="186" t="s">
        <v>1980</v>
      </c>
      <c r="I639" s="187" t="s">
        <v>2009</v>
      </c>
      <c r="J639" s="187" t="s">
        <v>2010</v>
      </c>
      <c r="K639" s="188">
        <v>3</v>
      </c>
      <c r="L639" s="188">
        <v>3</v>
      </c>
      <c r="M639" s="189" t="s">
        <v>1018</v>
      </c>
      <c r="N639" s="190">
        <v>829.5</v>
      </c>
      <c r="O639" s="190">
        <f t="shared" si="72"/>
        <v>904.16</v>
      </c>
      <c r="P639" s="191">
        <f t="shared" si="73"/>
        <v>2488.5</v>
      </c>
      <c r="Q639" s="192">
        <f t="shared" si="74"/>
        <v>2488.5</v>
      </c>
      <c r="R639" s="193"/>
      <c r="S639" s="194"/>
      <c r="T639" s="195">
        <f t="shared" si="75"/>
        <v>0</v>
      </c>
      <c r="U639" s="195">
        <f t="shared" si="76"/>
        <v>0</v>
      </c>
      <c r="V639" s="195">
        <f t="shared" si="77"/>
        <v>0</v>
      </c>
      <c r="W639" s="196">
        <f t="shared" si="78"/>
        <v>0</v>
      </c>
      <c r="X639" s="197">
        <f t="shared" si="79"/>
        <v>0</v>
      </c>
    </row>
    <row r="640" ht="11.4" hidden="1" customHeight="1" spans="1:25">
      <c r="A640" s="184" t="s">
        <v>1879</v>
      </c>
      <c r="B640" s="184" t="s">
        <v>139</v>
      </c>
      <c r="C640" s="184" t="s">
        <v>1880</v>
      </c>
      <c r="D640" s="185" t="s">
        <v>522</v>
      </c>
      <c r="E640" s="186" t="s">
        <v>906</v>
      </c>
      <c r="F640" s="186" t="s">
        <v>907</v>
      </c>
      <c r="G640" s="186" t="s">
        <v>1881</v>
      </c>
      <c r="H640" s="186" t="s">
        <v>1980</v>
      </c>
      <c r="I640" s="187" t="s">
        <v>2011</v>
      </c>
      <c r="J640" s="187" t="s">
        <v>2012</v>
      </c>
      <c r="K640" s="188">
        <v>2</v>
      </c>
      <c r="L640" s="188">
        <v>2</v>
      </c>
      <c r="M640" s="189" t="s">
        <v>1018</v>
      </c>
      <c r="N640" s="190">
        <v>698.6</v>
      </c>
      <c r="O640" s="190">
        <f t="shared" si="72"/>
        <v>761.47</v>
      </c>
      <c r="P640" s="191">
        <f t="shared" si="73"/>
        <v>1397.2</v>
      </c>
      <c r="Q640" s="192">
        <f t="shared" si="74"/>
        <v>1397.2</v>
      </c>
      <c r="R640" s="193"/>
      <c r="S640" s="194"/>
      <c r="T640" s="195">
        <f t="shared" si="75"/>
        <v>0</v>
      </c>
      <c r="U640" s="195">
        <f t="shared" si="76"/>
        <v>0</v>
      </c>
      <c r="V640" s="195">
        <f t="shared" si="77"/>
        <v>0</v>
      </c>
      <c r="W640" s="196">
        <f t="shared" si="78"/>
        <v>0</v>
      </c>
      <c r="X640" s="197">
        <f t="shared" si="79"/>
        <v>0</v>
      </c>
    </row>
    <row r="641" ht="11.4" hidden="1" customHeight="1" spans="1:24">
      <c r="A641" s="184" t="s">
        <v>1879</v>
      </c>
      <c r="B641" s="184" t="s">
        <v>139</v>
      </c>
      <c r="C641" s="184" t="s">
        <v>1880</v>
      </c>
      <c r="D641" s="185" t="s">
        <v>522</v>
      </c>
      <c r="E641" s="186" t="s">
        <v>906</v>
      </c>
      <c r="F641" s="186" t="s">
        <v>907</v>
      </c>
      <c r="G641" s="186" t="s">
        <v>1881</v>
      </c>
      <c r="H641" s="186" t="s">
        <v>1980</v>
      </c>
      <c r="I641" s="187" t="s">
        <v>2013</v>
      </c>
      <c r="J641" s="187" t="s">
        <v>2014</v>
      </c>
      <c r="K641" s="188">
        <v>1</v>
      </c>
      <c r="L641" s="188">
        <v>1</v>
      </c>
      <c r="M641" s="189" t="s">
        <v>1018</v>
      </c>
      <c r="N641" s="190">
        <v>996.7</v>
      </c>
      <c r="O641" s="190">
        <f t="shared" si="72"/>
        <v>1086.4</v>
      </c>
      <c r="P641" s="191">
        <f t="shared" si="73"/>
        <v>996.7</v>
      </c>
      <c r="Q641" s="192">
        <f t="shared" si="74"/>
        <v>996.7</v>
      </c>
      <c r="R641" s="193"/>
      <c r="S641" s="194"/>
      <c r="T641" s="195">
        <f t="shared" si="75"/>
        <v>0</v>
      </c>
      <c r="U641" s="195">
        <f t="shared" si="76"/>
        <v>0</v>
      </c>
      <c r="V641" s="195">
        <f t="shared" si="77"/>
        <v>0</v>
      </c>
      <c r="W641" s="196">
        <f t="shared" si="78"/>
        <v>0</v>
      </c>
      <c r="X641" s="197">
        <f t="shared" si="79"/>
        <v>0</v>
      </c>
    </row>
    <row r="642" ht="11.4" hidden="1" customHeight="1" spans="1:24">
      <c r="A642" s="184" t="s">
        <v>1879</v>
      </c>
      <c r="B642" s="184" t="s">
        <v>139</v>
      </c>
      <c r="C642" s="184" t="s">
        <v>1880</v>
      </c>
      <c r="D642" s="185" t="s">
        <v>522</v>
      </c>
      <c r="E642" s="186" t="s">
        <v>906</v>
      </c>
      <c r="F642" s="186" t="s">
        <v>907</v>
      </c>
      <c r="G642" s="186" t="s">
        <v>1881</v>
      </c>
      <c r="H642" s="186" t="s">
        <v>1980</v>
      </c>
      <c r="I642" s="187" t="s">
        <v>2015</v>
      </c>
      <c r="J642" s="187" t="s">
        <v>2016</v>
      </c>
      <c r="K642" s="188">
        <v>2</v>
      </c>
      <c r="L642" s="188">
        <v>2</v>
      </c>
      <c r="M642" s="189" t="s">
        <v>1018</v>
      </c>
      <c r="N642" s="190">
        <v>563.75</v>
      </c>
      <c r="O642" s="190">
        <f t="shared" si="72"/>
        <v>614.49</v>
      </c>
      <c r="P642" s="191">
        <f t="shared" si="73"/>
        <v>1127.5</v>
      </c>
      <c r="Q642" s="192">
        <f t="shared" si="74"/>
        <v>1127.5</v>
      </c>
      <c r="R642" s="193"/>
      <c r="S642" s="194"/>
      <c r="T642" s="195">
        <f t="shared" si="75"/>
        <v>0</v>
      </c>
      <c r="U642" s="195">
        <f t="shared" si="76"/>
        <v>0</v>
      </c>
      <c r="V642" s="195">
        <f t="shared" si="77"/>
        <v>0</v>
      </c>
      <c r="W642" s="196">
        <f t="shared" si="78"/>
        <v>0</v>
      </c>
      <c r="X642" s="197">
        <f t="shared" si="79"/>
        <v>0</v>
      </c>
    </row>
    <row r="643" ht="11.4" hidden="1" customHeight="1" spans="1:24">
      <c r="A643" s="184" t="s">
        <v>1879</v>
      </c>
      <c r="B643" s="184" t="s">
        <v>139</v>
      </c>
      <c r="C643" s="184" t="s">
        <v>1880</v>
      </c>
      <c r="D643" s="185" t="s">
        <v>522</v>
      </c>
      <c r="E643" s="186" t="s">
        <v>906</v>
      </c>
      <c r="F643" s="186" t="s">
        <v>907</v>
      </c>
      <c r="G643" s="186" t="s">
        <v>1881</v>
      </c>
      <c r="H643" s="186" t="s">
        <v>1980</v>
      </c>
      <c r="I643" s="187" t="s">
        <v>2018</v>
      </c>
      <c r="J643" s="187" t="s">
        <v>2019</v>
      </c>
      <c r="K643" s="188"/>
      <c r="L643" s="188"/>
      <c r="M643" s="189" t="s">
        <v>1018</v>
      </c>
      <c r="N643" s="190">
        <v>551.65</v>
      </c>
      <c r="O643" s="190">
        <f t="shared" si="72"/>
        <v>601.3</v>
      </c>
      <c r="P643" s="191">
        <f t="shared" si="73"/>
        <v>0</v>
      </c>
      <c r="Q643" s="192">
        <f t="shared" si="74"/>
        <v>0</v>
      </c>
      <c r="R643" s="193"/>
      <c r="S643" s="194"/>
      <c r="T643" s="195">
        <f t="shared" si="75"/>
        <v>0</v>
      </c>
      <c r="U643" s="195">
        <f t="shared" si="76"/>
        <v>0</v>
      </c>
      <c r="V643" s="195">
        <f t="shared" si="77"/>
        <v>0</v>
      </c>
      <c r="W643" s="196" t="e">
        <f t="shared" si="78"/>
        <v>#DIV/0!</v>
      </c>
      <c r="X643" s="197" t="e">
        <f t="shared" si="79"/>
        <v>#DIV/0!</v>
      </c>
    </row>
    <row r="644" ht="11.4" hidden="1" customHeight="1" spans="1:24">
      <c r="A644" s="184" t="s">
        <v>1879</v>
      </c>
      <c r="B644" s="184" t="s">
        <v>139</v>
      </c>
      <c r="C644" s="184" t="s">
        <v>1880</v>
      </c>
      <c r="D644" s="185" t="s">
        <v>522</v>
      </c>
      <c r="E644" s="186" t="s">
        <v>906</v>
      </c>
      <c r="F644" s="186" t="s">
        <v>907</v>
      </c>
      <c r="G644" s="186" t="s">
        <v>1881</v>
      </c>
      <c r="H644" s="186" t="s">
        <v>1980</v>
      </c>
      <c r="I644" s="187" t="s">
        <v>2020</v>
      </c>
      <c r="J644" s="154" t="s">
        <v>2021</v>
      </c>
      <c r="K644" s="188">
        <v>1</v>
      </c>
      <c r="L644" s="188">
        <v>1</v>
      </c>
      <c r="M644" s="189" t="s">
        <v>1018</v>
      </c>
      <c r="N644" s="190">
        <v>252.22</v>
      </c>
      <c r="O644" s="190">
        <f t="shared" si="72"/>
        <v>274.92</v>
      </c>
      <c r="P644" s="191">
        <f t="shared" si="73"/>
        <v>252.22</v>
      </c>
      <c r="Q644" s="192">
        <f t="shared" si="74"/>
        <v>252.22</v>
      </c>
      <c r="R644" s="193"/>
      <c r="S644" s="194"/>
      <c r="T644" s="195">
        <f t="shared" si="75"/>
        <v>0</v>
      </c>
      <c r="U644" s="195">
        <f t="shared" si="76"/>
        <v>0</v>
      </c>
      <c r="V644" s="195">
        <f t="shared" si="77"/>
        <v>0</v>
      </c>
      <c r="W644" s="196">
        <f t="shared" si="78"/>
        <v>0</v>
      </c>
      <c r="X644" s="197">
        <f t="shared" si="79"/>
        <v>0</v>
      </c>
    </row>
    <row r="645" ht="11.4" hidden="1" customHeight="1" spans="1:24">
      <c r="A645" s="184" t="s">
        <v>1879</v>
      </c>
      <c r="B645" s="184" t="s">
        <v>139</v>
      </c>
      <c r="C645" s="184" t="s">
        <v>1880</v>
      </c>
      <c r="D645" s="185" t="s">
        <v>522</v>
      </c>
      <c r="E645" s="186" t="s">
        <v>906</v>
      </c>
      <c r="F645" s="186" t="s">
        <v>907</v>
      </c>
      <c r="G645" s="186" t="s">
        <v>1881</v>
      </c>
      <c r="H645" s="186" t="s">
        <v>1980</v>
      </c>
      <c r="I645" s="187" t="s">
        <v>2022</v>
      </c>
      <c r="J645" s="187" t="s">
        <v>2023</v>
      </c>
      <c r="K645" s="188"/>
      <c r="L645" s="188"/>
      <c r="M645" s="189" t="s">
        <v>807</v>
      </c>
      <c r="N645" s="190">
        <v>51.8</v>
      </c>
      <c r="O645" s="190">
        <f t="shared" si="72"/>
        <v>56.46</v>
      </c>
      <c r="P645" s="191">
        <f t="shared" si="73"/>
        <v>0</v>
      </c>
      <c r="Q645" s="192">
        <f t="shared" si="74"/>
        <v>0</v>
      </c>
      <c r="R645" s="193"/>
      <c r="S645" s="194"/>
      <c r="T645" s="195">
        <f t="shared" si="75"/>
        <v>0</v>
      </c>
      <c r="U645" s="195">
        <f t="shared" si="76"/>
        <v>0</v>
      </c>
      <c r="V645" s="195">
        <f t="shared" si="77"/>
        <v>0</v>
      </c>
      <c r="W645" s="196" t="e">
        <f t="shared" si="78"/>
        <v>#DIV/0!</v>
      </c>
      <c r="X645" s="197" t="e">
        <f t="shared" si="79"/>
        <v>#DIV/0!</v>
      </c>
    </row>
    <row r="646" ht="11.4" hidden="1" customHeight="1" spans="1:24">
      <c r="A646" s="184" t="s">
        <v>1879</v>
      </c>
      <c r="B646" s="184" t="s">
        <v>139</v>
      </c>
      <c r="C646" s="184" t="s">
        <v>1880</v>
      </c>
      <c r="D646" s="185" t="s">
        <v>522</v>
      </c>
      <c r="E646" s="186" t="s">
        <v>906</v>
      </c>
      <c r="F646" s="186" t="s">
        <v>907</v>
      </c>
      <c r="G646" s="186" t="s">
        <v>1881</v>
      </c>
      <c r="H646" s="186" t="s">
        <v>1980</v>
      </c>
      <c r="I646" s="187" t="s">
        <v>2024</v>
      </c>
      <c r="J646" s="187" t="s">
        <v>2025</v>
      </c>
      <c r="K646" s="188"/>
      <c r="L646" s="188"/>
      <c r="M646" s="189" t="s">
        <v>807</v>
      </c>
      <c r="N646" s="190">
        <v>73.06</v>
      </c>
      <c r="O646" s="190">
        <f t="shared" si="72"/>
        <v>79.64</v>
      </c>
      <c r="P646" s="191">
        <f t="shared" si="73"/>
        <v>0</v>
      </c>
      <c r="Q646" s="192">
        <f t="shared" si="74"/>
        <v>0</v>
      </c>
      <c r="R646" s="193"/>
      <c r="S646" s="194"/>
      <c r="T646" s="195">
        <f t="shared" si="75"/>
        <v>0</v>
      </c>
      <c r="U646" s="195">
        <f t="shared" si="76"/>
        <v>0</v>
      </c>
      <c r="V646" s="195">
        <f t="shared" si="77"/>
        <v>0</v>
      </c>
      <c r="W646" s="196" t="e">
        <f t="shared" si="78"/>
        <v>#DIV/0!</v>
      </c>
      <c r="X646" s="197" t="e">
        <f t="shared" si="79"/>
        <v>#DIV/0!</v>
      </c>
    </row>
    <row r="647" ht="11.4" hidden="1" customHeight="1" spans="1:24">
      <c r="A647" s="184" t="s">
        <v>1879</v>
      </c>
      <c r="B647" s="184" t="s">
        <v>139</v>
      </c>
      <c r="C647" s="184" t="s">
        <v>1880</v>
      </c>
      <c r="D647" s="185" t="s">
        <v>522</v>
      </c>
      <c r="E647" s="186" t="s">
        <v>906</v>
      </c>
      <c r="F647" s="186" t="s">
        <v>907</v>
      </c>
      <c r="G647" s="186" t="s">
        <v>1881</v>
      </c>
      <c r="H647" s="186" t="s">
        <v>1980</v>
      </c>
      <c r="I647" s="187" t="s">
        <v>2026</v>
      </c>
      <c r="J647" s="187" t="s">
        <v>2027</v>
      </c>
      <c r="K647" s="188"/>
      <c r="L647" s="188"/>
      <c r="M647" s="189" t="s">
        <v>807</v>
      </c>
      <c r="N647" s="190">
        <v>55.68</v>
      </c>
      <c r="O647" s="190">
        <f t="shared" si="72"/>
        <v>60.69</v>
      </c>
      <c r="P647" s="191">
        <f t="shared" si="73"/>
        <v>0</v>
      </c>
      <c r="Q647" s="192">
        <f t="shared" si="74"/>
        <v>0</v>
      </c>
      <c r="R647" s="193"/>
      <c r="S647" s="194"/>
      <c r="T647" s="195">
        <f t="shared" si="75"/>
        <v>0</v>
      </c>
      <c r="U647" s="195">
        <f t="shared" si="76"/>
        <v>0</v>
      </c>
      <c r="V647" s="195">
        <f t="shared" si="77"/>
        <v>0</v>
      </c>
      <c r="W647" s="196" t="e">
        <f t="shared" si="78"/>
        <v>#DIV/0!</v>
      </c>
      <c r="X647" s="197" t="e">
        <f t="shared" si="79"/>
        <v>#DIV/0!</v>
      </c>
    </row>
    <row r="648" ht="11.4" hidden="1" customHeight="1" spans="1:24">
      <c r="A648" s="184" t="s">
        <v>1879</v>
      </c>
      <c r="B648" s="184" t="s">
        <v>139</v>
      </c>
      <c r="C648" s="184" t="s">
        <v>1880</v>
      </c>
      <c r="D648" s="185" t="s">
        <v>522</v>
      </c>
      <c r="E648" s="186" t="s">
        <v>906</v>
      </c>
      <c r="F648" s="186" t="s">
        <v>907</v>
      </c>
      <c r="G648" s="186" t="s">
        <v>1881</v>
      </c>
      <c r="H648" s="186" t="s">
        <v>1980</v>
      </c>
      <c r="I648" s="187" t="s">
        <v>2028</v>
      </c>
      <c r="J648" s="187" t="s">
        <v>2029</v>
      </c>
      <c r="K648" s="188"/>
      <c r="L648" s="188"/>
      <c r="M648" s="189" t="s">
        <v>807</v>
      </c>
      <c r="N648" s="190">
        <v>37.65</v>
      </c>
      <c r="O648" s="190">
        <f t="shared" si="72"/>
        <v>41.04</v>
      </c>
      <c r="P648" s="191">
        <f t="shared" si="73"/>
        <v>0</v>
      </c>
      <c r="Q648" s="192">
        <f t="shared" si="74"/>
        <v>0</v>
      </c>
      <c r="R648" s="193"/>
      <c r="S648" s="194"/>
      <c r="T648" s="195">
        <f t="shared" si="75"/>
        <v>0</v>
      </c>
      <c r="U648" s="195">
        <f t="shared" si="76"/>
        <v>0</v>
      </c>
      <c r="V648" s="195">
        <f t="shared" si="77"/>
        <v>0</v>
      </c>
      <c r="W648" s="196" t="e">
        <f t="shared" si="78"/>
        <v>#DIV/0!</v>
      </c>
      <c r="X648" s="197" t="e">
        <f t="shared" si="79"/>
        <v>#DIV/0!</v>
      </c>
    </row>
    <row r="649" ht="11.4" hidden="1" customHeight="1" spans="1:24">
      <c r="A649" s="184" t="s">
        <v>1879</v>
      </c>
      <c r="B649" s="184" t="s">
        <v>139</v>
      </c>
      <c r="C649" s="184" t="s">
        <v>1880</v>
      </c>
      <c r="D649" s="185" t="s">
        <v>522</v>
      </c>
      <c r="E649" s="186" t="s">
        <v>906</v>
      </c>
      <c r="F649" s="186" t="s">
        <v>907</v>
      </c>
      <c r="G649" s="186" t="s">
        <v>1881</v>
      </c>
      <c r="H649" s="186" t="s">
        <v>1980</v>
      </c>
      <c r="I649" s="187" t="s">
        <v>2030</v>
      </c>
      <c r="J649" s="187" t="s">
        <v>2031</v>
      </c>
      <c r="K649" s="188"/>
      <c r="L649" s="188"/>
      <c r="M649" s="189" t="s">
        <v>989</v>
      </c>
      <c r="N649" s="190">
        <v>842.05</v>
      </c>
      <c r="O649" s="190">
        <f t="shared" si="72"/>
        <v>917.83</v>
      </c>
      <c r="P649" s="191">
        <f t="shared" si="73"/>
        <v>0</v>
      </c>
      <c r="Q649" s="192">
        <f t="shared" si="74"/>
        <v>0</v>
      </c>
      <c r="R649" s="193"/>
      <c r="S649" s="194"/>
      <c r="T649" s="195">
        <f t="shared" si="75"/>
        <v>0</v>
      </c>
      <c r="U649" s="195">
        <f t="shared" si="76"/>
        <v>0</v>
      </c>
      <c r="V649" s="195">
        <f t="shared" si="77"/>
        <v>0</v>
      </c>
      <c r="W649" s="196" t="e">
        <f t="shared" si="78"/>
        <v>#DIV/0!</v>
      </c>
      <c r="X649" s="197" t="e">
        <f t="shared" si="79"/>
        <v>#DIV/0!</v>
      </c>
    </row>
    <row r="650" ht="11.4" hidden="1" customHeight="1" spans="1:24">
      <c r="A650" s="184" t="s">
        <v>1879</v>
      </c>
      <c r="B650" s="184" t="s">
        <v>139</v>
      </c>
      <c r="C650" s="184" t="s">
        <v>1880</v>
      </c>
      <c r="D650" s="185" t="s">
        <v>522</v>
      </c>
      <c r="E650" s="186" t="s">
        <v>906</v>
      </c>
      <c r="F650" s="186" t="s">
        <v>907</v>
      </c>
      <c r="G650" s="186" t="s">
        <v>1881</v>
      </c>
      <c r="H650" s="186" t="s">
        <v>2032</v>
      </c>
      <c r="I650" s="187" t="s">
        <v>2033</v>
      </c>
      <c r="J650" s="154" t="s">
        <v>2034</v>
      </c>
      <c r="K650" s="188">
        <v>2</v>
      </c>
      <c r="L650" s="188">
        <v>2</v>
      </c>
      <c r="M650" s="189" t="s">
        <v>1018</v>
      </c>
      <c r="N650" s="190">
        <v>505.45</v>
      </c>
      <c r="O650" s="190">
        <f t="shared" si="72"/>
        <v>550.94</v>
      </c>
      <c r="P650" s="191">
        <f t="shared" si="73"/>
        <v>1010.9</v>
      </c>
      <c r="Q650" s="192">
        <f t="shared" si="74"/>
        <v>1010.9</v>
      </c>
      <c r="R650" s="193"/>
      <c r="S650" s="194"/>
      <c r="T650" s="195">
        <f t="shared" si="75"/>
        <v>0</v>
      </c>
      <c r="U650" s="195">
        <f t="shared" si="76"/>
        <v>0</v>
      </c>
      <c r="V650" s="195">
        <f t="shared" si="77"/>
        <v>0</v>
      </c>
      <c r="W650" s="196">
        <f t="shared" si="78"/>
        <v>0</v>
      </c>
      <c r="X650" s="197">
        <f t="shared" si="79"/>
        <v>0</v>
      </c>
    </row>
    <row r="651" ht="11.4" hidden="1" customHeight="1" spans="1:24">
      <c r="A651" s="184" t="s">
        <v>1879</v>
      </c>
      <c r="B651" s="184" t="s">
        <v>139</v>
      </c>
      <c r="C651" s="184" t="s">
        <v>1880</v>
      </c>
      <c r="D651" s="185" t="s">
        <v>522</v>
      </c>
      <c r="E651" s="186" t="s">
        <v>906</v>
      </c>
      <c r="F651" s="186" t="s">
        <v>907</v>
      </c>
      <c r="G651" s="186" t="s">
        <v>1881</v>
      </c>
      <c r="H651" s="186" t="s">
        <v>2032</v>
      </c>
      <c r="I651" s="187" t="s">
        <v>2036</v>
      </c>
      <c r="J651" s="187" t="s">
        <v>2037</v>
      </c>
      <c r="K651" s="188"/>
      <c r="L651" s="188"/>
      <c r="M651" s="189" t="s">
        <v>807</v>
      </c>
      <c r="N651" s="190">
        <v>34.75</v>
      </c>
      <c r="O651" s="190">
        <f t="shared" si="72"/>
        <v>37.88</v>
      </c>
      <c r="P651" s="191">
        <f t="shared" si="73"/>
        <v>0</v>
      </c>
      <c r="Q651" s="192">
        <f t="shared" si="74"/>
        <v>0</v>
      </c>
      <c r="R651" s="193"/>
      <c r="S651" s="194"/>
      <c r="T651" s="195">
        <f t="shared" si="75"/>
        <v>0</v>
      </c>
      <c r="U651" s="195">
        <f t="shared" si="76"/>
        <v>0</v>
      </c>
      <c r="V651" s="195">
        <f t="shared" si="77"/>
        <v>0</v>
      </c>
      <c r="W651" s="196" t="e">
        <f t="shared" si="78"/>
        <v>#DIV/0!</v>
      </c>
      <c r="X651" s="197" t="e">
        <f t="shared" si="79"/>
        <v>#DIV/0!</v>
      </c>
    </row>
    <row r="652" ht="11.4" hidden="1" customHeight="1" spans="1:24">
      <c r="A652" s="184" t="s">
        <v>1879</v>
      </c>
      <c r="B652" s="184" t="s">
        <v>139</v>
      </c>
      <c r="C652" s="184" t="s">
        <v>1880</v>
      </c>
      <c r="D652" s="185" t="s">
        <v>522</v>
      </c>
      <c r="E652" s="186" t="s">
        <v>906</v>
      </c>
      <c r="F652" s="186" t="s">
        <v>907</v>
      </c>
      <c r="G652" s="186" t="s">
        <v>1881</v>
      </c>
      <c r="H652" s="186" t="s">
        <v>2032</v>
      </c>
      <c r="I652" s="187" t="s">
        <v>2038</v>
      </c>
      <c r="J652" s="187" t="s">
        <v>2039</v>
      </c>
      <c r="K652" s="188"/>
      <c r="L652" s="188"/>
      <c r="M652" s="189" t="s">
        <v>807</v>
      </c>
      <c r="N652" s="190">
        <v>34.75</v>
      </c>
      <c r="O652" s="190">
        <f t="shared" si="72"/>
        <v>37.88</v>
      </c>
      <c r="P652" s="191">
        <f t="shared" si="73"/>
        <v>0</v>
      </c>
      <c r="Q652" s="192">
        <f t="shared" si="74"/>
        <v>0</v>
      </c>
      <c r="R652" s="193"/>
      <c r="S652" s="194"/>
      <c r="T652" s="195">
        <f t="shared" si="75"/>
        <v>0</v>
      </c>
      <c r="U652" s="195">
        <f t="shared" si="76"/>
        <v>0</v>
      </c>
      <c r="V652" s="195">
        <f t="shared" si="77"/>
        <v>0</v>
      </c>
      <c r="W652" s="196" t="e">
        <f t="shared" si="78"/>
        <v>#DIV/0!</v>
      </c>
      <c r="X652" s="197" t="e">
        <f t="shared" si="79"/>
        <v>#DIV/0!</v>
      </c>
    </row>
    <row r="653" ht="11.4" hidden="1" customHeight="1" spans="1:24">
      <c r="A653" s="184" t="s">
        <v>1879</v>
      </c>
      <c r="B653" s="184" t="s">
        <v>139</v>
      </c>
      <c r="C653" s="184" t="s">
        <v>1880</v>
      </c>
      <c r="D653" s="185" t="s">
        <v>522</v>
      </c>
      <c r="E653" s="186" t="s">
        <v>906</v>
      </c>
      <c r="F653" s="186" t="s">
        <v>907</v>
      </c>
      <c r="G653" s="186" t="s">
        <v>1881</v>
      </c>
      <c r="H653" s="186" t="s">
        <v>2032</v>
      </c>
      <c r="I653" s="187" t="s">
        <v>2040</v>
      </c>
      <c r="J653" s="187" t="s">
        <v>2041</v>
      </c>
      <c r="K653" s="188"/>
      <c r="L653" s="188"/>
      <c r="M653" s="189" t="s">
        <v>989</v>
      </c>
      <c r="N653" s="190">
        <v>762.65</v>
      </c>
      <c r="O653" s="190">
        <f t="shared" ref="O653:O716" si="82">ROUND(N653*(1+$F$10),2)</f>
        <v>831.29</v>
      </c>
      <c r="P653" s="191">
        <f t="shared" ref="P653:P716" si="83">ROUND(K653*N653,2)</f>
        <v>0</v>
      </c>
      <c r="Q653" s="192">
        <f t="shared" ref="Q653:Q716" si="84">ROUND(L653*N653,2)</f>
        <v>0</v>
      </c>
      <c r="R653" s="193"/>
      <c r="S653" s="194"/>
      <c r="T653" s="195">
        <f t="shared" ref="T653:T716" si="85">K653-L653</f>
        <v>0</v>
      </c>
      <c r="U653" s="195">
        <f t="shared" ref="U653:U716" si="86">P653-Q653</f>
        <v>0</v>
      </c>
      <c r="V653" s="195">
        <f t="shared" ref="V653:V716" si="87">ABS(U653)</f>
        <v>0</v>
      </c>
      <c r="W653" s="196" t="e">
        <f t="shared" ref="W653:W716" si="88">T653/L653</f>
        <v>#DIV/0!</v>
      </c>
      <c r="X653" s="197" t="e">
        <f t="shared" ref="X653:X716" si="89">ABS(W653)</f>
        <v>#DIV/0!</v>
      </c>
    </row>
    <row r="654" ht="11.4" hidden="1" customHeight="1" spans="1:24">
      <c r="A654" s="184" t="s">
        <v>1879</v>
      </c>
      <c r="B654" s="184" t="s">
        <v>139</v>
      </c>
      <c r="C654" s="184" t="s">
        <v>1880</v>
      </c>
      <c r="D654" s="185" t="s">
        <v>522</v>
      </c>
      <c r="E654" s="186" t="s">
        <v>906</v>
      </c>
      <c r="F654" s="186" t="s">
        <v>907</v>
      </c>
      <c r="G654" s="186" t="s">
        <v>1881</v>
      </c>
      <c r="H654" s="186" t="s">
        <v>2032</v>
      </c>
      <c r="I654" s="187" t="s">
        <v>2042</v>
      </c>
      <c r="J654" s="187" t="s">
        <v>2043</v>
      </c>
      <c r="K654" s="188">
        <v>2</v>
      </c>
      <c r="L654" s="188">
        <v>2</v>
      </c>
      <c r="M654" s="189" t="s">
        <v>1018</v>
      </c>
      <c r="N654" s="190">
        <v>374.11</v>
      </c>
      <c r="O654" s="190">
        <f t="shared" si="82"/>
        <v>407.78</v>
      </c>
      <c r="P654" s="191">
        <f t="shared" si="83"/>
        <v>748.22</v>
      </c>
      <c r="Q654" s="192">
        <f t="shared" si="84"/>
        <v>748.22</v>
      </c>
      <c r="R654" s="193"/>
      <c r="S654" s="194"/>
      <c r="T654" s="195">
        <f t="shared" si="85"/>
        <v>0</v>
      </c>
      <c r="U654" s="195">
        <f t="shared" si="86"/>
        <v>0</v>
      </c>
      <c r="V654" s="195">
        <f t="shared" si="87"/>
        <v>0</v>
      </c>
      <c r="W654" s="196">
        <f t="shared" si="88"/>
        <v>0</v>
      </c>
      <c r="X654" s="197">
        <f t="shared" si="89"/>
        <v>0</v>
      </c>
    </row>
    <row r="655" ht="11.4" hidden="1" customHeight="1" spans="1:24">
      <c r="A655" s="184" t="s">
        <v>1879</v>
      </c>
      <c r="B655" s="184" t="s">
        <v>139</v>
      </c>
      <c r="C655" s="184" t="s">
        <v>1880</v>
      </c>
      <c r="D655" s="185" t="s">
        <v>522</v>
      </c>
      <c r="E655" s="186" t="s">
        <v>906</v>
      </c>
      <c r="F655" s="186" t="s">
        <v>907</v>
      </c>
      <c r="G655" s="186" t="s">
        <v>1881</v>
      </c>
      <c r="H655" s="186" t="s">
        <v>2032</v>
      </c>
      <c r="I655" s="187" t="s">
        <v>2044</v>
      </c>
      <c r="J655" s="187" t="s">
        <v>2045</v>
      </c>
      <c r="K655" s="188"/>
      <c r="L655" s="188"/>
      <c r="M655" s="189" t="s">
        <v>807</v>
      </c>
      <c r="N655" s="190">
        <v>37.94</v>
      </c>
      <c r="O655" s="190">
        <f t="shared" si="82"/>
        <v>41.35</v>
      </c>
      <c r="P655" s="191">
        <f t="shared" si="83"/>
        <v>0</v>
      </c>
      <c r="Q655" s="192">
        <f t="shared" si="84"/>
        <v>0</v>
      </c>
      <c r="R655" s="193"/>
      <c r="S655" s="194"/>
      <c r="T655" s="195">
        <f t="shared" si="85"/>
        <v>0</v>
      </c>
      <c r="U655" s="195">
        <f t="shared" si="86"/>
        <v>0</v>
      </c>
      <c r="V655" s="195">
        <f t="shared" si="87"/>
        <v>0</v>
      </c>
      <c r="W655" s="196" t="e">
        <f t="shared" si="88"/>
        <v>#DIV/0!</v>
      </c>
      <c r="X655" s="197" t="e">
        <f t="shared" si="89"/>
        <v>#DIV/0!</v>
      </c>
    </row>
    <row r="656" ht="11.4" hidden="1" customHeight="1" spans="1:24">
      <c r="A656" s="184" t="s">
        <v>1879</v>
      </c>
      <c r="B656" s="184" t="s">
        <v>139</v>
      </c>
      <c r="C656" s="184" t="s">
        <v>1880</v>
      </c>
      <c r="D656" s="185" t="s">
        <v>522</v>
      </c>
      <c r="E656" s="186" t="s">
        <v>906</v>
      </c>
      <c r="F656" s="186" t="s">
        <v>907</v>
      </c>
      <c r="G656" s="186" t="s">
        <v>1881</v>
      </c>
      <c r="H656" s="186" t="s">
        <v>2046</v>
      </c>
      <c r="I656" s="187" t="s">
        <v>2047</v>
      </c>
      <c r="J656" s="187" t="s">
        <v>2048</v>
      </c>
      <c r="K656" s="188"/>
      <c r="L656" s="188"/>
      <c r="M656" s="189" t="s">
        <v>1018</v>
      </c>
      <c r="N656" s="190">
        <v>563.75</v>
      </c>
      <c r="O656" s="190">
        <f t="shared" si="82"/>
        <v>614.49</v>
      </c>
      <c r="P656" s="191">
        <f t="shared" si="83"/>
        <v>0</v>
      </c>
      <c r="Q656" s="192">
        <f t="shared" si="84"/>
        <v>0</v>
      </c>
      <c r="R656" s="193"/>
      <c r="S656" s="194"/>
      <c r="T656" s="195">
        <f t="shared" si="85"/>
        <v>0</v>
      </c>
      <c r="U656" s="195">
        <f t="shared" si="86"/>
        <v>0</v>
      </c>
      <c r="V656" s="195">
        <f t="shared" si="87"/>
        <v>0</v>
      </c>
      <c r="W656" s="196" t="e">
        <f t="shared" si="88"/>
        <v>#DIV/0!</v>
      </c>
      <c r="X656" s="197" t="e">
        <f t="shared" si="89"/>
        <v>#DIV/0!</v>
      </c>
    </row>
    <row r="657" ht="11.4" hidden="1" customHeight="1" spans="1:25">
      <c r="A657" s="184" t="s">
        <v>1879</v>
      </c>
      <c r="B657" s="184" t="s">
        <v>139</v>
      </c>
      <c r="C657" s="184" t="s">
        <v>1880</v>
      </c>
      <c r="D657" s="185" t="s">
        <v>522</v>
      </c>
      <c r="E657" s="186" t="s">
        <v>906</v>
      </c>
      <c r="F657" s="186" t="s">
        <v>907</v>
      </c>
      <c r="G657" s="186" t="s">
        <v>1881</v>
      </c>
      <c r="H657" s="186" t="s">
        <v>2046</v>
      </c>
      <c r="I657" s="187" t="s">
        <v>2049</v>
      </c>
      <c r="J657" s="187" t="s">
        <v>2050</v>
      </c>
      <c r="K657" s="188"/>
      <c r="L657" s="188"/>
      <c r="M657" s="189" t="s">
        <v>1018</v>
      </c>
      <c r="N657" s="190">
        <v>468.33</v>
      </c>
      <c r="O657" s="190">
        <f t="shared" si="82"/>
        <v>510.48</v>
      </c>
      <c r="P657" s="191">
        <f t="shared" si="83"/>
        <v>0</v>
      </c>
      <c r="Q657" s="192">
        <f t="shared" si="84"/>
        <v>0</v>
      </c>
      <c r="R657" s="193"/>
      <c r="S657" s="194"/>
      <c r="T657" s="195">
        <f t="shared" si="85"/>
        <v>0</v>
      </c>
      <c r="U657" s="195">
        <f t="shared" si="86"/>
        <v>0</v>
      </c>
      <c r="V657" s="195">
        <f t="shared" si="87"/>
        <v>0</v>
      </c>
      <c r="W657" s="196" t="e">
        <f t="shared" si="88"/>
        <v>#DIV/0!</v>
      </c>
      <c r="X657" s="197" t="e">
        <f t="shared" si="89"/>
        <v>#DIV/0!</v>
      </c>
    </row>
    <row r="658" ht="11.4" hidden="1" customHeight="1" spans="1:25">
      <c r="A658" s="184" t="s">
        <v>1879</v>
      </c>
      <c r="B658" s="184" t="s">
        <v>139</v>
      </c>
      <c r="C658" s="184" t="s">
        <v>1880</v>
      </c>
      <c r="D658" s="185" t="s">
        <v>522</v>
      </c>
      <c r="E658" s="186" t="s">
        <v>906</v>
      </c>
      <c r="F658" s="186" t="s">
        <v>907</v>
      </c>
      <c r="G658" s="186" t="s">
        <v>1881</v>
      </c>
      <c r="H658" s="186" t="s">
        <v>2046</v>
      </c>
      <c r="I658" s="187" t="s">
        <v>2051</v>
      </c>
      <c r="J658" s="187" t="s">
        <v>2052</v>
      </c>
      <c r="K658" s="188">
        <v>1</v>
      </c>
      <c r="L658" s="188">
        <v>1</v>
      </c>
      <c r="M658" s="189" t="s">
        <v>1778</v>
      </c>
      <c r="N658" s="190">
        <v>748</v>
      </c>
      <c r="O658" s="190">
        <f t="shared" si="82"/>
        <v>815.32</v>
      </c>
      <c r="P658" s="191">
        <f t="shared" si="83"/>
        <v>748</v>
      </c>
      <c r="Q658" s="192">
        <f t="shared" si="84"/>
        <v>748</v>
      </c>
      <c r="R658" s="193"/>
      <c r="S658" s="194"/>
      <c r="T658" s="195">
        <f t="shared" si="85"/>
        <v>0</v>
      </c>
      <c r="U658" s="195">
        <f t="shared" si="86"/>
        <v>0</v>
      </c>
      <c r="V658" s="195">
        <f t="shared" si="87"/>
        <v>0</v>
      </c>
      <c r="W658" s="196">
        <f t="shared" si="88"/>
        <v>0</v>
      </c>
      <c r="X658" s="197">
        <f t="shared" si="89"/>
        <v>0</v>
      </c>
    </row>
    <row r="659" ht="11.4" hidden="1" customHeight="1" spans="1:25">
      <c r="A659" s="184" t="s">
        <v>1879</v>
      </c>
      <c r="B659" s="184" t="s">
        <v>139</v>
      </c>
      <c r="C659" s="184" t="s">
        <v>1880</v>
      </c>
      <c r="D659" s="185" t="s">
        <v>522</v>
      </c>
      <c r="E659" s="186" t="s">
        <v>906</v>
      </c>
      <c r="F659" s="186" t="s">
        <v>907</v>
      </c>
      <c r="G659" s="186" t="s">
        <v>1881</v>
      </c>
      <c r="H659" s="186" t="s">
        <v>2046</v>
      </c>
      <c r="I659" s="187" t="s">
        <v>2053</v>
      </c>
      <c r="J659" s="187" t="s">
        <v>2054</v>
      </c>
      <c r="K659" s="188"/>
      <c r="L659" s="188"/>
      <c r="M659" s="189" t="s">
        <v>793</v>
      </c>
      <c r="N659" s="190">
        <v>1950</v>
      </c>
      <c r="O659" s="190">
        <f t="shared" si="82"/>
        <v>2125.5</v>
      </c>
      <c r="P659" s="191">
        <f t="shared" si="83"/>
        <v>0</v>
      </c>
      <c r="Q659" s="192">
        <f t="shared" si="84"/>
        <v>0</v>
      </c>
      <c r="R659" s="193"/>
      <c r="S659" s="194"/>
      <c r="T659" s="195">
        <f t="shared" si="85"/>
        <v>0</v>
      </c>
      <c r="U659" s="195">
        <f t="shared" si="86"/>
        <v>0</v>
      </c>
      <c r="V659" s="195">
        <f t="shared" si="87"/>
        <v>0</v>
      </c>
      <c r="W659" s="196" t="e">
        <f t="shared" si="88"/>
        <v>#DIV/0!</v>
      </c>
      <c r="X659" s="197" t="e">
        <f t="shared" si="89"/>
        <v>#DIV/0!</v>
      </c>
    </row>
    <row r="660" ht="11.4" hidden="1" customHeight="1" spans="1:25">
      <c r="A660" s="184" t="s">
        <v>1879</v>
      </c>
      <c r="B660" s="184" t="s">
        <v>139</v>
      </c>
      <c r="C660" s="184" t="s">
        <v>1880</v>
      </c>
      <c r="D660" s="185" t="s">
        <v>522</v>
      </c>
      <c r="E660" s="186" t="s">
        <v>906</v>
      </c>
      <c r="F660" s="186" t="s">
        <v>907</v>
      </c>
      <c r="G660" s="186" t="s">
        <v>1881</v>
      </c>
      <c r="H660" s="186" t="s">
        <v>2046</v>
      </c>
      <c r="I660" s="187" t="s">
        <v>2055</v>
      </c>
      <c r="J660" s="154" t="s">
        <v>2056</v>
      </c>
      <c r="K660" s="188">
        <v>1</v>
      </c>
      <c r="L660" s="188">
        <v>1</v>
      </c>
      <c r="M660" s="189" t="s">
        <v>989</v>
      </c>
      <c r="N660" s="190">
        <v>3005.9</v>
      </c>
      <c r="O660" s="190">
        <f t="shared" si="82"/>
        <v>3276.43</v>
      </c>
      <c r="P660" s="191">
        <f t="shared" si="83"/>
        <v>3005.9</v>
      </c>
      <c r="Q660" s="192">
        <f t="shared" si="84"/>
        <v>3005.9</v>
      </c>
      <c r="R660" s="193"/>
      <c r="S660" s="194"/>
      <c r="T660" s="195">
        <f t="shared" si="85"/>
        <v>0</v>
      </c>
      <c r="U660" s="195">
        <f t="shared" si="86"/>
        <v>0</v>
      </c>
      <c r="V660" s="195">
        <f t="shared" si="87"/>
        <v>0</v>
      </c>
      <c r="W660" s="196">
        <f t="shared" si="88"/>
        <v>0</v>
      </c>
      <c r="X660" s="197">
        <f t="shared" si="89"/>
        <v>0</v>
      </c>
    </row>
    <row r="661" ht="11.4" hidden="1" customHeight="1" spans="1:25">
      <c r="A661" s="184" t="s">
        <v>1879</v>
      </c>
      <c r="B661" s="184" t="s">
        <v>139</v>
      </c>
      <c r="C661" s="184" t="s">
        <v>1880</v>
      </c>
      <c r="D661" s="185" t="s">
        <v>522</v>
      </c>
      <c r="E661" s="186" t="s">
        <v>906</v>
      </c>
      <c r="F661" s="186" t="s">
        <v>907</v>
      </c>
      <c r="G661" s="186" t="s">
        <v>1881</v>
      </c>
      <c r="H661" s="186" t="s">
        <v>2046</v>
      </c>
      <c r="I661" s="187" t="s">
        <v>2057</v>
      </c>
      <c r="J661" s="187" t="s">
        <v>2058</v>
      </c>
      <c r="K661" s="188"/>
      <c r="L661" s="188"/>
      <c r="M661" s="189" t="s">
        <v>989</v>
      </c>
      <c r="N661" s="190">
        <v>4713.1</v>
      </c>
      <c r="O661" s="190">
        <f t="shared" si="82"/>
        <v>5137.28</v>
      </c>
      <c r="P661" s="191">
        <f t="shared" si="83"/>
        <v>0</v>
      </c>
      <c r="Q661" s="192">
        <f t="shared" si="84"/>
        <v>0</v>
      </c>
      <c r="R661" s="193"/>
      <c r="S661" s="194"/>
      <c r="T661" s="195">
        <f t="shared" si="85"/>
        <v>0</v>
      </c>
      <c r="U661" s="195">
        <f t="shared" si="86"/>
        <v>0</v>
      </c>
      <c r="V661" s="195">
        <f t="shared" si="87"/>
        <v>0</v>
      </c>
      <c r="W661" s="196" t="e">
        <f t="shared" si="88"/>
        <v>#DIV/0!</v>
      </c>
      <c r="X661" s="197" t="e">
        <f t="shared" si="89"/>
        <v>#DIV/0!</v>
      </c>
    </row>
    <row r="662" ht="11.4" hidden="1" customHeight="1" spans="1:25">
      <c r="A662" s="184" t="s">
        <v>1879</v>
      </c>
      <c r="B662" s="184" t="s">
        <v>139</v>
      </c>
      <c r="C662" s="184" t="s">
        <v>1880</v>
      </c>
      <c r="D662" s="185" t="s">
        <v>522</v>
      </c>
      <c r="E662" s="186" t="s">
        <v>906</v>
      </c>
      <c r="F662" s="186" t="s">
        <v>907</v>
      </c>
      <c r="G662" s="186" t="s">
        <v>1881</v>
      </c>
      <c r="H662" s="186" t="s">
        <v>2059</v>
      </c>
      <c r="I662" s="187" t="s">
        <v>2060</v>
      </c>
      <c r="J662" s="187" t="s">
        <v>2061</v>
      </c>
      <c r="K662" s="188">
        <v>4</v>
      </c>
      <c r="L662" s="188">
        <v>4</v>
      </c>
      <c r="M662" s="189" t="s">
        <v>1018</v>
      </c>
      <c r="N662" s="190">
        <v>269.86</v>
      </c>
      <c r="O662" s="190">
        <f t="shared" si="82"/>
        <v>294.15</v>
      </c>
      <c r="P662" s="191">
        <f t="shared" si="83"/>
        <v>1079.44</v>
      </c>
      <c r="Q662" s="192">
        <f t="shared" si="84"/>
        <v>1079.44</v>
      </c>
      <c r="R662" s="193"/>
      <c r="S662" s="194"/>
      <c r="T662" s="195">
        <f t="shared" si="85"/>
        <v>0</v>
      </c>
      <c r="U662" s="195">
        <f t="shared" si="86"/>
        <v>0</v>
      </c>
      <c r="V662" s="195">
        <f t="shared" si="87"/>
        <v>0</v>
      </c>
      <c r="W662" s="196">
        <f t="shared" si="88"/>
        <v>0</v>
      </c>
      <c r="X662" s="197">
        <f t="shared" si="89"/>
        <v>0</v>
      </c>
    </row>
    <row r="663" ht="11.4" hidden="1" customHeight="1" spans="1:25">
      <c r="A663" s="184" t="s">
        <v>1879</v>
      </c>
      <c r="B663" s="184" t="s">
        <v>139</v>
      </c>
      <c r="C663" s="184" t="s">
        <v>1880</v>
      </c>
      <c r="D663" s="185" t="s">
        <v>522</v>
      </c>
      <c r="E663" s="186" t="s">
        <v>906</v>
      </c>
      <c r="F663" s="186" t="s">
        <v>907</v>
      </c>
      <c r="G663" s="186" t="s">
        <v>1881</v>
      </c>
      <c r="H663" s="186" t="s">
        <v>2059</v>
      </c>
      <c r="I663" s="187" t="s">
        <v>2062</v>
      </c>
      <c r="J663" s="187" t="s">
        <v>2063</v>
      </c>
      <c r="K663" s="188"/>
      <c r="L663" s="188"/>
      <c r="M663" s="189" t="s">
        <v>1018</v>
      </c>
      <c r="N663" s="190">
        <v>236.86</v>
      </c>
      <c r="O663" s="190">
        <f t="shared" si="82"/>
        <v>258.18</v>
      </c>
      <c r="P663" s="191">
        <f t="shared" si="83"/>
        <v>0</v>
      </c>
      <c r="Q663" s="192">
        <f t="shared" si="84"/>
        <v>0</v>
      </c>
      <c r="R663" s="193"/>
      <c r="S663" s="194"/>
      <c r="T663" s="195">
        <f t="shared" si="85"/>
        <v>0</v>
      </c>
      <c r="U663" s="195">
        <f t="shared" si="86"/>
        <v>0</v>
      </c>
      <c r="V663" s="195">
        <f t="shared" si="87"/>
        <v>0</v>
      </c>
      <c r="W663" s="196" t="e">
        <f t="shared" si="88"/>
        <v>#DIV/0!</v>
      </c>
      <c r="X663" s="197" t="e">
        <f t="shared" si="89"/>
        <v>#DIV/0!</v>
      </c>
    </row>
    <row r="664" ht="11.4" hidden="1" customHeight="1" spans="1:25">
      <c r="A664" s="184" t="s">
        <v>1879</v>
      </c>
      <c r="B664" s="184" t="s">
        <v>139</v>
      </c>
      <c r="C664" s="184" t="s">
        <v>1880</v>
      </c>
      <c r="D664" s="185" t="s">
        <v>522</v>
      </c>
      <c r="E664" s="186" t="s">
        <v>906</v>
      </c>
      <c r="F664" s="186" t="s">
        <v>907</v>
      </c>
      <c r="G664" s="186" t="s">
        <v>1881</v>
      </c>
      <c r="H664" s="186" t="s">
        <v>2059</v>
      </c>
      <c r="I664" s="187" t="s">
        <v>2064</v>
      </c>
      <c r="J664" s="187" t="s">
        <v>2065</v>
      </c>
      <c r="K664" s="188"/>
      <c r="L664" s="188"/>
      <c r="M664" s="189" t="s">
        <v>1018</v>
      </c>
      <c r="N664" s="190">
        <v>256.66</v>
      </c>
      <c r="O664" s="190">
        <f t="shared" si="82"/>
        <v>279.76</v>
      </c>
      <c r="P664" s="191">
        <f t="shared" si="83"/>
        <v>0</v>
      </c>
      <c r="Q664" s="192">
        <f t="shared" si="84"/>
        <v>0</v>
      </c>
      <c r="R664" s="193"/>
      <c r="S664" s="194"/>
      <c r="T664" s="195">
        <f t="shared" si="85"/>
        <v>0</v>
      </c>
      <c r="U664" s="195">
        <f t="shared" si="86"/>
        <v>0</v>
      </c>
      <c r="V664" s="195">
        <f t="shared" si="87"/>
        <v>0</v>
      </c>
      <c r="W664" s="196" t="e">
        <f t="shared" si="88"/>
        <v>#DIV/0!</v>
      </c>
      <c r="X664" s="197" t="e">
        <f t="shared" si="89"/>
        <v>#DIV/0!</v>
      </c>
    </row>
    <row r="665" ht="11.4" hidden="1" customHeight="1" spans="1:25">
      <c r="A665" s="184" t="s">
        <v>1879</v>
      </c>
      <c r="B665" s="184" t="s">
        <v>139</v>
      </c>
      <c r="C665" s="184" t="s">
        <v>1880</v>
      </c>
      <c r="D665" s="185" t="s">
        <v>522</v>
      </c>
      <c r="E665" s="186" t="s">
        <v>906</v>
      </c>
      <c r="F665" s="186" t="s">
        <v>907</v>
      </c>
      <c r="G665" s="186" t="s">
        <v>1881</v>
      </c>
      <c r="H665" s="186" t="s">
        <v>2066</v>
      </c>
      <c r="I665" s="187" t="s">
        <v>2067</v>
      </c>
      <c r="J665" s="187" t="s">
        <v>2068</v>
      </c>
      <c r="K665" s="188">
        <v>15.73</v>
      </c>
      <c r="L665" s="188">
        <v>15.71</v>
      </c>
      <c r="M665" s="189" t="s">
        <v>807</v>
      </c>
      <c r="N665" s="190">
        <v>16.99</v>
      </c>
      <c r="O665" s="190">
        <f t="shared" si="82"/>
        <v>18.52</v>
      </c>
      <c r="P665" s="191">
        <f t="shared" si="83"/>
        <v>267.25</v>
      </c>
      <c r="Q665" s="192">
        <f t="shared" si="84"/>
        <v>266.91</v>
      </c>
      <c r="R665" s="193"/>
      <c r="S665" s="194"/>
      <c r="T665" s="195">
        <f t="shared" si="85"/>
        <v>0.0199999999999996</v>
      </c>
      <c r="U665" s="195">
        <f t="shared" si="86"/>
        <v>0.339999999999975</v>
      </c>
      <c r="V665" s="195">
        <f t="shared" si="87"/>
        <v>0.339999999999975</v>
      </c>
      <c r="W665" s="196">
        <f t="shared" si="88"/>
        <v>0.00127307447485675</v>
      </c>
      <c r="X665" s="197">
        <f t="shared" si="89"/>
        <v>0.00127307447485675</v>
      </c>
    </row>
    <row r="666" ht="11.4" hidden="1" customHeight="1" spans="1:25">
      <c r="A666" s="184" t="s">
        <v>1879</v>
      </c>
      <c r="B666" s="184" t="s">
        <v>139</v>
      </c>
      <c r="C666" s="184" t="s">
        <v>1880</v>
      </c>
      <c r="D666" s="185" t="s">
        <v>522</v>
      </c>
      <c r="E666" s="186" t="s">
        <v>906</v>
      </c>
      <c r="F666" s="186" t="s">
        <v>907</v>
      </c>
      <c r="G666" s="186" t="s">
        <v>1881</v>
      </c>
      <c r="H666" s="186" t="s">
        <v>2046</v>
      </c>
      <c r="I666" s="187" t="s">
        <v>2069</v>
      </c>
      <c r="J666" s="187" t="s">
        <v>2070</v>
      </c>
      <c r="K666" s="203">
        <v>23.64</v>
      </c>
      <c r="L666" s="188">
        <v>24.77</v>
      </c>
      <c r="M666" s="189" t="s">
        <v>807</v>
      </c>
      <c r="N666" s="190">
        <v>12.5</v>
      </c>
      <c r="O666" s="190">
        <f t="shared" si="82"/>
        <v>13.63</v>
      </c>
      <c r="P666" s="191">
        <f t="shared" si="83"/>
        <v>295.5</v>
      </c>
      <c r="Q666" s="192">
        <f t="shared" si="84"/>
        <v>309.63</v>
      </c>
      <c r="R666" s="193"/>
      <c r="S666" s="194"/>
      <c r="T666" s="195">
        <f t="shared" si="85"/>
        <v>-1.13</v>
      </c>
      <c r="U666" s="195">
        <f t="shared" si="86"/>
        <v>-14.13</v>
      </c>
      <c r="V666" s="195">
        <f t="shared" si="87"/>
        <v>14.13</v>
      </c>
      <c r="W666" s="196">
        <f t="shared" si="88"/>
        <v>-0.0456197012515139</v>
      </c>
      <c r="X666" s="197">
        <f t="shared" si="89"/>
        <v>0.0456197012515139</v>
      </c>
      <c r="Y666" s="201" t="s">
        <v>3260</v>
      </c>
    </row>
    <row r="667" ht="11.4" hidden="1" customHeight="1" spans="1:25">
      <c r="A667" s="184" t="s">
        <v>1879</v>
      </c>
      <c r="B667" s="184" t="s">
        <v>139</v>
      </c>
      <c r="C667" s="184" t="s">
        <v>1880</v>
      </c>
      <c r="D667" s="185" t="s">
        <v>522</v>
      </c>
      <c r="E667" s="186" t="s">
        <v>906</v>
      </c>
      <c r="F667" s="186" t="s">
        <v>907</v>
      </c>
      <c r="G667" s="186" t="s">
        <v>1881</v>
      </c>
      <c r="H667" s="186" t="s">
        <v>2046</v>
      </c>
      <c r="I667" s="187" t="s">
        <v>2071</v>
      </c>
      <c r="J667" s="187" t="s">
        <v>2072</v>
      </c>
      <c r="K667" s="203">
        <v>17.11</v>
      </c>
      <c r="L667" s="188">
        <v>20.17</v>
      </c>
      <c r="M667" s="189" t="s">
        <v>807</v>
      </c>
      <c r="N667" s="190">
        <v>12</v>
      </c>
      <c r="O667" s="190">
        <f t="shared" si="82"/>
        <v>13.08</v>
      </c>
      <c r="P667" s="191">
        <f t="shared" si="83"/>
        <v>205.32</v>
      </c>
      <c r="Q667" s="192">
        <f t="shared" si="84"/>
        <v>242.04</v>
      </c>
      <c r="R667" s="193"/>
      <c r="S667" s="194"/>
      <c r="T667" s="195">
        <f t="shared" si="85"/>
        <v>-3.06</v>
      </c>
      <c r="U667" s="195">
        <f t="shared" si="86"/>
        <v>-36.72</v>
      </c>
      <c r="V667" s="195">
        <f t="shared" si="87"/>
        <v>36.72</v>
      </c>
      <c r="W667" s="196">
        <f t="shared" si="88"/>
        <v>-0.151710461080813</v>
      </c>
      <c r="X667" s="197">
        <f t="shared" si="89"/>
        <v>0.151710461080813</v>
      </c>
      <c r="Y667" s="201" t="s">
        <v>3260</v>
      </c>
    </row>
    <row r="668" ht="11.4" hidden="1" customHeight="1" spans="1:25">
      <c r="A668" s="184" t="s">
        <v>2073</v>
      </c>
      <c r="B668" s="184" t="s">
        <v>145</v>
      </c>
      <c r="C668" s="184" t="s">
        <v>2074</v>
      </c>
      <c r="D668" s="185" t="s">
        <v>522</v>
      </c>
      <c r="E668" s="186" t="s">
        <v>906</v>
      </c>
      <c r="F668" s="186" t="s">
        <v>907</v>
      </c>
      <c r="G668" s="186" t="s">
        <v>2075</v>
      </c>
      <c r="H668" s="186" t="s">
        <v>2076</v>
      </c>
      <c r="I668" s="187" t="s">
        <v>2077</v>
      </c>
      <c r="J668" s="187" t="s">
        <v>2078</v>
      </c>
      <c r="K668" s="188"/>
      <c r="L668" s="188"/>
      <c r="M668" s="189" t="s">
        <v>1018</v>
      </c>
      <c r="N668" s="190">
        <v>27.3</v>
      </c>
      <c r="O668" s="190">
        <f t="shared" si="82"/>
        <v>29.76</v>
      </c>
      <c r="P668" s="191">
        <f t="shared" si="83"/>
        <v>0</v>
      </c>
      <c r="Q668" s="192">
        <f t="shared" si="84"/>
        <v>0</v>
      </c>
      <c r="R668" s="193"/>
      <c r="S668" s="194"/>
      <c r="T668" s="195">
        <f t="shared" si="85"/>
        <v>0</v>
      </c>
      <c r="U668" s="195">
        <f t="shared" si="86"/>
        <v>0</v>
      </c>
      <c r="V668" s="195">
        <f t="shared" si="87"/>
        <v>0</v>
      </c>
      <c r="W668" s="196" t="e">
        <f t="shared" si="88"/>
        <v>#DIV/0!</v>
      </c>
      <c r="X668" s="197" t="e">
        <f t="shared" si="89"/>
        <v>#DIV/0!</v>
      </c>
    </row>
    <row r="669" ht="11.4" hidden="1" customHeight="1" spans="1:25">
      <c r="A669" s="184" t="s">
        <v>2073</v>
      </c>
      <c r="B669" s="184" t="s">
        <v>145</v>
      </c>
      <c r="C669" s="184" t="s">
        <v>2074</v>
      </c>
      <c r="D669" s="185" t="s">
        <v>522</v>
      </c>
      <c r="E669" s="186" t="s">
        <v>906</v>
      </c>
      <c r="F669" s="186" t="s">
        <v>907</v>
      </c>
      <c r="G669" s="186" t="s">
        <v>2075</v>
      </c>
      <c r="H669" s="186" t="s">
        <v>2076</v>
      </c>
      <c r="I669" s="187" t="s">
        <v>2079</v>
      </c>
      <c r="J669" s="187" t="s">
        <v>2080</v>
      </c>
      <c r="K669" s="188"/>
      <c r="L669" s="188"/>
      <c r="M669" s="189" t="s">
        <v>1018</v>
      </c>
      <c r="N669" s="190">
        <v>63</v>
      </c>
      <c r="O669" s="190">
        <f t="shared" si="82"/>
        <v>68.67</v>
      </c>
      <c r="P669" s="191">
        <f t="shared" si="83"/>
        <v>0</v>
      </c>
      <c r="Q669" s="192">
        <f t="shared" si="84"/>
        <v>0</v>
      </c>
      <c r="R669" s="193"/>
      <c r="S669" s="194"/>
      <c r="T669" s="195">
        <f t="shared" si="85"/>
        <v>0</v>
      </c>
      <c r="U669" s="195">
        <f t="shared" si="86"/>
        <v>0</v>
      </c>
      <c r="V669" s="195">
        <f t="shared" si="87"/>
        <v>0</v>
      </c>
      <c r="W669" s="196" t="e">
        <f t="shared" si="88"/>
        <v>#DIV/0!</v>
      </c>
      <c r="X669" s="197" t="e">
        <f t="shared" si="89"/>
        <v>#DIV/0!</v>
      </c>
    </row>
    <row r="670" ht="11.4" hidden="1" customHeight="1" spans="1:25">
      <c r="A670" s="184" t="s">
        <v>2073</v>
      </c>
      <c r="B670" s="184" t="s">
        <v>145</v>
      </c>
      <c r="C670" s="184" t="s">
        <v>2074</v>
      </c>
      <c r="D670" s="185" t="s">
        <v>522</v>
      </c>
      <c r="E670" s="186" t="s">
        <v>906</v>
      </c>
      <c r="F670" s="186" t="s">
        <v>907</v>
      </c>
      <c r="G670" s="186" t="s">
        <v>2075</v>
      </c>
      <c r="H670" s="186" t="s">
        <v>2076</v>
      </c>
      <c r="I670" s="187" t="s">
        <v>2081</v>
      </c>
      <c r="J670" s="187" t="s">
        <v>2082</v>
      </c>
      <c r="K670" s="188">
        <v>12</v>
      </c>
      <c r="L670" s="188">
        <v>12</v>
      </c>
      <c r="M670" s="189" t="s">
        <v>1018</v>
      </c>
      <c r="N670" s="190">
        <v>36.75</v>
      </c>
      <c r="O670" s="190">
        <f t="shared" si="82"/>
        <v>40.06</v>
      </c>
      <c r="P670" s="191">
        <f t="shared" si="83"/>
        <v>441</v>
      </c>
      <c r="Q670" s="192">
        <f t="shared" si="84"/>
        <v>441</v>
      </c>
      <c r="R670" s="193"/>
      <c r="S670" s="194"/>
      <c r="T670" s="195">
        <f t="shared" si="85"/>
        <v>0</v>
      </c>
      <c r="U670" s="195">
        <f t="shared" si="86"/>
        <v>0</v>
      </c>
      <c r="V670" s="195">
        <f t="shared" si="87"/>
        <v>0</v>
      </c>
      <c r="W670" s="196">
        <f t="shared" si="88"/>
        <v>0</v>
      </c>
      <c r="X670" s="197">
        <f t="shared" si="89"/>
        <v>0</v>
      </c>
    </row>
    <row r="671" ht="11.4" hidden="1" customHeight="1" spans="1:25">
      <c r="A671" s="184" t="s">
        <v>2073</v>
      </c>
      <c r="B671" s="184" t="s">
        <v>145</v>
      </c>
      <c r="C671" s="184" t="s">
        <v>2074</v>
      </c>
      <c r="D671" s="185" t="s">
        <v>522</v>
      </c>
      <c r="E671" s="186" t="s">
        <v>906</v>
      </c>
      <c r="F671" s="186" t="s">
        <v>907</v>
      </c>
      <c r="G671" s="186" t="s">
        <v>2075</v>
      </c>
      <c r="H671" s="186" t="s">
        <v>2076</v>
      </c>
      <c r="I671" s="187" t="s">
        <v>2083</v>
      </c>
      <c r="J671" s="187" t="s">
        <v>2084</v>
      </c>
      <c r="K671" s="188"/>
      <c r="L671" s="188"/>
      <c r="M671" s="189" t="s">
        <v>1018</v>
      </c>
      <c r="N671" s="190">
        <v>42</v>
      </c>
      <c r="O671" s="190">
        <f t="shared" si="82"/>
        <v>45.78</v>
      </c>
      <c r="P671" s="191">
        <f t="shared" si="83"/>
        <v>0</v>
      </c>
      <c r="Q671" s="192">
        <f t="shared" si="84"/>
        <v>0</v>
      </c>
      <c r="R671" s="193"/>
      <c r="S671" s="194"/>
      <c r="T671" s="195">
        <f t="shared" si="85"/>
        <v>0</v>
      </c>
      <c r="U671" s="195">
        <f t="shared" si="86"/>
        <v>0</v>
      </c>
      <c r="V671" s="195">
        <f t="shared" si="87"/>
        <v>0</v>
      </c>
      <c r="W671" s="196" t="e">
        <f t="shared" si="88"/>
        <v>#DIV/0!</v>
      </c>
      <c r="X671" s="197" t="e">
        <f t="shared" si="89"/>
        <v>#DIV/0!</v>
      </c>
    </row>
    <row r="672" ht="11.4" hidden="1" customHeight="1" spans="1:25">
      <c r="A672" s="184" t="s">
        <v>2073</v>
      </c>
      <c r="B672" s="184" t="s">
        <v>145</v>
      </c>
      <c r="C672" s="184" t="s">
        <v>2074</v>
      </c>
      <c r="D672" s="185" t="s">
        <v>522</v>
      </c>
      <c r="E672" s="186" t="s">
        <v>906</v>
      </c>
      <c r="F672" s="186" t="s">
        <v>907</v>
      </c>
      <c r="G672" s="186" t="s">
        <v>2075</v>
      </c>
      <c r="H672" s="186" t="s">
        <v>2076</v>
      </c>
      <c r="I672" s="187" t="s">
        <v>2085</v>
      </c>
      <c r="J672" s="187" t="s">
        <v>2086</v>
      </c>
      <c r="K672" s="188">
        <v>6</v>
      </c>
      <c r="L672" s="188">
        <v>6</v>
      </c>
      <c r="M672" s="189" t="s">
        <v>1018</v>
      </c>
      <c r="N672" s="190">
        <v>40.95</v>
      </c>
      <c r="O672" s="190">
        <f t="shared" si="82"/>
        <v>44.64</v>
      </c>
      <c r="P672" s="191">
        <f t="shared" si="83"/>
        <v>245.7</v>
      </c>
      <c r="Q672" s="192">
        <f t="shared" si="84"/>
        <v>245.7</v>
      </c>
      <c r="R672" s="193"/>
      <c r="S672" s="194"/>
      <c r="T672" s="195">
        <f t="shared" si="85"/>
        <v>0</v>
      </c>
      <c r="U672" s="195">
        <f t="shared" si="86"/>
        <v>0</v>
      </c>
      <c r="V672" s="195">
        <f t="shared" si="87"/>
        <v>0</v>
      </c>
      <c r="W672" s="196">
        <f t="shared" si="88"/>
        <v>0</v>
      </c>
      <c r="X672" s="199">
        <f t="shared" si="89"/>
        <v>0</v>
      </c>
      <c r="Y672" s="201" t="s">
        <v>3259</v>
      </c>
    </row>
    <row r="673" ht="11.4" hidden="1" customHeight="1" spans="1:24">
      <c r="A673" s="184" t="s">
        <v>2073</v>
      </c>
      <c r="B673" s="184" t="s">
        <v>145</v>
      </c>
      <c r="C673" s="184" t="s">
        <v>2074</v>
      </c>
      <c r="D673" s="185" t="s">
        <v>522</v>
      </c>
      <c r="E673" s="186" t="s">
        <v>906</v>
      </c>
      <c r="F673" s="186" t="s">
        <v>907</v>
      </c>
      <c r="G673" s="186" t="s">
        <v>2075</v>
      </c>
      <c r="H673" s="186" t="s">
        <v>2076</v>
      </c>
      <c r="I673" s="187" t="s">
        <v>2087</v>
      </c>
      <c r="J673" s="187" t="s">
        <v>2088</v>
      </c>
      <c r="K673" s="188"/>
      <c r="L673" s="188"/>
      <c r="M673" s="189" t="s">
        <v>1018</v>
      </c>
      <c r="N673" s="190">
        <v>94.5</v>
      </c>
      <c r="O673" s="190">
        <f t="shared" si="82"/>
        <v>103.01</v>
      </c>
      <c r="P673" s="191">
        <f t="shared" si="83"/>
        <v>0</v>
      </c>
      <c r="Q673" s="192">
        <f t="shared" si="84"/>
        <v>0</v>
      </c>
      <c r="R673" s="193"/>
      <c r="S673" s="194"/>
      <c r="T673" s="195">
        <f t="shared" si="85"/>
        <v>0</v>
      </c>
      <c r="U673" s="195">
        <f t="shared" si="86"/>
        <v>0</v>
      </c>
      <c r="V673" s="195">
        <f t="shared" si="87"/>
        <v>0</v>
      </c>
      <c r="W673" s="196" t="e">
        <f t="shared" si="88"/>
        <v>#DIV/0!</v>
      </c>
      <c r="X673" s="197" t="e">
        <f t="shared" si="89"/>
        <v>#DIV/0!</v>
      </c>
    </row>
    <row r="674" ht="11.4" hidden="1" customHeight="1" spans="1:24">
      <c r="A674" s="184" t="s">
        <v>2073</v>
      </c>
      <c r="B674" s="184" t="s">
        <v>145</v>
      </c>
      <c r="C674" s="184" t="s">
        <v>2074</v>
      </c>
      <c r="D674" s="185" t="s">
        <v>522</v>
      </c>
      <c r="E674" s="186" t="s">
        <v>906</v>
      </c>
      <c r="F674" s="186" t="s">
        <v>907</v>
      </c>
      <c r="G674" s="186" t="s">
        <v>2075</v>
      </c>
      <c r="H674" s="186" t="s">
        <v>2076</v>
      </c>
      <c r="I674" s="187" t="s">
        <v>2089</v>
      </c>
      <c r="J674" s="187" t="s">
        <v>2090</v>
      </c>
      <c r="K674" s="188">
        <v>9</v>
      </c>
      <c r="L674" s="188">
        <v>9</v>
      </c>
      <c r="M674" s="189" t="s">
        <v>1018</v>
      </c>
      <c r="N674" s="190">
        <v>131.25</v>
      </c>
      <c r="O674" s="190">
        <f t="shared" si="82"/>
        <v>143.06</v>
      </c>
      <c r="P674" s="191">
        <f t="shared" si="83"/>
        <v>1181.25</v>
      </c>
      <c r="Q674" s="192">
        <f t="shared" si="84"/>
        <v>1181.25</v>
      </c>
      <c r="R674" s="193"/>
      <c r="S674" s="194"/>
      <c r="T674" s="195">
        <f t="shared" si="85"/>
        <v>0</v>
      </c>
      <c r="U674" s="195">
        <f t="shared" si="86"/>
        <v>0</v>
      </c>
      <c r="V674" s="195">
        <f t="shared" si="87"/>
        <v>0</v>
      </c>
      <c r="W674" s="196">
        <f t="shared" si="88"/>
        <v>0</v>
      </c>
      <c r="X674" s="197">
        <f t="shared" si="89"/>
        <v>0</v>
      </c>
    </row>
    <row r="675" ht="11.4" hidden="1" customHeight="1" spans="1:24">
      <c r="A675" s="184" t="s">
        <v>2073</v>
      </c>
      <c r="B675" s="184" t="s">
        <v>145</v>
      </c>
      <c r="C675" s="184" t="s">
        <v>2074</v>
      </c>
      <c r="D675" s="185" t="s">
        <v>522</v>
      </c>
      <c r="E675" s="186" t="s">
        <v>906</v>
      </c>
      <c r="F675" s="186" t="s">
        <v>907</v>
      </c>
      <c r="G675" s="186" t="s">
        <v>2075</v>
      </c>
      <c r="H675" s="186" t="s">
        <v>2076</v>
      </c>
      <c r="I675" s="187" t="s">
        <v>2091</v>
      </c>
      <c r="J675" s="187" t="s">
        <v>2092</v>
      </c>
      <c r="K675" s="188">
        <v>36</v>
      </c>
      <c r="L675" s="188">
        <v>36</v>
      </c>
      <c r="M675" s="189" t="s">
        <v>1018</v>
      </c>
      <c r="N675" s="190">
        <v>222.6</v>
      </c>
      <c r="O675" s="190">
        <f t="shared" si="82"/>
        <v>242.63</v>
      </c>
      <c r="P675" s="191">
        <f t="shared" si="83"/>
        <v>8013.6</v>
      </c>
      <c r="Q675" s="192">
        <f t="shared" si="84"/>
        <v>8013.6</v>
      </c>
      <c r="R675" s="193"/>
      <c r="S675" s="194"/>
      <c r="T675" s="195">
        <f t="shared" si="85"/>
        <v>0</v>
      </c>
      <c r="U675" s="195">
        <f t="shared" si="86"/>
        <v>0</v>
      </c>
      <c r="V675" s="195">
        <f t="shared" si="87"/>
        <v>0</v>
      </c>
      <c r="W675" s="196">
        <f t="shared" si="88"/>
        <v>0</v>
      </c>
      <c r="X675" s="197">
        <f t="shared" si="89"/>
        <v>0</v>
      </c>
    </row>
    <row r="676" ht="11.4" hidden="1" customHeight="1" spans="1:24">
      <c r="A676" s="184" t="s">
        <v>2073</v>
      </c>
      <c r="B676" s="184" t="s">
        <v>145</v>
      </c>
      <c r="C676" s="184" t="s">
        <v>2074</v>
      </c>
      <c r="D676" s="185" t="s">
        <v>522</v>
      </c>
      <c r="E676" s="186" t="s">
        <v>906</v>
      </c>
      <c r="F676" s="186" t="s">
        <v>907</v>
      </c>
      <c r="G676" s="186" t="s">
        <v>2075</v>
      </c>
      <c r="H676" s="186" t="s">
        <v>2076</v>
      </c>
      <c r="I676" s="187" t="s">
        <v>2093</v>
      </c>
      <c r="J676" s="187" t="s">
        <v>2094</v>
      </c>
      <c r="K676" s="188"/>
      <c r="L676" s="188"/>
      <c r="M676" s="189" t="s">
        <v>1018</v>
      </c>
      <c r="N676" s="190">
        <v>176.4</v>
      </c>
      <c r="O676" s="190">
        <f t="shared" si="82"/>
        <v>192.28</v>
      </c>
      <c r="P676" s="191">
        <f t="shared" si="83"/>
        <v>0</v>
      </c>
      <c r="Q676" s="192">
        <f t="shared" si="84"/>
        <v>0</v>
      </c>
      <c r="R676" s="193"/>
      <c r="S676" s="194"/>
      <c r="T676" s="195">
        <f t="shared" si="85"/>
        <v>0</v>
      </c>
      <c r="U676" s="195">
        <f t="shared" si="86"/>
        <v>0</v>
      </c>
      <c r="V676" s="195">
        <f t="shared" si="87"/>
        <v>0</v>
      </c>
      <c r="W676" s="196" t="e">
        <f t="shared" si="88"/>
        <v>#DIV/0!</v>
      </c>
      <c r="X676" s="197" t="e">
        <f t="shared" si="89"/>
        <v>#DIV/0!</v>
      </c>
    </row>
    <row r="677" ht="11.4" hidden="1" customHeight="1" spans="1:24">
      <c r="A677" s="184" t="s">
        <v>2073</v>
      </c>
      <c r="B677" s="184" t="s">
        <v>145</v>
      </c>
      <c r="C677" s="184" t="s">
        <v>2074</v>
      </c>
      <c r="D677" s="185" t="s">
        <v>522</v>
      </c>
      <c r="E677" s="186" t="s">
        <v>906</v>
      </c>
      <c r="F677" s="186" t="s">
        <v>907</v>
      </c>
      <c r="G677" s="186" t="s">
        <v>2075</v>
      </c>
      <c r="H677" s="186" t="s">
        <v>2076</v>
      </c>
      <c r="I677" s="187" t="s">
        <v>2095</v>
      </c>
      <c r="J677" s="187" t="s">
        <v>2096</v>
      </c>
      <c r="K677" s="188"/>
      <c r="L677" s="188"/>
      <c r="M677" s="189" t="s">
        <v>1018</v>
      </c>
      <c r="N677" s="190">
        <v>134.4</v>
      </c>
      <c r="O677" s="190">
        <f t="shared" si="82"/>
        <v>146.5</v>
      </c>
      <c r="P677" s="191">
        <f t="shared" si="83"/>
        <v>0</v>
      </c>
      <c r="Q677" s="192">
        <f t="shared" si="84"/>
        <v>0</v>
      </c>
      <c r="R677" s="193"/>
      <c r="S677" s="194"/>
      <c r="T677" s="195">
        <f t="shared" si="85"/>
        <v>0</v>
      </c>
      <c r="U677" s="195">
        <f t="shared" si="86"/>
        <v>0</v>
      </c>
      <c r="V677" s="195">
        <f t="shared" si="87"/>
        <v>0</v>
      </c>
      <c r="W677" s="196" t="e">
        <f t="shared" si="88"/>
        <v>#DIV/0!</v>
      </c>
      <c r="X677" s="197" t="e">
        <f t="shared" si="89"/>
        <v>#DIV/0!</v>
      </c>
    </row>
    <row r="678" ht="11.4" hidden="1" customHeight="1" spans="1:24">
      <c r="A678" s="184" t="s">
        <v>2073</v>
      </c>
      <c r="B678" s="184" t="s">
        <v>145</v>
      </c>
      <c r="C678" s="184" t="s">
        <v>2074</v>
      </c>
      <c r="D678" s="185" t="s">
        <v>522</v>
      </c>
      <c r="E678" s="186" t="s">
        <v>906</v>
      </c>
      <c r="F678" s="186" t="s">
        <v>907</v>
      </c>
      <c r="G678" s="186" t="s">
        <v>2075</v>
      </c>
      <c r="H678" s="186" t="s">
        <v>2076</v>
      </c>
      <c r="I678" s="187" t="s">
        <v>2097</v>
      </c>
      <c r="J678" s="187" t="s">
        <v>2098</v>
      </c>
      <c r="K678" s="188"/>
      <c r="L678" s="188"/>
      <c r="M678" s="189" t="s">
        <v>1018</v>
      </c>
      <c r="N678" s="190">
        <v>152.56</v>
      </c>
      <c r="O678" s="190">
        <f t="shared" si="82"/>
        <v>166.29</v>
      </c>
      <c r="P678" s="191">
        <f t="shared" si="83"/>
        <v>0</v>
      </c>
      <c r="Q678" s="192">
        <f t="shared" si="84"/>
        <v>0</v>
      </c>
      <c r="R678" s="193"/>
      <c r="S678" s="194"/>
      <c r="T678" s="195">
        <f t="shared" si="85"/>
        <v>0</v>
      </c>
      <c r="U678" s="195">
        <f t="shared" si="86"/>
        <v>0</v>
      </c>
      <c r="V678" s="195">
        <f t="shared" si="87"/>
        <v>0</v>
      </c>
      <c r="W678" s="196" t="e">
        <f t="shared" si="88"/>
        <v>#DIV/0!</v>
      </c>
      <c r="X678" s="197" t="e">
        <f t="shared" si="89"/>
        <v>#DIV/0!</v>
      </c>
    </row>
    <row r="679" ht="11.4" hidden="1" customHeight="1" spans="1:24">
      <c r="A679" s="184" t="s">
        <v>2073</v>
      </c>
      <c r="B679" s="184" t="s">
        <v>145</v>
      </c>
      <c r="C679" s="184" t="s">
        <v>2074</v>
      </c>
      <c r="D679" s="185" t="s">
        <v>522</v>
      </c>
      <c r="E679" s="186" t="s">
        <v>906</v>
      </c>
      <c r="F679" s="186" t="s">
        <v>907</v>
      </c>
      <c r="G679" s="186" t="s">
        <v>2075</v>
      </c>
      <c r="H679" s="186" t="s">
        <v>2076</v>
      </c>
      <c r="I679" s="187" t="s">
        <v>2099</v>
      </c>
      <c r="J679" s="187" t="s">
        <v>2100</v>
      </c>
      <c r="K679" s="188">
        <v>19</v>
      </c>
      <c r="L679" s="188">
        <v>19</v>
      </c>
      <c r="M679" s="189" t="s">
        <v>1018</v>
      </c>
      <c r="N679" s="190">
        <v>222.6</v>
      </c>
      <c r="O679" s="190">
        <f t="shared" si="82"/>
        <v>242.63</v>
      </c>
      <c r="P679" s="191">
        <f t="shared" si="83"/>
        <v>4229.4</v>
      </c>
      <c r="Q679" s="192">
        <f t="shared" si="84"/>
        <v>4229.4</v>
      </c>
      <c r="R679" s="193"/>
      <c r="S679" s="194"/>
      <c r="T679" s="195">
        <f t="shared" si="85"/>
        <v>0</v>
      </c>
      <c r="U679" s="195">
        <f t="shared" si="86"/>
        <v>0</v>
      </c>
      <c r="V679" s="195">
        <f t="shared" si="87"/>
        <v>0</v>
      </c>
      <c r="W679" s="196">
        <f t="shared" si="88"/>
        <v>0</v>
      </c>
      <c r="X679" s="197">
        <f t="shared" si="89"/>
        <v>0</v>
      </c>
    </row>
    <row r="680" ht="11.4" hidden="1" customHeight="1" spans="1:24">
      <c r="A680" s="184" t="s">
        <v>2073</v>
      </c>
      <c r="B680" s="184" t="s">
        <v>145</v>
      </c>
      <c r="C680" s="184" t="s">
        <v>2074</v>
      </c>
      <c r="D680" s="185" t="s">
        <v>522</v>
      </c>
      <c r="E680" s="186" t="s">
        <v>906</v>
      </c>
      <c r="F680" s="186" t="s">
        <v>907</v>
      </c>
      <c r="G680" s="186" t="s">
        <v>2075</v>
      </c>
      <c r="H680" s="186" t="s">
        <v>2076</v>
      </c>
      <c r="I680" s="187" t="s">
        <v>2101</v>
      </c>
      <c r="J680" s="187" t="s">
        <v>2102</v>
      </c>
      <c r="K680" s="188">
        <v>3</v>
      </c>
      <c r="L680" s="188">
        <v>3</v>
      </c>
      <c r="M680" s="189" t="s">
        <v>1018</v>
      </c>
      <c r="N680" s="190">
        <v>86.1</v>
      </c>
      <c r="O680" s="190">
        <f t="shared" si="82"/>
        <v>93.85</v>
      </c>
      <c r="P680" s="191">
        <f t="shared" si="83"/>
        <v>258.3</v>
      </c>
      <c r="Q680" s="192">
        <f t="shared" si="84"/>
        <v>258.3</v>
      </c>
      <c r="R680" s="193"/>
      <c r="S680" s="194"/>
      <c r="T680" s="195">
        <f t="shared" si="85"/>
        <v>0</v>
      </c>
      <c r="U680" s="195">
        <f t="shared" si="86"/>
        <v>0</v>
      </c>
      <c r="V680" s="195">
        <f t="shared" si="87"/>
        <v>0</v>
      </c>
      <c r="W680" s="196">
        <f t="shared" si="88"/>
        <v>0</v>
      </c>
      <c r="X680" s="197">
        <f t="shared" si="89"/>
        <v>0</v>
      </c>
    </row>
    <row r="681" ht="11.4" hidden="1" customHeight="1" spans="1:24">
      <c r="A681" s="184" t="s">
        <v>2073</v>
      </c>
      <c r="B681" s="184" t="s">
        <v>145</v>
      </c>
      <c r="C681" s="184" t="s">
        <v>2074</v>
      </c>
      <c r="D681" s="185" t="s">
        <v>522</v>
      </c>
      <c r="E681" s="186" t="s">
        <v>906</v>
      </c>
      <c r="F681" s="186" t="s">
        <v>907</v>
      </c>
      <c r="G681" s="186" t="s">
        <v>2075</v>
      </c>
      <c r="H681" s="186" t="s">
        <v>2076</v>
      </c>
      <c r="I681" s="187" t="s">
        <v>2103</v>
      </c>
      <c r="J681" s="187" t="s">
        <v>2104</v>
      </c>
      <c r="K681" s="188"/>
      <c r="L681" s="188"/>
      <c r="M681" s="189" t="s">
        <v>1018</v>
      </c>
      <c r="N681" s="190">
        <v>261.15</v>
      </c>
      <c r="O681" s="190">
        <f t="shared" si="82"/>
        <v>284.65</v>
      </c>
      <c r="P681" s="191">
        <f t="shared" si="83"/>
        <v>0</v>
      </c>
      <c r="Q681" s="192">
        <f t="shared" si="84"/>
        <v>0</v>
      </c>
      <c r="R681" s="193"/>
      <c r="S681" s="194"/>
      <c r="T681" s="195">
        <f t="shared" si="85"/>
        <v>0</v>
      </c>
      <c r="U681" s="195">
        <f t="shared" si="86"/>
        <v>0</v>
      </c>
      <c r="V681" s="195">
        <f t="shared" si="87"/>
        <v>0</v>
      </c>
      <c r="W681" s="196" t="e">
        <f t="shared" si="88"/>
        <v>#DIV/0!</v>
      </c>
      <c r="X681" s="197" t="e">
        <f t="shared" si="89"/>
        <v>#DIV/0!</v>
      </c>
    </row>
    <row r="682" ht="11.4" hidden="1" customHeight="1" spans="1:24">
      <c r="A682" s="184" t="s">
        <v>2073</v>
      </c>
      <c r="B682" s="184" t="s">
        <v>145</v>
      </c>
      <c r="C682" s="184" t="s">
        <v>2074</v>
      </c>
      <c r="D682" s="185" t="s">
        <v>522</v>
      </c>
      <c r="E682" s="186" t="s">
        <v>906</v>
      </c>
      <c r="F682" s="186" t="s">
        <v>907</v>
      </c>
      <c r="G682" s="186" t="s">
        <v>2075</v>
      </c>
      <c r="H682" s="186" t="s">
        <v>2076</v>
      </c>
      <c r="I682" s="187" t="s">
        <v>2105</v>
      </c>
      <c r="J682" s="187" t="s">
        <v>2106</v>
      </c>
      <c r="K682" s="188"/>
      <c r="L682" s="188"/>
      <c r="M682" s="189" t="s">
        <v>1018</v>
      </c>
      <c r="N682" s="190">
        <v>420</v>
      </c>
      <c r="O682" s="190">
        <f t="shared" si="82"/>
        <v>457.8</v>
      </c>
      <c r="P682" s="191">
        <f t="shared" si="83"/>
        <v>0</v>
      </c>
      <c r="Q682" s="192">
        <f t="shared" si="84"/>
        <v>0</v>
      </c>
      <c r="R682" s="193"/>
      <c r="S682" s="194"/>
      <c r="T682" s="195">
        <f t="shared" si="85"/>
        <v>0</v>
      </c>
      <c r="U682" s="195">
        <f t="shared" si="86"/>
        <v>0</v>
      </c>
      <c r="V682" s="195">
        <f t="shared" si="87"/>
        <v>0</v>
      </c>
      <c r="W682" s="196" t="e">
        <f t="shared" si="88"/>
        <v>#DIV/0!</v>
      </c>
      <c r="X682" s="197" t="e">
        <f t="shared" si="89"/>
        <v>#DIV/0!</v>
      </c>
    </row>
    <row r="683" ht="11.4" hidden="1" customHeight="1" spans="1:24">
      <c r="A683" s="184" t="s">
        <v>2073</v>
      </c>
      <c r="B683" s="184" t="s">
        <v>145</v>
      </c>
      <c r="C683" s="184" t="s">
        <v>2074</v>
      </c>
      <c r="D683" s="185" t="s">
        <v>522</v>
      </c>
      <c r="E683" s="186" t="s">
        <v>906</v>
      </c>
      <c r="F683" s="186" t="s">
        <v>907</v>
      </c>
      <c r="G683" s="186" t="s">
        <v>2075</v>
      </c>
      <c r="H683" s="186" t="s">
        <v>2076</v>
      </c>
      <c r="I683" s="187" t="s">
        <v>2107</v>
      </c>
      <c r="J683" s="187" t="s">
        <v>2108</v>
      </c>
      <c r="K683" s="188"/>
      <c r="L683" s="188"/>
      <c r="M683" s="189" t="s">
        <v>1018</v>
      </c>
      <c r="N683" s="190">
        <v>222.6</v>
      </c>
      <c r="O683" s="190">
        <f t="shared" si="82"/>
        <v>242.63</v>
      </c>
      <c r="P683" s="191">
        <f t="shared" si="83"/>
        <v>0</v>
      </c>
      <c r="Q683" s="192">
        <f t="shared" si="84"/>
        <v>0</v>
      </c>
      <c r="R683" s="193"/>
      <c r="S683" s="194"/>
      <c r="T683" s="195">
        <f t="shared" si="85"/>
        <v>0</v>
      </c>
      <c r="U683" s="195">
        <f t="shared" si="86"/>
        <v>0</v>
      </c>
      <c r="V683" s="195">
        <f t="shared" si="87"/>
        <v>0</v>
      </c>
      <c r="W683" s="196" t="e">
        <f t="shared" si="88"/>
        <v>#DIV/0!</v>
      </c>
      <c r="X683" s="197" t="e">
        <f t="shared" si="89"/>
        <v>#DIV/0!</v>
      </c>
    </row>
    <row r="684" ht="11.4" hidden="1" customHeight="1" spans="1:24">
      <c r="A684" s="184" t="s">
        <v>2073</v>
      </c>
      <c r="B684" s="184" t="s">
        <v>145</v>
      </c>
      <c r="C684" s="184" t="s">
        <v>2074</v>
      </c>
      <c r="D684" s="185" t="s">
        <v>522</v>
      </c>
      <c r="E684" s="186" t="s">
        <v>906</v>
      </c>
      <c r="F684" s="186" t="s">
        <v>907</v>
      </c>
      <c r="G684" s="186" t="s">
        <v>2075</v>
      </c>
      <c r="H684" s="186" t="s">
        <v>2076</v>
      </c>
      <c r="I684" s="187" t="s">
        <v>2109</v>
      </c>
      <c r="J684" s="187" t="s">
        <v>2110</v>
      </c>
      <c r="K684" s="188"/>
      <c r="L684" s="188"/>
      <c r="M684" s="189" t="s">
        <v>1018</v>
      </c>
      <c r="N684" s="190">
        <v>173.25</v>
      </c>
      <c r="O684" s="190">
        <f t="shared" si="82"/>
        <v>188.84</v>
      </c>
      <c r="P684" s="191">
        <f t="shared" si="83"/>
        <v>0</v>
      </c>
      <c r="Q684" s="192">
        <f t="shared" si="84"/>
        <v>0</v>
      </c>
      <c r="R684" s="193"/>
      <c r="S684" s="194"/>
      <c r="T684" s="195">
        <f t="shared" si="85"/>
        <v>0</v>
      </c>
      <c r="U684" s="195">
        <f t="shared" si="86"/>
        <v>0</v>
      </c>
      <c r="V684" s="195">
        <f t="shared" si="87"/>
        <v>0</v>
      </c>
      <c r="W684" s="196" t="e">
        <f t="shared" si="88"/>
        <v>#DIV/0!</v>
      </c>
      <c r="X684" s="197" t="e">
        <f t="shared" si="89"/>
        <v>#DIV/0!</v>
      </c>
    </row>
    <row r="685" ht="11.4" hidden="1" customHeight="1" spans="1:24">
      <c r="A685" s="184" t="s">
        <v>2073</v>
      </c>
      <c r="B685" s="184" t="s">
        <v>145</v>
      </c>
      <c r="C685" s="184" t="s">
        <v>2074</v>
      </c>
      <c r="D685" s="185" t="s">
        <v>522</v>
      </c>
      <c r="E685" s="186" t="s">
        <v>906</v>
      </c>
      <c r="F685" s="186" t="s">
        <v>907</v>
      </c>
      <c r="G685" s="186" t="s">
        <v>2075</v>
      </c>
      <c r="H685" s="186" t="s">
        <v>2076</v>
      </c>
      <c r="I685" s="187" t="s">
        <v>2111</v>
      </c>
      <c r="J685" s="187" t="s">
        <v>2112</v>
      </c>
      <c r="K685" s="188"/>
      <c r="L685" s="188"/>
      <c r="M685" s="189" t="s">
        <v>1018</v>
      </c>
      <c r="N685" s="190">
        <v>134.4</v>
      </c>
      <c r="O685" s="190">
        <f t="shared" si="82"/>
        <v>146.5</v>
      </c>
      <c r="P685" s="191">
        <f t="shared" si="83"/>
        <v>0</v>
      </c>
      <c r="Q685" s="192">
        <f t="shared" si="84"/>
        <v>0</v>
      </c>
      <c r="R685" s="193"/>
      <c r="S685" s="194"/>
      <c r="T685" s="195">
        <f t="shared" si="85"/>
        <v>0</v>
      </c>
      <c r="U685" s="195">
        <f t="shared" si="86"/>
        <v>0</v>
      </c>
      <c r="V685" s="195">
        <f t="shared" si="87"/>
        <v>0</v>
      </c>
      <c r="W685" s="196" t="e">
        <f t="shared" si="88"/>
        <v>#DIV/0!</v>
      </c>
      <c r="X685" s="197" t="e">
        <f t="shared" si="89"/>
        <v>#DIV/0!</v>
      </c>
    </row>
    <row r="686" ht="11.4" hidden="1" customHeight="1" spans="1:24">
      <c r="A686" s="184" t="s">
        <v>2073</v>
      </c>
      <c r="B686" s="184" t="s">
        <v>145</v>
      </c>
      <c r="C686" s="184" t="s">
        <v>2074</v>
      </c>
      <c r="D686" s="185" t="s">
        <v>522</v>
      </c>
      <c r="E686" s="186" t="s">
        <v>906</v>
      </c>
      <c r="F686" s="186" t="s">
        <v>907</v>
      </c>
      <c r="G686" s="186" t="s">
        <v>2075</v>
      </c>
      <c r="H686" s="186" t="s">
        <v>2076</v>
      </c>
      <c r="I686" s="187" t="s">
        <v>2113</v>
      </c>
      <c r="J686" s="187" t="s">
        <v>2114</v>
      </c>
      <c r="K686" s="188"/>
      <c r="L686" s="188"/>
      <c r="M686" s="189" t="s">
        <v>1018</v>
      </c>
      <c r="N686" s="190">
        <v>498.75</v>
      </c>
      <c r="O686" s="190">
        <f t="shared" si="82"/>
        <v>543.64</v>
      </c>
      <c r="P686" s="191">
        <f t="shared" si="83"/>
        <v>0</v>
      </c>
      <c r="Q686" s="192">
        <f t="shared" si="84"/>
        <v>0</v>
      </c>
      <c r="R686" s="193"/>
      <c r="S686" s="194"/>
      <c r="T686" s="195">
        <f t="shared" si="85"/>
        <v>0</v>
      </c>
      <c r="U686" s="195">
        <f t="shared" si="86"/>
        <v>0</v>
      </c>
      <c r="V686" s="195">
        <f t="shared" si="87"/>
        <v>0</v>
      </c>
      <c r="W686" s="196" t="e">
        <f t="shared" si="88"/>
        <v>#DIV/0!</v>
      </c>
      <c r="X686" s="197" t="e">
        <f t="shared" si="89"/>
        <v>#DIV/0!</v>
      </c>
    </row>
    <row r="687" ht="11.4" hidden="1" customHeight="1" spans="1:24">
      <c r="A687" s="184" t="s">
        <v>2073</v>
      </c>
      <c r="B687" s="184" t="s">
        <v>145</v>
      </c>
      <c r="C687" s="184" t="s">
        <v>2074</v>
      </c>
      <c r="D687" s="185" t="s">
        <v>522</v>
      </c>
      <c r="E687" s="186" t="s">
        <v>906</v>
      </c>
      <c r="F687" s="186" t="s">
        <v>907</v>
      </c>
      <c r="G687" s="186" t="s">
        <v>2075</v>
      </c>
      <c r="H687" s="186" t="s">
        <v>2076</v>
      </c>
      <c r="I687" s="187" t="s">
        <v>2115</v>
      </c>
      <c r="J687" s="187" t="s">
        <v>2116</v>
      </c>
      <c r="K687" s="188"/>
      <c r="L687" s="188"/>
      <c r="M687" s="189" t="s">
        <v>1018</v>
      </c>
      <c r="N687" s="190">
        <v>346.5</v>
      </c>
      <c r="O687" s="190">
        <f t="shared" si="82"/>
        <v>377.69</v>
      </c>
      <c r="P687" s="191">
        <f t="shared" si="83"/>
        <v>0</v>
      </c>
      <c r="Q687" s="192">
        <f t="shared" si="84"/>
        <v>0</v>
      </c>
      <c r="R687" s="193"/>
      <c r="S687" s="194"/>
      <c r="T687" s="195">
        <f t="shared" si="85"/>
        <v>0</v>
      </c>
      <c r="U687" s="195">
        <f t="shared" si="86"/>
        <v>0</v>
      </c>
      <c r="V687" s="195">
        <f t="shared" si="87"/>
        <v>0</v>
      </c>
      <c r="W687" s="196" t="e">
        <f t="shared" si="88"/>
        <v>#DIV/0!</v>
      </c>
      <c r="X687" s="197" t="e">
        <f t="shared" si="89"/>
        <v>#DIV/0!</v>
      </c>
    </row>
    <row r="688" ht="11.4" hidden="1" customHeight="1" spans="1:24">
      <c r="A688" s="184" t="s">
        <v>2073</v>
      </c>
      <c r="B688" s="184" t="s">
        <v>145</v>
      </c>
      <c r="C688" s="184" t="s">
        <v>2074</v>
      </c>
      <c r="D688" s="185" t="s">
        <v>522</v>
      </c>
      <c r="E688" s="186" t="s">
        <v>906</v>
      </c>
      <c r="F688" s="186" t="s">
        <v>907</v>
      </c>
      <c r="G688" s="186" t="s">
        <v>2075</v>
      </c>
      <c r="H688" s="186" t="s">
        <v>2076</v>
      </c>
      <c r="I688" s="187" t="s">
        <v>2117</v>
      </c>
      <c r="J688" s="187" t="s">
        <v>2118</v>
      </c>
      <c r="K688" s="188"/>
      <c r="L688" s="188"/>
      <c r="M688" s="189" t="s">
        <v>807</v>
      </c>
      <c r="N688" s="190">
        <v>42</v>
      </c>
      <c r="O688" s="190">
        <f t="shared" si="82"/>
        <v>45.78</v>
      </c>
      <c r="P688" s="191">
        <f t="shared" si="83"/>
        <v>0</v>
      </c>
      <c r="Q688" s="192">
        <f t="shared" si="84"/>
        <v>0</v>
      </c>
      <c r="R688" s="193"/>
      <c r="S688" s="194"/>
      <c r="T688" s="195">
        <f t="shared" si="85"/>
        <v>0</v>
      </c>
      <c r="U688" s="195">
        <f t="shared" si="86"/>
        <v>0</v>
      </c>
      <c r="V688" s="195">
        <f t="shared" si="87"/>
        <v>0</v>
      </c>
      <c r="W688" s="196" t="e">
        <f t="shared" si="88"/>
        <v>#DIV/0!</v>
      </c>
      <c r="X688" s="197" t="e">
        <f t="shared" si="89"/>
        <v>#DIV/0!</v>
      </c>
    </row>
    <row r="689" ht="11.4" hidden="1" customHeight="1" spans="1:24">
      <c r="A689" s="184" t="s">
        <v>2073</v>
      </c>
      <c r="B689" s="184" t="s">
        <v>145</v>
      </c>
      <c r="C689" s="184" t="s">
        <v>2074</v>
      </c>
      <c r="D689" s="185" t="s">
        <v>522</v>
      </c>
      <c r="E689" s="186" t="s">
        <v>906</v>
      </c>
      <c r="F689" s="186" t="s">
        <v>907</v>
      </c>
      <c r="G689" s="186" t="s">
        <v>2075</v>
      </c>
      <c r="H689" s="186" t="s">
        <v>2076</v>
      </c>
      <c r="I689" s="187" t="s">
        <v>2119</v>
      </c>
      <c r="J689" s="187" t="s">
        <v>2120</v>
      </c>
      <c r="K689" s="188"/>
      <c r="L689" s="188"/>
      <c r="M689" s="189" t="s">
        <v>1018</v>
      </c>
      <c r="N689" s="190">
        <v>75.6</v>
      </c>
      <c r="O689" s="190">
        <f t="shared" si="82"/>
        <v>82.4</v>
      </c>
      <c r="P689" s="191">
        <f t="shared" si="83"/>
        <v>0</v>
      </c>
      <c r="Q689" s="192">
        <f t="shared" si="84"/>
        <v>0</v>
      </c>
      <c r="R689" s="193"/>
      <c r="S689" s="194"/>
      <c r="T689" s="195">
        <f t="shared" si="85"/>
        <v>0</v>
      </c>
      <c r="U689" s="195">
        <f t="shared" si="86"/>
        <v>0</v>
      </c>
      <c r="V689" s="195">
        <f t="shared" si="87"/>
        <v>0</v>
      </c>
      <c r="W689" s="196" t="e">
        <f t="shared" si="88"/>
        <v>#DIV/0!</v>
      </c>
      <c r="X689" s="197" t="e">
        <f t="shared" si="89"/>
        <v>#DIV/0!</v>
      </c>
    </row>
    <row r="690" ht="11.4" hidden="1" customHeight="1" spans="1:24">
      <c r="A690" s="184" t="s">
        <v>2073</v>
      </c>
      <c r="B690" s="184" t="s">
        <v>145</v>
      </c>
      <c r="C690" s="184" t="s">
        <v>2074</v>
      </c>
      <c r="D690" s="185" t="s">
        <v>522</v>
      </c>
      <c r="E690" s="186" t="s">
        <v>906</v>
      </c>
      <c r="F690" s="186" t="s">
        <v>907</v>
      </c>
      <c r="G690" s="186" t="s">
        <v>2075</v>
      </c>
      <c r="H690" s="186" t="s">
        <v>2076</v>
      </c>
      <c r="I690" s="187" t="s">
        <v>2121</v>
      </c>
      <c r="J690" s="187" t="s">
        <v>2122</v>
      </c>
      <c r="K690" s="188"/>
      <c r="L690" s="188"/>
      <c r="M690" s="189" t="s">
        <v>1018</v>
      </c>
      <c r="N690" s="190">
        <v>38.85</v>
      </c>
      <c r="O690" s="190">
        <f t="shared" si="82"/>
        <v>42.35</v>
      </c>
      <c r="P690" s="191">
        <f t="shared" si="83"/>
        <v>0</v>
      </c>
      <c r="Q690" s="192">
        <f t="shared" si="84"/>
        <v>0</v>
      </c>
      <c r="R690" s="193"/>
      <c r="S690" s="194"/>
      <c r="T690" s="195">
        <f t="shared" si="85"/>
        <v>0</v>
      </c>
      <c r="U690" s="195">
        <f t="shared" si="86"/>
        <v>0</v>
      </c>
      <c r="V690" s="195">
        <f t="shared" si="87"/>
        <v>0</v>
      </c>
      <c r="W690" s="196" t="e">
        <f t="shared" si="88"/>
        <v>#DIV/0!</v>
      </c>
      <c r="X690" s="197" t="e">
        <f t="shared" si="89"/>
        <v>#DIV/0!</v>
      </c>
    </row>
    <row r="691" ht="11.4" hidden="1" customHeight="1" spans="1:24">
      <c r="A691" s="184" t="s">
        <v>2073</v>
      </c>
      <c r="B691" s="184" t="s">
        <v>145</v>
      </c>
      <c r="C691" s="184" t="s">
        <v>2074</v>
      </c>
      <c r="D691" s="185" t="s">
        <v>522</v>
      </c>
      <c r="E691" s="186" t="s">
        <v>906</v>
      </c>
      <c r="F691" s="186" t="s">
        <v>907</v>
      </c>
      <c r="G691" s="186" t="s">
        <v>2075</v>
      </c>
      <c r="H691" s="186" t="s">
        <v>2076</v>
      </c>
      <c r="I691" s="187" t="s">
        <v>2123</v>
      </c>
      <c r="J691" s="187" t="s">
        <v>2124</v>
      </c>
      <c r="K691" s="188"/>
      <c r="L691" s="188"/>
      <c r="M691" s="189" t="s">
        <v>1018</v>
      </c>
      <c r="N691" s="190">
        <v>8.4</v>
      </c>
      <c r="O691" s="190">
        <f t="shared" si="82"/>
        <v>9.16</v>
      </c>
      <c r="P691" s="191">
        <f t="shared" si="83"/>
        <v>0</v>
      </c>
      <c r="Q691" s="192">
        <f t="shared" si="84"/>
        <v>0</v>
      </c>
      <c r="R691" s="193"/>
      <c r="S691" s="194"/>
      <c r="T691" s="195">
        <f t="shared" si="85"/>
        <v>0</v>
      </c>
      <c r="U691" s="195">
        <f t="shared" si="86"/>
        <v>0</v>
      </c>
      <c r="V691" s="195">
        <f t="shared" si="87"/>
        <v>0</v>
      </c>
      <c r="W691" s="196" t="e">
        <f t="shared" si="88"/>
        <v>#DIV/0!</v>
      </c>
      <c r="X691" s="197" t="e">
        <f t="shared" si="89"/>
        <v>#DIV/0!</v>
      </c>
    </row>
    <row r="692" ht="11.4" hidden="1" customHeight="1" spans="1:24">
      <c r="A692" s="184" t="s">
        <v>2073</v>
      </c>
      <c r="B692" s="184" t="s">
        <v>145</v>
      </c>
      <c r="C692" s="184" t="s">
        <v>2074</v>
      </c>
      <c r="D692" s="185" t="s">
        <v>522</v>
      </c>
      <c r="E692" s="186" t="s">
        <v>906</v>
      </c>
      <c r="F692" s="186" t="s">
        <v>907</v>
      </c>
      <c r="G692" s="186" t="s">
        <v>2075</v>
      </c>
      <c r="H692" s="186" t="s">
        <v>2076</v>
      </c>
      <c r="I692" s="187" t="s">
        <v>2125</v>
      </c>
      <c r="J692" s="187" t="s">
        <v>2126</v>
      </c>
      <c r="K692" s="188"/>
      <c r="L692" s="188"/>
      <c r="M692" s="189" t="s">
        <v>1018</v>
      </c>
      <c r="N692" s="190">
        <v>119.7</v>
      </c>
      <c r="O692" s="190">
        <f t="shared" si="82"/>
        <v>130.47</v>
      </c>
      <c r="P692" s="191">
        <f t="shared" si="83"/>
        <v>0</v>
      </c>
      <c r="Q692" s="192">
        <f t="shared" si="84"/>
        <v>0</v>
      </c>
      <c r="R692" s="193"/>
      <c r="S692" s="194"/>
      <c r="T692" s="195">
        <f t="shared" si="85"/>
        <v>0</v>
      </c>
      <c r="U692" s="195">
        <f t="shared" si="86"/>
        <v>0</v>
      </c>
      <c r="V692" s="195">
        <f t="shared" si="87"/>
        <v>0</v>
      </c>
      <c r="W692" s="196" t="e">
        <f t="shared" si="88"/>
        <v>#DIV/0!</v>
      </c>
      <c r="X692" s="197" t="e">
        <f t="shared" si="89"/>
        <v>#DIV/0!</v>
      </c>
    </row>
    <row r="693" ht="11.4" hidden="1" customHeight="1" spans="1:24">
      <c r="A693" s="184" t="s">
        <v>2073</v>
      </c>
      <c r="B693" s="184" t="s">
        <v>145</v>
      </c>
      <c r="C693" s="184" t="s">
        <v>2074</v>
      </c>
      <c r="D693" s="185" t="s">
        <v>522</v>
      </c>
      <c r="E693" s="186" t="s">
        <v>906</v>
      </c>
      <c r="F693" s="186" t="s">
        <v>907</v>
      </c>
      <c r="G693" s="186" t="s">
        <v>2075</v>
      </c>
      <c r="H693" s="186" t="s">
        <v>2076</v>
      </c>
      <c r="I693" s="187" t="s">
        <v>2127</v>
      </c>
      <c r="J693" s="187" t="s">
        <v>2128</v>
      </c>
      <c r="K693" s="188"/>
      <c r="L693" s="188"/>
      <c r="M693" s="189" t="s">
        <v>1018</v>
      </c>
      <c r="N693" s="190">
        <v>28.35</v>
      </c>
      <c r="O693" s="190">
        <f t="shared" si="82"/>
        <v>30.9</v>
      </c>
      <c r="P693" s="191">
        <f t="shared" si="83"/>
        <v>0</v>
      </c>
      <c r="Q693" s="192">
        <f t="shared" si="84"/>
        <v>0</v>
      </c>
      <c r="R693" s="193"/>
      <c r="S693" s="194"/>
      <c r="T693" s="195">
        <f t="shared" si="85"/>
        <v>0</v>
      </c>
      <c r="U693" s="195">
        <f t="shared" si="86"/>
        <v>0</v>
      </c>
      <c r="V693" s="195">
        <f t="shared" si="87"/>
        <v>0</v>
      </c>
      <c r="W693" s="196" t="e">
        <f t="shared" si="88"/>
        <v>#DIV/0!</v>
      </c>
      <c r="X693" s="197" t="e">
        <f t="shared" si="89"/>
        <v>#DIV/0!</v>
      </c>
    </row>
    <row r="694" ht="11.4" hidden="1" customHeight="1" spans="1:24">
      <c r="A694" s="184" t="s">
        <v>2073</v>
      </c>
      <c r="B694" s="184" t="s">
        <v>145</v>
      </c>
      <c r="C694" s="184" t="s">
        <v>2074</v>
      </c>
      <c r="D694" s="185" t="s">
        <v>522</v>
      </c>
      <c r="E694" s="186" t="s">
        <v>906</v>
      </c>
      <c r="F694" s="186" t="s">
        <v>907</v>
      </c>
      <c r="G694" s="186" t="s">
        <v>2075</v>
      </c>
      <c r="H694" s="186" t="s">
        <v>2076</v>
      </c>
      <c r="I694" s="187" t="s">
        <v>2129</v>
      </c>
      <c r="J694" s="187" t="s">
        <v>2130</v>
      </c>
      <c r="K694" s="188"/>
      <c r="L694" s="188"/>
      <c r="M694" s="189" t="s">
        <v>1018</v>
      </c>
      <c r="N694" s="190">
        <v>102.9</v>
      </c>
      <c r="O694" s="190">
        <f t="shared" si="82"/>
        <v>112.16</v>
      </c>
      <c r="P694" s="191">
        <f t="shared" si="83"/>
        <v>0</v>
      </c>
      <c r="Q694" s="192">
        <f t="shared" si="84"/>
        <v>0</v>
      </c>
      <c r="R694" s="193"/>
      <c r="S694" s="194"/>
      <c r="T694" s="195">
        <f t="shared" si="85"/>
        <v>0</v>
      </c>
      <c r="U694" s="195">
        <f t="shared" si="86"/>
        <v>0</v>
      </c>
      <c r="V694" s="195">
        <f t="shared" si="87"/>
        <v>0</v>
      </c>
      <c r="W694" s="196" t="e">
        <f t="shared" si="88"/>
        <v>#DIV/0!</v>
      </c>
      <c r="X694" s="197" t="e">
        <f t="shared" si="89"/>
        <v>#DIV/0!</v>
      </c>
    </row>
    <row r="695" ht="11.4" hidden="1" customHeight="1" spans="1:24">
      <c r="A695" s="184" t="s">
        <v>2073</v>
      </c>
      <c r="B695" s="184" t="s">
        <v>145</v>
      </c>
      <c r="C695" s="184" t="s">
        <v>2074</v>
      </c>
      <c r="D695" s="185" t="s">
        <v>522</v>
      </c>
      <c r="E695" s="186" t="s">
        <v>906</v>
      </c>
      <c r="F695" s="186" t="s">
        <v>907</v>
      </c>
      <c r="G695" s="186" t="s">
        <v>2075</v>
      </c>
      <c r="H695" s="186" t="s">
        <v>2076</v>
      </c>
      <c r="I695" s="187" t="s">
        <v>2131</v>
      </c>
      <c r="J695" s="187" t="s">
        <v>2132</v>
      </c>
      <c r="K695" s="188"/>
      <c r="L695" s="188"/>
      <c r="M695" s="189" t="s">
        <v>1018</v>
      </c>
      <c r="N695" s="190">
        <v>176.4</v>
      </c>
      <c r="O695" s="190">
        <f t="shared" si="82"/>
        <v>192.28</v>
      </c>
      <c r="P695" s="191">
        <f t="shared" si="83"/>
        <v>0</v>
      </c>
      <c r="Q695" s="192">
        <f t="shared" si="84"/>
        <v>0</v>
      </c>
      <c r="R695" s="193"/>
      <c r="S695" s="194"/>
      <c r="T695" s="195">
        <f t="shared" si="85"/>
        <v>0</v>
      </c>
      <c r="U695" s="195">
        <f t="shared" si="86"/>
        <v>0</v>
      </c>
      <c r="V695" s="195">
        <f t="shared" si="87"/>
        <v>0</v>
      </c>
      <c r="W695" s="196" t="e">
        <f t="shared" si="88"/>
        <v>#DIV/0!</v>
      </c>
      <c r="X695" s="197" t="e">
        <f t="shared" si="89"/>
        <v>#DIV/0!</v>
      </c>
    </row>
    <row r="696" ht="11.4" hidden="1" customHeight="1" spans="1:24">
      <c r="A696" s="184" t="s">
        <v>2073</v>
      </c>
      <c r="B696" s="184" t="s">
        <v>145</v>
      </c>
      <c r="C696" s="184" t="s">
        <v>2074</v>
      </c>
      <c r="D696" s="185" t="s">
        <v>522</v>
      </c>
      <c r="E696" s="186" t="s">
        <v>906</v>
      </c>
      <c r="F696" s="186" t="s">
        <v>907</v>
      </c>
      <c r="G696" s="186" t="s">
        <v>2075</v>
      </c>
      <c r="H696" s="186" t="s">
        <v>2076</v>
      </c>
      <c r="I696" s="187" t="s">
        <v>2133</v>
      </c>
      <c r="J696" s="187" t="s">
        <v>2134</v>
      </c>
      <c r="K696" s="188"/>
      <c r="L696" s="188"/>
      <c r="M696" s="189" t="s">
        <v>1018</v>
      </c>
      <c r="N696" s="190">
        <v>176.4</v>
      </c>
      <c r="O696" s="190">
        <f t="shared" si="82"/>
        <v>192.28</v>
      </c>
      <c r="P696" s="191">
        <f t="shared" si="83"/>
        <v>0</v>
      </c>
      <c r="Q696" s="192">
        <f t="shared" si="84"/>
        <v>0</v>
      </c>
      <c r="R696" s="193"/>
      <c r="S696" s="194"/>
      <c r="T696" s="195">
        <f t="shared" si="85"/>
        <v>0</v>
      </c>
      <c r="U696" s="195">
        <f t="shared" si="86"/>
        <v>0</v>
      </c>
      <c r="V696" s="195">
        <f t="shared" si="87"/>
        <v>0</v>
      </c>
      <c r="W696" s="196" t="e">
        <f t="shared" si="88"/>
        <v>#DIV/0!</v>
      </c>
      <c r="X696" s="197" t="e">
        <f t="shared" si="89"/>
        <v>#DIV/0!</v>
      </c>
    </row>
    <row r="697" ht="11.4" hidden="1" customHeight="1" spans="1:24">
      <c r="A697" s="184" t="s">
        <v>2073</v>
      </c>
      <c r="B697" s="184" t="s">
        <v>145</v>
      </c>
      <c r="C697" s="184" t="s">
        <v>2074</v>
      </c>
      <c r="D697" s="185" t="s">
        <v>522</v>
      </c>
      <c r="E697" s="186" t="s">
        <v>906</v>
      </c>
      <c r="F697" s="186" t="s">
        <v>907</v>
      </c>
      <c r="G697" s="186" t="s">
        <v>2075</v>
      </c>
      <c r="H697" s="186" t="s">
        <v>2076</v>
      </c>
      <c r="I697" s="187" t="s">
        <v>2135</v>
      </c>
      <c r="J697" s="187" t="s">
        <v>2136</v>
      </c>
      <c r="K697" s="188"/>
      <c r="L697" s="188"/>
      <c r="M697" s="189" t="s">
        <v>1018</v>
      </c>
      <c r="N697" s="190">
        <v>97.65</v>
      </c>
      <c r="O697" s="190">
        <f t="shared" si="82"/>
        <v>106.44</v>
      </c>
      <c r="P697" s="191">
        <f t="shared" si="83"/>
        <v>0</v>
      </c>
      <c r="Q697" s="192">
        <f t="shared" si="84"/>
        <v>0</v>
      </c>
      <c r="R697" s="193"/>
      <c r="S697" s="194"/>
      <c r="T697" s="195">
        <f t="shared" si="85"/>
        <v>0</v>
      </c>
      <c r="U697" s="195">
        <f t="shared" si="86"/>
        <v>0</v>
      </c>
      <c r="V697" s="195">
        <f t="shared" si="87"/>
        <v>0</v>
      </c>
      <c r="W697" s="196" t="e">
        <f t="shared" si="88"/>
        <v>#DIV/0!</v>
      </c>
      <c r="X697" s="197" t="e">
        <f t="shared" si="89"/>
        <v>#DIV/0!</v>
      </c>
    </row>
    <row r="698" ht="11.4" hidden="1" customHeight="1" spans="1:24">
      <c r="A698" s="184" t="s">
        <v>2073</v>
      </c>
      <c r="B698" s="184" t="s">
        <v>145</v>
      </c>
      <c r="C698" s="184" t="s">
        <v>2074</v>
      </c>
      <c r="D698" s="185" t="s">
        <v>522</v>
      </c>
      <c r="E698" s="186" t="s">
        <v>906</v>
      </c>
      <c r="F698" s="186" t="s">
        <v>907</v>
      </c>
      <c r="G698" s="186" t="s">
        <v>2075</v>
      </c>
      <c r="H698" s="186" t="s">
        <v>2076</v>
      </c>
      <c r="I698" s="187" t="s">
        <v>2137</v>
      </c>
      <c r="J698" s="187" t="s">
        <v>2138</v>
      </c>
      <c r="K698" s="188"/>
      <c r="L698" s="188"/>
      <c r="M698" s="189" t="s">
        <v>807</v>
      </c>
      <c r="N698" s="190">
        <v>46.2</v>
      </c>
      <c r="O698" s="190">
        <f t="shared" si="82"/>
        <v>50.36</v>
      </c>
      <c r="P698" s="191">
        <f t="shared" si="83"/>
        <v>0</v>
      </c>
      <c r="Q698" s="192">
        <f t="shared" si="84"/>
        <v>0</v>
      </c>
      <c r="R698" s="193"/>
      <c r="S698" s="194"/>
      <c r="T698" s="195">
        <f t="shared" si="85"/>
        <v>0</v>
      </c>
      <c r="U698" s="195">
        <f t="shared" si="86"/>
        <v>0</v>
      </c>
      <c r="V698" s="195">
        <f t="shared" si="87"/>
        <v>0</v>
      </c>
      <c r="W698" s="196" t="e">
        <f t="shared" si="88"/>
        <v>#DIV/0!</v>
      </c>
      <c r="X698" s="197" t="e">
        <f t="shared" si="89"/>
        <v>#DIV/0!</v>
      </c>
    </row>
    <row r="699" ht="11.4" hidden="1" customHeight="1" spans="1:24">
      <c r="A699" s="184" t="s">
        <v>2073</v>
      </c>
      <c r="B699" s="184" t="s">
        <v>145</v>
      </c>
      <c r="C699" s="184" t="s">
        <v>2074</v>
      </c>
      <c r="D699" s="185" t="s">
        <v>522</v>
      </c>
      <c r="E699" s="186" t="s">
        <v>906</v>
      </c>
      <c r="F699" s="186" t="s">
        <v>907</v>
      </c>
      <c r="G699" s="186" t="s">
        <v>2139</v>
      </c>
      <c r="H699" s="186" t="s">
        <v>2076</v>
      </c>
      <c r="I699" s="187" t="s">
        <v>2140</v>
      </c>
      <c r="J699" s="187" t="s">
        <v>2141</v>
      </c>
      <c r="K699" s="188"/>
      <c r="L699" s="188"/>
      <c r="M699" s="189" t="s">
        <v>1018</v>
      </c>
      <c r="N699" s="190">
        <v>36.75</v>
      </c>
      <c r="O699" s="190">
        <f t="shared" si="82"/>
        <v>40.06</v>
      </c>
      <c r="P699" s="191">
        <f t="shared" si="83"/>
        <v>0</v>
      </c>
      <c r="Q699" s="192">
        <f t="shared" si="84"/>
        <v>0</v>
      </c>
      <c r="R699" s="193"/>
      <c r="S699" s="194"/>
      <c r="T699" s="195">
        <f t="shared" si="85"/>
        <v>0</v>
      </c>
      <c r="U699" s="195">
        <f t="shared" si="86"/>
        <v>0</v>
      </c>
      <c r="V699" s="195">
        <f t="shared" si="87"/>
        <v>0</v>
      </c>
      <c r="W699" s="196" t="e">
        <f t="shared" si="88"/>
        <v>#DIV/0!</v>
      </c>
      <c r="X699" s="197" t="e">
        <f t="shared" si="89"/>
        <v>#DIV/0!</v>
      </c>
    </row>
    <row r="700" ht="11.4" hidden="1" customHeight="1" spans="1:24">
      <c r="A700" s="184" t="s">
        <v>2073</v>
      </c>
      <c r="B700" s="184" t="s">
        <v>145</v>
      </c>
      <c r="C700" s="184" t="s">
        <v>2074</v>
      </c>
      <c r="D700" s="185" t="s">
        <v>522</v>
      </c>
      <c r="E700" s="186" t="s">
        <v>906</v>
      </c>
      <c r="F700" s="186" t="s">
        <v>907</v>
      </c>
      <c r="G700" s="186" t="s">
        <v>2075</v>
      </c>
      <c r="H700" s="186" t="s">
        <v>2076</v>
      </c>
      <c r="I700" s="187" t="s">
        <v>2142</v>
      </c>
      <c r="J700" s="187" t="s">
        <v>2143</v>
      </c>
      <c r="K700" s="188"/>
      <c r="L700" s="188"/>
      <c r="M700" s="189" t="s">
        <v>1018</v>
      </c>
      <c r="N700" s="190">
        <v>92.4</v>
      </c>
      <c r="O700" s="190">
        <f t="shared" si="82"/>
        <v>100.72</v>
      </c>
      <c r="P700" s="191">
        <f t="shared" si="83"/>
        <v>0</v>
      </c>
      <c r="Q700" s="192">
        <f t="shared" si="84"/>
        <v>0</v>
      </c>
      <c r="R700" s="193"/>
      <c r="S700" s="194"/>
      <c r="T700" s="195">
        <f t="shared" si="85"/>
        <v>0</v>
      </c>
      <c r="U700" s="195">
        <f t="shared" si="86"/>
        <v>0</v>
      </c>
      <c r="V700" s="195">
        <f t="shared" si="87"/>
        <v>0</v>
      </c>
      <c r="W700" s="196" t="e">
        <f t="shared" si="88"/>
        <v>#DIV/0!</v>
      </c>
      <c r="X700" s="197" t="e">
        <f t="shared" si="89"/>
        <v>#DIV/0!</v>
      </c>
    </row>
    <row r="701" ht="11.4" hidden="1" customHeight="1" spans="1:24">
      <c r="A701" s="184" t="s">
        <v>2073</v>
      </c>
      <c r="B701" s="184" t="s">
        <v>145</v>
      </c>
      <c r="C701" s="184" t="s">
        <v>2074</v>
      </c>
      <c r="D701" s="185" t="s">
        <v>522</v>
      </c>
      <c r="E701" s="186" t="s">
        <v>906</v>
      </c>
      <c r="F701" s="186" t="s">
        <v>907</v>
      </c>
      <c r="G701" s="186" t="s">
        <v>2075</v>
      </c>
      <c r="H701" s="186" t="s">
        <v>2076</v>
      </c>
      <c r="I701" s="187" t="s">
        <v>2144</v>
      </c>
      <c r="J701" s="187" t="s">
        <v>2145</v>
      </c>
      <c r="K701" s="188"/>
      <c r="L701" s="188"/>
      <c r="M701" s="189" t="s">
        <v>1018</v>
      </c>
      <c r="N701" s="190">
        <v>111.3</v>
      </c>
      <c r="O701" s="190">
        <f t="shared" si="82"/>
        <v>121.32</v>
      </c>
      <c r="P701" s="191">
        <f t="shared" si="83"/>
        <v>0</v>
      </c>
      <c r="Q701" s="192">
        <f t="shared" si="84"/>
        <v>0</v>
      </c>
      <c r="R701" s="193"/>
      <c r="S701" s="194"/>
      <c r="T701" s="195">
        <f t="shared" si="85"/>
        <v>0</v>
      </c>
      <c r="U701" s="195">
        <f t="shared" si="86"/>
        <v>0</v>
      </c>
      <c r="V701" s="195">
        <f t="shared" si="87"/>
        <v>0</v>
      </c>
      <c r="W701" s="196" t="e">
        <f t="shared" si="88"/>
        <v>#DIV/0!</v>
      </c>
      <c r="X701" s="197" t="e">
        <f t="shared" si="89"/>
        <v>#DIV/0!</v>
      </c>
    </row>
    <row r="702" ht="11.4" hidden="1" customHeight="1" spans="1:24">
      <c r="A702" s="184" t="s">
        <v>2073</v>
      </c>
      <c r="B702" s="184" t="s">
        <v>145</v>
      </c>
      <c r="C702" s="184" t="s">
        <v>2074</v>
      </c>
      <c r="D702" s="185" t="s">
        <v>522</v>
      </c>
      <c r="E702" s="186" t="s">
        <v>906</v>
      </c>
      <c r="F702" s="186" t="s">
        <v>907</v>
      </c>
      <c r="G702" s="186" t="s">
        <v>2075</v>
      </c>
      <c r="H702" s="186" t="s">
        <v>2076</v>
      </c>
      <c r="I702" s="187" t="s">
        <v>2146</v>
      </c>
      <c r="J702" s="187" t="s">
        <v>2147</v>
      </c>
      <c r="K702" s="188"/>
      <c r="L702" s="188"/>
      <c r="M702" s="189" t="s">
        <v>1018</v>
      </c>
      <c r="N702" s="190">
        <v>181.65</v>
      </c>
      <c r="O702" s="190">
        <f t="shared" si="82"/>
        <v>198</v>
      </c>
      <c r="P702" s="191">
        <f t="shared" si="83"/>
        <v>0</v>
      </c>
      <c r="Q702" s="192">
        <f t="shared" si="84"/>
        <v>0</v>
      </c>
      <c r="R702" s="193"/>
      <c r="S702" s="194"/>
      <c r="T702" s="195">
        <f t="shared" si="85"/>
        <v>0</v>
      </c>
      <c r="U702" s="195">
        <f t="shared" si="86"/>
        <v>0</v>
      </c>
      <c r="V702" s="195">
        <f t="shared" si="87"/>
        <v>0</v>
      </c>
      <c r="W702" s="196" t="e">
        <f t="shared" si="88"/>
        <v>#DIV/0!</v>
      </c>
      <c r="X702" s="197" t="e">
        <f t="shared" si="89"/>
        <v>#DIV/0!</v>
      </c>
    </row>
    <row r="703" ht="11.4" hidden="1" customHeight="1" spans="1:24">
      <c r="A703" s="184" t="s">
        <v>2073</v>
      </c>
      <c r="B703" s="184" t="s">
        <v>145</v>
      </c>
      <c r="C703" s="184" t="s">
        <v>2074</v>
      </c>
      <c r="D703" s="185" t="s">
        <v>522</v>
      </c>
      <c r="E703" s="186" t="s">
        <v>906</v>
      </c>
      <c r="F703" s="186" t="s">
        <v>907</v>
      </c>
      <c r="G703" s="186" t="s">
        <v>2075</v>
      </c>
      <c r="H703" s="186" t="s">
        <v>2076</v>
      </c>
      <c r="I703" s="187" t="s">
        <v>2148</v>
      </c>
      <c r="J703" s="187" t="s">
        <v>2149</v>
      </c>
      <c r="K703" s="188"/>
      <c r="L703" s="188"/>
      <c r="M703" s="189" t="s">
        <v>1018</v>
      </c>
      <c r="N703" s="190">
        <v>198.45</v>
      </c>
      <c r="O703" s="190">
        <f t="shared" si="82"/>
        <v>216.31</v>
      </c>
      <c r="P703" s="191">
        <f t="shared" si="83"/>
        <v>0</v>
      </c>
      <c r="Q703" s="192">
        <f t="shared" si="84"/>
        <v>0</v>
      </c>
      <c r="R703" s="193"/>
      <c r="S703" s="194"/>
      <c r="T703" s="195">
        <f t="shared" si="85"/>
        <v>0</v>
      </c>
      <c r="U703" s="195">
        <f t="shared" si="86"/>
        <v>0</v>
      </c>
      <c r="V703" s="195">
        <f t="shared" si="87"/>
        <v>0</v>
      </c>
      <c r="W703" s="196" t="e">
        <f t="shared" si="88"/>
        <v>#DIV/0!</v>
      </c>
      <c r="X703" s="197" t="e">
        <f t="shared" si="89"/>
        <v>#DIV/0!</v>
      </c>
    </row>
    <row r="704" ht="11.4" hidden="1" customHeight="1" spans="1:24">
      <c r="A704" s="184" t="s">
        <v>2073</v>
      </c>
      <c r="B704" s="184" t="s">
        <v>145</v>
      </c>
      <c r="C704" s="184" t="s">
        <v>2074</v>
      </c>
      <c r="D704" s="185" t="s">
        <v>522</v>
      </c>
      <c r="E704" s="186" t="s">
        <v>906</v>
      </c>
      <c r="F704" s="186" t="s">
        <v>907</v>
      </c>
      <c r="G704" s="186" t="s">
        <v>2075</v>
      </c>
      <c r="H704" s="186" t="s">
        <v>2076</v>
      </c>
      <c r="I704" s="187" t="s">
        <v>2150</v>
      </c>
      <c r="J704" s="187" t="s">
        <v>2151</v>
      </c>
      <c r="K704" s="188"/>
      <c r="L704" s="188"/>
      <c r="M704" s="189" t="s">
        <v>1018</v>
      </c>
      <c r="N704" s="190">
        <v>113.4</v>
      </c>
      <c r="O704" s="190">
        <f t="shared" si="82"/>
        <v>123.61</v>
      </c>
      <c r="P704" s="191">
        <f t="shared" si="83"/>
        <v>0</v>
      </c>
      <c r="Q704" s="192">
        <f t="shared" si="84"/>
        <v>0</v>
      </c>
      <c r="R704" s="193"/>
      <c r="S704" s="194"/>
      <c r="T704" s="195">
        <f t="shared" si="85"/>
        <v>0</v>
      </c>
      <c r="U704" s="195">
        <f t="shared" si="86"/>
        <v>0</v>
      </c>
      <c r="V704" s="195">
        <f t="shared" si="87"/>
        <v>0</v>
      </c>
      <c r="W704" s="196" t="e">
        <f t="shared" si="88"/>
        <v>#DIV/0!</v>
      </c>
      <c r="X704" s="197" t="e">
        <f t="shared" si="89"/>
        <v>#DIV/0!</v>
      </c>
    </row>
    <row r="705" ht="11.4" hidden="1" customHeight="1" spans="1:24">
      <c r="A705" s="184" t="s">
        <v>2073</v>
      </c>
      <c r="B705" s="184" t="s">
        <v>145</v>
      </c>
      <c r="C705" s="184" t="s">
        <v>2074</v>
      </c>
      <c r="D705" s="185" t="s">
        <v>522</v>
      </c>
      <c r="E705" s="186" t="s">
        <v>906</v>
      </c>
      <c r="F705" s="186" t="s">
        <v>907</v>
      </c>
      <c r="G705" s="186" t="s">
        <v>2075</v>
      </c>
      <c r="H705" s="186" t="s">
        <v>2076</v>
      </c>
      <c r="I705" s="187" t="s">
        <v>2152</v>
      </c>
      <c r="J705" s="187" t="s">
        <v>2153</v>
      </c>
      <c r="K705" s="188"/>
      <c r="L705" s="188"/>
      <c r="M705" s="189" t="s">
        <v>1018</v>
      </c>
      <c r="N705" s="190">
        <v>152.56</v>
      </c>
      <c r="O705" s="190">
        <f t="shared" si="82"/>
        <v>166.29</v>
      </c>
      <c r="P705" s="191">
        <f t="shared" si="83"/>
        <v>0</v>
      </c>
      <c r="Q705" s="192">
        <f t="shared" si="84"/>
        <v>0</v>
      </c>
      <c r="R705" s="193"/>
      <c r="S705" s="194"/>
      <c r="T705" s="195">
        <f t="shared" si="85"/>
        <v>0</v>
      </c>
      <c r="U705" s="195">
        <f t="shared" si="86"/>
        <v>0</v>
      </c>
      <c r="V705" s="195">
        <f t="shared" si="87"/>
        <v>0</v>
      </c>
      <c r="W705" s="196" t="e">
        <f t="shared" si="88"/>
        <v>#DIV/0!</v>
      </c>
      <c r="X705" s="197" t="e">
        <f t="shared" si="89"/>
        <v>#DIV/0!</v>
      </c>
    </row>
    <row r="706" ht="11.4" hidden="1" customHeight="1" spans="1:24">
      <c r="A706" s="184" t="s">
        <v>2073</v>
      </c>
      <c r="B706" s="184" t="s">
        <v>145</v>
      </c>
      <c r="C706" s="184" t="s">
        <v>2074</v>
      </c>
      <c r="D706" s="185" t="s">
        <v>522</v>
      </c>
      <c r="E706" s="186" t="s">
        <v>906</v>
      </c>
      <c r="F706" s="186" t="s">
        <v>907</v>
      </c>
      <c r="G706" s="186" t="s">
        <v>2075</v>
      </c>
      <c r="H706" s="186" t="s">
        <v>2076</v>
      </c>
      <c r="I706" s="187" t="s">
        <v>2154</v>
      </c>
      <c r="J706" s="187" t="s">
        <v>2155</v>
      </c>
      <c r="K706" s="188"/>
      <c r="L706" s="188"/>
      <c r="M706" s="189" t="s">
        <v>1018</v>
      </c>
      <c r="N706" s="190">
        <v>184.8</v>
      </c>
      <c r="O706" s="190">
        <f t="shared" si="82"/>
        <v>201.43</v>
      </c>
      <c r="P706" s="191">
        <f t="shared" si="83"/>
        <v>0</v>
      </c>
      <c r="Q706" s="192">
        <f t="shared" si="84"/>
        <v>0</v>
      </c>
      <c r="R706" s="193"/>
      <c r="S706" s="194"/>
      <c r="T706" s="195">
        <f t="shared" si="85"/>
        <v>0</v>
      </c>
      <c r="U706" s="195">
        <f t="shared" si="86"/>
        <v>0</v>
      </c>
      <c r="V706" s="195">
        <f t="shared" si="87"/>
        <v>0</v>
      </c>
      <c r="W706" s="196" t="e">
        <f t="shared" si="88"/>
        <v>#DIV/0!</v>
      </c>
      <c r="X706" s="197" t="e">
        <f t="shared" si="89"/>
        <v>#DIV/0!</v>
      </c>
    </row>
    <row r="707" ht="11.4" hidden="1" customHeight="1" spans="1:24">
      <c r="A707" s="184" t="s">
        <v>2073</v>
      </c>
      <c r="B707" s="184" t="s">
        <v>145</v>
      </c>
      <c r="C707" s="184" t="s">
        <v>2074</v>
      </c>
      <c r="D707" s="185" t="s">
        <v>522</v>
      </c>
      <c r="E707" s="186" t="s">
        <v>906</v>
      </c>
      <c r="F707" s="186" t="s">
        <v>907</v>
      </c>
      <c r="G707" s="186" t="s">
        <v>2075</v>
      </c>
      <c r="H707" s="186" t="s">
        <v>2076</v>
      </c>
      <c r="I707" s="187" t="s">
        <v>2156</v>
      </c>
      <c r="J707" s="187" t="s">
        <v>2157</v>
      </c>
      <c r="K707" s="188"/>
      <c r="L707" s="188"/>
      <c r="M707" s="189" t="s">
        <v>1018</v>
      </c>
      <c r="N707" s="190">
        <v>89.25</v>
      </c>
      <c r="O707" s="190">
        <f t="shared" si="82"/>
        <v>97.28</v>
      </c>
      <c r="P707" s="191">
        <f t="shared" si="83"/>
        <v>0</v>
      </c>
      <c r="Q707" s="192">
        <f t="shared" si="84"/>
        <v>0</v>
      </c>
      <c r="R707" s="193"/>
      <c r="S707" s="194"/>
      <c r="T707" s="195">
        <f t="shared" si="85"/>
        <v>0</v>
      </c>
      <c r="U707" s="195">
        <f t="shared" si="86"/>
        <v>0</v>
      </c>
      <c r="V707" s="195">
        <f t="shared" si="87"/>
        <v>0</v>
      </c>
      <c r="W707" s="196" t="e">
        <f t="shared" si="88"/>
        <v>#DIV/0!</v>
      </c>
      <c r="X707" s="197" t="e">
        <f t="shared" si="89"/>
        <v>#DIV/0!</v>
      </c>
    </row>
    <row r="708" ht="11.4" hidden="1" customHeight="1" spans="1:24">
      <c r="A708" s="184" t="s">
        <v>2073</v>
      </c>
      <c r="B708" s="184" t="s">
        <v>145</v>
      </c>
      <c r="C708" s="184" t="s">
        <v>2074</v>
      </c>
      <c r="D708" s="185" t="s">
        <v>522</v>
      </c>
      <c r="E708" s="186" t="s">
        <v>906</v>
      </c>
      <c r="F708" s="186" t="s">
        <v>907</v>
      </c>
      <c r="G708" s="186" t="s">
        <v>2075</v>
      </c>
      <c r="H708" s="186" t="s">
        <v>2076</v>
      </c>
      <c r="I708" s="187" t="s">
        <v>2158</v>
      </c>
      <c r="J708" s="187" t="s">
        <v>2159</v>
      </c>
      <c r="K708" s="188"/>
      <c r="L708" s="188"/>
      <c r="M708" s="189" t="s">
        <v>1018</v>
      </c>
      <c r="N708" s="190">
        <v>159.74</v>
      </c>
      <c r="O708" s="190">
        <f t="shared" si="82"/>
        <v>174.12</v>
      </c>
      <c r="P708" s="191">
        <f t="shared" si="83"/>
        <v>0</v>
      </c>
      <c r="Q708" s="192">
        <f t="shared" si="84"/>
        <v>0</v>
      </c>
      <c r="R708" s="193"/>
      <c r="S708" s="194"/>
      <c r="T708" s="195">
        <f t="shared" si="85"/>
        <v>0</v>
      </c>
      <c r="U708" s="195">
        <f t="shared" si="86"/>
        <v>0</v>
      </c>
      <c r="V708" s="195">
        <f t="shared" si="87"/>
        <v>0</v>
      </c>
      <c r="W708" s="196" t="e">
        <f t="shared" si="88"/>
        <v>#DIV/0!</v>
      </c>
      <c r="X708" s="197" t="e">
        <f t="shared" si="89"/>
        <v>#DIV/0!</v>
      </c>
    </row>
    <row r="709" ht="11.4" hidden="1" customHeight="1" spans="1:24">
      <c r="A709" s="184" t="s">
        <v>2073</v>
      </c>
      <c r="B709" s="184" t="s">
        <v>145</v>
      </c>
      <c r="C709" s="184" t="s">
        <v>2074</v>
      </c>
      <c r="D709" s="185" t="s">
        <v>522</v>
      </c>
      <c r="E709" s="186" t="s">
        <v>906</v>
      </c>
      <c r="F709" s="186" t="s">
        <v>907</v>
      </c>
      <c r="G709" s="186" t="s">
        <v>2075</v>
      </c>
      <c r="H709" s="186" t="s">
        <v>2076</v>
      </c>
      <c r="I709" s="187" t="s">
        <v>2160</v>
      </c>
      <c r="J709" s="187" t="s">
        <v>2161</v>
      </c>
      <c r="K709" s="188"/>
      <c r="L709" s="188"/>
      <c r="M709" s="189" t="s">
        <v>1018</v>
      </c>
      <c r="N709" s="190">
        <v>346.5</v>
      </c>
      <c r="O709" s="190">
        <f t="shared" si="82"/>
        <v>377.69</v>
      </c>
      <c r="P709" s="191">
        <f t="shared" si="83"/>
        <v>0</v>
      </c>
      <c r="Q709" s="192">
        <f t="shared" si="84"/>
        <v>0</v>
      </c>
      <c r="R709" s="193"/>
      <c r="S709" s="194"/>
      <c r="T709" s="195">
        <f t="shared" si="85"/>
        <v>0</v>
      </c>
      <c r="U709" s="195">
        <f t="shared" si="86"/>
        <v>0</v>
      </c>
      <c r="V709" s="195">
        <f t="shared" si="87"/>
        <v>0</v>
      </c>
      <c r="W709" s="196" t="e">
        <f t="shared" si="88"/>
        <v>#DIV/0!</v>
      </c>
      <c r="X709" s="197" t="e">
        <f t="shared" si="89"/>
        <v>#DIV/0!</v>
      </c>
    </row>
    <row r="710" ht="11.4" hidden="1" customHeight="1" spans="1:24">
      <c r="A710" s="184" t="s">
        <v>2073</v>
      </c>
      <c r="B710" s="184" t="s">
        <v>145</v>
      </c>
      <c r="C710" s="184" t="s">
        <v>2074</v>
      </c>
      <c r="D710" s="185" t="s">
        <v>522</v>
      </c>
      <c r="E710" s="186" t="s">
        <v>906</v>
      </c>
      <c r="F710" s="186" t="s">
        <v>907</v>
      </c>
      <c r="G710" s="186" t="s">
        <v>2075</v>
      </c>
      <c r="H710" s="186" t="s">
        <v>2076</v>
      </c>
      <c r="I710" s="187" t="s">
        <v>2162</v>
      </c>
      <c r="J710" s="187" t="s">
        <v>2163</v>
      </c>
      <c r="K710" s="188"/>
      <c r="L710" s="188"/>
      <c r="M710" s="189" t="s">
        <v>1018</v>
      </c>
      <c r="N710" s="190">
        <v>181.65</v>
      </c>
      <c r="O710" s="190">
        <f t="shared" si="82"/>
        <v>198</v>
      </c>
      <c r="P710" s="191">
        <f t="shared" si="83"/>
        <v>0</v>
      </c>
      <c r="Q710" s="192">
        <f t="shared" si="84"/>
        <v>0</v>
      </c>
      <c r="R710" s="193"/>
      <c r="S710" s="194"/>
      <c r="T710" s="195">
        <f t="shared" si="85"/>
        <v>0</v>
      </c>
      <c r="U710" s="195">
        <f t="shared" si="86"/>
        <v>0</v>
      </c>
      <c r="V710" s="195">
        <f t="shared" si="87"/>
        <v>0</v>
      </c>
      <c r="W710" s="196" t="e">
        <f t="shared" si="88"/>
        <v>#DIV/0!</v>
      </c>
      <c r="X710" s="197" t="e">
        <f t="shared" si="89"/>
        <v>#DIV/0!</v>
      </c>
    </row>
    <row r="711" ht="11.4" hidden="1" customHeight="1" spans="1:24">
      <c r="A711" s="184" t="s">
        <v>2073</v>
      </c>
      <c r="B711" s="184" t="s">
        <v>145</v>
      </c>
      <c r="C711" s="184" t="s">
        <v>2074</v>
      </c>
      <c r="D711" s="185" t="s">
        <v>522</v>
      </c>
      <c r="E711" s="186" t="s">
        <v>906</v>
      </c>
      <c r="F711" s="186" t="s">
        <v>907</v>
      </c>
      <c r="G711" s="186" t="s">
        <v>2075</v>
      </c>
      <c r="H711" s="186" t="s">
        <v>2076</v>
      </c>
      <c r="I711" s="187" t="s">
        <v>2164</v>
      </c>
      <c r="J711" s="187" t="s">
        <v>2165</v>
      </c>
      <c r="K711" s="188"/>
      <c r="L711" s="188"/>
      <c r="M711" s="189" t="s">
        <v>1018</v>
      </c>
      <c r="N711" s="190">
        <v>149.1</v>
      </c>
      <c r="O711" s="190">
        <f t="shared" si="82"/>
        <v>162.52</v>
      </c>
      <c r="P711" s="191">
        <f t="shared" si="83"/>
        <v>0</v>
      </c>
      <c r="Q711" s="192">
        <f t="shared" si="84"/>
        <v>0</v>
      </c>
      <c r="R711" s="193"/>
      <c r="S711" s="194"/>
      <c r="T711" s="195">
        <f t="shared" si="85"/>
        <v>0</v>
      </c>
      <c r="U711" s="195">
        <f t="shared" si="86"/>
        <v>0</v>
      </c>
      <c r="V711" s="195">
        <f t="shared" si="87"/>
        <v>0</v>
      </c>
      <c r="W711" s="196" t="e">
        <f t="shared" si="88"/>
        <v>#DIV/0!</v>
      </c>
      <c r="X711" s="197" t="e">
        <f t="shared" si="89"/>
        <v>#DIV/0!</v>
      </c>
    </row>
    <row r="712" ht="11.4" hidden="1" customHeight="1" spans="1:24">
      <c r="A712" s="184" t="s">
        <v>2073</v>
      </c>
      <c r="B712" s="184" t="s">
        <v>145</v>
      </c>
      <c r="C712" s="184" t="s">
        <v>2074</v>
      </c>
      <c r="D712" s="185" t="s">
        <v>522</v>
      </c>
      <c r="E712" s="186" t="s">
        <v>906</v>
      </c>
      <c r="F712" s="186" t="s">
        <v>907</v>
      </c>
      <c r="G712" s="186" t="s">
        <v>2075</v>
      </c>
      <c r="H712" s="186" t="s">
        <v>2076</v>
      </c>
      <c r="I712" s="187" t="s">
        <v>2166</v>
      </c>
      <c r="J712" s="187" t="s">
        <v>2167</v>
      </c>
      <c r="K712" s="188"/>
      <c r="L712" s="188"/>
      <c r="M712" s="189" t="s">
        <v>1018</v>
      </c>
      <c r="N712" s="190">
        <v>113.4</v>
      </c>
      <c r="O712" s="190">
        <f t="shared" si="82"/>
        <v>123.61</v>
      </c>
      <c r="P712" s="191">
        <f t="shared" si="83"/>
        <v>0</v>
      </c>
      <c r="Q712" s="192">
        <f t="shared" si="84"/>
        <v>0</v>
      </c>
      <c r="R712" s="193"/>
      <c r="S712" s="194"/>
      <c r="T712" s="195">
        <f t="shared" si="85"/>
        <v>0</v>
      </c>
      <c r="U712" s="195">
        <f t="shared" si="86"/>
        <v>0</v>
      </c>
      <c r="V712" s="195">
        <f t="shared" si="87"/>
        <v>0</v>
      </c>
      <c r="W712" s="196" t="e">
        <f t="shared" si="88"/>
        <v>#DIV/0!</v>
      </c>
      <c r="X712" s="197" t="e">
        <f t="shared" si="89"/>
        <v>#DIV/0!</v>
      </c>
    </row>
    <row r="713" ht="11.4" hidden="1" customHeight="1" spans="1:24">
      <c r="A713" s="184" t="s">
        <v>2073</v>
      </c>
      <c r="B713" s="184" t="s">
        <v>145</v>
      </c>
      <c r="C713" s="184" t="s">
        <v>2074</v>
      </c>
      <c r="D713" s="185" t="s">
        <v>522</v>
      </c>
      <c r="E713" s="186" t="s">
        <v>906</v>
      </c>
      <c r="F713" s="186" t="s">
        <v>907</v>
      </c>
      <c r="G713" s="186" t="s">
        <v>2075</v>
      </c>
      <c r="H713" s="186" t="s">
        <v>2076</v>
      </c>
      <c r="I713" s="187" t="s">
        <v>2168</v>
      </c>
      <c r="J713" s="187" t="s">
        <v>2169</v>
      </c>
      <c r="K713" s="188"/>
      <c r="L713" s="188"/>
      <c r="M713" s="189" t="s">
        <v>1018</v>
      </c>
      <c r="N713" s="190">
        <v>483</v>
      </c>
      <c r="O713" s="190">
        <f t="shared" si="82"/>
        <v>526.47</v>
      </c>
      <c r="P713" s="191">
        <f t="shared" si="83"/>
        <v>0</v>
      </c>
      <c r="Q713" s="192">
        <f t="shared" si="84"/>
        <v>0</v>
      </c>
      <c r="R713" s="193"/>
      <c r="S713" s="194"/>
      <c r="T713" s="195">
        <f t="shared" si="85"/>
        <v>0</v>
      </c>
      <c r="U713" s="195">
        <f t="shared" si="86"/>
        <v>0</v>
      </c>
      <c r="V713" s="195">
        <f t="shared" si="87"/>
        <v>0</v>
      </c>
      <c r="W713" s="196" t="e">
        <f t="shared" si="88"/>
        <v>#DIV/0!</v>
      </c>
      <c r="X713" s="197" t="e">
        <f t="shared" si="89"/>
        <v>#DIV/0!</v>
      </c>
    </row>
    <row r="714" ht="11.4" hidden="1" customHeight="1" spans="1:24">
      <c r="A714" s="184" t="s">
        <v>2073</v>
      </c>
      <c r="B714" s="184" t="s">
        <v>145</v>
      </c>
      <c r="C714" s="184" t="s">
        <v>2074</v>
      </c>
      <c r="D714" s="185" t="s">
        <v>522</v>
      </c>
      <c r="E714" s="186" t="s">
        <v>906</v>
      </c>
      <c r="F714" s="186" t="s">
        <v>907</v>
      </c>
      <c r="G714" s="186" t="s">
        <v>2075</v>
      </c>
      <c r="H714" s="186" t="s">
        <v>2076</v>
      </c>
      <c r="I714" s="187" t="s">
        <v>2170</v>
      </c>
      <c r="J714" s="187" t="s">
        <v>2171</v>
      </c>
      <c r="K714" s="188"/>
      <c r="L714" s="188"/>
      <c r="M714" s="189" t="s">
        <v>1018</v>
      </c>
      <c r="N714" s="190">
        <v>367.5</v>
      </c>
      <c r="O714" s="190">
        <f t="shared" si="82"/>
        <v>400.58</v>
      </c>
      <c r="P714" s="191">
        <f t="shared" si="83"/>
        <v>0</v>
      </c>
      <c r="Q714" s="192">
        <f t="shared" si="84"/>
        <v>0</v>
      </c>
      <c r="R714" s="193"/>
      <c r="S714" s="194"/>
      <c r="T714" s="195">
        <f t="shared" si="85"/>
        <v>0</v>
      </c>
      <c r="U714" s="195">
        <f t="shared" si="86"/>
        <v>0</v>
      </c>
      <c r="V714" s="195">
        <f t="shared" si="87"/>
        <v>0</v>
      </c>
      <c r="W714" s="196" t="e">
        <f t="shared" si="88"/>
        <v>#DIV/0!</v>
      </c>
      <c r="X714" s="197" t="e">
        <f t="shared" si="89"/>
        <v>#DIV/0!</v>
      </c>
    </row>
    <row r="715" ht="11.4" hidden="1" customHeight="1" spans="1:24">
      <c r="A715" s="184" t="s">
        <v>2073</v>
      </c>
      <c r="B715" s="184" t="s">
        <v>145</v>
      </c>
      <c r="C715" s="184" t="s">
        <v>2074</v>
      </c>
      <c r="D715" s="185" t="s">
        <v>522</v>
      </c>
      <c r="E715" s="186" t="s">
        <v>906</v>
      </c>
      <c r="F715" s="186" t="s">
        <v>907</v>
      </c>
      <c r="G715" s="186" t="s">
        <v>2075</v>
      </c>
      <c r="H715" s="186" t="s">
        <v>2076</v>
      </c>
      <c r="I715" s="187" t="s">
        <v>2172</v>
      </c>
      <c r="J715" s="187" t="s">
        <v>2173</v>
      </c>
      <c r="K715" s="188"/>
      <c r="L715" s="188"/>
      <c r="M715" s="189" t="s">
        <v>807</v>
      </c>
      <c r="N715" s="190">
        <v>52.5</v>
      </c>
      <c r="O715" s="190">
        <f t="shared" si="82"/>
        <v>57.23</v>
      </c>
      <c r="P715" s="191">
        <f t="shared" si="83"/>
        <v>0</v>
      </c>
      <c r="Q715" s="192">
        <f t="shared" si="84"/>
        <v>0</v>
      </c>
      <c r="R715" s="193"/>
      <c r="S715" s="194"/>
      <c r="T715" s="195">
        <f t="shared" si="85"/>
        <v>0</v>
      </c>
      <c r="U715" s="195">
        <f t="shared" si="86"/>
        <v>0</v>
      </c>
      <c r="V715" s="195">
        <f t="shared" si="87"/>
        <v>0</v>
      </c>
      <c r="W715" s="196" t="e">
        <f t="shared" si="88"/>
        <v>#DIV/0!</v>
      </c>
      <c r="X715" s="197" t="e">
        <f t="shared" si="89"/>
        <v>#DIV/0!</v>
      </c>
    </row>
    <row r="716" ht="11.4" hidden="1" customHeight="1" spans="1:24">
      <c r="A716" s="184" t="s">
        <v>2073</v>
      </c>
      <c r="B716" s="184" t="s">
        <v>145</v>
      </c>
      <c r="C716" s="184" t="s">
        <v>2074</v>
      </c>
      <c r="D716" s="185" t="s">
        <v>522</v>
      </c>
      <c r="E716" s="186" t="s">
        <v>906</v>
      </c>
      <c r="F716" s="186" t="s">
        <v>907</v>
      </c>
      <c r="G716" s="186" t="s">
        <v>2075</v>
      </c>
      <c r="H716" s="186" t="s">
        <v>2076</v>
      </c>
      <c r="I716" s="187" t="s">
        <v>2174</v>
      </c>
      <c r="J716" s="187" t="s">
        <v>2175</v>
      </c>
      <c r="K716" s="188"/>
      <c r="L716" s="188"/>
      <c r="M716" s="189" t="s">
        <v>1018</v>
      </c>
      <c r="N716" s="190">
        <v>116.55</v>
      </c>
      <c r="O716" s="190">
        <f t="shared" si="82"/>
        <v>127.04</v>
      </c>
      <c r="P716" s="191">
        <f t="shared" si="83"/>
        <v>0</v>
      </c>
      <c r="Q716" s="192">
        <f t="shared" si="84"/>
        <v>0</v>
      </c>
      <c r="R716" s="193"/>
      <c r="S716" s="194"/>
      <c r="T716" s="195">
        <f t="shared" si="85"/>
        <v>0</v>
      </c>
      <c r="U716" s="195">
        <f t="shared" si="86"/>
        <v>0</v>
      </c>
      <c r="V716" s="195">
        <f t="shared" si="87"/>
        <v>0</v>
      </c>
      <c r="W716" s="196" t="e">
        <f t="shared" si="88"/>
        <v>#DIV/0!</v>
      </c>
      <c r="X716" s="197" t="e">
        <f t="shared" si="89"/>
        <v>#DIV/0!</v>
      </c>
    </row>
    <row r="717" ht="11.4" hidden="1" customHeight="1" spans="1:24">
      <c r="A717" s="184" t="s">
        <v>2073</v>
      </c>
      <c r="B717" s="184" t="s">
        <v>145</v>
      </c>
      <c r="C717" s="184" t="s">
        <v>2074</v>
      </c>
      <c r="D717" s="185" t="s">
        <v>522</v>
      </c>
      <c r="E717" s="186" t="s">
        <v>906</v>
      </c>
      <c r="F717" s="186" t="s">
        <v>907</v>
      </c>
      <c r="G717" s="186" t="s">
        <v>2075</v>
      </c>
      <c r="H717" s="186" t="s">
        <v>2076</v>
      </c>
      <c r="I717" s="187" t="s">
        <v>2176</v>
      </c>
      <c r="J717" s="187" t="s">
        <v>2177</v>
      </c>
      <c r="K717" s="188"/>
      <c r="L717" s="188"/>
      <c r="M717" s="189" t="s">
        <v>1018</v>
      </c>
      <c r="N717" s="190">
        <v>69.3</v>
      </c>
      <c r="O717" s="190">
        <f t="shared" ref="O717:O780" si="90">ROUND(N717*(1+$F$10),2)</f>
        <v>75.54</v>
      </c>
      <c r="P717" s="191">
        <f t="shared" ref="P717:P780" si="91">ROUND(K717*N717,2)</f>
        <v>0</v>
      </c>
      <c r="Q717" s="192">
        <f t="shared" ref="Q717:Q780" si="92">ROUND(L717*N717,2)</f>
        <v>0</v>
      </c>
      <c r="R717" s="193"/>
      <c r="S717" s="194"/>
      <c r="T717" s="195">
        <f t="shared" ref="T717:T780" si="93">K717-L717</f>
        <v>0</v>
      </c>
      <c r="U717" s="195">
        <f t="shared" ref="U717:U780" si="94">P717-Q717</f>
        <v>0</v>
      </c>
      <c r="V717" s="195">
        <f t="shared" ref="V717:V780" si="95">ABS(U717)</f>
        <v>0</v>
      </c>
      <c r="W717" s="196" t="e">
        <f t="shared" ref="W717:W780" si="96">T717/L717</f>
        <v>#DIV/0!</v>
      </c>
      <c r="X717" s="197" t="e">
        <f t="shared" ref="X717:X780" si="97">ABS(W717)</f>
        <v>#DIV/0!</v>
      </c>
    </row>
    <row r="718" ht="11.4" hidden="1" customHeight="1" spans="1:24">
      <c r="A718" s="184" t="s">
        <v>2073</v>
      </c>
      <c r="B718" s="184" t="s">
        <v>145</v>
      </c>
      <c r="C718" s="184" t="s">
        <v>2074</v>
      </c>
      <c r="D718" s="185" t="s">
        <v>522</v>
      </c>
      <c r="E718" s="186" t="s">
        <v>906</v>
      </c>
      <c r="F718" s="186" t="s">
        <v>907</v>
      </c>
      <c r="G718" s="186" t="s">
        <v>2075</v>
      </c>
      <c r="H718" s="186" t="s">
        <v>2076</v>
      </c>
      <c r="I718" s="187" t="s">
        <v>2178</v>
      </c>
      <c r="J718" s="187" t="s">
        <v>2179</v>
      </c>
      <c r="K718" s="188"/>
      <c r="L718" s="188"/>
      <c r="M718" s="189" t="s">
        <v>1018</v>
      </c>
      <c r="N718" s="190">
        <v>34.65</v>
      </c>
      <c r="O718" s="190">
        <f t="shared" si="90"/>
        <v>37.77</v>
      </c>
      <c r="P718" s="191">
        <f t="shared" si="91"/>
        <v>0</v>
      </c>
      <c r="Q718" s="192">
        <f t="shared" si="92"/>
        <v>0</v>
      </c>
      <c r="R718" s="193"/>
      <c r="S718" s="194"/>
      <c r="T718" s="195">
        <f t="shared" si="93"/>
        <v>0</v>
      </c>
      <c r="U718" s="195">
        <f t="shared" si="94"/>
        <v>0</v>
      </c>
      <c r="V718" s="195">
        <f t="shared" si="95"/>
        <v>0</v>
      </c>
      <c r="W718" s="196" t="e">
        <f t="shared" si="96"/>
        <v>#DIV/0!</v>
      </c>
      <c r="X718" s="197" t="e">
        <f t="shared" si="97"/>
        <v>#DIV/0!</v>
      </c>
    </row>
    <row r="719" ht="11.4" hidden="1" customHeight="1" spans="1:24">
      <c r="A719" s="184" t="s">
        <v>2073</v>
      </c>
      <c r="B719" s="184" t="s">
        <v>145</v>
      </c>
      <c r="C719" s="184" t="s">
        <v>2074</v>
      </c>
      <c r="D719" s="185" t="s">
        <v>522</v>
      </c>
      <c r="E719" s="186" t="s">
        <v>906</v>
      </c>
      <c r="F719" s="186" t="s">
        <v>907</v>
      </c>
      <c r="G719" s="186" t="s">
        <v>2075</v>
      </c>
      <c r="H719" s="186" t="s">
        <v>2076</v>
      </c>
      <c r="I719" s="187" t="s">
        <v>2180</v>
      </c>
      <c r="J719" s="187" t="s">
        <v>2181</v>
      </c>
      <c r="K719" s="188"/>
      <c r="L719" s="188"/>
      <c r="M719" s="189" t="s">
        <v>1018</v>
      </c>
      <c r="N719" s="190">
        <v>10.5</v>
      </c>
      <c r="O719" s="190">
        <f t="shared" si="90"/>
        <v>11.45</v>
      </c>
      <c r="P719" s="191">
        <f t="shared" si="91"/>
        <v>0</v>
      </c>
      <c r="Q719" s="192">
        <f t="shared" si="92"/>
        <v>0</v>
      </c>
      <c r="R719" s="193"/>
      <c r="S719" s="194"/>
      <c r="T719" s="195">
        <f t="shared" si="93"/>
        <v>0</v>
      </c>
      <c r="U719" s="195">
        <f t="shared" si="94"/>
        <v>0</v>
      </c>
      <c r="V719" s="195">
        <f t="shared" si="95"/>
        <v>0</v>
      </c>
      <c r="W719" s="196" t="e">
        <f t="shared" si="96"/>
        <v>#DIV/0!</v>
      </c>
      <c r="X719" s="197" t="e">
        <f t="shared" si="97"/>
        <v>#DIV/0!</v>
      </c>
    </row>
    <row r="720" ht="11.4" hidden="1" customHeight="1" spans="1:24">
      <c r="A720" s="184" t="s">
        <v>2073</v>
      </c>
      <c r="B720" s="184" t="s">
        <v>145</v>
      </c>
      <c r="C720" s="184" t="s">
        <v>2074</v>
      </c>
      <c r="D720" s="185" t="s">
        <v>522</v>
      </c>
      <c r="E720" s="186" t="s">
        <v>906</v>
      </c>
      <c r="F720" s="186" t="s">
        <v>907</v>
      </c>
      <c r="G720" s="186" t="s">
        <v>2075</v>
      </c>
      <c r="H720" s="186" t="s">
        <v>2076</v>
      </c>
      <c r="I720" s="187" t="s">
        <v>2182</v>
      </c>
      <c r="J720" s="187" t="s">
        <v>2183</v>
      </c>
      <c r="K720" s="188"/>
      <c r="L720" s="188"/>
      <c r="M720" s="189" t="s">
        <v>1018</v>
      </c>
      <c r="N720" s="190">
        <v>54.6</v>
      </c>
      <c r="O720" s="190">
        <f t="shared" si="90"/>
        <v>59.51</v>
      </c>
      <c r="P720" s="191">
        <f t="shared" si="91"/>
        <v>0</v>
      </c>
      <c r="Q720" s="192">
        <f t="shared" si="92"/>
        <v>0</v>
      </c>
      <c r="R720" s="193"/>
      <c r="S720" s="194"/>
      <c r="T720" s="195">
        <f t="shared" si="93"/>
        <v>0</v>
      </c>
      <c r="U720" s="195">
        <f t="shared" si="94"/>
        <v>0</v>
      </c>
      <c r="V720" s="195">
        <f t="shared" si="95"/>
        <v>0</v>
      </c>
      <c r="W720" s="196" t="e">
        <f t="shared" si="96"/>
        <v>#DIV/0!</v>
      </c>
      <c r="X720" s="197" t="e">
        <f t="shared" si="97"/>
        <v>#DIV/0!</v>
      </c>
    </row>
    <row r="721" ht="11.4" hidden="1" customHeight="1" spans="1:24">
      <c r="A721" s="184" t="s">
        <v>2073</v>
      </c>
      <c r="B721" s="184" t="s">
        <v>145</v>
      </c>
      <c r="C721" s="184" t="s">
        <v>2074</v>
      </c>
      <c r="D721" s="185" t="s">
        <v>522</v>
      </c>
      <c r="E721" s="186" t="s">
        <v>906</v>
      </c>
      <c r="F721" s="186" t="s">
        <v>907</v>
      </c>
      <c r="G721" s="186" t="s">
        <v>2075</v>
      </c>
      <c r="H721" s="186" t="s">
        <v>2076</v>
      </c>
      <c r="I721" s="187" t="s">
        <v>2184</v>
      </c>
      <c r="J721" s="187" t="s">
        <v>2185</v>
      </c>
      <c r="K721" s="188"/>
      <c r="L721" s="188"/>
      <c r="M721" s="189" t="s">
        <v>1018</v>
      </c>
      <c r="N721" s="190">
        <v>105</v>
      </c>
      <c r="O721" s="190">
        <f t="shared" si="90"/>
        <v>114.45</v>
      </c>
      <c r="P721" s="191">
        <f t="shared" si="91"/>
        <v>0</v>
      </c>
      <c r="Q721" s="192">
        <f t="shared" si="92"/>
        <v>0</v>
      </c>
      <c r="R721" s="193"/>
      <c r="S721" s="194"/>
      <c r="T721" s="195">
        <f t="shared" si="93"/>
        <v>0</v>
      </c>
      <c r="U721" s="195">
        <f t="shared" si="94"/>
        <v>0</v>
      </c>
      <c r="V721" s="195">
        <f t="shared" si="95"/>
        <v>0</v>
      </c>
      <c r="W721" s="196" t="e">
        <f t="shared" si="96"/>
        <v>#DIV/0!</v>
      </c>
      <c r="X721" s="197" t="e">
        <f t="shared" si="97"/>
        <v>#DIV/0!</v>
      </c>
    </row>
    <row r="722" ht="11.4" hidden="1" customHeight="1" spans="1:24">
      <c r="A722" s="184" t="s">
        <v>2073</v>
      </c>
      <c r="B722" s="184" t="s">
        <v>145</v>
      </c>
      <c r="C722" s="184" t="s">
        <v>2074</v>
      </c>
      <c r="D722" s="185" t="s">
        <v>522</v>
      </c>
      <c r="E722" s="186" t="s">
        <v>906</v>
      </c>
      <c r="F722" s="186" t="s">
        <v>907</v>
      </c>
      <c r="G722" s="186" t="s">
        <v>2075</v>
      </c>
      <c r="H722" s="186" t="s">
        <v>2076</v>
      </c>
      <c r="I722" s="187" t="s">
        <v>2186</v>
      </c>
      <c r="J722" s="187" t="s">
        <v>2187</v>
      </c>
      <c r="K722" s="188"/>
      <c r="L722" s="188"/>
      <c r="M722" s="189" t="s">
        <v>1018</v>
      </c>
      <c r="N722" s="190">
        <v>141.75</v>
      </c>
      <c r="O722" s="190">
        <f t="shared" si="90"/>
        <v>154.51</v>
      </c>
      <c r="P722" s="191">
        <f t="shared" si="91"/>
        <v>0</v>
      </c>
      <c r="Q722" s="192">
        <f t="shared" si="92"/>
        <v>0</v>
      </c>
      <c r="R722" s="193"/>
      <c r="S722" s="194"/>
      <c r="T722" s="195">
        <f t="shared" si="93"/>
        <v>0</v>
      </c>
      <c r="U722" s="195">
        <f t="shared" si="94"/>
        <v>0</v>
      </c>
      <c r="V722" s="195">
        <f t="shared" si="95"/>
        <v>0</v>
      </c>
      <c r="W722" s="196" t="e">
        <f t="shared" si="96"/>
        <v>#DIV/0!</v>
      </c>
      <c r="X722" s="197" t="e">
        <f t="shared" si="97"/>
        <v>#DIV/0!</v>
      </c>
    </row>
    <row r="723" ht="11.4" hidden="1" customHeight="1" spans="1:24">
      <c r="A723" s="184" t="s">
        <v>2073</v>
      </c>
      <c r="B723" s="184" t="s">
        <v>145</v>
      </c>
      <c r="C723" s="184" t="s">
        <v>2074</v>
      </c>
      <c r="D723" s="185" t="s">
        <v>522</v>
      </c>
      <c r="E723" s="186" t="s">
        <v>906</v>
      </c>
      <c r="F723" s="186" t="s">
        <v>907</v>
      </c>
      <c r="G723" s="186" t="s">
        <v>2075</v>
      </c>
      <c r="H723" s="186" t="s">
        <v>2076</v>
      </c>
      <c r="I723" s="187" t="s">
        <v>2188</v>
      </c>
      <c r="J723" s="187" t="s">
        <v>2189</v>
      </c>
      <c r="K723" s="188"/>
      <c r="L723" s="188"/>
      <c r="M723" s="189" t="s">
        <v>1018</v>
      </c>
      <c r="N723" s="190">
        <v>141.75</v>
      </c>
      <c r="O723" s="190">
        <f t="shared" si="90"/>
        <v>154.51</v>
      </c>
      <c r="P723" s="191">
        <f t="shared" si="91"/>
        <v>0</v>
      </c>
      <c r="Q723" s="192">
        <f t="shared" si="92"/>
        <v>0</v>
      </c>
      <c r="R723" s="193"/>
      <c r="S723" s="194"/>
      <c r="T723" s="195">
        <f t="shared" si="93"/>
        <v>0</v>
      </c>
      <c r="U723" s="195">
        <f t="shared" si="94"/>
        <v>0</v>
      </c>
      <c r="V723" s="195">
        <f t="shared" si="95"/>
        <v>0</v>
      </c>
      <c r="W723" s="196" t="e">
        <f t="shared" si="96"/>
        <v>#DIV/0!</v>
      </c>
      <c r="X723" s="197" t="e">
        <f t="shared" si="97"/>
        <v>#DIV/0!</v>
      </c>
    </row>
    <row r="724" ht="11.4" hidden="1" customHeight="1" spans="1:24">
      <c r="A724" s="184" t="s">
        <v>2073</v>
      </c>
      <c r="B724" s="184" t="s">
        <v>145</v>
      </c>
      <c r="C724" s="184" t="s">
        <v>2074</v>
      </c>
      <c r="D724" s="185" t="s">
        <v>522</v>
      </c>
      <c r="E724" s="186" t="s">
        <v>906</v>
      </c>
      <c r="F724" s="186" t="s">
        <v>907</v>
      </c>
      <c r="G724" s="186" t="s">
        <v>2075</v>
      </c>
      <c r="H724" s="186" t="s">
        <v>2076</v>
      </c>
      <c r="I724" s="187" t="s">
        <v>2190</v>
      </c>
      <c r="J724" s="187" t="s">
        <v>2191</v>
      </c>
      <c r="K724" s="188"/>
      <c r="L724" s="188"/>
      <c r="M724" s="189" t="s">
        <v>1018</v>
      </c>
      <c r="N724" s="190">
        <v>97.65</v>
      </c>
      <c r="O724" s="190">
        <f t="shared" si="90"/>
        <v>106.44</v>
      </c>
      <c r="P724" s="191">
        <f t="shared" si="91"/>
        <v>0</v>
      </c>
      <c r="Q724" s="192">
        <f t="shared" si="92"/>
        <v>0</v>
      </c>
      <c r="R724" s="193"/>
      <c r="S724" s="194"/>
      <c r="T724" s="195">
        <f t="shared" si="93"/>
        <v>0</v>
      </c>
      <c r="U724" s="195">
        <f t="shared" si="94"/>
        <v>0</v>
      </c>
      <c r="V724" s="195">
        <f t="shared" si="95"/>
        <v>0</v>
      </c>
      <c r="W724" s="196" t="e">
        <f t="shared" si="96"/>
        <v>#DIV/0!</v>
      </c>
      <c r="X724" s="197" t="e">
        <f t="shared" si="97"/>
        <v>#DIV/0!</v>
      </c>
    </row>
    <row r="725" ht="11.4" hidden="1" customHeight="1" spans="1:24">
      <c r="A725" s="184" t="s">
        <v>2073</v>
      </c>
      <c r="B725" s="184" t="s">
        <v>145</v>
      </c>
      <c r="C725" s="184" t="s">
        <v>2074</v>
      </c>
      <c r="D725" s="185" t="s">
        <v>522</v>
      </c>
      <c r="E725" s="186" t="s">
        <v>906</v>
      </c>
      <c r="F725" s="186" t="s">
        <v>907</v>
      </c>
      <c r="G725" s="186" t="s">
        <v>2075</v>
      </c>
      <c r="H725" s="186" t="s">
        <v>2076</v>
      </c>
      <c r="I725" s="187" t="s">
        <v>2192</v>
      </c>
      <c r="J725" s="187" t="s">
        <v>2193</v>
      </c>
      <c r="K725" s="188"/>
      <c r="L725" s="188"/>
      <c r="M725" s="189" t="s">
        <v>807</v>
      </c>
      <c r="N725" s="190">
        <v>59.85</v>
      </c>
      <c r="O725" s="190">
        <f t="shared" si="90"/>
        <v>65.24</v>
      </c>
      <c r="P725" s="191">
        <f t="shared" si="91"/>
        <v>0</v>
      </c>
      <c r="Q725" s="192">
        <f t="shared" si="92"/>
        <v>0</v>
      </c>
      <c r="R725" s="193"/>
      <c r="S725" s="194"/>
      <c r="T725" s="195">
        <f t="shared" si="93"/>
        <v>0</v>
      </c>
      <c r="U725" s="195">
        <f t="shared" si="94"/>
        <v>0</v>
      </c>
      <c r="V725" s="195">
        <f t="shared" si="95"/>
        <v>0</v>
      </c>
      <c r="W725" s="196" t="e">
        <f t="shared" si="96"/>
        <v>#DIV/0!</v>
      </c>
      <c r="X725" s="197" t="e">
        <f t="shared" si="97"/>
        <v>#DIV/0!</v>
      </c>
    </row>
    <row r="726" ht="11.4" hidden="1" customHeight="1" spans="1:24">
      <c r="A726" s="184" t="s">
        <v>2073</v>
      </c>
      <c r="B726" s="184" t="s">
        <v>145</v>
      </c>
      <c r="C726" s="184" t="s">
        <v>2074</v>
      </c>
      <c r="D726" s="185" t="s">
        <v>522</v>
      </c>
      <c r="E726" s="186" t="s">
        <v>906</v>
      </c>
      <c r="F726" s="186" t="s">
        <v>907</v>
      </c>
      <c r="G726" s="186" t="s">
        <v>2139</v>
      </c>
      <c r="H726" s="186" t="s">
        <v>2076</v>
      </c>
      <c r="I726" s="187" t="s">
        <v>2194</v>
      </c>
      <c r="J726" s="187" t="s">
        <v>2195</v>
      </c>
      <c r="K726" s="188"/>
      <c r="L726" s="188"/>
      <c r="M726" s="189" t="s">
        <v>1018</v>
      </c>
      <c r="N726" s="190">
        <v>52.5</v>
      </c>
      <c r="O726" s="190">
        <f t="shared" si="90"/>
        <v>57.23</v>
      </c>
      <c r="P726" s="191">
        <f t="shared" si="91"/>
        <v>0</v>
      </c>
      <c r="Q726" s="192">
        <f t="shared" si="92"/>
        <v>0</v>
      </c>
      <c r="R726" s="193"/>
      <c r="S726" s="194"/>
      <c r="T726" s="195">
        <f t="shared" si="93"/>
        <v>0</v>
      </c>
      <c r="U726" s="195">
        <f t="shared" si="94"/>
        <v>0</v>
      </c>
      <c r="V726" s="195">
        <f t="shared" si="95"/>
        <v>0</v>
      </c>
      <c r="W726" s="196" t="e">
        <f t="shared" si="96"/>
        <v>#DIV/0!</v>
      </c>
      <c r="X726" s="197" t="e">
        <f t="shared" si="97"/>
        <v>#DIV/0!</v>
      </c>
    </row>
    <row r="727" ht="11.4" hidden="1" customHeight="1" spans="1:24">
      <c r="A727" s="184" t="s">
        <v>2073</v>
      </c>
      <c r="B727" s="184" t="s">
        <v>145</v>
      </c>
      <c r="C727" s="184" t="s">
        <v>2074</v>
      </c>
      <c r="D727" s="185" t="s">
        <v>522</v>
      </c>
      <c r="E727" s="186" t="s">
        <v>906</v>
      </c>
      <c r="F727" s="186" t="s">
        <v>907</v>
      </c>
      <c r="G727" s="186" t="s">
        <v>2075</v>
      </c>
      <c r="H727" s="186" t="s">
        <v>2076</v>
      </c>
      <c r="I727" s="187" t="s">
        <v>2196</v>
      </c>
      <c r="J727" s="187" t="s">
        <v>2197</v>
      </c>
      <c r="K727" s="188"/>
      <c r="L727" s="188"/>
      <c r="M727" s="189" t="s">
        <v>1018</v>
      </c>
      <c r="N727" s="190">
        <v>68.25</v>
      </c>
      <c r="O727" s="190">
        <f t="shared" si="90"/>
        <v>74.39</v>
      </c>
      <c r="P727" s="191">
        <f t="shared" si="91"/>
        <v>0</v>
      </c>
      <c r="Q727" s="192">
        <f t="shared" si="92"/>
        <v>0</v>
      </c>
      <c r="R727" s="193"/>
      <c r="S727" s="194"/>
      <c r="T727" s="195">
        <f t="shared" si="93"/>
        <v>0</v>
      </c>
      <c r="U727" s="195">
        <f t="shared" si="94"/>
        <v>0</v>
      </c>
      <c r="V727" s="195">
        <f t="shared" si="95"/>
        <v>0</v>
      </c>
      <c r="W727" s="196" t="e">
        <f t="shared" si="96"/>
        <v>#DIV/0!</v>
      </c>
      <c r="X727" s="197" t="e">
        <f t="shared" si="97"/>
        <v>#DIV/0!</v>
      </c>
    </row>
    <row r="728" ht="11.4" hidden="1" customHeight="1" spans="1:24">
      <c r="A728" s="184" t="s">
        <v>2073</v>
      </c>
      <c r="B728" s="184" t="s">
        <v>145</v>
      </c>
      <c r="C728" s="184" t="s">
        <v>2074</v>
      </c>
      <c r="D728" s="185" t="s">
        <v>522</v>
      </c>
      <c r="E728" s="186" t="s">
        <v>906</v>
      </c>
      <c r="F728" s="186" t="s">
        <v>907</v>
      </c>
      <c r="G728" s="186" t="s">
        <v>2075</v>
      </c>
      <c r="H728" s="186" t="s">
        <v>2076</v>
      </c>
      <c r="I728" s="187" t="s">
        <v>2198</v>
      </c>
      <c r="J728" s="187" t="s">
        <v>2199</v>
      </c>
      <c r="K728" s="188"/>
      <c r="L728" s="188"/>
      <c r="M728" s="189" t="s">
        <v>1018</v>
      </c>
      <c r="N728" s="190">
        <v>110.25</v>
      </c>
      <c r="O728" s="190">
        <f t="shared" si="90"/>
        <v>120.17</v>
      </c>
      <c r="P728" s="191">
        <f t="shared" si="91"/>
        <v>0</v>
      </c>
      <c r="Q728" s="192">
        <f t="shared" si="92"/>
        <v>0</v>
      </c>
      <c r="R728" s="193"/>
      <c r="S728" s="194"/>
      <c r="T728" s="195">
        <f t="shared" si="93"/>
        <v>0</v>
      </c>
      <c r="U728" s="195">
        <f t="shared" si="94"/>
        <v>0</v>
      </c>
      <c r="V728" s="195">
        <f t="shared" si="95"/>
        <v>0</v>
      </c>
      <c r="W728" s="196" t="e">
        <f t="shared" si="96"/>
        <v>#DIV/0!</v>
      </c>
      <c r="X728" s="197" t="e">
        <f t="shared" si="97"/>
        <v>#DIV/0!</v>
      </c>
    </row>
    <row r="729" ht="11.4" hidden="1" customHeight="1" spans="1:24">
      <c r="A729" s="184" t="s">
        <v>2073</v>
      </c>
      <c r="B729" s="184" t="s">
        <v>145</v>
      </c>
      <c r="C729" s="184" t="s">
        <v>2074</v>
      </c>
      <c r="D729" s="185" t="s">
        <v>522</v>
      </c>
      <c r="E729" s="186" t="s">
        <v>906</v>
      </c>
      <c r="F729" s="186" t="s">
        <v>907</v>
      </c>
      <c r="G729" s="186" t="s">
        <v>2075</v>
      </c>
      <c r="H729" s="186" t="s">
        <v>2076</v>
      </c>
      <c r="I729" s="187" t="s">
        <v>2200</v>
      </c>
      <c r="J729" s="187" t="s">
        <v>2201</v>
      </c>
      <c r="K729" s="188"/>
      <c r="L729" s="188"/>
      <c r="M729" s="189" t="s">
        <v>1018</v>
      </c>
      <c r="N729" s="190">
        <v>178.5</v>
      </c>
      <c r="O729" s="190">
        <f t="shared" si="90"/>
        <v>194.57</v>
      </c>
      <c r="P729" s="191">
        <f t="shared" si="91"/>
        <v>0</v>
      </c>
      <c r="Q729" s="192">
        <f t="shared" si="92"/>
        <v>0</v>
      </c>
      <c r="R729" s="193"/>
      <c r="S729" s="194"/>
      <c r="T729" s="195">
        <f t="shared" si="93"/>
        <v>0</v>
      </c>
      <c r="U729" s="195">
        <f t="shared" si="94"/>
        <v>0</v>
      </c>
      <c r="V729" s="195">
        <f t="shared" si="95"/>
        <v>0</v>
      </c>
      <c r="W729" s="196" t="e">
        <f t="shared" si="96"/>
        <v>#DIV/0!</v>
      </c>
      <c r="X729" s="197" t="e">
        <f t="shared" si="97"/>
        <v>#DIV/0!</v>
      </c>
    </row>
    <row r="730" ht="11.4" hidden="1" customHeight="1" spans="1:24">
      <c r="A730" s="184" t="s">
        <v>2073</v>
      </c>
      <c r="B730" s="184" t="s">
        <v>145</v>
      </c>
      <c r="C730" s="184" t="s">
        <v>2074</v>
      </c>
      <c r="D730" s="185" t="s">
        <v>522</v>
      </c>
      <c r="E730" s="186" t="s">
        <v>906</v>
      </c>
      <c r="F730" s="186" t="s">
        <v>907</v>
      </c>
      <c r="G730" s="186" t="s">
        <v>2075</v>
      </c>
      <c r="H730" s="186" t="s">
        <v>2076</v>
      </c>
      <c r="I730" s="187" t="s">
        <v>2202</v>
      </c>
      <c r="J730" s="187" t="s">
        <v>2203</v>
      </c>
      <c r="K730" s="188"/>
      <c r="L730" s="188"/>
      <c r="M730" s="189" t="s">
        <v>1018</v>
      </c>
      <c r="N730" s="190">
        <v>147</v>
      </c>
      <c r="O730" s="190">
        <f t="shared" si="90"/>
        <v>160.23</v>
      </c>
      <c r="P730" s="191">
        <f t="shared" si="91"/>
        <v>0</v>
      </c>
      <c r="Q730" s="192">
        <f t="shared" si="92"/>
        <v>0</v>
      </c>
      <c r="R730" s="193"/>
      <c r="S730" s="194"/>
      <c r="T730" s="195">
        <f t="shared" si="93"/>
        <v>0</v>
      </c>
      <c r="U730" s="195">
        <f t="shared" si="94"/>
        <v>0</v>
      </c>
      <c r="V730" s="195">
        <f t="shared" si="95"/>
        <v>0</v>
      </c>
      <c r="W730" s="196" t="e">
        <f t="shared" si="96"/>
        <v>#DIV/0!</v>
      </c>
      <c r="X730" s="197" t="e">
        <f t="shared" si="97"/>
        <v>#DIV/0!</v>
      </c>
    </row>
    <row r="731" ht="11.4" hidden="1" customHeight="1" spans="1:24">
      <c r="A731" s="184" t="s">
        <v>2073</v>
      </c>
      <c r="B731" s="184" t="s">
        <v>145</v>
      </c>
      <c r="C731" s="184" t="s">
        <v>2074</v>
      </c>
      <c r="D731" s="185" t="s">
        <v>522</v>
      </c>
      <c r="E731" s="186" t="s">
        <v>906</v>
      </c>
      <c r="F731" s="186" t="s">
        <v>907</v>
      </c>
      <c r="G731" s="186" t="s">
        <v>2075</v>
      </c>
      <c r="H731" s="186" t="s">
        <v>2076</v>
      </c>
      <c r="I731" s="187" t="s">
        <v>2204</v>
      </c>
      <c r="J731" s="187" t="s">
        <v>2205</v>
      </c>
      <c r="K731" s="188"/>
      <c r="L731" s="188"/>
      <c r="M731" s="189" t="s">
        <v>1018</v>
      </c>
      <c r="N731" s="190">
        <v>105</v>
      </c>
      <c r="O731" s="190">
        <f t="shared" si="90"/>
        <v>114.45</v>
      </c>
      <c r="P731" s="191">
        <f t="shared" si="91"/>
        <v>0</v>
      </c>
      <c r="Q731" s="192">
        <f t="shared" si="92"/>
        <v>0</v>
      </c>
      <c r="R731" s="193"/>
      <c r="S731" s="194"/>
      <c r="T731" s="195">
        <f t="shared" si="93"/>
        <v>0</v>
      </c>
      <c r="U731" s="195">
        <f t="shared" si="94"/>
        <v>0</v>
      </c>
      <c r="V731" s="195">
        <f t="shared" si="95"/>
        <v>0</v>
      </c>
      <c r="W731" s="196" t="e">
        <f t="shared" si="96"/>
        <v>#DIV/0!</v>
      </c>
      <c r="X731" s="197" t="e">
        <f t="shared" si="97"/>
        <v>#DIV/0!</v>
      </c>
    </row>
    <row r="732" ht="11.4" hidden="1" customHeight="1" spans="1:24">
      <c r="A732" s="184" t="s">
        <v>2073</v>
      </c>
      <c r="B732" s="184" t="s">
        <v>145</v>
      </c>
      <c r="C732" s="184" t="s">
        <v>2074</v>
      </c>
      <c r="D732" s="185" t="s">
        <v>522</v>
      </c>
      <c r="E732" s="186" t="s">
        <v>906</v>
      </c>
      <c r="F732" s="186" t="s">
        <v>907</v>
      </c>
      <c r="G732" s="186" t="s">
        <v>2075</v>
      </c>
      <c r="H732" s="186" t="s">
        <v>2076</v>
      </c>
      <c r="I732" s="187" t="s">
        <v>2206</v>
      </c>
      <c r="J732" s="187" t="s">
        <v>2207</v>
      </c>
      <c r="K732" s="188"/>
      <c r="L732" s="188"/>
      <c r="M732" s="189" t="s">
        <v>1018</v>
      </c>
      <c r="N732" s="190">
        <v>126</v>
      </c>
      <c r="O732" s="190">
        <f t="shared" si="90"/>
        <v>137.34</v>
      </c>
      <c r="P732" s="191">
        <f t="shared" si="91"/>
        <v>0</v>
      </c>
      <c r="Q732" s="192">
        <f t="shared" si="92"/>
        <v>0</v>
      </c>
      <c r="R732" s="193"/>
      <c r="S732" s="194"/>
      <c r="T732" s="195">
        <f t="shared" si="93"/>
        <v>0</v>
      </c>
      <c r="U732" s="195">
        <f t="shared" si="94"/>
        <v>0</v>
      </c>
      <c r="V732" s="195">
        <f t="shared" si="95"/>
        <v>0</v>
      </c>
      <c r="W732" s="196" t="e">
        <f t="shared" si="96"/>
        <v>#DIV/0!</v>
      </c>
      <c r="X732" s="197" t="e">
        <f t="shared" si="97"/>
        <v>#DIV/0!</v>
      </c>
    </row>
    <row r="733" ht="11.4" hidden="1" customHeight="1" spans="1:24">
      <c r="A733" s="184" t="s">
        <v>2073</v>
      </c>
      <c r="B733" s="184" t="s">
        <v>145</v>
      </c>
      <c r="C733" s="184" t="s">
        <v>2074</v>
      </c>
      <c r="D733" s="185" t="s">
        <v>522</v>
      </c>
      <c r="E733" s="186" t="s">
        <v>906</v>
      </c>
      <c r="F733" s="186" t="s">
        <v>907</v>
      </c>
      <c r="G733" s="186" t="s">
        <v>2075</v>
      </c>
      <c r="H733" s="186" t="s">
        <v>2076</v>
      </c>
      <c r="I733" s="187" t="s">
        <v>2208</v>
      </c>
      <c r="J733" s="187" t="s">
        <v>2209</v>
      </c>
      <c r="K733" s="188"/>
      <c r="L733" s="188"/>
      <c r="M733" s="189" t="s">
        <v>1018</v>
      </c>
      <c r="N733" s="190">
        <v>204.75</v>
      </c>
      <c r="O733" s="190">
        <f t="shared" si="90"/>
        <v>223.18</v>
      </c>
      <c r="P733" s="191">
        <f t="shared" si="91"/>
        <v>0</v>
      </c>
      <c r="Q733" s="192">
        <f t="shared" si="92"/>
        <v>0</v>
      </c>
      <c r="R733" s="193"/>
      <c r="S733" s="194"/>
      <c r="T733" s="195">
        <f t="shared" si="93"/>
        <v>0</v>
      </c>
      <c r="U733" s="195">
        <f t="shared" si="94"/>
        <v>0</v>
      </c>
      <c r="V733" s="195">
        <f t="shared" si="95"/>
        <v>0</v>
      </c>
      <c r="W733" s="196" t="e">
        <f t="shared" si="96"/>
        <v>#DIV/0!</v>
      </c>
      <c r="X733" s="197" t="e">
        <f t="shared" si="97"/>
        <v>#DIV/0!</v>
      </c>
    </row>
    <row r="734" ht="11.4" hidden="1" customHeight="1" spans="1:24">
      <c r="A734" s="184" t="s">
        <v>2073</v>
      </c>
      <c r="B734" s="184" t="s">
        <v>145</v>
      </c>
      <c r="C734" s="184" t="s">
        <v>2074</v>
      </c>
      <c r="D734" s="185" t="s">
        <v>522</v>
      </c>
      <c r="E734" s="186" t="s">
        <v>906</v>
      </c>
      <c r="F734" s="186" t="s">
        <v>907</v>
      </c>
      <c r="G734" s="186" t="s">
        <v>2075</v>
      </c>
      <c r="H734" s="186" t="s">
        <v>2076</v>
      </c>
      <c r="I734" s="187" t="s">
        <v>2210</v>
      </c>
      <c r="J734" s="187" t="s">
        <v>2211</v>
      </c>
      <c r="K734" s="188"/>
      <c r="L734" s="188"/>
      <c r="M734" s="189" t="s">
        <v>1018</v>
      </c>
      <c r="N734" s="190">
        <v>420</v>
      </c>
      <c r="O734" s="190">
        <f t="shared" si="90"/>
        <v>457.8</v>
      </c>
      <c r="P734" s="191">
        <f t="shared" si="91"/>
        <v>0</v>
      </c>
      <c r="Q734" s="192">
        <f t="shared" si="92"/>
        <v>0</v>
      </c>
      <c r="R734" s="193"/>
      <c r="S734" s="194"/>
      <c r="T734" s="195">
        <f t="shared" si="93"/>
        <v>0</v>
      </c>
      <c r="U734" s="195">
        <f t="shared" si="94"/>
        <v>0</v>
      </c>
      <c r="V734" s="195">
        <f t="shared" si="95"/>
        <v>0</v>
      </c>
      <c r="W734" s="196" t="e">
        <f t="shared" si="96"/>
        <v>#DIV/0!</v>
      </c>
      <c r="X734" s="197" t="e">
        <f t="shared" si="97"/>
        <v>#DIV/0!</v>
      </c>
    </row>
    <row r="735" ht="11.4" hidden="1" customHeight="1" spans="1:24">
      <c r="A735" s="184" t="s">
        <v>2073</v>
      </c>
      <c r="B735" s="184" t="s">
        <v>145</v>
      </c>
      <c r="C735" s="184" t="s">
        <v>2074</v>
      </c>
      <c r="D735" s="185" t="s">
        <v>522</v>
      </c>
      <c r="E735" s="186" t="s">
        <v>906</v>
      </c>
      <c r="F735" s="186" t="s">
        <v>907</v>
      </c>
      <c r="G735" s="186" t="s">
        <v>2075</v>
      </c>
      <c r="H735" s="186" t="s">
        <v>2076</v>
      </c>
      <c r="I735" s="187" t="s">
        <v>2212</v>
      </c>
      <c r="J735" s="187" t="s">
        <v>2213</v>
      </c>
      <c r="K735" s="188"/>
      <c r="L735" s="188"/>
      <c r="M735" s="189" t="s">
        <v>1018</v>
      </c>
      <c r="N735" s="190">
        <v>178.5</v>
      </c>
      <c r="O735" s="190">
        <f t="shared" si="90"/>
        <v>194.57</v>
      </c>
      <c r="P735" s="191">
        <f t="shared" si="91"/>
        <v>0</v>
      </c>
      <c r="Q735" s="192">
        <f t="shared" si="92"/>
        <v>0</v>
      </c>
      <c r="R735" s="193"/>
      <c r="S735" s="194"/>
      <c r="T735" s="195">
        <f t="shared" si="93"/>
        <v>0</v>
      </c>
      <c r="U735" s="195">
        <f t="shared" si="94"/>
        <v>0</v>
      </c>
      <c r="V735" s="195">
        <f t="shared" si="95"/>
        <v>0</v>
      </c>
      <c r="W735" s="196" t="e">
        <f t="shared" si="96"/>
        <v>#DIV/0!</v>
      </c>
      <c r="X735" s="197" t="e">
        <f t="shared" si="97"/>
        <v>#DIV/0!</v>
      </c>
    </row>
    <row r="736" ht="11.4" hidden="1" customHeight="1" spans="1:24">
      <c r="A736" s="184" t="s">
        <v>2073</v>
      </c>
      <c r="B736" s="184" t="s">
        <v>145</v>
      </c>
      <c r="C736" s="184" t="s">
        <v>2074</v>
      </c>
      <c r="D736" s="185" t="s">
        <v>522</v>
      </c>
      <c r="E736" s="186" t="s">
        <v>906</v>
      </c>
      <c r="F736" s="186" t="s">
        <v>907</v>
      </c>
      <c r="G736" s="186" t="s">
        <v>2075</v>
      </c>
      <c r="H736" s="186" t="s">
        <v>2076</v>
      </c>
      <c r="I736" s="187" t="s">
        <v>2214</v>
      </c>
      <c r="J736" s="187" t="s">
        <v>2215</v>
      </c>
      <c r="K736" s="188"/>
      <c r="L736" s="188"/>
      <c r="M736" s="189" t="s">
        <v>1018</v>
      </c>
      <c r="N736" s="190">
        <v>126</v>
      </c>
      <c r="O736" s="190">
        <f t="shared" si="90"/>
        <v>137.34</v>
      </c>
      <c r="P736" s="191">
        <f t="shared" si="91"/>
        <v>0</v>
      </c>
      <c r="Q736" s="192">
        <f t="shared" si="92"/>
        <v>0</v>
      </c>
      <c r="R736" s="193"/>
      <c r="S736" s="194"/>
      <c r="T736" s="195">
        <f t="shared" si="93"/>
        <v>0</v>
      </c>
      <c r="U736" s="195">
        <f t="shared" si="94"/>
        <v>0</v>
      </c>
      <c r="V736" s="195">
        <f t="shared" si="95"/>
        <v>0</v>
      </c>
      <c r="W736" s="196" t="e">
        <f t="shared" si="96"/>
        <v>#DIV/0!</v>
      </c>
      <c r="X736" s="197" t="e">
        <f t="shared" si="97"/>
        <v>#DIV/0!</v>
      </c>
    </row>
    <row r="737" ht="11.4" hidden="1" customHeight="1" spans="1:24">
      <c r="A737" s="184" t="s">
        <v>2073</v>
      </c>
      <c r="B737" s="184" t="s">
        <v>145</v>
      </c>
      <c r="C737" s="184" t="s">
        <v>2074</v>
      </c>
      <c r="D737" s="185" t="s">
        <v>522</v>
      </c>
      <c r="E737" s="186" t="s">
        <v>906</v>
      </c>
      <c r="F737" s="186" t="s">
        <v>907</v>
      </c>
      <c r="G737" s="186" t="s">
        <v>2075</v>
      </c>
      <c r="H737" s="186" t="s">
        <v>2076</v>
      </c>
      <c r="I737" s="187" t="s">
        <v>2216</v>
      </c>
      <c r="J737" s="187" t="s">
        <v>2217</v>
      </c>
      <c r="K737" s="188"/>
      <c r="L737" s="188"/>
      <c r="M737" s="189" t="s">
        <v>1018</v>
      </c>
      <c r="N737" s="190">
        <v>105</v>
      </c>
      <c r="O737" s="190">
        <f t="shared" si="90"/>
        <v>114.45</v>
      </c>
      <c r="P737" s="191">
        <f t="shared" si="91"/>
        <v>0</v>
      </c>
      <c r="Q737" s="192">
        <f t="shared" si="92"/>
        <v>0</v>
      </c>
      <c r="R737" s="193"/>
      <c r="S737" s="194"/>
      <c r="T737" s="195">
        <f t="shared" si="93"/>
        <v>0</v>
      </c>
      <c r="U737" s="195">
        <f t="shared" si="94"/>
        <v>0</v>
      </c>
      <c r="V737" s="195">
        <f t="shared" si="95"/>
        <v>0</v>
      </c>
      <c r="W737" s="196" t="e">
        <f t="shared" si="96"/>
        <v>#DIV/0!</v>
      </c>
      <c r="X737" s="197" t="e">
        <f t="shared" si="97"/>
        <v>#DIV/0!</v>
      </c>
    </row>
    <row r="738" ht="11.4" hidden="1" customHeight="1" spans="1:24">
      <c r="A738" s="184" t="s">
        <v>2073</v>
      </c>
      <c r="B738" s="184" t="s">
        <v>145</v>
      </c>
      <c r="C738" s="184" t="s">
        <v>2074</v>
      </c>
      <c r="D738" s="185" t="s">
        <v>522</v>
      </c>
      <c r="E738" s="186" t="s">
        <v>906</v>
      </c>
      <c r="F738" s="186" t="s">
        <v>907</v>
      </c>
      <c r="G738" s="186" t="s">
        <v>2075</v>
      </c>
      <c r="H738" s="186" t="s">
        <v>2076</v>
      </c>
      <c r="I738" s="187" t="s">
        <v>2218</v>
      </c>
      <c r="J738" s="187" t="s">
        <v>2219</v>
      </c>
      <c r="K738" s="188"/>
      <c r="L738" s="188"/>
      <c r="M738" s="189" t="s">
        <v>1018</v>
      </c>
      <c r="N738" s="190">
        <v>661.5</v>
      </c>
      <c r="O738" s="190">
        <f t="shared" si="90"/>
        <v>721.04</v>
      </c>
      <c r="P738" s="191">
        <f t="shared" si="91"/>
        <v>0</v>
      </c>
      <c r="Q738" s="192">
        <f t="shared" si="92"/>
        <v>0</v>
      </c>
      <c r="R738" s="193"/>
      <c r="S738" s="194"/>
      <c r="T738" s="195">
        <f t="shared" si="93"/>
        <v>0</v>
      </c>
      <c r="U738" s="195">
        <f t="shared" si="94"/>
        <v>0</v>
      </c>
      <c r="V738" s="195">
        <f t="shared" si="95"/>
        <v>0</v>
      </c>
      <c r="W738" s="196" t="e">
        <f t="shared" si="96"/>
        <v>#DIV/0!</v>
      </c>
      <c r="X738" s="197" t="e">
        <f t="shared" si="97"/>
        <v>#DIV/0!</v>
      </c>
    </row>
    <row r="739" ht="11.4" hidden="1" customHeight="1" spans="1:24">
      <c r="A739" s="184" t="s">
        <v>2073</v>
      </c>
      <c r="B739" s="184" t="s">
        <v>145</v>
      </c>
      <c r="C739" s="184" t="s">
        <v>2074</v>
      </c>
      <c r="D739" s="185" t="s">
        <v>522</v>
      </c>
      <c r="E739" s="186" t="s">
        <v>906</v>
      </c>
      <c r="F739" s="186" t="s">
        <v>907</v>
      </c>
      <c r="G739" s="186" t="s">
        <v>2075</v>
      </c>
      <c r="H739" s="186" t="s">
        <v>2076</v>
      </c>
      <c r="I739" s="187" t="s">
        <v>2220</v>
      </c>
      <c r="J739" s="187" t="s">
        <v>2221</v>
      </c>
      <c r="K739" s="188"/>
      <c r="L739" s="188"/>
      <c r="M739" s="189" t="s">
        <v>1018</v>
      </c>
      <c r="N739" s="190">
        <v>488.25</v>
      </c>
      <c r="O739" s="190">
        <f t="shared" si="90"/>
        <v>532.19</v>
      </c>
      <c r="P739" s="191">
        <f t="shared" si="91"/>
        <v>0</v>
      </c>
      <c r="Q739" s="192">
        <f t="shared" si="92"/>
        <v>0</v>
      </c>
      <c r="R739" s="193"/>
      <c r="S739" s="194"/>
      <c r="T739" s="195">
        <f t="shared" si="93"/>
        <v>0</v>
      </c>
      <c r="U739" s="195">
        <f t="shared" si="94"/>
        <v>0</v>
      </c>
      <c r="V739" s="195">
        <f t="shared" si="95"/>
        <v>0</v>
      </c>
      <c r="W739" s="196" t="e">
        <f t="shared" si="96"/>
        <v>#DIV/0!</v>
      </c>
      <c r="X739" s="197" t="e">
        <f t="shared" si="97"/>
        <v>#DIV/0!</v>
      </c>
    </row>
    <row r="740" ht="11.4" hidden="1" customHeight="1" spans="1:24">
      <c r="A740" s="184" t="s">
        <v>2073</v>
      </c>
      <c r="B740" s="184" t="s">
        <v>145</v>
      </c>
      <c r="C740" s="184" t="s">
        <v>2074</v>
      </c>
      <c r="D740" s="185" t="s">
        <v>522</v>
      </c>
      <c r="E740" s="186" t="s">
        <v>906</v>
      </c>
      <c r="F740" s="186" t="s">
        <v>907</v>
      </c>
      <c r="G740" s="186" t="s">
        <v>2075</v>
      </c>
      <c r="H740" s="186" t="s">
        <v>2076</v>
      </c>
      <c r="I740" s="187" t="s">
        <v>2222</v>
      </c>
      <c r="J740" s="187" t="s">
        <v>2223</v>
      </c>
      <c r="K740" s="188"/>
      <c r="L740" s="188"/>
      <c r="M740" s="189" t="s">
        <v>807</v>
      </c>
      <c r="N740" s="190">
        <v>36.75</v>
      </c>
      <c r="O740" s="190">
        <f t="shared" si="90"/>
        <v>40.06</v>
      </c>
      <c r="P740" s="191">
        <f t="shared" si="91"/>
        <v>0</v>
      </c>
      <c r="Q740" s="192">
        <f t="shared" si="92"/>
        <v>0</v>
      </c>
      <c r="R740" s="193"/>
      <c r="S740" s="194"/>
      <c r="T740" s="195">
        <f t="shared" si="93"/>
        <v>0</v>
      </c>
      <c r="U740" s="195">
        <f t="shared" si="94"/>
        <v>0</v>
      </c>
      <c r="V740" s="195">
        <f t="shared" si="95"/>
        <v>0</v>
      </c>
      <c r="W740" s="196" t="e">
        <f t="shared" si="96"/>
        <v>#DIV/0!</v>
      </c>
      <c r="X740" s="197" t="e">
        <f t="shared" si="97"/>
        <v>#DIV/0!</v>
      </c>
    </row>
    <row r="741" ht="11.4" hidden="1" customHeight="1" spans="1:24">
      <c r="A741" s="184" t="s">
        <v>2073</v>
      </c>
      <c r="B741" s="184" t="s">
        <v>145</v>
      </c>
      <c r="C741" s="184" t="s">
        <v>2074</v>
      </c>
      <c r="D741" s="185" t="s">
        <v>522</v>
      </c>
      <c r="E741" s="186" t="s">
        <v>906</v>
      </c>
      <c r="F741" s="186" t="s">
        <v>907</v>
      </c>
      <c r="G741" s="186" t="s">
        <v>2075</v>
      </c>
      <c r="H741" s="186" t="s">
        <v>2076</v>
      </c>
      <c r="I741" s="187" t="s">
        <v>2224</v>
      </c>
      <c r="J741" s="187" t="s">
        <v>2225</v>
      </c>
      <c r="K741" s="188"/>
      <c r="L741" s="188"/>
      <c r="M741" s="189" t="s">
        <v>1018</v>
      </c>
      <c r="N741" s="190">
        <v>105</v>
      </c>
      <c r="O741" s="190">
        <f t="shared" si="90"/>
        <v>114.45</v>
      </c>
      <c r="P741" s="191">
        <f t="shared" si="91"/>
        <v>0</v>
      </c>
      <c r="Q741" s="192">
        <f t="shared" si="92"/>
        <v>0</v>
      </c>
      <c r="R741" s="193"/>
      <c r="S741" s="194"/>
      <c r="T741" s="195">
        <f t="shared" si="93"/>
        <v>0</v>
      </c>
      <c r="U741" s="195">
        <f t="shared" si="94"/>
        <v>0</v>
      </c>
      <c r="V741" s="195">
        <f t="shared" si="95"/>
        <v>0</v>
      </c>
      <c r="W741" s="196" t="e">
        <f t="shared" si="96"/>
        <v>#DIV/0!</v>
      </c>
      <c r="X741" s="197" t="e">
        <f t="shared" si="97"/>
        <v>#DIV/0!</v>
      </c>
    </row>
    <row r="742" ht="11.4" hidden="1" customHeight="1" spans="1:24">
      <c r="A742" s="184" t="s">
        <v>2073</v>
      </c>
      <c r="B742" s="184" t="s">
        <v>145</v>
      </c>
      <c r="C742" s="184" t="s">
        <v>2074</v>
      </c>
      <c r="D742" s="185" t="s">
        <v>522</v>
      </c>
      <c r="E742" s="186" t="s">
        <v>906</v>
      </c>
      <c r="F742" s="186" t="s">
        <v>907</v>
      </c>
      <c r="G742" s="186" t="s">
        <v>2075</v>
      </c>
      <c r="H742" s="186" t="s">
        <v>2076</v>
      </c>
      <c r="I742" s="187" t="s">
        <v>2226</v>
      </c>
      <c r="J742" s="187" t="s">
        <v>2227</v>
      </c>
      <c r="K742" s="188"/>
      <c r="L742" s="188"/>
      <c r="M742" s="189" t="s">
        <v>1018</v>
      </c>
      <c r="N742" s="190">
        <v>77.7</v>
      </c>
      <c r="O742" s="190">
        <f t="shared" si="90"/>
        <v>84.69</v>
      </c>
      <c r="P742" s="191">
        <f t="shared" si="91"/>
        <v>0</v>
      </c>
      <c r="Q742" s="192">
        <f t="shared" si="92"/>
        <v>0</v>
      </c>
      <c r="R742" s="193"/>
      <c r="S742" s="194"/>
      <c r="T742" s="195">
        <f t="shared" si="93"/>
        <v>0</v>
      </c>
      <c r="U742" s="195">
        <f t="shared" si="94"/>
        <v>0</v>
      </c>
      <c r="V742" s="195">
        <f t="shared" si="95"/>
        <v>0</v>
      </c>
      <c r="W742" s="196" t="e">
        <f t="shared" si="96"/>
        <v>#DIV/0!</v>
      </c>
      <c r="X742" s="197" t="e">
        <f t="shared" si="97"/>
        <v>#DIV/0!</v>
      </c>
    </row>
    <row r="743" ht="11.4" hidden="1" customHeight="1" spans="1:24">
      <c r="A743" s="184" t="s">
        <v>2073</v>
      </c>
      <c r="B743" s="184" t="s">
        <v>145</v>
      </c>
      <c r="C743" s="184" t="s">
        <v>2074</v>
      </c>
      <c r="D743" s="185" t="s">
        <v>522</v>
      </c>
      <c r="E743" s="186" t="s">
        <v>906</v>
      </c>
      <c r="F743" s="186" t="s">
        <v>907</v>
      </c>
      <c r="G743" s="186" t="s">
        <v>2075</v>
      </c>
      <c r="H743" s="186" t="s">
        <v>2076</v>
      </c>
      <c r="I743" s="187" t="s">
        <v>2228</v>
      </c>
      <c r="J743" s="187" t="s">
        <v>2229</v>
      </c>
      <c r="K743" s="188"/>
      <c r="L743" s="188"/>
      <c r="M743" s="189" t="s">
        <v>1018</v>
      </c>
      <c r="N743" s="190">
        <v>38.85</v>
      </c>
      <c r="O743" s="190">
        <f t="shared" si="90"/>
        <v>42.35</v>
      </c>
      <c r="P743" s="191">
        <f t="shared" si="91"/>
        <v>0</v>
      </c>
      <c r="Q743" s="192">
        <f t="shared" si="92"/>
        <v>0</v>
      </c>
      <c r="R743" s="193"/>
      <c r="S743" s="194"/>
      <c r="T743" s="195">
        <f t="shared" si="93"/>
        <v>0</v>
      </c>
      <c r="U743" s="195">
        <f t="shared" si="94"/>
        <v>0</v>
      </c>
      <c r="V743" s="195">
        <f t="shared" si="95"/>
        <v>0</v>
      </c>
      <c r="W743" s="196" t="e">
        <f t="shared" si="96"/>
        <v>#DIV/0!</v>
      </c>
      <c r="X743" s="197" t="e">
        <f t="shared" si="97"/>
        <v>#DIV/0!</v>
      </c>
    </row>
    <row r="744" ht="11.4" hidden="1" customHeight="1" spans="1:24">
      <c r="A744" s="184" t="s">
        <v>2073</v>
      </c>
      <c r="B744" s="184" t="s">
        <v>145</v>
      </c>
      <c r="C744" s="184" t="s">
        <v>2074</v>
      </c>
      <c r="D744" s="185" t="s">
        <v>522</v>
      </c>
      <c r="E744" s="186" t="s">
        <v>906</v>
      </c>
      <c r="F744" s="186" t="s">
        <v>907</v>
      </c>
      <c r="G744" s="186" t="s">
        <v>2075</v>
      </c>
      <c r="H744" s="186" t="s">
        <v>2076</v>
      </c>
      <c r="I744" s="187" t="s">
        <v>2230</v>
      </c>
      <c r="J744" s="187" t="s">
        <v>2231</v>
      </c>
      <c r="K744" s="188"/>
      <c r="L744" s="188"/>
      <c r="M744" s="189" t="s">
        <v>1018</v>
      </c>
      <c r="N744" s="190">
        <v>8.4</v>
      </c>
      <c r="O744" s="190">
        <f t="shared" si="90"/>
        <v>9.16</v>
      </c>
      <c r="P744" s="191">
        <f t="shared" si="91"/>
        <v>0</v>
      </c>
      <c r="Q744" s="192">
        <f t="shared" si="92"/>
        <v>0</v>
      </c>
      <c r="R744" s="193"/>
      <c r="S744" s="194"/>
      <c r="T744" s="195">
        <f t="shared" si="93"/>
        <v>0</v>
      </c>
      <c r="U744" s="195">
        <f t="shared" si="94"/>
        <v>0</v>
      </c>
      <c r="V744" s="195">
        <f t="shared" si="95"/>
        <v>0</v>
      </c>
      <c r="W744" s="196" t="e">
        <f t="shared" si="96"/>
        <v>#DIV/0!</v>
      </c>
      <c r="X744" s="197" t="e">
        <f t="shared" si="97"/>
        <v>#DIV/0!</v>
      </c>
    </row>
    <row r="745" ht="11.4" hidden="1" customHeight="1" spans="1:24">
      <c r="A745" s="184" t="s">
        <v>2073</v>
      </c>
      <c r="B745" s="184" t="s">
        <v>145</v>
      </c>
      <c r="C745" s="184" t="s">
        <v>2074</v>
      </c>
      <c r="D745" s="185" t="s">
        <v>522</v>
      </c>
      <c r="E745" s="186" t="s">
        <v>906</v>
      </c>
      <c r="F745" s="186" t="s">
        <v>907</v>
      </c>
      <c r="G745" s="186" t="s">
        <v>2075</v>
      </c>
      <c r="H745" s="186" t="s">
        <v>2076</v>
      </c>
      <c r="I745" s="187" t="s">
        <v>2232</v>
      </c>
      <c r="J745" s="187" t="s">
        <v>2233</v>
      </c>
      <c r="K745" s="188"/>
      <c r="L745" s="188"/>
      <c r="M745" s="189" t="s">
        <v>1018</v>
      </c>
      <c r="N745" s="190">
        <v>57.75</v>
      </c>
      <c r="O745" s="190">
        <f t="shared" si="90"/>
        <v>62.95</v>
      </c>
      <c r="P745" s="191">
        <f t="shared" si="91"/>
        <v>0</v>
      </c>
      <c r="Q745" s="192">
        <f t="shared" si="92"/>
        <v>0</v>
      </c>
      <c r="R745" s="193"/>
      <c r="S745" s="194"/>
      <c r="T745" s="195">
        <f t="shared" si="93"/>
        <v>0</v>
      </c>
      <c r="U745" s="195">
        <f t="shared" si="94"/>
        <v>0</v>
      </c>
      <c r="V745" s="195">
        <f t="shared" si="95"/>
        <v>0</v>
      </c>
      <c r="W745" s="196" t="e">
        <f t="shared" si="96"/>
        <v>#DIV/0!</v>
      </c>
      <c r="X745" s="197" t="e">
        <f t="shared" si="97"/>
        <v>#DIV/0!</v>
      </c>
    </row>
    <row r="746" ht="11.4" hidden="1" customHeight="1" spans="1:24">
      <c r="A746" s="184" t="s">
        <v>2073</v>
      </c>
      <c r="B746" s="184" t="s">
        <v>145</v>
      </c>
      <c r="C746" s="184" t="s">
        <v>2074</v>
      </c>
      <c r="D746" s="185" t="s">
        <v>522</v>
      </c>
      <c r="E746" s="186" t="s">
        <v>906</v>
      </c>
      <c r="F746" s="186" t="s">
        <v>907</v>
      </c>
      <c r="G746" s="186" t="s">
        <v>2075</v>
      </c>
      <c r="H746" s="186" t="s">
        <v>2076</v>
      </c>
      <c r="I746" s="187" t="s">
        <v>2234</v>
      </c>
      <c r="J746" s="187" t="s">
        <v>2235</v>
      </c>
      <c r="K746" s="188"/>
      <c r="L746" s="188"/>
      <c r="M746" s="189" t="s">
        <v>1018</v>
      </c>
      <c r="N746" s="190">
        <v>131.25</v>
      </c>
      <c r="O746" s="190">
        <f t="shared" si="90"/>
        <v>143.06</v>
      </c>
      <c r="P746" s="191">
        <f t="shared" si="91"/>
        <v>0</v>
      </c>
      <c r="Q746" s="192">
        <f t="shared" si="92"/>
        <v>0</v>
      </c>
      <c r="R746" s="193"/>
      <c r="S746" s="194"/>
      <c r="T746" s="195">
        <f t="shared" si="93"/>
        <v>0</v>
      </c>
      <c r="U746" s="195">
        <f t="shared" si="94"/>
        <v>0</v>
      </c>
      <c r="V746" s="195">
        <f t="shared" si="95"/>
        <v>0</v>
      </c>
      <c r="W746" s="196" t="e">
        <f t="shared" si="96"/>
        <v>#DIV/0!</v>
      </c>
      <c r="X746" s="197" t="e">
        <f t="shared" si="97"/>
        <v>#DIV/0!</v>
      </c>
    </row>
    <row r="747" ht="11.4" hidden="1" customHeight="1" spans="1:24">
      <c r="A747" s="184" t="s">
        <v>2073</v>
      </c>
      <c r="B747" s="184" t="s">
        <v>145</v>
      </c>
      <c r="C747" s="184" t="s">
        <v>2074</v>
      </c>
      <c r="D747" s="185" t="s">
        <v>522</v>
      </c>
      <c r="E747" s="186" t="s">
        <v>906</v>
      </c>
      <c r="F747" s="186" t="s">
        <v>907</v>
      </c>
      <c r="G747" s="186" t="s">
        <v>2075</v>
      </c>
      <c r="H747" s="186" t="s">
        <v>2076</v>
      </c>
      <c r="I747" s="187" t="s">
        <v>2236</v>
      </c>
      <c r="J747" s="187" t="s">
        <v>2237</v>
      </c>
      <c r="K747" s="188"/>
      <c r="L747" s="188"/>
      <c r="M747" s="189" t="s">
        <v>1018</v>
      </c>
      <c r="N747" s="190">
        <v>120.75</v>
      </c>
      <c r="O747" s="190">
        <f t="shared" si="90"/>
        <v>131.62</v>
      </c>
      <c r="P747" s="191">
        <f t="shared" si="91"/>
        <v>0</v>
      </c>
      <c r="Q747" s="192">
        <f t="shared" si="92"/>
        <v>0</v>
      </c>
      <c r="R747" s="193"/>
      <c r="S747" s="194"/>
      <c r="T747" s="195">
        <f t="shared" si="93"/>
        <v>0</v>
      </c>
      <c r="U747" s="195">
        <f t="shared" si="94"/>
        <v>0</v>
      </c>
      <c r="V747" s="195">
        <f t="shared" si="95"/>
        <v>0</v>
      </c>
      <c r="W747" s="196" t="e">
        <f t="shared" si="96"/>
        <v>#DIV/0!</v>
      </c>
      <c r="X747" s="197" t="e">
        <f t="shared" si="97"/>
        <v>#DIV/0!</v>
      </c>
    </row>
    <row r="748" ht="11.4" hidden="1" customHeight="1" spans="1:24">
      <c r="A748" s="184" t="s">
        <v>2073</v>
      </c>
      <c r="B748" s="184" t="s">
        <v>145</v>
      </c>
      <c r="C748" s="184" t="s">
        <v>2074</v>
      </c>
      <c r="D748" s="185" t="s">
        <v>522</v>
      </c>
      <c r="E748" s="186" t="s">
        <v>906</v>
      </c>
      <c r="F748" s="186" t="s">
        <v>907</v>
      </c>
      <c r="G748" s="186" t="s">
        <v>2075</v>
      </c>
      <c r="H748" s="186" t="s">
        <v>2076</v>
      </c>
      <c r="I748" s="187" t="s">
        <v>2238</v>
      </c>
      <c r="J748" s="187" t="s">
        <v>2239</v>
      </c>
      <c r="K748" s="188"/>
      <c r="L748" s="188"/>
      <c r="M748" s="189" t="s">
        <v>1018</v>
      </c>
      <c r="N748" s="190">
        <v>120.75</v>
      </c>
      <c r="O748" s="190">
        <f t="shared" si="90"/>
        <v>131.62</v>
      </c>
      <c r="P748" s="191">
        <f t="shared" si="91"/>
        <v>0</v>
      </c>
      <c r="Q748" s="192">
        <f t="shared" si="92"/>
        <v>0</v>
      </c>
      <c r="R748" s="193"/>
      <c r="S748" s="194"/>
      <c r="T748" s="195">
        <f t="shared" si="93"/>
        <v>0</v>
      </c>
      <c r="U748" s="195">
        <f t="shared" si="94"/>
        <v>0</v>
      </c>
      <c r="V748" s="195">
        <f t="shared" si="95"/>
        <v>0</v>
      </c>
      <c r="W748" s="196" t="e">
        <f t="shared" si="96"/>
        <v>#DIV/0!</v>
      </c>
      <c r="X748" s="197" t="e">
        <f t="shared" si="97"/>
        <v>#DIV/0!</v>
      </c>
    </row>
    <row r="749" ht="11.4" hidden="1" customHeight="1" spans="1:24">
      <c r="A749" s="184" t="s">
        <v>2073</v>
      </c>
      <c r="B749" s="184" t="s">
        <v>145</v>
      </c>
      <c r="C749" s="184" t="s">
        <v>2074</v>
      </c>
      <c r="D749" s="185" t="s">
        <v>522</v>
      </c>
      <c r="E749" s="186" t="s">
        <v>906</v>
      </c>
      <c r="F749" s="186" t="s">
        <v>907</v>
      </c>
      <c r="G749" s="186" t="s">
        <v>2075</v>
      </c>
      <c r="H749" s="186" t="s">
        <v>2076</v>
      </c>
      <c r="I749" s="187" t="s">
        <v>2240</v>
      </c>
      <c r="J749" s="187" t="s">
        <v>2241</v>
      </c>
      <c r="K749" s="188"/>
      <c r="L749" s="188"/>
      <c r="M749" s="189" t="s">
        <v>1018</v>
      </c>
      <c r="N749" s="190">
        <v>131.25</v>
      </c>
      <c r="O749" s="190">
        <f t="shared" si="90"/>
        <v>143.06</v>
      </c>
      <c r="P749" s="191">
        <f t="shared" si="91"/>
        <v>0</v>
      </c>
      <c r="Q749" s="192">
        <f t="shared" si="92"/>
        <v>0</v>
      </c>
      <c r="R749" s="193"/>
      <c r="S749" s="194"/>
      <c r="T749" s="195">
        <f t="shared" si="93"/>
        <v>0</v>
      </c>
      <c r="U749" s="195">
        <f t="shared" si="94"/>
        <v>0</v>
      </c>
      <c r="V749" s="195">
        <f t="shared" si="95"/>
        <v>0</v>
      </c>
      <c r="W749" s="196" t="e">
        <f t="shared" si="96"/>
        <v>#DIV/0!</v>
      </c>
      <c r="X749" s="197" t="e">
        <f t="shared" si="97"/>
        <v>#DIV/0!</v>
      </c>
    </row>
    <row r="750" ht="11.4" hidden="1" customHeight="1" spans="1:24">
      <c r="A750" s="184" t="s">
        <v>2073</v>
      </c>
      <c r="B750" s="184" t="s">
        <v>145</v>
      </c>
      <c r="C750" s="184" t="s">
        <v>2074</v>
      </c>
      <c r="D750" s="185" t="s">
        <v>522</v>
      </c>
      <c r="E750" s="186" t="s">
        <v>906</v>
      </c>
      <c r="F750" s="186" t="s">
        <v>907</v>
      </c>
      <c r="G750" s="186" t="s">
        <v>2075</v>
      </c>
      <c r="H750" s="186" t="s">
        <v>2076</v>
      </c>
      <c r="I750" s="187" t="s">
        <v>2242</v>
      </c>
      <c r="J750" s="187" t="s">
        <v>2243</v>
      </c>
      <c r="K750" s="188"/>
      <c r="L750" s="188"/>
      <c r="M750" s="189" t="s">
        <v>807</v>
      </c>
      <c r="N750" s="190">
        <v>42</v>
      </c>
      <c r="O750" s="190">
        <f t="shared" si="90"/>
        <v>45.78</v>
      </c>
      <c r="P750" s="191">
        <f t="shared" si="91"/>
        <v>0</v>
      </c>
      <c r="Q750" s="192">
        <f t="shared" si="92"/>
        <v>0</v>
      </c>
      <c r="R750" s="193"/>
      <c r="S750" s="194"/>
      <c r="T750" s="195">
        <f t="shared" si="93"/>
        <v>0</v>
      </c>
      <c r="U750" s="195">
        <f t="shared" si="94"/>
        <v>0</v>
      </c>
      <c r="V750" s="195">
        <f t="shared" si="95"/>
        <v>0</v>
      </c>
      <c r="W750" s="196" t="e">
        <f t="shared" si="96"/>
        <v>#DIV/0!</v>
      </c>
      <c r="X750" s="197" t="e">
        <f t="shared" si="97"/>
        <v>#DIV/0!</v>
      </c>
    </row>
    <row r="751" ht="11.4" hidden="1" customHeight="1" spans="1:24">
      <c r="A751" s="184" t="s">
        <v>2244</v>
      </c>
      <c r="B751" s="184" t="s">
        <v>147</v>
      </c>
      <c r="C751" s="184" t="s">
        <v>2074</v>
      </c>
      <c r="D751" s="185" t="s">
        <v>522</v>
      </c>
      <c r="E751" s="186" t="s">
        <v>906</v>
      </c>
      <c r="F751" s="186" t="s">
        <v>907</v>
      </c>
      <c r="G751" s="186" t="s">
        <v>2075</v>
      </c>
      <c r="H751" s="186" t="s">
        <v>2245</v>
      </c>
      <c r="I751" s="187" t="s">
        <v>2087</v>
      </c>
      <c r="J751" s="187" t="s">
        <v>2088</v>
      </c>
      <c r="K751" s="188"/>
      <c r="L751" s="188"/>
      <c r="M751" s="189" t="s">
        <v>1018</v>
      </c>
      <c r="N751" s="190">
        <v>94.5</v>
      </c>
      <c r="O751" s="190">
        <f t="shared" si="90"/>
        <v>103.01</v>
      </c>
      <c r="P751" s="191">
        <f t="shared" si="91"/>
        <v>0</v>
      </c>
      <c r="Q751" s="192">
        <f t="shared" si="92"/>
        <v>0</v>
      </c>
      <c r="R751" s="193"/>
      <c r="S751" s="194"/>
      <c r="T751" s="195">
        <f t="shared" si="93"/>
        <v>0</v>
      </c>
      <c r="U751" s="195">
        <f t="shared" si="94"/>
        <v>0</v>
      </c>
      <c r="V751" s="195">
        <f t="shared" si="95"/>
        <v>0</v>
      </c>
      <c r="W751" s="196" t="e">
        <f t="shared" si="96"/>
        <v>#DIV/0!</v>
      </c>
      <c r="X751" s="197" t="e">
        <f t="shared" si="97"/>
        <v>#DIV/0!</v>
      </c>
    </row>
    <row r="752" ht="11.4" hidden="1" customHeight="1" spans="1:24">
      <c r="A752" s="184" t="s">
        <v>2244</v>
      </c>
      <c r="B752" s="184" t="s">
        <v>147</v>
      </c>
      <c r="C752" s="184" t="s">
        <v>2074</v>
      </c>
      <c r="D752" s="185" t="s">
        <v>522</v>
      </c>
      <c r="E752" s="186" t="s">
        <v>906</v>
      </c>
      <c r="F752" s="186" t="s">
        <v>907</v>
      </c>
      <c r="G752" s="186" t="s">
        <v>2075</v>
      </c>
      <c r="H752" s="186" t="s">
        <v>2245</v>
      </c>
      <c r="I752" s="187" t="s">
        <v>2246</v>
      </c>
      <c r="J752" s="187" t="s">
        <v>2247</v>
      </c>
      <c r="K752" s="188">
        <v>3</v>
      </c>
      <c r="L752" s="188">
        <v>3</v>
      </c>
      <c r="M752" s="189" t="s">
        <v>1018</v>
      </c>
      <c r="N752" s="190">
        <v>107.69</v>
      </c>
      <c r="O752" s="190">
        <f t="shared" si="90"/>
        <v>117.38</v>
      </c>
      <c r="P752" s="191">
        <f t="shared" si="91"/>
        <v>323.07</v>
      </c>
      <c r="Q752" s="192">
        <f t="shared" si="92"/>
        <v>323.07</v>
      </c>
      <c r="R752" s="193"/>
      <c r="S752" s="194"/>
      <c r="T752" s="195">
        <f t="shared" si="93"/>
        <v>0</v>
      </c>
      <c r="U752" s="195">
        <f t="shared" si="94"/>
        <v>0</v>
      </c>
      <c r="V752" s="195">
        <f t="shared" si="95"/>
        <v>0</v>
      </c>
      <c r="W752" s="196">
        <f t="shared" si="96"/>
        <v>0</v>
      </c>
      <c r="X752" s="197">
        <f t="shared" si="97"/>
        <v>0</v>
      </c>
    </row>
    <row r="753" ht="11.4" hidden="1" customHeight="1" spans="1:25">
      <c r="A753" s="184" t="s">
        <v>2244</v>
      </c>
      <c r="B753" s="184" t="s">
        <v>147</v>
      </c>
      <c r="C753" s="184" t="s">
        <v>2074</v>
      </c>
      <c r="D753" s="185" t="s">
        <v>522</v>
      </c>
      <c r="E753" s="186" t="s">
        <v>906</v>
      </c>
      <c r="F753" s="186" t="s">
        <v>907</v>
      </c>
      <c r="G753" s="186" t="s">
        <v>2075</v>
      </c>
      <c r="H753" s="186" t="s">
        <v>2245</v>
      </c>
      <c r="I753" s="187" t="s">
        <v>2085</v>
      </c>
      <c r="J753" s="187" t="s">
        <v>2086</v>
      </c>
      <c r="K753" s="188">
        <v>10</v>
      </c>
      <c r="L753" s="188">
        <v>10</v>
      </c>
      <c r="M753" s="189" t="s">
        <v>1018</v>
      </c>
      <c r="N753" s="190">
        <v>40.95</v>
      </c>
      <c r="O753" s="190">
        <f t="shared" si="90"/>
        <v>44.64</v>
      </c>
      <c r="P753" s="191">
        <f t="shared" si="91"/>
        <v>409.5</v>
      </c>
      <c r="Q753" s="192">
        <f t="shared" si="92"/>
        <v>409.5</v>
      </c>
      <c r="R753" s="193"/>
      <c r="S753" s="194"/>
      <c r="T753" s="195">
        <f t="shared" si="93"/>
        <v>0</v>
      </c>
      <c r="U753" s="195">
        <f t="shared" si="94"/>
        <v>0</v>
      </c>
      <c r="V753" s="195">
        <f t="shared" si="95"/>
        <v>0</v>
      </c>
      <c r="W753" s="196">
        <f t="shared" si="96"/>
        <v>0</v>
      </c>
      <c r="X753" s="199">
        <f t="shared" si="97"/>
        <v>0</v>
      </c>
      <c r="Y753" s="201" t="s">
        <v>3259</v>
      </c>
    </row>
    <row r="754" ht="11.4" hidden="1" customHeight="1" spans="1:25">
      <c r="A754" s="184" t="s">
        <v>2244</v>
      </c>
      <c r="B754" s="184" t="s">
        <v>147</v>
      </c>
      <c r="C754" s="184" t="s">
        <v>2074</v>
      </c>
      <c r="D754" s="185" t="s">
        <v>522</v>
      </c>
      <c r="E754" s="186" t="s">
        <v>906</v>
      </c>
      <c r="F754" s="186" t="s">
        <v>907</v>
      </c>
      <c r="G754" s="186" t="s">
        <v>2075</v>
      </c>
      <c r="H754" s="186" t="s">
        <v>2245</v>
      </c>
      <c r="I754" s="187" t="s">
        <v>2089</v>
      </c>
      <c r="J754" s="187" t="s">
        <v>2090</v>
      </c>
      <c r="K754" s="188"/>
      <c r="L754" s="188"/>
      <c r="M754" s="189" t="s">
        <v>1018</v>
      </c>
      <c r="N754" s="190">
        <v>131.25</v>
      </c>
      <c r="O754" s="190">
        <f t="shared" si="90"/>
        <v>143.06</v>
      </c>
      <c r="P754" s="191">
        <f t="shared" si="91"/>
        <v>0</v>
      </c>
      <c r="Q754" s="192">
        <f t="shared" si="92"/>
        <v>0</v>
      </c>
      <c r="R754" s="193"/>
      <c r="S754" s="194"/>
      <c r="T754" s="195">
        <f t="shared" si="93"/>
        <v>0</v>
      </c>
      <c r="U754" s="195">
        <f t="shared" si="94"/>
        <v>0</v>
      </c>
      <c r="V754" s="195">
        <f t="shared" si="95"/>
        <v>0</v>
      </c>
      <c r="W754" s="196" t="e">
        <f t="shared" si="96"/>
        <v>#DIV/0!</v>
      </c>
      <c r="X754" s="197" t="e">
        <f t="shared" si="97"/>
        <v>#DIV/0!</v>
      </c>
    </row>
    <row r="755" ht="11.4" hidden="1" customHeight="1" spans="1:25">
      <c r="A755" s="184" t="s">
        <v>2244</v>
      </c>
      <c r="B755" s="184" t="s">
        <v>147</v>
      </c>
      <c r="C755" s="184" t="s">
        <v>2074</v>
      </c>
      <c r="D755" s="185" t="s">
        <v>522</v>
      </c>
      <c r="E755" s="186" t="s">
        <v>906</v>
      </c>
      <c r="F755" s="186" t="s">
        <v>907</v>
      </c>
      <c r="G755" s="186" t="s">
        <v>2075</v>
      </c>
      <c r="H755" s="186" t="s">
        <v>2245</v>
      </c>
      <c r="I755" s="187" t="s">
        <v>2091</v>
      </c>
      <c r="J755" s="187" t="s">
        <v>2092</v>
      </c>
      <c r="K755" s="188"/>
      <c r="L755" s="188"/>
      <c r="M755" s="189" t="s">
        <v>1018</v>
      </c>
      <c r="N755" s="190">
        <v>222.6</v>
      </c>
      <c r="O755" s="190">
        <f t="shared" si="90"/>
        <v>242.63</v>
      </c>
      <c r="P755" s="191">
        <f t="shared" si="91"/>
        <v>0</v>
      </c>
      <c r="Q755" s="192">
        <f t="shared" si="92"/>
        <v>0</v>
      </c>
      <c r="R755" s="193"/>
      <c r="S755" s="194"/>
      <c r="T755" s="195">
        <f t="shared" si="93"/>
        <v>0</v>
      </c>
      <c r="U755" s="195">
        <f t="shared" si="94"/>
        <v>0</v>
      </c>
      <c r="V755" s="195">
        <f t="shared" si="95"/>
        <v>0</v>
      </c>
      <c r="W755" s="196" t="e">
        <f t="shared" si="96"/>
        <v>#DIV/0!</v>
      </c>
      <c r="X755" s="197" t="e">
        <f t="shared" si="97"/>
        <v>#DIV/0!</v>
      </c>
    </row>
    <row r="756" ht="11.4" hidden="1" customHeight="1" spans="1:25">
      <c r="A756" s="184" t="s">
        <v>2244</v>
      </c>
      <c r="B756" s="184" t="s">
        <v>147</v>
      </c>
      <c r="C756" s="184" t="s">
        <v>2074</v>
      </c>
      <c r="D756" s="185" t="s">
        <v>522</v>
      </c>
      <c r="E756" s="186" t="s">
        <v>906</v>
      </c>
      <c r="F756" s="186" t="s">
        <v>907</v>
      </c>
      <c r="G756" s="186" t="s">
        <v>2075</v>
      </c>
      <c r="H756" s="186" t="s">
        <v>2245</v>
      </c>
      <c r="I756" s="187" t="s">
        <v>2093</v>
      </c>
      <c r="J756" s="187" t="s">
        <v>2094</v>
      </c>
      <c r="K756" s="188"/>
      <c r="L756" s="188"/>
      <c r="M756" s="189" t="s">
        <v>1018</v>
      </c>
      <c r="N756" s="190">
        <v>176.4</v>
      </c>
      <c r="O756" s="190">
        <f t="shared" si="90"/>
        <v>192.28</v>
      </c>
      <c r="P756" s="191">
        <f t="shared" si="91"/>
        <v>0</v>
      </c>
      <c r="Q756" s="192">
        <f t="shared" si="92"/>
        <v>0</v>
      </c>
      <c r="R756" s="193"/>
      <c r="S756" s="194"/>
      <c r="T756" s="195">
        <f t="shared" si="93"/>
        <v>0</v>
      </c>
      <c r="U756" s="195">
        <f t="shared" si="94"/>
        <v>0</v>
      </c>
      <c r="V756" s="195">
        <f t="shared" si="95"/>
        <v>0</v>
      </c>
      <c r="W756" s="196" t="e">
        <f t="shared" si="96"/>
        <v>#DIV/0!</v>
      </c>
      <c r="X756" s="197" t="e">
        <f t="shared" si="97"/>
        <v>#DIV/0!</v>
      </c>
    </row>
    <row r="757" ht="11.4" hidden="1" customHeight="1" spans="1:25">
      <c r="A757" s="184" t="s">
        <v>2244</v>
      </c>
      <c r="B757" s="184" t="s">
        <v>147</v>
      </c>
      <c r="C757" s="184" t="s">
        <v>2074</v>
      </c>
      <c r="D757" s="185" t="s">
        <v>522</v>
      </c>
      <c r="E757" s="186" t="s">
        <v>906</v>
      </c>
      <c r="F757" s="186" t="s">
        <v>907</v>
      </c>
      <c r="G757" s="186" t="s">
        <v>2075</v>
      </c>
      <c r="H757" s="186" t="s">
        <v>2245</v>
      </c>
      <c r="I757" s="187" t="s">
        <v>2095</v>
      </c>
      <c r="J757" s="187" t="s">
        <v>2096</v>
      </c>
      <c r="K757" s="188"/>
      <c r="L757" s="188"/>
      <c r="M757" s="189" t="s">
        <v>1018</v>
      </c>
      <c r="N757" s="190">
        <v>134.4</v>
      </c>
      <c r="O757" s="190">
        <f t="shared" si="90"/>
        <v>146.5</v>
      </c>
      <c r="P757" s="191">
        <f t="shared" si="91"/>
        <v>0</v>
      </c>
      <c r="Q757" s="192">
        <f t="shared" si="92"/>
        <v>0</v>
      </c>
      <c r="R757" s="193"/>
      <c r="S757" s="194"/>
      <c r="T757" s="195">
        <f t="shared" si="93"/>
        <v>0</v>
      </c>
      <c r="U757" s="195">
        <f t="shared" si="94"/>
        <v>0</v>
      </c>
      <c r="V757" s="195">
        <f t="shared" si="95"/>
        <v>0</v>
      </c>
      <c r="W757" s="196" t="e">
        <f t="shared" si="96"/>
        <v>#DIV/0!</v>
      </c>
      <c r="X757" s="197" t="e">
        <f t="shared" si="97"/>
        <v>#DIV/0!</v>
      </c>
    </row>
    <row r="758" ht="11.4" hidden="1" customHeight="1" spans="1:25">
      <c r="A758" s="184" t="s">
        <v>2244</v>
      </c>
      <c r="B758" s="184" t="s">
        <v>147</v>
      </c>
      <c r="C758" s="184" t="s">
        <v>2074</v>
      </c>
      <c r="D758" s="185" t="s">
        <v>522</v>
      </c>
      <c r="E758" s="186" t="s">
        <v>906</v>
      </c>
      <c r="F758" s="186" t="s">
        <v>907</v>
      </c>
      <c r="G758" s="186" t="s">
        <v>2075</v>
      </c>
      <c r="H758" s="186" t="s">
        <v>2245</v>
      </c>
      <c r="I758" s="187" t="s">
        <v>2097</v>
      </c>
      <c r="J758" s="187" t="s">
        <v>2098</v>
      </c>
      <c r="K758" s="188"/>
      <c r="L758" s="188"/>
      <c r="M758" s="189" t="s">
        <v>1018</v>
      </c>
      <c r="N758" s="190">
        <v>152.56</v>
      </c>
      <c r="O758" s="190">
        <f t="shared" si="90"/>
        <v>166.29</v>
      </c>
      <c r="P758" s="191">
        <f t="shared" si="91"/>
        <v>0</v>
      </c>
      <c r="Q758" s="192">
        <f t="shared" si="92"/>
        <v>0</v>
      </c>
      <c r="R758" s="193"/>
      <c r="S758" s="194"/>
      <c r="T758" s="195">
        <f t="shared" si="93"/>
        <v>0</v>
      </c>
      <c r="U758" s="195">
        <f t="shared" si="94"/>
        <v>0</v>
      </c>
      <c r="V758" s="195">
        <f t="shared" si="95"/>
        <v>0</v>
      </c>
      <c r="W758" s="196" t="e">
        <f t="shared" si="96"/>
        <v>#DIV/0!</v>
      </c>
      <c r="X758" s="197" t="e">
        <f t="shared" si="97"/>
        <v>#DIV/0!</v>
      </c>
    </row>
    <row r="759" ht="11.4" hidden="1" customHeight="1" spans="1:25">
      <c r="A759" s="184" t="s">
        <v>2244</v>
      </c>
      <c r="B759" s="184" t="s">
        <v>147</v>
      </c>
      <c r="C759" s="184" t="s">
        <v>2074</v>
      </c>
      <c r="D759" s="185" t="s">
        <v>522</v>
      </c>
      <c r="E759" s="186" t="s">
        <v>906</v>
      </c>
      <c r="F759" s="186" t="s">
        <v>907</v>
      </c>
      <c r="G759" s="186" t="s">
        <v>2075</v>
      </c>
      <c r="H759" s="186" t="s">
        <v>2245</v>
      </c>
      <c r="I759" s="187" t="s">
        <v>2099</v>
      </c>
      <c r="J759" s="187" t="s">
        <v>2100</v>
      </c>
      <c r="K759" s="188">
        <v>2</v>
      </c>
      <c r="L759" s="188">
        <v>2</v>
      </c>
      <c r="M759" s="189" t="s">
        <v>1018</v>
      </c>
      <c r="N759" s="190">
        <v>222.6</v>
      </c>
      <c r="O759" s="190">
        <f t="shared" si="90"/>
        <v>242.63</v>
      </c>
      <c r="P759" s="191">
        <f t="shared" si="91"/>
        <v>445.2</v>
      </c>
      <c r="Q759" s="192">
        <f t="shared" si="92"/>
        <v>445.2</v>
      </c>
      <c r="R759" s="193"/>
      <c r="S759" s="194"/>
      <c r="T759" s="195">
        <f t="shared" si="93"/>
        <v>0</v>
      </c>
      <c r="U759" s="195">
        <f t="shared" si="94"/>
        <v>0</v>
      </c>
      <c r="V759" s="195">
        <f t="shared" si="95"/>
        <v>0</v>
      </c>
      <c r="W759" s="196">
        <f t="shared" si="96"/>
        <v>0</v>
      </c>
      <c r="X759" s="197">
        <f t="shared" si="97"/>
        <v>0</v>
      </c>
    </row>
    <row r="760" ht="11.4" hidden="1" customHeight="1" spans="1:25">
      <c r="A760" s="184" t="s">
        <v>2244</v>
      </c>
      <c r="B760" s="184" t="s">
        <v>147</v>
      </c>
      <c r="C760" s="184" t="s">
        <v>2074</v>
      </c>
      <c r="D760" s="185" t="s">
        <v>522</v>
      </c>
      <c r="E760" s="186" t="s">
        <v>906</v>
      </c>
      <c r="F760" s="186" t="s">
        <v>907</v>
      </c>
      <c r="G760" s="186" t="s">
        <v>2075</v>
      </c>
      <c r="H760" s="186" t="s">
        <v>2245</v>
      </c>
      <c r="I760" s="187" t="s">
        <v>2101</v>
      </c>
      <c r="J760" s="187" t="s">
        <v>2102</v>
      </c>
      <c r="K760" s="188"/>
      <c r="L760" s="188"/>
      <c r="M760" s="189" t="s">
        <v>1018</v>
      </c>
      <c r="N760" s="190">
        <v>86.1</v>
      </c>
      <c r="O760" s="190">
        <f t="shared" si="90"/>
        <v>93.85</v>
      </c>
      <c r="P760" s="191">
        <f t="shared" si="91"/>
        <v>0</v>
      </c>
      <c r="Q760" s="192">
        <f t="shared" si="92"/>
        <v>0</v>
      </c>
      <c r="R760" s="193"/>
      <c r="S760" s="194"/>
      <c r="T760" s="195">
        <f t="shared" si="93"/>
        <v>0</v>
      </c>
      <c r="U760" s="195">
        <f t="shared" si="94"/>
        <v>0</v>
      </c>
      <c r="V760" s="195">
        <f t="shared" si="95"/>
        <v>0</v>
      </c>
      <c r="W760" s="196" t="e">
        <f t="shared" si="96"/>
        <v>#DIV/0!</v>
      </c>
      <c r="X760" s="197" t="e">
        <f t="shared" si="97"/>
        <v>#DIV/0!</v>
      </c>
    </row>
    <row r="761" ht="11.4" hidden="1" customHeight="1" spans="1:25">
      <c r="A761" s="184" t="s">
        <v>2244</v>
      </c>
      <c r="B761" s="184" t="s">
        <v>147</v>
      </c>
      <c r="C761" s="184" t="s">
        <v>2074</v>
      </c>
      <c r="D761" s="185" t="s">
        <v>522</v>
      </c>
      <c r="E761" s="186" t="s">
        <v>906</v>
      </c>
      <c r="F761" s="186" t="s">
        <v>907</v>
      </c>
      <c r="G761" s="186" t="s">
        <v>2075</v>
      </c>
      <c r="H761" s="186" t="s">
        <v>2245</v>
      </c>
      <c r="I761" s="187" t="s">
        <v>2248</v>
      </c>
      <c r="J761" s="187" t="s">
        <v>2249</v>
      </c>
      <c r="K761" s="188">
        <v>11</v>
      </c>
      <c r="L761" s="188">
        <v>11</v>
      </c>
      <c r="M761" s="189" t="s">
        <v>1018</v>
      </c>
      <c r="N761" s="190">
        <v>190.05</v>
      </c>
      <c r="O761" s="190">
        <f t="shared" si="90"/>
        <v>207.15</v>
      </c>
      <c r="P761" s="191">
        <f t="shared" si="91"/>
        <v>2090.55</v>
      </c>
      <c r="Q761" s="192">
        <f t="shared" si="92"/>
        <v>2090.55</v>
      </c>
      <c r="R761" s="193"/>
      <c r="S761" s="194"/>
      <c r="T761" s="195">
        <f t="shared" si="93"/>
        <v>0</v>
      </c>
      <c r="U761" s="195">
        <f t="shared" si="94"/>
        <v>0</v>
      </c>
      <c r="V761" s="195">
        <f t="shared" si="95"/>
        <v>0</v>
      </c>
      <c r="W761" s="196">
        <f t="shared" si="96"/>
        <v>0</v>
      </c>
      <c r="X761" s="197">
        <f t="shared" si="97"/>
        <v>0</v>
      </c>
    </row>
    <row r="762" ht="11.4" hidden="1" customHeight="1" spans="1:25">
      <c r="A762" s="184" t="s">
        <v>2244</v>
      </c>
      <c r="B762" s="184" t="s">
        <v>147</v>
      </c>
      <c r="C762" s="184" t="s">
        <v>2074</v>
      </c>
      <c r="D762" s="185" t="s">
        <v>522</v>
      </c>
      <c r="E762" s="186" t="s">
        <v>906</v>
      </c>
      <c r="F762" s="186" t="s">
        <v>907</v>
      </c>
      <c r="G762" s="186" t="s">
        <v>2075</v>
      </c>
      <c r="H762" s="186" t="s">
        <v>2245</v>
      </c>
      <c r="I762" s="187" t="s">
        <v>2250</v>
      </c>
      <c r="J762" s="187" t="s">
        <v>2251</v>
      </c>
      <c r="K762" s="188"/>
      <c r="L762" s="188"/>
      <c r="M762" s="189" t="s">
        <v>1018</v>
      </c>
      <c r="N762" s="190">
        <v>190.05</v>
      </c>
      <c r="O762" s="190">
        <f t="shared" si="90"/>
        <v>207.15</v>
      </c>
      <c r="P762" s="191">
        <f t="shared" si="91"/>
        <v>0</v>
      </c>
      <c r="Q762" s="192">
        <f t="shared" si="92"/>
        <v>0</v>
      </c>
      <c r="R762" s="193"/>
      <c r="S762" s="194"/>
      <c r="T762" s="195">
        <f t="shared" si="93"/>
        <v>0</v>
      </c>
      <c r="U762" s="195">
        <f t="shared" si="94"/>
        <v>0</v>
      </c>
      <c r="V762" s="195">
        <f t="shared" si="95"/>
        <v>0</v>
      </c>
      <c r="W762" s="196" t="e">
        <f t="shared" si="96"/>
        <v>#DIV/0!</v>
      </c>
      <c r="X762" s="197" t="e">
        <f t="shared" si="97"/>
        <v>#DIV/0!</v>
      </c>
    </row>
    <row r="763" ht="11.4" hidden="1" customHeight="1" spans="1:25">
      <c r="A763" s="184" t="s">
        <v>2244</v>
      </c>
      <c r="B763" s="184" t="s">
        <v>147</v>
      </c>
      <c r="C763" s="184" t="s">
        <v>2074</v>
      </c>
      <c r="D763" s="185" t="s">
        <v>522</v>
      </c>
      <c r="E763" s="186" t="s">
        <v>906</v>
      </c>
      <c r="F763" s="186" t="s">
        <v>907</v>
      </c>
      <c r="G763" s="186" t="s">
        <v>2075</v>
      </c>
      <c r="H763" s="186" t="s">
        <v>2245</v>
      </c>
      <c r="I763" s="187" t="s">
        <v>2252</v>
      </c>
      <c r="J763" s="187" t="s">
        <v>2253</v>
      </c>
      <c r="K763" s="188">
        <v>1</v>
      </c>
      <c r="L763" s="188">
        <v>1</v>
      </c>
      <c r="M763" s="189" t="s">
        <v>1018</v>
      </c>
      <c r="N763" s="190">
        <v>194.25</v>
      </c>
      <c r="O763" s="190">
        <f t="shared" si="90"/>
        <v>211.73</v>
      </c>
      <c r="P763" s="191">
        <f t="shared" si="91"/>
        <v>194.25</v>
      </c>
      <c r="Q763" s="192">
        <f t="shared" si="92"/>
        <v>194.25</v>
      </c>
      <c r="R763" s="193"/>
      <c r="S763" s="194"/>
      <c r="T763" s="195">
        <f t="shared" si="93"/>
        <v>0</v>
      </c>
      <c r="U763" s="195">
        <f t="shared" si="94"/>
        <v>0</v>
      </c>
      <c r="V763" s="195">
        <f t="shared" si="95"/>
        <v>0</v>
      </c>
      <c r="W763" s="196">
        <f t="shared" si="96"/>
        <v>0</v>
      </c>
      <c r="X763" s="197">
        <f t="shared" si="97"/>
        <v>0</v>
      </c>
    </row>
    <row r="764" ht="11.4" hidden="1" customHeight="1" spans="1:25">
      <c r="A764" s="184" t="s">
        <v>2244</v>
      </c>
      <c r="B764" s="184" t="s">
        <v>147</v>
      </c>
      <c r="C764" s="184" t="s">
        <v>2074</v>
      </c>
      <c r="D764" s="185" t="s">
        <v>522</v>
      </c>
      <c r="E764" s="186" t="s">
        <v>906</v>
      </c>
      <c r="F764" s="186" t="s">
        <v>907</v>
      </c>
      <c r="G764" s="186" t="s">
        <v>2075</v>
      </c>
      <c r="H764" s="186" t="s">
        <v>2245</v>
      </c>
      <c r="I764" s="187" t="s">
        <v>2131</v>
      </c>
      <c r="J764" s="187" t="s">
        <v>2132</v>
      </c>
      <c r="K764" s="188"/>
      <c r="L764" s="188"/>
      <c r="M764" s="189" t="s">
        <v>1018</v>
      </c>
      <c r="N764" s="190">
        <v>176.4</v>
      </c>
      <c r="O764" s="190">
        <f t="shared" si="90"/>
        <v>192.28</v>
      </c>
      <c r="P764" s="191">
        <f t="shared" si="91"/>
        <v>0</v>
      </c>
      <c r="Q764" s="192">
        <f t="shared" si="92"/>
        <v>0</v>
      </c>
      <c r="R764" s="193"/>
      <c r="S764" s="194"/>
      <c r="T764" s="195">
        <f t="shared" si="93"/>
        <v>0</v>
      </c>
      <c r="U764" s="195">
        <f t="shared" si="94"/>
        <v>0</v>
      </c>
      <c r="V764" s="195">
        <f t="shared" si="95"/>
        <v>0</v>
      </c>
      <c r="W764" s="196" t="e">
        <f t="shared" si="96"/>
        <v>#DIV/0!</v>
      </c>
      <c r="X764" s="197" t="e">
        <f t="shared" si="97"/>
        <v>#DIV/0!</v>
      </c>
    </row>
    <row r="765" ht="11.4" hidden="1" customHeight="1" spans="1:25">
      <c r="A765" s="184" t="s">
        <v>2244</v>
      </c>
      <c r="B765" s="184" t="s">
        <v>147</v>
      </c>
      <c r="C765" s="184" t="s">
        <v>2074</v>
      </c>
      <c r="D765" s="185" t="s">
        <v>522</v>
      </c>
      <c r="E765" s="186" t="s">
        <v>906</v>
      </c>
      <c r="F765" s="186" t="s">
        <v>907</v>
      </c>
      <c r="G765" s="186" t="s">
        <v>2075</v>
      </c>
      <c r="H765" s="186" t="s">
        <v>2245</v>
      </c>
      <c r="I765" s="187" t="s">
        <v>2142</v>
      </c>
      <c r="J765" s="187" t="s">
        <v>2143</v>
      </c>
      <c r="K765" s="188"/>
      <c r="L765" s="188"/>
      <c r="M765" s="189" t="s">
        <v>1018</v>
      </c>
      <c r="N765" s="190">
        <v>92.4</v>
      </c>
      <c r="O765" s="190">
        <f t="shared" si="90"/>
        <v>100.72</v>
      </c>
      <c r="P765" s="191">
        <f t="shared" si="91"/>
        <v>0</v>
      </c>
      <c r="Q765" s="192">
        <f t="shared" si="92"/>
        <v>0</v>
      </c>
      <c r="R765" s="193"/>
      <c r="S765" s="194"/>
      <c r="T765" s="195">
        <f t="shared" si="93"/>
        <v>0</v>
      </c>
      <c r="U765" s="195">
        <f t="shared" si="94"/>
        <v>0</v>
      </c>
      <c r="V765" s="195">
        <f t="shared" si="95"/>
        <v>0</v>
      </c>
      <c r="W765" s="196" t="e">
        <f t="shared" si="96"/>
        <v>#DIV/0!</v>
      </c>
      <c r="X765" s="197" t="e">
        <f t="shared" si="97"/>
        <v>#DIV/0!</v>
      </c>
    </row>
    <row r="766" ht="11.4" hidden="1" customHeight="1" spans="1:25">
      <c r="A766" s="184" t="s">
        <v>2244</v>
      </c>
      <c r="B766" s="184" t="s">
        <v>147</v>
      </c>
      <c r="C766" s="184" t="s">
        <v>2074</v>
      </c>
      <c r="D766" s="185" t="s">
        <v>522</v>
      </c>
      <c r="E766" s="186" t="s">
        <v>906</v>
      </c>
      <c r="F766" s="186" t="s">
        <v>907</v>
      </c>
      <c r="G766" s="186" t="s">
        <v>2075</v>
      </c>
      <c r="H766" s="186" t="s">
        <v>2245</v>
      </c>
      <c r="I766" s="187" t="s">
        <v>2144</v>
      </c>
      <c r="J766" s="187" t="s">
        <v>2145</v>
      </c>
      <c r="K766" s="188"/>
      <c r="L766" s="188"/>
      <c r="M766" s="189" t="s">
        <v>1018</v>
      </c>
      <c r="N766" s="190">
        <v>111.3</v>
      </c>
      <c r="O766" s="190">
        <f t="shared" si="90"/>
        <v>121.32</v>
      </c>
      <c r="P766" s="191">
        <f t="shared" si="91"/>
        <v>0</v>
      </c>
      <c r="Q766" s="192">
        <f t="shared" si="92"/>
        <v>0</v>
      </c>
      <c r="R766" s="193"/>
      <c r="S766" s="194"/>
      <c r="T766" s="195">
        <f t="shared" si="93"/>
        <v>0</v>
      </c>
      <c r="U766" s="195">
        <f t="shared" si="94"/>
        <v>0</v>
      </c>
      <c r="V766" s="195">
        <f t="shared" si="95"/>
        <v>0</v>
      </c>
      <c r="W766" s="196" t="e">
        <f t="shared" si="96"/>
        <v>#DIV/0!</v>
      </c>
      <c r="X766" s="197" t="e">
        <f t="shared" si="97"/>
        <v>#DIV/0!</v>
      </c>
    </row>
    <row r="767" ht="11.4" hidden="1" customHeight="1" spans="1:25">
      <c r="A767" s="184" t="s">
        <v>2244</v>
      </c>
      <c r="B767" s="184" t="s">
        <v>147</v>
      </c>
      <c r="C767" s="184" t="s">
        <v>2074</v>
      </c>
      <c r="D767" s="185" t="s">
        <v>522</v>
      </c>
      <c r="E767" s="186" t="s">
        <v>906</v>
      </c>
      <c r="F767" s="186" t="s">
        <v>907</v>
      </c>
      <c r="G767" s="186" t="s">
        <v>2075</v>
      </c>
      <c r="H767" s="186" t="s">
        <v>2245</v>
      </c>
      <c r="I767" s="187" t="s">
        <v>2146</v>
      </c>
      <c r="J767" s="187" t="s">
        <v>2147</v>
      </c>
      <c r="K767" s="188"/>
      <c r="L767" s="188"/>
      <c r="M767" s="189" t="s">
        <v>1018</v>
      </c>
      <c r="N767" s="190">
        <v>181.65</v>
      </c>
      <c r="O767" s="190">
        <f t="shared" si="90"/>
        <v>198</v>
      </c>
      <c r="P767" s="191">
        <f t="shared" si="91"/>
        <v>0</v>
      </c>
      <c r="Q767" s="192">
        <f t="shared" si="92"/>
        <v>0</v>
      </c>
      <c r="R767" s="193"/>
      <c r="S767" s="194"/>
      <c r="T767" s="195">
        <f t="shared" si="93"/>
        <v>0</v>
      </c>
      <c r="U767" s="195">
        <f t="shared" si="94"/>
        <v>0</v>
      </c>
      <c r="V767" s="195">
        <f t="shared" si="95"/>
        <v>0</v>
      </c>
      <c r="W767" s="196" t="e">
        <f t="shared" si="96"/>
        <v>#DIV/0!</v>
      </c>
      <c r="X767" s="197" t="e">
        <f t="shared" si="97"/>
        <v>#DIV/0!</v>
      </c>
    </row>
    <row r="768" ht="11.4" hidden="1" customHeight="1" spans="1:25">
      <c r="A768" s="184" t="s">
        <v>2244</v>
      </c>
      <c r="B768" s="184" t="s">
        <v>147</v>
      </c>
      <c r="C768" s="184" t="s">
        <v>2074</v>
      </c>
      <c r="D768" s="185" t="s">
        <v>522</v>
      </c>
      <c r="E768" s="186" t="s">
        <v>906</v>
      </c>
      <c r="F768" s="186" t="s">
        <v>907</v>
      </c>
      <c r="G768" s="186" t="s">
        <v>2075</v>
      </c>
      <c r="H768" s="186" t="s">
        <v>2245</v>
      </c>
      <c r="I768" s="187" t="s">
        <v>2148</v>
      </c>
      <c r="J768" s="187" t="s">
        <v>2149</v>
      </c>
      <c r="K768" s="188"/>
      <c r="L768" s="188"/>
      <c r="M768" s="189" t="s">
        <v>1018</v>
      </c>
      <c r="N768" s="190">
        <v>198.45</v>
      </c>
      <c r="O768" s="190">
        <f t="shared" si="90"/>
        <v>216.31</v>
      </c>
      <c r="P768" s="191">
        <f t="shared" si="91"/>
        <v>0</v>
      </c>
      <c r="Q768" s="192">
        <f t="shared" si="92"/>
        <v>0</v>
      </c>
      <c r="R768" s="193"/>
      <c r="S768" s="194"/>
      <c r="T768" s="195">
        <f t="shared" si="93"/>
        <v>0</v>
      </c>
      <c r="U768" s="195">
        <f t="shared" si="94"/>
        <v>0</v>
      </c>
      <c r="V768" s="195">
        <f t="shared" si="95"/>
        <v>0</v>
      </c>
      <c r="W768" s="196" t="e">
        <f t="shared" si="96"/>
        <v>#DIV/0!</v>
      </c>
      <c r="X768" s="197" t="e">
        <f t="shared" si="97"/>
        <v>#DIV/0!</v>
      </c>
    </row>
    <row r="769" ht="11.4" hidden="1" customHeight="1" spans="1:24">
      <c r="A769" s="184" t="s">
        <v>2244</v>
      </c>
      <c r="B769" s="184" t="s">
        <v>147</v>
      </c>
      <c r="C769" s="184" t="s">
        <v>2074</v>
      </c>
      <c r="D769" s="185" t="s">
        <v>522</v>
      </c>
      <c r="E769" s="186" t="s">
        <v>906</v>
      </c>
      <c r="F769" s="186" t="s">
        <v>907</v>
      </c>
      <c r="G769" s="186" t="s">
        <v>2075</v>
      </c>
      <c r="H769" s="186" t="s">
        <v>2245</v>
      </c>
      <c r="I769" s="187" t="s">
        <v>2150</v>
      </c>
      <c r="J769" s="187" t="s">
        <v>2151</v>
      </c>
      <c r="K769" s="188"/>
      <c r="L769" s="188"/>
      <c r="M769" s="189" t="s">
        <v>1018</v>
      </c>
      <c r="N769" s="190">
        <v>113.4</v>
      </c>
      <c r="O769" s="190">
        <f t="shared" si="90"/>
        <v>123.61</v>
      </c>
      <c r="P769" s="191">
        <f t="shared" si="91"/>
        <v>0</v>
      </c>
      <c r="Q769" s="192">
        <f t="shared" si="92"/>
        <v>0</v>
      </c>
      <c r="R769" s="193"/>
      <c r="S769" s="194"/>
      <c r="T769" s="195">
        <f t="shared" si="93"/>
        <v>0</v>
      </c>
      <c r="U769" s="195">
        <f t="shared" si="94"/>
        <v>0</v>
      </c>
      <c r="V769" s="195">
        <f t="shared" si="95"/>
        <v>0</v>
      </c>
      <c r="W769" s="196" t="e">
        <f t="shared" si="96"/>
        <v>#DIV/0!</v>
      </c>
      <c r="X769" s="197" t="e">
        <f t="shared" si="97"/>
        <v>#DIV/0!</v>
      </c>
    </row>
    <row r="770" ht="11.4" hidden="1" customHeight="1" spans="1:24">
      <c r="A770" s="184" t="s">
        <v>2244</v>
      </c>
      <c r="B770" s="184" t="s">
        <v>147</v>
      </c>
      <c r="C770" s="184" t="s">
        <v>2074</v>
      </c>
      <c r="D770" s="185" t="s">
        <v>522</v>
      </c>
      <c r="E770" s="186" t="s">
        <v>906</v>
      </c>
      <c r="F770" s="186" t="s">
        <v>907</v>
      </c>
      <c r="G770" s="186" t="s">
        <v>2075</v>
      </c>
      <c r="H770" s="186" t="s">
        <v>2245</v>
      </c>
      <c r="I770" s="187" t="s">
        <v>2152</v>
      </c>
      <c r="J770" s="187" t="s">
        <v>2153</v>
      </c>
      <c r="K770" s="188"/>
      <c r="L770" s="188"/>
      <c r="M770" s="189" t="s">
        <v>1018</v>
      </c>
      <c r="N770" s="190">
        <v>152.56</v>
      </c>
      <c r="O770" s="190">
        <f t="shared" si="90"/>
        <v>166.29</v>
      </c>
      <c r="P770" s="191">
        <f t="shared" si="91"/>
        <v>0</v>
      </c>
      <c r="Q770" s="192">
        <f t="shared" si="92"/>
        <v>0</v>
      </c>
      <c r="R770" s="193"/>
      <c r="S770" s="194"/>
      <c r="T770" s="195">
        <f t="shared" si="93"/>
        <v>0</v>
      </c>
      <c r="U770" s="195">
        <f t="shared" si="94"/>
        <v>0</v>
      </c>
      <c r="V770" s="195">
        <f t="shared" si="95"/>
        <v>0</v>
      </c>
      <c r="W770" s="196" t="e">
        <f t="shared" si="96"/>
        <v>#DIV/0!</v>
      </c>
      <c r="X770" s="197" t="e">
        <f t="shared" si="97"/>
        <v>#DIV/0!</v>
      </c>
    </row>
    <row r="771" ht="11.4" hidden="1" customHeight="1" spans="1:24">
      <c r="A771" s="184" t="s">
        <v>2244</v>
      </c>
      <c r="B771" s="184" t="s">
        <v>147</v>
      </c>
      <c r="C771" s="184" t="s">
        <v>2074</v>
      </c>
      <c r="D771" s="185" t="s">
        <v>522</v>
      </c>
      <c r="E771" s="186" t="s">
        <v>906</v>
      </c>
      <c r="F771" s="186" t="s">
        <v>907</v>
      </c>
      <c r="G771" s="186" t="s">
        <v>2075</v>
      </c>
      <c r="H771" s="186" t="s">
        <v>2245</v>
      </c>
      <c r="I771" s="187" t="s">
        <v>2154</v>
      </c>
      <c r="J771" s="187" t="s">
        <v>2155</v>
      </c>
      <c r="K771" s="188"/>
      <c r="L771" s="188"/>
      <c r="M771" s="189" t="s">
        <v>1018</v>
      </c>
      <c r="N771" s="190">
        <v>184.8</v>
      </c>
      <c r="O771" s="190">
        <f t="shared" si="90"/>
        <v>201.43</v>
      </c>
      <c r="P771" s="191">
        <f t="shared" si="91"/>
        <v>0</v>
      </c>
      <c r="Q771" s="192">
        <f t="shared" si="92"/>
        <v>0</v>
      </c>
      <c r="R771" s="193"/>
      <c r="S771" s="194"/>
      <c r="T771" s="195">
        <f t="shared" si="93"/>
        <v>0</v>
      </c>
      <c r="U771" s="195">
        <f t="shared" si="94"/>
        <v>0</v>
      </c>
      <c r="V771" s="195">
        <f t="shared" si="95"/>
        <v>0</v>
      </c>
      <c r="W771" s="196" t="e">
        <f t="shared" si="96"/>
        <v>#DIV/0!</v>
      </c>
      <c r="X771" s="197" t="e">
        <f t="shared" si="97"/>
        <v>#DIV/0!</v>
      </c>
    </row>
    <row r="772" ht="11.4" hidden="1" customHeight="1" spans="1:24">
      <c r="A772" s="184" t="s">
        <v>2244</v>
      </c>
      <c r="B772" s="184" t="s">
        <v>147</v>
      </c>
      <c r="C772" s="184" t="s">
        <v>2074</v>
      </c>
      <c r="D772" s="185" t="s">
        <v>522</v>
      </c>
      <c r="E772" s="186" t="s">
        <v>906</v>
      </c>
      <c r="F772" s="186" t="s">
        <v>907</v>
      </c>
      <c r="G772" s="186" t="s">
        <v>2075</v>
      </c>
      <c r="H772" s="186" t="s">
        <v>2245</v>
      </c>
      <c r="I772" s="187" t="s">
        <v>2156</v>
      </c>
      <c r="J772" s="187" t="s">
        <v>2157</v>
      </c>
      <c r="K772" s="188"/>
      <c r="L772" s="188"/>
      <c r="M772" s="189" t="s">
        <v>1018</v>
      </c>
      <c r="N772" s="190">
        <v>89.25</v>
      </c>
      <c r="O772" s="190">
        <f t="shared" si="90"/>
        <v>97.28</v>
      </c>
      <c r="P772" s="191">
        <f t="shared" si="91"/>
        <v>0</v>
      </c>
      <c r="Q772" s="192">
        <f t="shared" si="92"/>
        <v>0</v>
      </c>
      <c r="R772" s="193"/>
      <c r="S772" s="194"/>
      <c r="T772" s="195">
        <f t="shared" si="93"/>
        <v>0</v>
      </c>
      <c r="U772" s="195">
        <f t="shared" si="94"/>
        <v>0</v>
      </c>
      <c r="V772" s="195">
        <f t="shared" si="95"/>
        <v>0</v>
      </c>
      <c r="W772" s="196" t="e">
        <f t="shared" si="96"/>
        <v>#DIV/0!</v>
      </c>
      <c r="X772" s="197" t="e">
        <f t="shared" si="97"/>
        <v>#DIV/0!</v>
      </c>
    </row>
    <row r="773" ht="11.4" hidden="1" customHeight="1" spans="1:24">
      <c r="A773" s="184" t="s">
        <v>2244</v>
      </c>
      <c r="B773" s="184" t="s">
        <v>147</v>
      </c>
      <c r="C773" s="184" t="s">
        <v>2074</v>
      </c>
      <c r="D773" s="185" t="s">
        <v>522</v>
      </c>
      <c r="E773" s="186" t="s">
        <v>906</v>
      </c>
      <c r="F773" s="186" t="s">
        <v>907</v>
      </c>
      <c r="G773" s="186" t="s">
        <v>2075</v>
      </c>
      <c r="H773" s="186" t="s">
        <v>2245</v>
      </c>
      <c r="I773" s="187" t="s">
        <v>2254</v>
      </c>
      <c r="J773" s="187" t="s">
        <v>2255</v>
      </c>
      <c r="K773" s="188"/>
      <c r="L773" s="188"/>
      <c r="M773" s="189" t="s">
        <v>1018</v>
      </c>
      <c r="N773" s="190">
        <v>170.1</v>
      </c>
      <c r="O773" s="190">
        <f t="shared" si="90"/>
        <v>185.41</v>
      </c>
      <c r="P773" s="191">
        <f t="shared" si="91"/>
        <v>0</v>
      </c>
      <c r="Q773" s="192">
        <f t="shared" si="92"/>
        <v>0</v>
      </c>
      <c r="R773" s="193"/>
      <c r="S773" s="194"/>
      <c r="T773" s="195">
        <f t="shared" si="93"/>
        <v>0</v>
      </c>
      <c r="U773" s="195">
        <f t="shared" si="94"/>
        <v>0</v>
      </c>
      <c r="V773" s="195">
        <f t="shared" si="95"/>
        <v>0</v>
      </c>
      <c r="W773" s="196" t="e">
        <f t="shared" si="96"/>
        <v>#DIV/0!</v>
      </c>
      <c r="X773" s="197" t="e">
        <f t="shared" si="97"/>
        <v>#DIV/0!</v>
      </c>
    </row>
    <row r="774" ht="11.4" hidden="1" customHeight="1" spans="1:24">
      <c r="A774" s="184" t="s">
        <v>2244</v>
      </c>
      <c r="B774" s="184" t="s">
        <v>147</v>
      </c>
      <c r="C774" s="184" t="s">
        <v>2074</v>
      </c>
      <c r="D774" s="185" t="s">
        <v>522</v>
      </c>
      <c r="E774" s="186" t="s">
        <v>906</v>
      </c>
      <c r="F774" s="186" t="s">
        <v>907</v>
      </c>
      <c r="G774" s="186" t="s">
        <v>2075</v>
      </c>
      <c r="H774" s="186" t="s">
        <v>2245</v>
      </c>
      <c r="I774" s="187" t="s">
        <v>2256</v>
      </c>
      <c r="J774" s="187" t="s">
        <v>2257</v>
      </c>
      <c r="K774" s="188"/>
      <c r="L774" s="188"/>
      <c r="M774" s="189" t="s">
        <v>1018</v>
      </c>
      <c r="N774" s="190">
        <v>172.2</v>
      </c>
      <c r="O774" s="190">
        <f t="shared" si="90"/>
        <v>187.7</v>
      </c>
      <c r="P774" s="191">
        <f t="shared" si="91"/>
        <v>0</v>
      </c>
      <c r="Q774" s="192">
        <f t="shared" si="92"/>
        <v>0</v>
      </c>
      <c r="R774" s="193"/>
      <c r="S774" s="194"/>
      <c r="T774" s="195">
        <f t="shared" si="93"/>
        <v>0</v>
      </c>
      <c r="U774" s="195">
        <f t="shared" si="94"/>
        <v>0</v>
      </c>
      <c r="V774" s="195">
        <f t="shared" si="95"/>
        <v>0</v>
      </c>
      <c r="W774" s="196" t="e">
        <f t="shared" si="96"/>
        <v>#DIV/0!</v>
      </c>
      <c r="X774" s="197" t="e">
        <f t="shared" si="97"/>
        <v>#DIV/0!</v>
      </c>
    </row>
    <row r="775" ht="11.4" hidden="1" customHeight="1" spans="1:24">
      <c r="A775" s="184" t="s">
        <v>2244</v>
      </c>
      <c r="B775" s="184" t="s">
        <v>147</v>
      </c>
      <c r="C775" s="184" t="s">
        <v>2074</v>
      </c>
      <c r="D775" s="185" t="s">
        <v>522</v>
      </c>
      <c r="E775" s="186" t="s">
        <v>906</v>
      </c>
      <c r="F775" s="186" t="s">
        <v>907</v>
      </c>
      <c r="G775" s="186" t="s">
        <v>2075</v>
      </c>
      <c r="H775" s="186" t="s">
        <v>2245</v>
      </c>
      <c r="I775" s="187" t="s">
        <v>2186</v>
      </c>
      <c r="J775" s="187" t="s">
        <v>2187</v>
      </c>
      <c r="K775" s="188"/>
      <c r="L775" s="188"/>
      <c r="M775" s="189" t="s">
        <v>1018</v>
      </c>
      <c r="N775" s="190">
        <v>141.75</v>
      </c>
      <c r="O775" s="190">
        <f t="shared" si="90"/>
        <v>154.51</v>
      </c>
      <c r="P775" s="191">
        <f t="shared" si="91"/>
        <v>0</v>
      </c>
      <c r="Q775" s="192">
        <f t="shared" si="92"/>
        <v>0</v>
      </c>
      <c r="R775" s="193"/>
      <c r="S775" s="194"/>
      <c r="T775" s="195">
        <f t="shared" si="93"/>
        <v>0</v>
      </c>
      <c r="U775" s="195">
        <f t="shared" si="94"/>
        <v>0</v>
      </c>
      <c r="V775" s="195">
        <f t="shared" si="95"/>
        <v>0</v>
      </c>
      <c r="W775" s="196" t="e">
        <f t="shared" si="96"/>
        <v>#DIV/0!</v>
      </c>
      <c r="X775" s="197" t="e">
        <f t="shared" si="97"/>
        <v>#DIV/0!</v>
      </c>
    </row>
    <row r="776" ht="11.4" hidden="1" customHeight="1" spans="1:24">
      <c r="A776" s="184" t="s">
        <v>2244</v>
      </c>
      <c r="B776" s="184" t="s">
        <v>147</v>
      </c>
      <c r="C776" s="184" t="s">
        <v>2074</v>
      </c>
      <c r="D776" s="185" t="s">
        <v>522</v>
      </c>
      <c r="E776" s="186" t="s">
        <v>906</v>
      </c>
      <c r="F776" s="186" t="s">
        <v>907</v>
      </c>
      <c r="G776" s="186" t="s">
        <v>2075</v>
      </c>
      <c r="H776" s="186" t="s">
        <v>2245</v>
      </c>
      <c r="I776" s="187" t="s">
        <v>2196</v>
      </c>
      <c r="J776" s="187" t="s">
        <v>2197</v>
      </c>
      <c r="K776" s="188"/>
      <c r="L776" s="188"/>
      <c r="M776" s="189" t="s">
        <v>1018</v>
      </c>
      <c r="N776" s="190">
        <v>68.25</v>
      </c>
      <c r="O776" s="190">
        <f t="shared" si="90"/>
        <v>74.39</v>
      </c>
      <c r="P776" s="191">
        <f t="shared" si="91"/>
        <v>0</v>
      </c>
      <c r="Q776" s="192">
        <f t="shared" si="92"/>
        <v>0</v>
      </c>
      <c r="R776" s="193"/>
      <c r="S776" s="194"/>
      <c r="T776" s="195">
        <f t="shared" si="93"/>
        <v>0</v>
      </c>
      <c r="U776" s="195">
        <f t="shared" si="94"/>
        <v>0</v>
      </c>
      <c r="V776" s="195">
        <f t="shared" si="95"/>
        <v>0</v>
      </c>
      <c r="W776" s="196" t="e">
        <f t="shared" si="96"/>
        <v>#DIV/0!</v>
      </c>
      <c r="X776" s="197" t="e">
        <f t="shared" si="97"/>
        <v>#DIV/0!</v>
      </c>
    </row>
    <row r="777" ht="11.4" hidden="1" customHeight="1" spans="1:24">
      <c r="A777" s="184" t="s">
        <v>2244</v>
      </c>
      <c r="B777" s="184" t="s">
        <v>147</v>
      </c>
      <c r="C777" s="184" t="s">
        <v>2074</v>
      </c>
      <c r="D777" s="185" t="s">
        <v>522</v>
      </c>
      <c r="E777" s="186" t="s">
        <v>906</v>
      </c>
      <c r="F777" s="186" t="s">
        <v>907</v>
      </c>
      <c r="G777" s="186" t="s">
        <v>2075</v>
      </c>
      <c r="H777" s="186" t="s">
        <v>2245</v>
      </c>
      <c r="I777" s="187" t="s">
        <v>2198</v>
      </c>
      <c r="J777" s="187" t="s">
        <v>2199</v>
      </c>
      <c r="K777" s="188"/>
      <c r="L777" s="188"/>
      <c r="M777" s="189" t="s">
        <v>1018</v>
      </c>
      <c r="N777" s="190">
        <v>110.25</v>
      </c>
      <c r="O777" s="190">
        <f t="shared" si="90"/>
        <v>120.17</v>
      </c>
      <c r="P777" s="191">
        <f t="shared" si="91"/>
        <v>0</v>
      </c>
      <c r="Q777" s="192">
        <f t="shared" si="92"/>
        <v>0</v>
      </c>
      <c r="R777" s="193"/>
      <c r="S777" s="194"/>
      <c r="T777" s="195">
        <f t="shared" si="93"/>
        <v>0</v>
      </c>
      <c r="U777" s="195">
        <f t="shared" si="94"/>
        <v>0</v>
      </c>
      <c r="V777" s="195">
        <f t="shared" si="95"/>
        <v>0</v>
      </c>
      <c r="W777" s="196" t="e">
        <f t="shared" si="96"/>
        <v>#DIV/0!</v>
      </c>
      <c r="X777" s="197" t="e">
        <f t="shared" si="97"/>
        <v>#DIV/0!</v>
      </c>
    </row>
    <row r="778" ht="11.4" hidden="1" customHeight="1" spans="1:24">
      <c r="A778" s="184" t="s">
        <v>2244</v>
      </c>
      <c r="B778" s="184" t="s">
        <v>147</v>
      </c>
      <c r="C778" s="184" t="s">
        <v>2074</v>
      </c>
      <c r="D778" s="185" t="s">
        <v>522</v>
      </c>
      <c r="E778" s="186" t="s">
        <v>906</v>
      </c>
      <c r="F778" s="186" t="s">
        <v>907</v>
      </c>
      <c r="G778" s="186" t="s">
        <v>2075</v>
      </c>
      <c r="H778" s="186" t="s">
        <v>2245</v>
      </c>
      <c r="I778" s="187" t="s">
        <v>2200</v>
      </c>
      <c r="J778" s="187" t="s">
        <v>2201</v>
      </c>
      <c r="K778" s="188"/>
      <c r="L778" s="188"/>
      <c r="M778" s="189" t="s">
        <v>1018</v>
      </c>
      <c r="N778" s="190">
        <v>178.5</v>
      </c>
      <c r="O778" s="190">
        <f t="shared" si="90"/>
        <v>194.57</v>
      </c>
      <c r="P778" s="191">
        <f t="shared" si="91"/>
        <v>0</v>
      </c>
      <c r="Q778" s="192">
        <f t="shared" si="92"/>
        <v>0</v>
      </c>
      <c r="R778" s="193"/>
      <c r="S778" s="194"/>
      <c r="T778" s="195">
        <f t="shared" si="93"/>
        <v>0</v>
      </c>
      <c r="U778" s="195">
        <f t="shared" si="94"/>
        <v>0</v>
      </c>
      <c r="V778" s="195">
        <f t="shared" si="95"/>
        <v>0</v>
      </c>
      <c r="W778" s="196" t="e">
        <f t="shared" si="96"/>
        <v>#DIV/0!</v>
      </c>
      <c r="X778" s="197" t="e">
        <f t="shared" si="97"/>
        <v>#DIV/0!</v>
      </c>
    </row>
    <row r="779" ht="11.4" hidden="1" customHeight="1" spans="1:24">
      <c r="A779" s="184" t="s">
        <v>2244</v>
      </c>
      <c r="B779" s="184" t="s">
        <v>147</v>
      </c>
      <c r="C779" s="184" t="s">
        <v>2074</v>
      </c>
      <c r="D779" s="185" t="s">
        <v>522</v>
      </c>
      <c r="E779" s="186" t="s">
        <v>906</v>
      </c>
      <c r="F779" s="186" t="s">
        <v>907</v>
      </c>
      <c r="G779" s="186" t="s">
        <v>2075</v>
      </c>
      <c r="H779" s="186" t="s">
        <v>2245</v>
      </c>
      <c r="I779" s="187" t="s">
        <v>2202</v>
      </c>
      <c r="J779" s="187" t="s">
        <v>2203</v>
      </c>
      <c r="K779" s="188"/>
      <c r="L779" s="188"/>
      <c r="M779" s="189" t="s">
        <v>1018</v>
      </c>
      <c r="N779" s="190">
        <v>147</v>
      </c>
      <c r="O779" s="190">
        <f t="shared" si="90"/>
        <v>160.23</v>
      </c>
      <c r="P779" s="191">
        <f t="shared" si="91"/>
        <v>0</v>
      </c>
      <c r="Q779" s="192">
        <f t="shared" si="92"/>
        <v>0</v>
      </c>
      <c r="R779" s="193"/>
      <c r="S779" s="194"/>
      <c r="T779" s="195">
        <f t="shared" si="93"/>
        <v>0</v>
      </c>
      <c r="U779" s="195">
        <f t="shared" si="94"/>
        <v>0</v>
      </c>
      <c r="V779" s="195">
        <f t="shared" si="95"/>
        <v>0</v>
      </c>
      <c r="W779" s="196" t="e">
        <f t="shared" si="96"/>
        <v>#DIV/0!</v>
      </c>
      <c r="X779" s="197" t="e">
        <f t="shared" si="97"/>
        <v>#DIV/0!</v>
      </c>
    </row>
    <row r="780" ht="11.4" hidden="1" customHeight="1" spans="1:24">
      <c r="A780" s="184" t="s">
        <v>2244</v>
      </c>
      <c r="B780" s="184" t="s">
        <v>147</v>
      </c>
      <c r="C780" s="184" t="s">
        <v>2074</v>
      </c>
      <c r="D780" s="185" t="s">
        <v>522</v>
      </c>
      <c r="E780" s="186" t="s">
        <v>906</v>
      </c>
      <c r="F780" s="186" t="s">
        <v>907</v>
      </c>
      <c r="G780" s="186" t="s">
        <v>2075</v>
      </c>
      <c r="H780" s="186" t="s">
        <v>2245</v>
      </c>
      <c r="I780" s="187" t="s">
        <v>2204</v>
      </c>
      <c r="J780" s="187" t="s">
        <v>2205</v>
      </c>
      <c r="K780" s="188"/>
      <c r="L780" s="188"/>
      <c r="M780" s="189" t="s">
        <v>1018</v>
      </c>
      <c r="N780" s="190">
        <v>105</v>
      </c>
      <c r="O780" s="190">
        <f t="shared" si="90"/>
        <v>114.45</v>
      </c>
      <c r="P780" s="191">
        <f t="shared" si="91"/>
        <v>0</v>
      </c>
      <c r="Q780" s="192">
        <f t="shared" si="92"/>
        <v>0</v>
      </c>
      <c r="R780" s="193"/>
      <c r="S780" s="194"/>
      <c r="T780" s="195">
        <f t="shared" si="93"/>
        <v>0</v>
      </c>
      <c r="U780" s="195">
        <f t="shared" si="94"/>
        <v>0</v>
      </c>
      <c r="V780" s="195">
        <f t="shared" si="95"/>
        <v>0</v>
      </c>
      <c r="W780" s="196" t="e">
        <f t="shared" si="96"/>
        <v>#DIV/0!</v>
      </c>
      <c r="X780" s="197" t="e">
        <f t="shared" si="97"/>
        <v>#DIV/0!</v>
      </c>
    </row>
    <row r="781" ht="11.4" hidden="1" customHeight="1" spans="1:24">
      <c r="A781" s="184" t="s">
        <v>2244</v>
      </c>
      <c r="B781" s="184" t="s">
        <v>147</v>
      </c>
      <c r="C781" s="184" t="s">
        <v>2074</v>
      </c>
      <c r="D781" s="185" t="s">
        <v>522</v>
      </c>
      <c r="E781" s="186" t="s">
        <v>906</v>
      </c>
      <c r="F781" s="186" t="s">
        <v>907</v>
      </c>
      <c r="G781" s="186" t="s">
        <v>2075</v>
      </c>
      <c r="H781" s="186" t="s">
        <v>2245</v>
      </c>
      <c r="I781" s="187" t="s">
        <v>2206</v>
      </c>
      <c r="J781" s="187" t="s">
        <v>2207</v>
      </c>
      <c r="K781" s="188"/>
      <c r="L781" s="188"/>
      <c r="M781" s="189" t="s">
        <v>1018</v>
      </c>
      <c r="N781" s="190">
        <v>126</v>
      </c>
      <c r="O781" s="190">
        <f t="shared" ref="O781:O844" si="98">ROUND(N781*(1+$F$10),2)</f>
        <v>137.34</v>
      </c>
      <c r="P781" s="191">
        <f t="shared" ref="P781:P844" si="99">ROUND(K781*N781,2)</f>
        <v>0</v>
      </c>
      <c r="Q781" s="192">
        <f t="shared" ref="Q781:Q844" si="100">ROUND(L781*N781,2)</f>
        <v>0</v>
      </c>
      <c r="R781" s="193"/>
      <c r="S781" s="194"/>
      <c r="T781" s="195">
        <f t="shared" ref="T781:T844" si="101">K781-L781</f>
        <v>0</v>
      </c>
      <c r="U781" s="195">
        <f t="shared" ref="U781:U844" si="102">P781-Q781</f>
        <v>0</v>
      </c>
      <c r="V781" s="195">
        <f t="shared" ref="V781:V844" si="103">ABS(U781)</f>
        <v>0</v>
      </c>
      <c r="W781" s="196" t="e">
        <f t="shared" ref="W781:W844" si="104">T781/L781</f>
        <v>#DIV/0!</v>
      </c>
      <c r="X781" s="197" t="e">
        <f t="shared" ref="X781:X844" si="105">ABS(W781)</f>
        <v>#DIV/0!</v>
      </c>
    </row>
    <row r="782" ht="11.4" hidden="1" customHeight="1" spans="1:24">
      <c r="A782" s="184" t="s">
        <v>2244</v>
      </c>
      <c r="B782" s="184" t="s">
        <v>147</v>
      </c>
      <c r="C782" s="184" t="s">
        <v>2074</v>
      </c>
      <c r="D782" s="185" t="s">
        <v>522</v>
      </c>
      <c r="E782" s="186" t="s">
        <v>906</v>
      </c>
      <c r="F782" s="186" t="s">
        <v>907</v>
      </c>
      <c r="G782" s="186" t="s">
        <v>2075</v>
      </c>
      <c r="H782" s="186" t="s">
        <v>2245</v>
      </c>
      <c r="I782" s="187" t="s">
        <v>2208</v>
      </c>
      <c r="J782" s="187" t="s">
        <v>2209</v>
      </c>
      <c r="K782" s="188"/>
      <c r="L782" s="188"/>
      <c r="M782" s="189" t="s">
        <v>1018</v>
      </c>
      <c r="N782" s="190">
        <v>204.75</v>
      </c>
      <c r="O782" s="190">
        <f t="shared" si="98"/>
        <v>223.18</v>
      </c>
      <c r="P782" s="191">
        <f t="shared" si="99"/>
        <v>0</v>
      </c>
      <c r="Q782" s="192">
        <f t="shared" si="100"/>
        <v>0</v>
      </c>
      <c r="R782" s="193"/>
      <c r="S782" s="194"/>
      <c r="T782" s="195">
        <f t="shared" si="101"/>
        <v>0</v>
      </c>
      <c r="U782" s="195">
        <f t="shared" si="102"/>
        <v>0</v>
      </c>
      <c r="V782" s="195">
        <f t="shared" si="103"/>
        <v>0</v>
      </c>
      <c r="W782" s="196" t="e">
        <f t="shared" si="104"/>
        <v>#DIV/0!</v>
      </c>
      <c r="X782" s="197" t="e">
        <f t="shared" si="105"/>
        <v>#DIV/0!</v>
      </c>
    </row>
    <row r="783" ht="11.4" hidden="1" customHeight="1" spans="1:24">
      <c r="A783" s="184" t="s">
        <v>2244</v>
      </c>
      <c r="B783" s="184" t="s">
        <v>147</v>
      </c>
      <c r="C783" s="184" t="s">
        <v>2074</v>
      </c>
      <c r="D783" s="185" t="s">
        <v>522</v>
      </c>
      <c r="E783" s="186" t="s">
        <v>906</v>
      </c>
      <c r="F783" s="186" t="s">
        <v>907</v>
      </c>
      <c r="G783" s="186" t="s">
        <v>2075</v>
      </c>
      <c r="H783" s="186" t="s">
        <v>2245</v>
      </c>
      <c r="I783" s="187" t="s">
        <v>2258</v>
      </c>
      <c r="J783" s="187" t="s">
        <v>2259</v>
      </c>
      <c r="K783" s="188"/>
      <c r="L783" s="188"/>
      <c r="M783" s="189" t="s">
        <v>1018</v>
      </c>
      <c r="N783" s="190">
        <v>252</v>
      </c>
      <c r="O783" s="190">
        <f t="shared" si="98"/>
        <v>274.68</v>
      </c>
      <c r="P783" s="191">
        <f t="shared" si="99"/>
        <v>0</v>
      </c>
      <c r="Q783" s="192">
        <f t="shared" si="100"/>
        <v>0</v>
      </c>
      <c r="R783" s="193"/>
      <c r="S783" s="194"/>
      <c r="T783" s="195">
        <f t="shared" si="101"/>
        <v>0</v>
      </c>
      <c r="U783" s="195">
        <f t="shared" si="102"/>
        <v>0</v>
      </c>
      <c r="V783" s="195">
        <f t="shared" si="103"/>
        <v>0</v>
      </c>
      <c r="W783" s="196" t="e">
        <f t="shared" si="104"/>
        <v>#DIV/0!</v>
      </c>
      <c r="X783" s="197" t="e">
        <f t="shared" si="105"/>
        <v>#DIV/0!</v>
      </c>
    </row>
    <row r="784" ht="11.4" hidden="1" customHeight="1" spans="1:24">
      <c r="A784" s="184" t="s">
        <v>2244</v>
      </c>
      <c r="B784" s="184" t="s">
        <v>147</v>
      </c>
      <c r="C784" s="184" t="s">
        <v>2074</v>
      </c>
      <c r="D784" s="185" t="s">
        <v>522</v>
      </c>
      <c r="E784" s="186" t="s">
        <v>906</v>
      </c>
      <c r="F784" s="186" t="s">
        <v>907</v>
      </c>
      <c r="G784" s="186" t="s">
        <v>2075</v>
      </c>
      <c r="H784" s="186" t="s">
        <v>2245</v>
      </c>
      <c r="I784" s="187" t="s">
        <v>2260</v>
      </c>
      <c r="J784" s="187" t="s">
        <v>2261</v>
      </c>
      <c r="K784" s="188"/>
      <c r="L784" s="188"/>
      <c r="M784" s="189" t="s">
        <v>1018</v>
      </c>
      <c r="N784" s="190">
        <v>136.5</v>
      </c>
      <c r="O784" s="190">
        <f t="shared" si="98"/>
        <v>148.79</v>
      </c>
      <c r="P784" s="191">
        <f t="shared" si="99"/>
        <v>0</v>
      </c>
      <c r="Q784" s="192">
        <f t="shared" si="100"/>
        <v>0</v>
      </c>
      <c r="R784" s="193"/>
      <c r="S784" s="194"/>
      <c r="T784" s="195">
        <f t="shared" si="101"/>
        <v>0</v>
      </c>
      <c r="U784" s="195">
        <f t="shared" si="102"/>
        <v>0</v>
      </c>
      <c r="V784" s="195">
        <f t="shared" si="103"/>
        <v>0</v>
      </c>
      <c r="W784" s="196" t="e">
        <f t="shared" si="104"/>
        <v>#DIV/0!</v>
      </c>
      <c r="X784" s="197" t="e">
        <f t="shared" si="105"/>
        <v>#DIV/0!</v>
      </c>
    </row>
    <row r="785" ht="11.4" hidden="1" customHeight="1" spans="1:27">
      <c r="A785" s="184" t="s">
        <v>2244</v>
      </c>
      <c r="B785" s="184" t="s">
        <v>147</v>
      </c>
      <c r="C785" s="184" t="s">
        <v>2074</v>
      </c>
      <c r="D785" s="185" t="s">
        <v>522</v>
      </c>
      <c r="E785" s="186" t="s">
        <v>906</v>
      </c>
      <c r="F785" s="186" t="s">
        <v>907</v>
      </c>
      <c r="G785" s="186" t="s">
        <v>2075</v>
      </c>
      <c r="H785" s="186" t="s">
        <v>2245</v>
      </c>
      <c r="I785" s="187" t="s">
        <v>2236</v>
      </c>
      <c r="J785" s="187" t="s">
        <v>2237</v>
      </c>
      <c r="K785" s="188"/>
      <c r="L785" s="188"/>
      <c r="M785" s="189" t="s">
        <v>1018</v>
      </c>
      <c r="N785" s="190">
        <v>120.75</v>
      </c>
      <c r="O785" s="190">
        <f t="shared" si="98"/>
        <v>131.62</v>
      </c>
      <c r="P785" s="191">
        <f t="shared" si="99"/>
        <v>0</v>
      </c>
      <c r="Q785" s="192">
        <f t="shared" si="100"/>
        <v>0</v>
      </c>
      <c r="R785" s="193"/>
      <c r="S785" s="194"/>
      <c r="T785" s="195">
        <f t="shared" si="101"/>
        <v>0</v>
      </c>
      <c r="U785" s="195">
        <f t="shared" si="102"/>
        <v>0</v>
      </c>
      <c r="V785" s="195">
        <f t="shared" si="103"/>
        <v>0</v>
      </c>
      <c r="W785" s="196" t="e">
        <f t="shared" si="104"/>
        <v>#DIV/0!</v>
      </c>
      <c r="X785" s="197" t="e">
        <f t="shared" si="105"/>
        <v>#DIV/0!</v>
      </c>
    </row>
    <row r="786" ht="11.4" hidden="1" customHeight="1" spans="1:27">
      <c r="A786" s="184" t="s">
        <v>2262</v>
      </c>
      <c r="B786" s="184" t="s">
        <v>149</v>
      </c>
      <c r="C786" s="184" t="s">
        <v>2263</v>
      </c>
      <c r="D786" s="185" t="s">
        <v>522</v>
      </c>
      <c r="E786" s="186" t="s">
        <v>906</v>
      </c>
      <c r="F786" s="186" t="s">
        <v>907</v>
      </c>
      <c r="G786" s="186" t="s">
        <v>2264</v>
      </c>
      <c r="H786" s="186" t="s">
        <v>2265</v>
      </c>
      <c r="I786" s="187" t="s">
        <v>2266</v>
      </c>
      <c r="J786" s="187" t="s">
        <v>2267</v>
      </c>
      <c r="K786" s="188"/>
      <c r="L786" s="188"/>
      <c r="M786" s="189" t="s">
        <v>807</v>
      </c>
      <c r="N786" s="190">
        <v>89.61</v>
      </c>
      <c r="O786" s="190">
        <f t="shared" si="98"/>
        <v>97.67</v>
      </c>
      <c r="P786" s="191">
        <f t="shared" si="99"/>
        <v>0</v>
      </c>
      <c r="Q786" s="192">
        <f t="shared" si="100"/>
        <v>0</v>
      </c>
      <c r="R786" s="193"/>
      <c r="S786" s="194"/>
      <c r="T786" s="195">
        <f t="shared" si="101"/>
        <v>0</v>
      </c>
      <c r="U786" s="195">
        <f t="shared" si="102"/>
        <v>0</v>
      </c>
      <c r="V786" s="195">
        <f t="shared" si="103"/>
        <v>0</v>
      </c>
      <c r="W786" s="196" t="e">
        <f t="shared" si="104"/>
        <v>#DIV/0!</v>
      </c>
      <c r="X786" s="197" t="e">
        <f t="shared" si="105"/>
        <v>#DIV/0!</v>
      </c>
    </row>
    <row r="787" ht="11.4" hidden="1" customHeight="1" spans="1:27">
      <c r="A787" s="184" t="s">
        <v>2262</v>
      </c>
      <c r="B787" s="184" t="s">
        <v>149</v>
      </c>
      <c r="C787" s="184" t="s">
        <v>2263</v>
      </c>
      <c r="D787" s="185" t="s">
        <v>522</v>
      </c>
      <c r="E787" s="186" t="s">
        <v>906</v>
      </c>
      <c r="F787" s="186" t="s">
        <v>907</v>
      </c>
      <c r="G787" s="186" t="s">
        <v>2264</v>
      </c>
      <c r="H787" s="186" t="s">
        <v>2265</v>
      </c>
      <c r="I787" s="187" t="s">
        <v>2268</v>
      </c>
      <c r="J787" s="187" t="s">
        <v>2269</v>
      </c>
      <c r="K787" s="188">
        <v>5.76</v>
      </c>
      <c r="L787" s="188">
        <v>5.76</v>
      </c>
      <c r="M787" s="189" t="s">
        <v>807</v>
      </c>
      <c r="N787" s="190">
        <v>96.69</v>
      </c>
      <c r="O787" s="190">
        <f t="shared" si="98"/>
        <v>105.39</v>
      </c>
      <c r="P787" s="191">
        <f t="shared" si="99"/>
        <v>556.93</v>
      </c>
      <c r="Q787" s="192">
        <f t="shared" si="100"/>
        <v>556.93</v>
      </c>
      <c r="R787" s="193"/>
      <c r="S787" s="194"/>
      <c r="T787" s="195">
        <f t="shared" si="101"/>
        <v>0</v>
      </c>
      <c r="U787" s="195">
        <f t="shared" si="102"/>
        <v>0</v>
      </c>
      <c r="V787" s="195">
        <f t="shared" si="103"/>
        <v>0</v>
      </c>
      <c r="W787" s="196">
        <f t="shared" si="104"/>
        <v>0</v>
      </c>
      <c r="X787" s="197">
        <f t="shared" si="105"/>
        <v>0</v>
      </c>
    </row>
    <row r="788" ht="11.4" hidden="1" customHeight="1" spans="1:27">
      <c r="A788" s="184" t="s">
        <v>2262</v>
      </c>
      <c r="B788" s="184" t="s">
        <v>149</v>
      </c>
      <c r="C788" s="184" t="s">
        <v>2263</v>
      </c>
      <c r="D788" s="185" t="s">
        <v>522</v>
      </c>
      <c r="E788" s="186" t="s">
        <v>906</v>
      </c>
      <c r="F788" s="186" t="s">
        <v>907</v>
      </c>
      <c r="G788" s="186" t="s">
        <v>2264</v>
      </c>
      <c r="H788" s="186" t="s">
        <v>2265</v>
      </c>
      <c r="I788" s="187" t="s">
        <v>2270</v>
      </c>
      <c r="J788" s="187" t="s">
        <v>2271</v>
      </c>
      <c r="K788" s="200">
        <v>11.47</v>
      </c>
      <c r="L788" s="188">
        <v>8.6</v>
      </c>
      <c r="M788" s="189" t="s">
        <v>807</v>
      </c>
      <c r="N788" s="190">
        <v>74.14</v>
      </c>
      <c r="O788" s="190">
        <f t="shared" si="98"/>
        <v>80.81</v>
      </c>
      <c r="P788" s="191">
        <f t="shared" si="99"/>
        <v>850.39</v>
      </c>
      <c r="Q788" s="192">
        <f t="shared" si="100"/>
        <v>637.6</v>
      </c>
      <c r="R788" s="193"/>
      <c r="S788" s="194"/>
      <c r="T788" s="195">
        <f t="shared" si="101"/>
        <v>2.87</v>
      </c>
      <c r="U788" s="195">
        <f t="shared" si="102"/>
        <v>212.79</v>
      </c>
      <c r="V788" s="195">
        <f t="shared" si="103"/>
        <v>212.79</v>
      </c>
      <c r="W788" s="196">
        <f t="shared" si="104"/>
        <v>0.333720930232558</v>
      </c>
      <c r="X788" s="197">
        <f t="shared" si="105"/>
        <v>0.333720930232558</v>
      </c>
      <c r="AA788" s="201" t="s">
        <v>3261</v>
      </c>
    </row>
    <row r="789" ht="11.4" hidden="1" customHeight="1" spans="1:27">
      <c r="A789" s="184" t="s">
        <v>2262</v>
      </c>
      <c r="B789" s="184" t="s">
        <v>149</v>
      </c>
      <c r="C789" s="184" t="s">
        <v>2263</v>
      </c>
      <c r="D789" s="185" t="s">
        <v>522</v>
      </c>
      <c r="E789" s="186" t="s">
        <v>906</v>
      </c>
      <c r="F789" s="186" t="s">
        <v>907</v>
      </c>
      <c r="G789" s="186" t="s">
        <v>2264</v>
      </c>
      <c r="H789" s="186" t="s">
        <v>2265</v>
      </c>
      <c r="I789" s="187" t="s">
        <v>2272</v>
      </c>
      <c r="J789" s="187" t="s">
        <v>2273</v>
      </c>
      <c r="K789" s="188"/>
      <c r="L789" s="188"/>
      <c r="M789" s="189" t="s">
        <v>807</v>
      </c>
      <c r="N789" s="190">
        <v>64.18</v>
      </c>
      <c r="O789" s="190">
        <f t="shared" si="98"/>
        <v>69.96</v>
      </c>
      <c r="P789" s="191">
        <f t="shared" si="99"/>
        <v>0</v>
      </c>
      <c r="Q789" s="192">
        <f t="shared" si="100"/>
        <v>0</v>
      </c>
      <c r="R789" s="193"/>
      <c r="S789" s="194"/>
      <c r="T789" s="195">
        <f t="shared" si="101"/>
        <v>0</v>
      </c>
      <c r="U789" s="195">
        <f t="shared" si="102"/>
        <v>0</v>
      </c>
      <c r="V789" s="195">
        <f t="shared" si="103"/>
        <v>0</v>
      </c>
      <c r="W789" s="196" t="e">
        <f t="shared" si="104"/>
        <v>#DIV/0!</v>
      </c>
      <c r="X789" s="197" t="e">
        <f t="shared" si="105"/>
        <v>#DIV/0!</v>
      </c>
    </row>
    <row r="790" ht="11.4" hidden="1" customHeight="1" spans="1:27">
      <c r="A790" s="184" t="s">
        <v>2262</v>
      </c>
      <c r="B790" s="184" t="s">
        <v>149</v>
      </c>
      <c r="C790" s="184" t="s">
        <v>2263</v>
      </c>
      <c r="D790" s="185" t="s">
        <v>522</v>
      </c>
      <c r="E790" s="186" t="s">
        <v>906</v>
      </c>
      <c r="F790" s="186" t="s">
        <v>907</v>
      </c>
      <c r="G790" s="186" t="s">
        <v>2264</v>
      </c>
      <c r="H790" s="186" t="s">
        <v>2265</v>
      </c>
      <c r="I790" s="187" t="s">
        <v>2274</v>
      </c>
      <c r="J790" s="187" t="s">
        <v>2275</v>
      </c>
      <c r="K790" s="188">
        <v>180.83</v>
      </c>
      <c r="L790" s="188">
        <v>176.38</v>
      </c>
      <c r="M790" s="189" t="s">
        <v>807</v>
      </c>
      <c r="N790" s="190">
        <v>52.58</v>
      </c>
      <c r="O790" s="190">
        <f t="shared" si="98"/>
        <v>57.31</v>
      </c>
      <c r="P790" s="191">
        <f t="shared" si="99"/>
        <v>9508.04</v>
      </c>
      <c r="Q790" s="192">
        <f t="shared" si="100"/>
        <v>9274.06</v>
      </c>
      <c r="R790" s="193"/>
      <c r="S790" s="194"/>
      <c r="T790" s="195">
        <f t="shared" si="101"/>
        <v>4.45000000000002</v>
      </c>
      <c r="U790" s="195">
        <f t="shared" si="102"/>
        <v>233.980000000001</v>
      </c>
      <c r="V790" s="195">
        <f t="shared" si="103"/>
        <v>233.980000000001</v>
      </c>
      <c r="W790" s="196">
        <f t="shared" si="104"/>
        <v>0.025229617870507</v>
      </c>
      <c r="X790" s="197">
        <f t="shared" si="105"/>
        <v>0.025229617870507</v>
      </c>
    </row>
    <row r="791" ht="11.4" hidden="1" customHeight="1" spans="1:27">
      <c r="A791" s="184" t="s">
        <v>2262</v>
      </c>
      <c r="B791" s="184" t="s">
        <v>149</v>
      </c>
      <c r="C791" s="184" t="s">
        <v>2263</v>
      </c>
      <c r="D791" s="185" t="s">
        <v>522</v>
      </c>
      <c r="E791" s="186" t="s">
        <v>906</v>
      </c>
      <c r="F791" s="186" t="s">
        <v>907</v>
      </c>
      <c r="G791" s="186" t="s">
        <v>2264</v>
      </c>
      <c r="H791" s="186" t="s">
        <v>2265</v>
      </c>
      <c r="I791" s="187" t="s">
        <v>2276</v>
      </c>
      <c r="J791" s="187" t="s">
        <v>2277</v>
      </c>
      <c r="K791" s="188"/>
      <c r="L791" s="188"/>
      <c r="M791" s="189" t="s">
        <v>807</v>
      </c>
      <c r="N791" s="190">
        <v>43.34</v>
      </c>
      <c r="O791" s="190">
        <f t="shared" si="98"/>
        <v>47.24</v>
      </c>
      <c r="P791" s="191">
        <f t="shared" si="99"/>
        <v>0</v>
      </c>
      <c r="Q791" s="192">
        <f t="shared" si="100"/>
        <v>0</v>
      </c>
      <c r="R791" s="193"/>
      <c r="S791" s="194"/>
      <c r="T791" s="195">
        <f t="shared" si="101"/>
        <v>0</v>
      </c>
      <c r="U791" s="195">
        <f t="shared" si="102"/>
        <v>0</v>
      </c>
      <c r="V791" s="195">
        <f t="shared" si="103"/>
        <v>0</v>
      </c>
      <c r="W791" s="196" t="e">
        <f t="shared" si="104"/>
        <v>#DIV/0!</v>
      </c>
      <c r="X791" s="197" t="e">
        <f t="shared" si="105"/>
        <v>#DIV/0!</v>
      </c>
    </row>
    <row r="792" ht="11.4" hidden="1" customHeight="1" spans="1:27">
      <c r="A792" s="184" t="s">
        <v>2262</v>
      </c>
      <c r="B792" s="184" t="s">
        <v>149</v>
      </c>
      <c r="C792" s="184" t="s">
        <v>2263</v>
      </c>
      <c r="D792" s="185" t="s">
        <v>522</v>
      </c>
      <c r="E792" s="186" t="s">
        <v>906</v>
      </c>
      <c r="F792" s="186" t="s">
        <v>907</v>
      </c>
      <c r="G792" s="186" t="s">
        <v>2264</v>
      </c>
      <c r="H792" s="186" t="s">
        <v>2265</v>
      </c>
      <c r="I792" s="187" t="s">
        <v>2278</v>
      </c>
      <c r="J792" s="187" t="s">
        <v>2279</v>
      </c>
      <c r="K792" s="188"/>
      <c r="L792" s="188"/>
      <c r="M792" s="189" t="s">
        <v>807</v>
      </c>
      <c r="N792" s="190">
        <v>39.71</v>
      </c>
      <c r="O792" s="190">
        <f t="shared" si="98"/>
        <v>43.28</v>
      </c>
      <c r="P792" s="191">
        <f t="shared" si="99"/>
        <v>0</v>
      </c>
      <c r="Q792" s="192">
        <f t="shared" si="100"/>
        <v>0</v>
      </c>
      <c r="R792" s="193"/>
      <c r="S792" s="194"/>
      <c r="T792" s="195">
        <f t="shared" si="101"/>
        <v>0</v>
      </c>
      <c r="U792" s="195">
        <f t="shared" si="102"/>
        <v>0</v>
      </c>
      <c r="V792" s="195">
        <f t="shared" si="103"/>
        <v>0</v>
      </c>
      <c r="W792" s="196" t="e">
        <f t="shared" si="104"/>
        <v>#DIV/0!</v>
      </c>
      <c r="X792" s="197" t="e">
        <f t="shared" si="105"/>
        <v>#DIV/0!</v>
      </c>
    </row>
    <row r="793" ht="11.4" hidden="1" customHeight="1" spans="1:27">
      <c r="A793" s="184" t="s">
        <v>2262</v>
      </c>
      <c r="B793" s="184" t="s">
        <v>149</v>
      </c>
      <c r="C793" s="184" t="s">
        <v>2263</v>
      </c>
      <c r="D793" s="185" t="s">
        <v>522</v>
      </c>
      <c r="E793" s="186" t="s">
        <v>906</v>
      </c>
      <c r="F793" s="186" t="s">
        <v>907</v>
      </c>
      <c r="G793" s="186" t="s">
        <v>2264</v>
      </c>
      <c r="H793" s="186" t="s">
        <v>2265</v>
      </c>
      <c r="I793" s="187" t="s">
        <v>2280</v>
      </c>
      <c r="J793" s="187" t="s">
        <v>2281</v>
      </c>
      <c r="K793" s="188">
        <v>2</v>
      </c>
      <c r="L793" s="188">
        <v>2</v>
      </c>
      <c r="M793" s="189" t="s">
        <v>963</v>
      </c>
      <c r="N793" s="190">
        <v>237.04</v>
      </c>
      <c r="O793" s="190">
        <f t="shared" si="98"/>
        <v>258.37</v>
      </c>
      <c r="P793" s="191">
        <f t="shared" si="99"/>
        <v>474.08</v>
      </c>
      <c r="Q793" s="192">
        <f t="shared" si="100"/>
        <v>474.08</v>
      </c>
      <c r="R793" s="193"/>
      <c r="S793" s="194"/>
      <c r="T793" s="195">
        <f t="shared" si="101"/>
        <v>0</v>
      </c>
      <c r="U793" s="195">
        <f t="shared" si="102"/>
        <v>0</v>
      </c>
      <c r="V793" s="195">
        <f t="shared" si="103"/>
        <v>0</v>
      </c>
      <c r="W793" s="196">
        <f t="shared" si="104"/>
        <v>0</v>
      </c>
      <c r="X793" s="197">
        <f t="shared" si="105"/>
        <v>0</v>
      </c>
    </row>
    <row r="794" ht="11.4" hidden="1" customHeight="1" spans="1:27">
      <c r="A794" s="184" t="s">
        <v>2262</v>
      </c>
      <c r="B794" s="184" t="s">
        <v>149</v>
      </c>
      <c r="C794" s="184" t="s">
        <v>2263</v>
      </c>
      <c r="D794" s="185" t="s">
        <v>522</v>
      </c>
      <c r="E794" s="186" t="s">
        <v>906</v>
      </c>
      <c r="F794" s="186" t="s">
        <v>907</v>
      </c>
      <c r="G794" s="186" t="s">
        <v>2264</v>
      </c>
      <c r="H794" s="186" t="s">
        <v>2265</v>
      </c>
      <c r="I794" s="187" t="s">
        <v>2282</v>
      </c>
      <c r="J794" s="187" t="s">
        <v>2283</v>
      </c>
      <c r="K794" s="188"/>
      <c r="L794" s="188"/>
      <c r="M794" s="189" t="s">
        <v>963</v>
      </c>
      <c r="N794" s="190">
        <v>126.49</v>
      </c>
      <c r="O794" s="190">
        <f t="shared" si="98"/>
        <v>137.87</v>
      </c>
      <c r="P794" s="191">
        <f t="shared" si="99"/>
        <v>0</v>
      </c>
      <c r="Q794" s="192">
        <f t="shared" si="100"/>
        <v>0</v>
      </c>
      <c r="R794" s="193"/>
      <c r="S794" s="194"/>
      <c r="T794" s="195">
        <f t="shared" si="101"/>
        <v>0</v>
      </c>
      <c r="U794" s="195">
        <f t="shared" si="102"/>
        <v>0</v>
      </c>
      <c r="V794" s="195">
        <f t="shared" si="103"/>
        <v>0</v>
      </c>
      <c r="W794" s="196" t="e">
        <f t="shared" si="104"/>
        <v>#DIV/0!</v>
      </c>
      <c r="X794" s="197" t="e">
        <f t="shared" si="105"/>
        <v>#DIV/0!</v>
      </c>
    </row>
    <row r="795" ht="11.4" hidden="1" customHeight="1" spans="1:27">
      <c r="A795" s="184" t="s">
        <v>2262</v>
      </c>
      <c r="B795" s="184" t="s">
        <v>149</v>
      </c>
      <c r="C795" s="184" t="s">
        <v>2263</v>
      </c>
      <c r="D795" s="185" t="s">
        <v>522</v>
      </c>
      <c r="E795" s="186" t="s">
        <v>906</v>
      </c>
      <c r="F795" s="186" t="s">
        <v>907</v>
      </c>
      <c r="G795" s="186" t="s">
        <v>2264</v>
      </c>
      <c r="H795" s="186" t="s">
        <v>2265</v>
      </c>
      <c r="I795" s="187" t="s">
        <v>2284</v>
      </c>
      <c r="J795" s="154" t="s">
        <v>2285</v>
      </c>
      <c r="K795" s="203">
        <v>35</v>
      </c>
      <c r="L795" s="188">
        <v>31</v>
      </c>
      <c r="M795" s="189" t="s">
        <v>963</v>
      </c>
      <c r="N795" s="190">
        <v>103.5</v>
      </c>
      <c r="O795" s="190">
        <f t="shared" si="98"/>
        <v>112.82</v>
      </c>
      <c r="P795" s="191">
        <f t="shared" si="99"/>
        <v>3622.5</v>
      </c>
      <c r="Q795" s="192">
        <f t="shared" si="100"/>
        <v>3208.5</v>
      </c>
      <c r="R795" s="193"/>
      <c r="S795" s="194"/>
      <c r="T795" s="195">
        <f t="shared" si="101"/>
        <v>4</v>
      </c>
      <c r="U795" s="195">
        <f t="shared" si="102"/>
        <v>414</v>
      </c>
      <c r="V795" s="195">
        <f t="shared" si="103"/>
        <v>414</v>
      </c>
      <c r="W795" s="196">
        <f t="shared" si="104"/>
        <v>0.129032258064516</v>
      </c>
      <c r="X795" s="197">
        <f t="shared" si="105"/>
        <v>0.129032258064516</v>
      </c>
      <c r="AA795" s="201" t="s">
        <v>3262</v>
      </c>
    </row>
    <row r="796" ht="11.4" hidden="1" customHeight="1" spans="1:27">
      <c r="A796" s="184" t="s">
        <v>2262</v>
      </c>
      <c r="B796" s="184" t="s">
        <v>149</v>
      </c>
      <c r="C796" s="184" t="s">
        <v>2263</v>
      </c>
      <c r="D796" s="185" t="s">
        <v>522</v>
      </c>
      <c r="E796" s="186" t="s">
        <v>906</v>
      </c>
      <c r="F796" s="186" t="s">
        <v>907</v>
      </c>
      <c r="G796" s="186" t="s">
        <v>2264</v>
      </c>
      <c r="H796" s="186" t="s">
        <v>2265</v>
      </c>
      <c r="I796" s="187" t="s">
        <v>2286</v>
      </c>
      <c r="J796" s="187" t="s">
        <v>2287</v>
      </c>
      <c r="K796" s="188"/>
      <c r="L796" s="188"/>
      <c r="M796" s="189" t="s">
        <v>963</v>
      </c>
      <c r="N796" s="190">
        <v>76.44</v>
      </c>
      <c r="O796" s="190">
        <f t="shared" si="98"/>
        <v>83.32</v>
      </c>
      <c r="P796" s="191">
        <f t="shared" si="99"/>
        <v>0</v>
      </c>
      <c r="Q796" s="192">
        <f t="shared" si="100"/>
        <v>0</v>
      </c>
      <c r="R796" s="193"/>
      <c r="S796" s="194"/>
      <c r="T796" s="195">
        <f t="shared" si="101"/>
        <v>0</v>
      </c>
      <c r="U796" s="195">
        <f t="shared" si="102"/>
        <v>0</v>
      </c>
      <c r="V796" s="195">
        <f t="shared" si="103"/>
        <v>0</v>
      </c>
      <c r="W796" s="196" t="e">
        <f t="shared" si="104"/>
        <v>#DIV/0!</v>
      </c>
      <c r="X796" s="197" t="e">
        <f t="shared" si="105"/>
        <v>#DIV/0!</v>
      </c>
    </row>
    <row r="797" ht="11.4" hidden="1" customHeight="1" spans="1:27">
      <c r="A797" s="184" t="s">
        <v>2262</v>
      </c>
      <c r="B797" s="184" t="s">
        <v>149</v>
      </c>
      <c r="C797" s="184" t="s">
        <v>2263</v>
      </c>
      <c r="D797" s="185" t="s">
        <v>522</v>
      </c>
      <c r="E797" s="186" t="s">
        <v>906</v>
      </c>
      <c r="F797" s="186" t="s">
        <v>907</v>
      </c>
      <c r="G797" s="186" t="s">
        <v>2264</v>
      </c>
      <c r="H797" s="186" t="s">
        <v>2265</v>
      </c>
      <c r="I797" s="187" t="s">
        <v>2288</v>
      </c>
      <c r="J797" s="187" t="s">
        <v>2289</v>
      </c>
      <c r="K797" s="188"/>
      <c r="L797" s="188"/>
      <c r="M797" s="189" t="s">
        <v>963</v>
      </c>
      <c r="N797" s="190">
        <v>73.14</v>
      </c>
      <c r="O797" s="190">
        <f t="shared" si="98"/>
        <v>79.72</v>
      </c>
      <c r="P797" s="191">
        <f t="shared" si="99"/>
        <v>0</v>
      </c>
      <c r="Q797" s="192">
        <f t="shared" si="100"/>
        <v>0</v>
      </c>
      <c r="R797" s="193"/>
      <c r="S797" s="194"/>
      <c r="T797" s="195">
        <f t="shared" si="101"/>
        <v>0</v>
      </c>
      <c r="U797" s="195">
        <f t="shared" si="102"/>
        <v>0</v>
      </c>
      <c r="V797" s="195">
        <f t="shared" si="103"/>
        <v>0</v>
      </c>
      <c r="W797" s="196" t="e">
        <f t="shared" si="104"/>
        <v>#DIV/0!</v>
      </c>
      <c r="X797" s="197" t="e">
        <f t="shared" si="105"/>
        <v>#DIV/0!</v>
      </c>
    </row>
    <row r="798" ht="11.4" hidden="1" customHeight="1" spans="1:27">
      <c r="A798" s="184" t="s">
        <v>2262</v>
      </c>
      <c r="B798" s="184" t="s">
        <v>149</v>
      </c>
      <c r="C798" s="184" t="s">
        <v>2263</v>
      </c>
      <c r="D798" s="185" t="s">
        <v>522</v>
      </c>
      <c r="E798" s="186" t="s">
        <v>906</v>
      </c>
      <c r="F798" s="186" t="s">
        <v>907</v>
      </c>
      <c r="G798" s="186" t="s">
        <v>2264</v>
      </c>
      <c r="H798" s="186" t="s">
        <v>2265</v>
      </c>
      <c r="I798" s="187" t="s">
        <v>2290</v>
      </c>
      <c r="J798" s="187" t="s">
        <v>2291</v>
      </c>
      <c r="K798" s="188">
        <v>0.3</v>
      </c>
      <c r="L798" s="188">
        <v>0.3</v>
      </c>
      <c r="M798" s="189" t="s">
        <v>935</v>
      </c>
      <c r="N798" s="190">
        <v>3308.85</v>
      </c>
      <c r="O798" s="190">
        <f t="shared" si="98"/>
        <v>3606.65</v>
      </c>
      <c r="P798" s="191">
        <f t="shared" si="99"/>
        <v>992.66</v>
      </c>
      <c r="Q798" s="192">
        <f t="shared" si="100"/>
        <v>992.66</v>
      </c>
      <c r="R798" s="193"/>
      <c r="S798" s="194"/>
      <c r="T798" s="195">
        <f t="shared" si="101"/>
        <v>0</v>
      </c>
      <c r="U798" s="195">
        <f t="shared" si="102"/>
        <v>0</v>
      </c>
      <c r="V798" s="195">
        <f t="shared" si="103"/>
        <v>0</v>
      </c>
      <c r="W798" s="196">
        <f t="shared" si="104"/>
        <v>0</v>
      </c>
      <c r="X798" s="197">
        <f t="shared" si="105"/>
        <v>0</v>
      </c>
    </row>
    <row r="799" ht="11.4" hidden="1" customHeight="1" spans="1:27">
      <c r="A799" s="184" t="s">
        <v>2262</v>
      </c>
      <c r="B799" s="184" t="s">
        <v>149</v>
      </c>
      <c r="C799" s="184" t="s">
        <v>2263</v>
      </c>
      <c r="D799" s="185" t="s">
        <v>522</v>
      </c>
      <c r="E799" s="186" t="s">
        <v>906</v>
      </c>
      <c r="F799" s="186" t="s">
        <v>907</v>
      </c>
      <c r="G799" s="186" t="s">
        <v>2264</v>
      </c>
      <c r="H799" s="186" t="s">
        <v>2265</v>
      </c>
      <c r="I799" s="187" t="s">
        <v>2292</v>
      </c>
      <c r="J799" s="187" t="s">
        <v>2293</v>
      </c>
      <c r="K799" s="188">
        <v>6</v>
      </c>
      <c r="L799" s="188">
        <v>6</v>
      </c>
      <c r="M799" s="189" t="s">
        <v>963</v>
      </c>
      <c r="N799" s="190">
        <v>35.7</v>
      </c>
      <c r="O799" s="190">
        <f t="shared" si="98"/>
        <v>38.91</v>
      </c>
      <c r="P799" s="191">
        <f t="shared" si="99"/>
        <v>214.2</v>
      </c>
      <c r="Q799" s="192">
        <f t="shared" si="100"/>
        <v>214.2</v>
      </c>
      <c r="R799" s="193"/>
      <c r="S799" s="194"/>
      <c r="T799" s="195">
        <f t="shared" si="101"/>
        <v>0</v>
      </c>
      <c r="U799" s="195">
        <f t="shared" si="102"/>
        <v>0</v>
      </c>
      <c r="V799" s="195">
        <f t="shared" si="103"/>
        <v>0</v>
      </c>
      <c r="W799" s="196">
        <f t="shared" si="104"/>
        <v>0</v>
      </c>
      <c r="X799" s="197">
        <f t="shared" si="105"/>
        <v>0</v>
      </c>
    </row>
    <row r="800" ht="11.4" hidden="1" customHeight="1" spans="1:27">
      <c r="A800" s="184" t="s">
        <v>2262</v>
      </c>
      <c r="B800" s="184" t="s">
        <v>149</v>
      </c>
      <c r="C800" s="184" t="s">
        <v>2263</v>
      </c>
      <c r="D800" s="185" t="s">
        <v>522</v>
      </c>
      <c r="E800" s="186" t="s">
        <v>906</v>
      </c>
      <c r="F800" s="186" t="s">
        <v>907</v>
      </c>
      <c r="G800" s="186" t="s">
        <v>2264</v>
      </c>
      <c r="H800" s="186" t="s">
        <v>2265</v>
      </c>
      <c r="I800" s="187" t="s">
        <v>2294</v>
      </c>
      <c r="J800" s="187" t="s">
        <v>2295</v>
      </c>
      <c r="K800" s="188"/>
      <c r="L800" s="188"/>
      <c r="M800" s="189" t="s">
        <v>963</v>
      </c>
      <c r="N800" s="190">
        <v>748.98</v>
      </c>
      <c r="O800" s="190">
        <f t="shared" si="98"/>
        <v>816.39</v>
      </c>
      <c r="P800" s="191">
        <f t="shared" si="99"/>
        <v>0</v>
      </c>
      <c r="Q800" s="192">
        <f t="shared" si="100"/>
        <v>0</v>
      </c>
      <c r="R800" s="193"/>
      <c r="S800" s="194"/>
      <c r="T800" s="195">
        <f t="shared" si="101"/>
        <v>0</v>
      </c>
      <c r="U800" s="195">
        <f t="shared" si="102"/>
        <v>0</v>
      </c>
      <c r="V800" s="195">
        <f t="shared" si="103"/>
        <v>0</v>
      </c>
      <c r="W800" s="196" t="e">
        <f t="shared" si="104"/>
        <v>#DIV/0!</v>
      </c>
      <c r="X800" s="197" t="e">
        <f t="shared" si="105"/>
        <v>#DIV/0!</v>
      </c>
    </row>
    <row r="801" ht="11.4" hidden="1" customHeight="1" spans="1:27">
      <c r="A801" s="184" t="s">
        <v>2262</v>
      </c>
      <c r="B801" s="184" t="s">
        <v>149</v>
      </c>
      <c r="C801" s="184" t="s">
        <v>2263</v>
      </c>
      <c r="D801" s="185" t="s">
        <v>522</v>
      </c>
      <c r="E801" s="186" t="s">
        <v>906</v>
      </c>
      <c r="F801" s="186" t="s">
        <v>907</v>
      </c>
      <c r="G801" s="186" t="s">
        <v>2264</v>
      </c>
      <c r="H801" s="186" t="s">
        <v>2265</v>
      </c>
      <c r="I801" s="187" t="s">
        <v>2296</v>
      </c>
      <c r="J801" s="187" t="s">
        <v>2297</v>
      </c>
      <c r="K801" s="188">
        <v>2</v>
      </c>
      <c r="L801" s="188">
        <v>2</v>
      </c>
      <c r="M801" s="189" t="s">
        <v>963</v>
      </c>
      <c r="N801" s="190">
        <v>156.3</v>
      </c>
      <c r="O801" s="190">
        <f t="shared" si="98"/>
        <v>170.37</v>
      </c>
      <c r="P801" s="191">
        <f t="shared" si="99"/>
        <v>312.6</v>
      </c>
      <c r="Q801" s="192">
        <f t="shared" si="100"/>
        <v>312.6</v>
      </c>
      <c r="R801" s="193"/>
      <c r="S801" s="194"/>
      <c r="T801" s="195">
        <f t="shared" si="101"/>
        <v>0</v>
      </c>
      <c r="U801" s="195">
        <f t="shared" si="102"/>
        <v>0</v>
      </c>
      <c r="V801" s="195">
        <f t="shared" si="103"/>
        <v>0</v>
      </c>
      <c r="W801" s="196">
        <f t="shared" si="104"/>
        <v>0</v>
      </c>
      <c r="X801" s="197">
        <f t="shared" si="105"/>
        <v>0</v>
      </c>
    </row>
    <row r="802" ht="11.4" hidden="1" customHeight="1" spans="1:27">
      <c r="A802" s="184" t="s">
        <v>2262</v>
      </c>
      <c r="B802" s="184" t="s">
        <v>149</v>
      </c>
      <c r="C802" s="184" t="s">
        <v>2263</v>
      </c>
      <c r="D802" s="185" t="s">
        <v>522</v>
      </c>
      <c r="E802" s="186" t="s">
        <v>906</v>
      </c>
      <c r="F802" s="186" t="s">
        <v>907</v>
      </c>
      <c r="G802" s="186" t="s">
        <v>2264</v>
      </c>
      <c r="H802" s="186" t="s">
        <v>2265</v>
      </c>
      <c r="I802" s="187" t="s">
        <v>2298</v>
      </c>
      <c r="J802" s="187" t="s">
        <v>2299</v>
      </c>
      <c r="K802" s="188"/>
      <c r="L802" s="188"/>
      <c r="M802" s="189" t="s">
        <v>963</v>
      </c>
      <c r="N802" s="190">
        <v>661.31</v>
      </c>
      <c r="O802" s="190">
        <f t="shared" si="98"/>
        <v>720.83</v>
      </c>
      <c r="P802" s="191">
        <f t="shared" si="99"/>
        <v>0</v>
      </c>
      <c r="Q802" s="192">
        <f t="shared" si="100"/>
        <v>0</v>
      </c>
      <c r="R802" s="193"/>
      <c r="S802" s="194"/>
      <c r="T802" s="195">
        <f t="shared" si="101"/>
        <v>0</v>
      </c>
      <c r="U802" s="195">
        <f t="shared" si="102"/>
        <v>0</v>
      </c>
      <c r="V802" s="195">
        <f t="shared" si="103"/>
        <v>0</v>
      </c>
      <c r="W802" s="196" t="e">
        <f t="shared" si="104"/>
        <v>#DIV/0!</v>
      </c>
      <c r="X802" s="197" t="e">
        <f t="shared" si="105"/>
        <v>#DIV/0!</v>
      </c>
    </row>
    <row r="803" ht="11.4" hidden="1" customHeight="1" spans="1:27">
      <c r="A803" s="184" t="s">
        <v>2262</v>
      </c>
      <c r="B803" s="184" t="s">
        <v>149</v>
      </c>
      <c r="C803" s="184" t="s">
        <v>2263</v>
      </c>
      <c r="D803" s="185" t="s">
        <v>522</v>
      </c>
      <c r="E803" s="186" t="s">
        <v>906</v>
      </c>
      <c r="F803" s="186" t="s">
        <v>907</v>
      </c>
      <c r="G803" s="186" t="s">
        <v>2264</v>
      </c>
      <c r="H803" s="186" t="s">
        <v>2265</v>
      </c>
      <c r="I803" s="187" t="s">
        <v>2300</v>
      </c>
      <c r="J803" s="187" t="s">
        <v>2301</v>
      </c>
      <c r="K803" s="188">
        <v>2</v>
      </c>
      <c r="L803" s="188">
        <v>2</v>
      </c>
      <c r="M803" s="189" t="s">
        <v>963</v>
      </c>
      <c r="N803" s="190">
        <v>97.08</v>
      </c>
      <c r="O803" s="190">
        <f t="shared" si="98"/>
        <v>105.82</v>
      </c>
      <c r="P803" s="191">
        <f t="shared" si="99"/>
        <v>194.16</v>
      </c>
      <c r="Q803" s="192">
        <f t="shared" si="100"/>
        <v>194.16</v>
      </c>
      <c r="R803" s="193"/>
      <c r="S803" s="194"/>
      <c r="T803" s="195">
        <f t="shared" si="101"/>
        <v>0</v>
      </c>
      <c r="U803" s="195">
        <f t="shared" si="102"/>
        <v>0</v>
      </c>
      <c r="V803" s="195">
        <f t="shared" si="103"/>
        <v>0</v>
      </c>
      <c r="W803" s="196">
        <f t="shared" si="104"/>
        <v>0</v>
      </c>
      <c r="X803" s="197">
        <f t="shared" si="105"/>
        <v>0</v>
      </c>
    </row>
    <row r="804" ht="11.4" hidden="1" customHeight="1" spans="1:27">
      <c r="A804" s="184" t="s">
        <v>2262</v>
      </c>
      <c r="B804" s="184" t="s">
        <v>149</v>
      </c>
      <c r="C804" s="184" t="s">
        <v>2263</v>
      </c>
      <c r="D804" s="185" t="s">
        <v>522</v>
      </c>
      <c r="E804" s="186" t="s">
        <v>906</v>
      </c>
      <c r="F804" s="186" t="s">
        <v>907</v>
      </c>
      <c r="G804" s="186" t="s">
        <v>2264</v>
      </c>
      <c r="H804" s="186" t="s">
        <v>2265</v>
      </c>
      <c r="I804" s="187" t="s">
        <v>2302</v>
      </c>
      <c r="J804" s="187" t="s">
        <v>2303</v>
      </c>
      <c r="K804" s="188"/>
      <c r="L804" s="188"/>
      <c r="M804" s="189" t="s">
        <v>989</v>
      </c>
      <c r="N804" s="190">
        <v>2137.73</v>
      </c>
      <c r="O804" s="190">
        <f t="shared" si="98"/>
        <v>2330.13</v>
      </c>
      <c r="P804" s="191">
        <f t="shared" si="99"/>
        <v>0</v>
      </c>
      <c r="Q804" s="192">
        <f t="shared" si="100"/>
        <v>0</v>
      </c>
      <c r="R804" s="193"/>
      <c r="S804" s="194"/>
      <c r="T804" s="195">
        <f t="shared" si="101"/>
        <v>0</v>
      </c>
      <c r="U804" s="195">
        <f t="shared" si="102"/>
        <v>0</v>
      </c>
      <c r="V804" s="195">
        <f t="shared" si="103"/>
        <v>0</v>
      </c>
      <c r="W804" s="196" t="e">
        <f t="shared" si="104"/>
        <v>#DIV/0!</v>
      </c>
      <c r="X804" s="197" t="e">
        <f t="shared" si="105"/>
        <v>#DIV/0!</v>
      </c>
    </row>
    <row r="805" ht="11.4" hidden="1" customHeight="1" spans="1:27">
      <c r="A805" s="184" t="s">
        <v>2262</v>
      </c>
      <c r="B805" s="184" t="s">
        <v>149</v>
      </c>
      <c r="C805" s="184" t="s">
        <v>2263</v>
      </c>
      <c r="D805" s="185" t="s">
        <v>522</v>
      </c>
      <c r="E805" s="186" t="s">
        <v>906</v>
      </c>
      <c r="F805" s="186" t="s">
        <v>907</v>
      </c>
      <c r="G805" s="186" t="s">
        <v>2264</v>
      </c>
      <c r="H805" s="186" t="s">
        <v>2265</v>
      </c>
      <c r="I805" s="187" t="s">
        <v>2304</v>
      </c>
      <c r="J805" s="187" t="s">
        <v>2305</v>
      </c>
      <c r="K805" s="188">
        <v>1</v>
      </c>
      <c r="L805" s="188">
        <v>1</v>
      </c>
      <c r="M805" s="189" t="s">
        <v>989</v>
      </c>
      <c r="N805" s="190">
        <v>2295.03</v>
      </c>
      <c r="O805" s="190">
        <f t="shared" si="98"/>
        <v>2501.58</v>
      </c>
      <c r="P805" s="191">
        <f t="shared" si="99"/>
        <v>2295.03</v>
      </c>
      <c r="Q805" s="192">
        <f t="shared" si="100"/>
        <v>2295.03</v>
      </c>
      <c r="R805" s="193"/>
      <c r="S805" s="194"/>
      <c r="T805" s="195">
        <f t="shared" si="101"/>
        <v>0</v>
      </c>
      <c r="U805" s="195">
        <f t="shared" si="102"/>
        <v>0</v>
      </c>
      <c r="V805" s="195">
        <f t="shared" si="103"/>
        <v>0</v>
      </c>
      <c r="W805" s="196">
        <f t="shared" si="104"/>
        <v>0</v>
      </c>
      <c r="X805" s="197">
        <f t="shared" si="105"/>
        <v>0</v>
      </c>
    </row>
    <row r="806" ht="11.4" hidden="1" customHeight="1" spans="1:27">
      <c r="A806" s="184" t="s">
        <v>2262</v>
      </c>
      <c r="B806" s="184" t="s">
        <v>149</v>
      </c>
      <c r="C806" s="184" t="s">
        <v>2263</v>
      </c>
      <c r="D806" s="185" t="s">
        <v>522</v>
      </c>
      <c r="E806" s="186" t="s">
        <v>906</v>
      </c>
      <c r="F806" s="186" t="s">
        <v>907</v>
      </c>
      <c r="G806" s="186" t="s">
        <v>2264</v>
      </c>
      <c r="H806" s="186" t="s">
        <v>2265</v>
      </c>
      <c r="I806" s="187" t="s">
        <v>2306</v>
      </c>
      <c r="J806" s="187" t="s">
        <v>2307</v>
      </c>
      <c r="K806" s="188">
        <v>1</v>
      </c>
      <c r="L806" s="188">
        <v>1</v>
      </c>
      <c r="M806" s="189" t="s">
        <v>2308</v>
      </c>
      <c r="N806" s="190">
        <v>994.83</v>
      </c>
      <c r="O806" s="190">
        <f t="shared" si="98"/>
        <v>1084.36</v>
      </c>
      <c r="P806" s="191">
        <f t="shared" si="99"/>
        <v>994.83</v>
      </c>
      <c r="Q806" s="192">
        <f t="shared" si="100"/>
        <v>994.83</v>
      </c>
      <c r="R806" s="193"/>
      <c r="S806" s="194"/>
      <c r="T806" s="195">
        <f t="shared" si="101"/>
        <v>0</v>
      </c>
      <c r="U806" s="195">
        <f t="shared" si="102"/>
        <v>0</v>
      </c>
      <c r="V806" s="195">
        <f t="shared" si="103"/>
        <v>0</v>
      </c>
      <c r="W806" s="196">
        <f t="shared" si="104"/>
        <v>0</v>
      </c>
      <c r="X806" s="197">
        <f t="shared" si="105"/>
        <v>0</v>
      </c>
    </row>
    <row r="807" ht="11.4" hidden="1" customHeight="1" spans="1:27">
      <c r="A807" s="184" t="s">
        <v>2262</v>
      </c>
      <c r="B807" s="184" t="s">
        <v>149</v>
      </c>
      <c r="C807" s="184" t="s">
        <v>2263</v>
      </c>
      <c r="D807" s="185" t="s">
        <v>522</v>
      </c>
      <c r="E807" s="186" t="s">
        <v>906</v>
      </c>
      <c r="F807" s="186" t="s">
        <v>907</v>
      </c>
      <c r="G807" s="186" t="s">
        <v>2264</v>
      </c>
      <c r="H807" s="186" t="s">
        <v>2265</v>
      </c>
      <c r="I807" s="187" t="s">
        <v>2309</v>
      </c>
      <c r="J807" s="187" t="s">
        <v>2310</v>
      </c>
      <c r="K807" s="188">
        <v>1</v>
      </c>
      <c r="L807" s="188">
        <v>1</v>
      </c>
      <c r="M807" s="189" t="s">
        <v>2308</v>
      </c>
      <c r="N807" s="190">
        <v>1148.83</v>
      </c>
      <c r="O807" s="190">
        <f t="shared" si="98"/>
        <v>1252.22</v>
      </c>
      <c r="P807" s="191">
        <f t="shared" si="99"/>
        <v>1148.83</v>
      </c>
      <c r="Q807" s="192">
        <f t="shared" si="100"/>
        <v>1148.83</v>
      </c>
      <c r="R807" s="193"/>
      <c r="S807" s="194"/>
      <c r="T807" s="195">
        <f t="shared" si="101"/>
        <v>0</v>
      </c>
      <c r="U807" s="195">
        <f t="shared" si="102"/>
        <v>0</v>
      </c>
      <c r="V807" s="195">
        <f t="shared" si="103"/>
        <v>0</v>
      </c>
      <c r="W807" s="196">
        <f t="shared" si="104"/>
        <v>0</v>
      </c>
      <c r="X807" s="197">
        <f t="shared" si="105"/>
        <v>0</v>
      </c>
    </row>
    <row r="808" ht="11.4" hidden="1" customHeight="1" spans="1:27">
      <c r="A808" s="184" t="s">
        <v>2262</v>
      </c>
      <c r="B808" s="184" t="s">
        <v>149</v>
      </c>
      <c r="C808" s="184" t="s">
        <v>2263</v>
      </c>
      <c r="D808" s="185" t="s">
        <v>522</v>
      </c>
      <c r="E808" s="186" t="s">
        <v>906</v>
      </c>
      <c r="F808" s="186" t="s">
        <v>907</v>
      </c>
      <c r="G808" s="186" t="s">
        <v>2264</v>
      </c>
      <c r="H808" s="186" t="s">
        <v>2265</v>
      </c>
      <c r="I808" s="187" t="s">
        <v>2311</v>
      </c>
      <c r="J808" s="187" t="s">
        <v>2312</v>
      </c>
      <c r="K808" s="188"/>
      <c r="L808" s="188"/>
      <c r="M808" s="189" t="s">
        <v>963</v>
      </c>
      <c r="N808" s="190">
        <v>55.98</v>
      </c>
      <c r="O808" s="190">
        <f t="shared" si="98"/>
        <v>61.02</v>
      </c>
      <c r="P808" s="191">
        <f t="shared" si="99"/>
        <v>0</v>
      </c>
      <c r="Q808" s="192">
        <f t="shared" si="100"/>
        <v>0</v>
      </c>
      <c r="R808" s="193"/>
      <c r="S808" s="194"/>
      <c r="T808" s="195">
        <f t="shared" si="101"/>
        <v>0</v>
      </c>
      <c r="U808" s="195">
        <f t="shared" si="102"/>
        <v>0</v>
      </c>
      <c r="V808" s="195">
        <f t="shared" si="103"/>
        <v>0</v>
      </c>
      <c r="W808" s="196" t="e">
        <f t="shared" si="104"/>
        <v>#DIV/0!</v>
      </c>
      <c r="X808" s="197" t="e">
        <f t="shared" si="105"/>
        <v>#DIV/0!</v>
      </c>
    </row>
    <row r="809" ht="11.4" hidden="1" customHeight="1" spans="1:27">
      <c r="A809" s="184" t="s">
        <v>2262</v>
      </c>
      <c r="B809" s="184" t="s">
        <v>149</v>
      </c>
      <c r="C809" s="184" t="s">
        <v>2263</v>
      </c>
      <c r="D809" s="185" t="s">
        <v>522</v>
      </c>
      <c r="E809" s="186" t="s">
        <v>906</v>
      </c>
      <c r="F809" s="186" t="s">
        <v>907</v>
      </c>
      <c r="G809" s="186" t="s">
        <v>2264</v>
      </c>
      <c r="H809" s="186" t="s">
        <v>2265</v>
      </c>
      <c r="I809" s="187" t="s">
        <v>2313</v>
      </c>
      <c r="J809" s="187" t="s">
        <v>2314</v>
      </c>
      <c r="K809" s="188">
        <v>1</v>
      </c>
      <c r="L809" s="188">
        <v>1</v>
      </c>
      <c r="M809" s="189" t="s">
        <v>963</v>
      </c>
      <c r="N809" s="190">
        <v>80.18</v>
      </c>
      <c r="O809" s="190">
        <f t="shared" si="98"/>
        <v>87.4</v>
      </c>
      <c r="P809" s="191">
        <f t="shared" si="99"/>
        <v>80.18</v>
      </c>
      <c r="Q809" s="192">
        <f t="shared" si="100"/>
        <v>80.18</v>
      </c>
      <c r="R809" s="193"/>
      <c r="S809" s="194"/>
      <c r="T809" s="195">
        <f t="shared" si="101"/>
        <v>0</v>
      </c>
      <c r="U809" s="195">
        <f t="shared" si="102"/>
        <v>0</v>
      </c>
      <c r="V809" s="195">
        <f t="shared" si="103"/>
        <v>0</v>
      </c>
      <c r="W809" s="196">
        <f t="shared" si="104"/>
        <v>0</v>
      </c>
      <c r="X809" s="197">
        <f t="shared" si="105"/>
        <v>0</v>
      </c>
    </row>
    <row r="810" ht="11.4" hidden="1" customHeight="1" spans="1:27">
      <c r="A810" s="184" t="s">
        <v>2262</v>
      </c>
      <c r="B810" s="184" t="s">
        <v>149</v>
      </c>
      <c r="C810" s="184" t="s">
        <v>2263</v>
      </c>
      <c r="D810" s="185" t="s">
        <v>522</v>
      </c>
      <c r="E810" s="186" t="s">
        <v>906</v>
      </c>
      <c r="F810" s="186" t="s">
        <v>907</v>
      </c>
      <c r="G810" s="186" t="s">
        <v>2264</v>
      </c>
      <c r="H810" s="186" t="s">
        <v>2265</v>
      </c>
      <c r="I810" s="187" t="s">
        <v>2315</v>
      </c>
      <c r="J810" s="187" t="s">
        <v>2316</v>
      </c>
      <c r="K810" s="188">
        <v>1</v>
      </c>
      <c r="L810" s="188">
        <v>1</v>
      </c>
      <c r="M810" s="189" t="s">
        <v>963</v>
      </c>
      <c r="N810" s="190">
        <v>202.07</v>
      </c>
      <c r="O810" s="190">
        <f t="shared" si="98"/>
        <v>220.26</v>
      </c>
      <c r="P810" s="191">
        <f t="shared" si="99"/>
        <v>202.07</v>
      </c>
      <c r="Q810" s="192">
        <f t="shared" si="100"/>
        <v>202.07</v>
      </c>
      <c r="R810" s="193"/>
      <c r="S810" s="194"/>
      <c r="T810" s="195">
        <f t="shared" si="101"/>
        <v>0</v>
      </c>
      <c r="U810" s="195">
        <f t="shared" si="102"/>
        <v>0</v>
      </c>
      <c r="V810" s="195">
        <f t="shared" si="103"/>
        <v>0</v>
      </c>
      <c r="W810" s="196">
        <f t="shared" si="104"/>
        <v>0</v>
      </c>
      <c r="X810" s="197">
        <f t="shared" si="105"/>
        <v>0</v>
      </c>
    </row>
    <row r="811" ht="11.4" hidden="1" customHeight="1" spans="1:27">
      <c r="A811" s="184" t="s">
        <v>2262</v>
      </c>
      <c r="B811" s="184" t="s">
        <v>149</v>
      </c>
      <c r="C811" s="184" t="s">
        <v>2263</v>
      </c>
      <c r="D811" s="185" t="s">
        <v>522</v>
      </c>
      <c r="E811" s="186" t="s">
        <v>906</v>
      </c>
      <c r="F811" s="186" t="s">
        <v>907</v>
      </c>
      <c r="G811" s="186" t="s">
        <v>2264</v>
      </c>
      <c r="H811" s="186" t="s">
        <v>2317</v>
      </c>
      <c r="I811" s="187" t="s">
        <v>2318</v>
      </c>
      <c r="J811" s="187" t="s">
        <v>2319</v>
      </c>
      <c r="K811" s="188"/>
      <c r="L811" s="188"/>
      <c r="M811" s="189" t="s">
        <v>807</v>
      </c>
      <c r="N811" s="190">
        <v>24.81</v>
      </c>
      <c r="O811" s="190">
        <f t="shared" si="98"/>
        <v>27.04</v>
      </c>
      <c r="P811" s="191">
        <f t="shared" si="99"/>
        <v>0</v>
      </c>
      <c r="Q811" s="192">
        <f t="shared" si="100"/>
        <v>0</v>
      </c>
      <c r="R811" s="193"/>
      <c r="S811" s="194"/>
      <c r="T811" s="195">
        <f t="shared" si="101"/>
        <v>0</v>
      </c>
      <c r="U811" s="195">
        <f t="shared" si="102"/>
        <v>0</v>
      </c>
      <c r="V811" s="195">
        <f t="shared" si="103"/>
        <v>0</v>
      </c>
      <c r="W811" s="196" t="e">
        <f t="shared" si="104"/>
        <v>#DIV/0!</v>
      </c>
      <c r="X811" s="197" t="e">
        <f t="shared" si="105"/>
        <v>#DIV/0!</v>
      </c>
    </row>
    <row r="812" ht="11.4" hidden="1" customHeight="1" spans="1:27">
      <c r="A812" s="184" t="s">
        <v>2262</v>
      </c>
      <c r="B812" s="184" t="s">
        <v>149</v>
      </c>
      <c r="C812" s="184" t="s">
        <v>2263</v>
      </c>
      <c r="D812" s="185" t="s">
        <v>522</v>
      </c>
      <c r="E812" s="186" t="s">
        <v>906</v>
      </c>
      <c r="F812" s="186" t="s">
        <v>907</v>
      </c>
      <c r="G812" s="186" t="s">
        <v>2264</v>
      </c>
      <c r="H812" s="186" t="s">
        <v>2320</v>
      </c>
      <c r="I812" s="187" t="s">
        <v>2321</v>
      </c>
      <c r="J812" s="187" t="s">
        <v>2322</v>
      </c>
      <c r="K812" s="188">
        <v>5.59</v>
      </c>
      <c r="L812" s="188">
        <v>5.54</v>
      </c>
      <c r="M812" s="189" t="s">
        <v>807</v>
      </c>
      <c r="N812" s="190">
        <v>97.45</v>
      </c>
      <c r="O812" s="190">
        <f t="shared" si="98"/>
        <v>106.22</v>
      </c>
      <c r="P812" s="191">
        <f t="shared" si="99"/>
        <v>544.75</v>
      </c>
      <c r="Q812" s="192">
        <f t="shared" si="100"/>
        <v>539.87</v>
      </c>
      <c r="R812" s="193"/>
      <c r="S812" s="194"/>
      <c r="T812" s="195">
        <f t="shared" si="101"/>
        <v>0.0499999999999998</v>
      </c>
      <c r="U812" s="195">
        <f t="shared" si="102"/>
        <v>4.88</v>
      </c>
      <c r="V812" s="195">
        <f t="shared" si="103"/>
        <v>4.88</v>
      </c>
      <c r="W812" s="196">
        <f t="shared" si="104"/>
        <v>0.00902527075812271</v>
      </c>
      <c r="X812" s="197">
        <f t="shared" si="105"/>
        <v>0.00902527075812271</v>
      </c>
    </row>
    <row r="813" ht="11.4" hidden="1" customHeight="1" spans="1:27">
      <c r="A813" s="184" t="s">
        <v>2262</v>
      </c>
      <c r="B813" s="184" t="s">
        <v>149</v>
      </c>
      <c r="C813" s="184" t="s">
        <v>2263</v>
      </c>
      <c r="D813" s="185" t="s">
        <v>522</v>
      </c>
      <c r="E813" s="186" t="s">
        <v>906</v>
      </c>
      <c r="F813" s="186" t="s">
        <v>907</v>
      </c>
      <c r="G813" s="186" t="s">
        <v>2264</v>
      </c>
      <c r="H813" s="186" t="s">
        <v>2320</v>
      </c>
      <c r="I813" s="187" t="s">
        <v>2323</v>
      </c>
      <c r="J813" s="187" t="s">
        <v>2324</v>
      </c>
      <c r="K813" s="188"/>
      <c r="L813" s="188"/>
      <c r="M813" s="189" t="s">
        <v>807</v>
      </c>
      <c r="N813" s="190">
        <v>56.91</v>
      </c>
      <c r="O813" s="190">
        <f t="shared" si="98"/>
        <v>62.03</v>
      </c>
      <c r="P813" s="191">
        <f t="shared" si="99"/>
        <v>0</v>
      </c>
      <c r="Q813" s="192">
        <f t="shared" si="100"/>
        <v>0</v>
      </c>
      <c r="R813" s="193"/>
      <c r="S813" s="194"/>
      <c r="T813" s="195">
        <f t="shared" si="101"/>
        <v>0</v>
      </c>
      <c r="U813" s="195">
        <f t="shared" si="102"/>
        <v>0</v>
      </c>
      <c r="V813" s="195">
        <f t="shared" si="103"/>
        <v>0</v>
      </c>
      <c r="W813" s="196" t="e">
        <f t="shared" si="104"/>
        <v>#DIV/0!</v>
      </c>
      <c r="X813" s="197" t="e">
        <f t="shared" si="105"/>
        <v>#DIV/0!</v>
      </c>
    </row>
    <row r="814" ht="11.4" hidden="1" customHeight="1" spans="1:27">
      <c r="A814" s="184" t="s">
        <v>2262</v>
      </c>
      <c r="B814" s="184" t="s">
        <v>149</v>
      </c>
      <c r="C814" s="184" t="s">
        <v>2263</v>
      </c>
      <c r="D814" s="185" t="s">
        <v>522</v>
      </c>
      <c r="E814" s="186" t="s">
        <v>906</v>
      </c>
      <c r="F814" s="186" t="s">
        <v>907</v>
      </c>
      <c r="G814" s="186" t="s">
        <v>2264</v>
      </c>
      <c r="H814" s="186" t="s">
        <v>2320</v>
      </c>
      <c r="I814" s="187" t="s">
        <v>2325</v>
      </c>
      <c r="J814" s="187" t="s">
        <v>2326</v>
      </c>
      <c r="K814" s="188">
        <v>26.49</v>
      </c>
      <c r="L814" s="188">
        <v>26.11</v>
      </c>
      <c r="M814" s="189" t="s">
        <v>807</v>
      </c>
      <c r="N814" s="190">
        <v>39.03</v>
      </c>
      <c r="O814" s="190">
        <f t="shared" si="98"/>
        <v>42.54</v>
      </c>
      <c r="P814" s="191">
        <f t="shared" si="99"/>
        <v>1033.9</v>
      </c>
      <c r="Q814" s="192">
        <f t="shared" si="100"/>
        <v>1019.07</v>
      </c>
      <c r="R814" s="193"/>
      <c r="S814" s="194"/>
      <c r="T814" s="195">
        <f t="shared" si="101"/>
        <v>0.379999999999999</v>
      </c>
      <c r="U814" s="195">
        <f t="shared" si="102"/>
        <v>14.83</v>
      </c>
      <c r="V814" s="195">
        <f t="shared" si="103"/>
        <v>14.83</v>
      </c>
      <c r="W814" s="196">
        <f t="shared" si="104"/>
        <v>0.0145538108004596</v>
      </c>
      <c r="X814" s="197">
        <f t="shared" si="105"/>
        <v>0.0145538108004596</v>
      </c>
    </row>
    <row r="815" ht="11.4" hidden="1" customHeight="1" spans="1:27">
      <c r="A815" s="184" t="s">
        <v>2262</v>
      </c>
      <c r="B815" s="184" t="s">
        <v>149</v>
      </c>
      <c r="C815" s="184" t="s">
        <v>2263</v>
      </c>
      <c r="D815" s="185" t="s">
        <v>522</v>
      </c>
      <c r="E815" s="186" t="s">
        <v>906</v>
      </c>
      <c r="F815" s="186" t="s">
        <v>907</v>
      </c>
      <c r="G815" s="186" t="s">
        <v>2264</v>
      </c>
      <c r="H815" s="186" t="s">
        <v>2320</v>
      </c>
      <c r="I815" s="187" t="s">
        <v>2327</v>
      </c>
      <c r="J815" s="187" t="s">
        <v>2328</v>
      </c>
      <c r="K815" s="200">
        <f>40.77</f>
        <v>40.77</v>
      </c>
      <c r="L815" s="188">
        <v>38.4</v>
      </c>
      <c r="M815" s="189" t="s">
        <v>807</v>
      </c>
      <c r="N815" s="190">
        <v>24.95</v>
      </c>
      <c r="O815" s="190">
        <f t="shared" si="98"/>
        <v>27.2</v>
      </c>
      <c r="P815" s="191">
        <f t="shared" si="99"/>
        <v>1017.21</v>
      </c>
      <c r="Q815" s="192">
        <f t="shared" si="100"/>
        <v>958.08</v>
      </c>
      <c r="R815" s="193"/>
      <c r="S815" s="194"/>
      <c r="T815" s="195">
        <f t="shared" si="101"/>
        <v>2.37</v>
      </c>
      <c r="U815" s="195">
        <f t="shared" si="102"/>
        <v>59.13</v>
      </c>
      <c r="V815" s="195">
        <f t="shared" si="103"/>
        <v>59.13</v>
      </c>
      <c r="W815" s="196">
        <f t="shared" si="104"/>
        <v>0.0617187500000001</v>
      </c>
      <c r="X815" s="197">
        <f t="shared" si="105"/>
        <v>0.0617187500000001</v>
      </c>
      <c r="AA815" s="201" t="s">
        <v>3263</v>
      </c>
    </row>
    <row r="816" ht="11.4" hidden="1" customHeight="1" spans="1:27">
      <c r="A816" s="184" t="s">
        <v>2262</v>
      </c>
      <c r="B816" s="184" t="s">
        <v>149</v>
      </c>
      <c r="C816" s="184" t="s">
        <v>2263</v>
      </c>
      <c r="D816" s="185" t="s">
        <v>522</v>
      </c>
      <c r="E816" s="186" t="s">
        <v>906</v>
      </c>
      <c r="F816" s="186" t="s">
        <v>907</v>
      </c>
      <c r="G816" s="186" t="s">
        <v>2264</v>
      </c>
      <c r="H816" s="186" t="s">
        <v>2320</v>
      </c>
      <c r="I816" s="187" t="s">
        <v>2329</v>
      </c>
      <c r="J816" s="187" t="s">
        <v>2330</v>
      </c>
      <c r="K816" s="188"/>
      <c r="L816" s="188"/>
      <c r="M816" s="189" t="s">
        <v>807</v>
      </c>
      <c r="N816" s="190">
        <v>24.95</v>
      </c>
      <c r="O816" s="190">
        <f t="shared" si="98"/>
        <v>27.2</v>
      </c>
      <c r="P816" s="191">
        <f t="shared" si="99"/>
        <v>0</v>
      </c>
      <c r="Q816" s="192">
        <f t="shared" si="100"/>
        <v>0</v>
      </c>
      <c r="R816" s="193"/>
      <c r="S816" s="194"/>
      <c r="T816" s="195">
        <f t="shared" si="101"/>
        <v>0</v>
      </c>
      <c r="U816" s="195">
        <f t="shared" si="102"/>
        <v>0</v>
      </c>
      <c r="V816" s="195">
        <f t="shared" si="103"/>
        <v>0</v>
      </c>
      <c r="W816" s="196" t="e">
        <f t="shared" si="104"/>
        <v>#DIV/0!</v>
      </c>
      <c r="X816" s="197" t="e">
        <f t="shared" si="105"/>
        <v>#DIV/0!</v>
      </c>
    </row>
    <row r="817" ht="11.4" hidden="1" customHeight="1" spans="1:27">
      <c r="A817" s="184" t="s">
        <v>2262</v>
      </c>
      <c r="B817" s="184" t="s">
        <v>149</v>
      </c>
      <c r="C817" s="184" t="s">
        <v>2263</v>
      </c>
      <c r="D817" s="185" t="s">
        <v>522</v>
      </c>
      <c r="E817" s="186" t="s">
        <v>906</v>
      </c>
      <c r="F817" s="186" t="s">
        <v>907</v>
      </c>
      <c r="G817" s="186" t="s">
        <v>2264</v>
      </c>
      <c r="H817" s="186" t="s">
        <v>2320</v>
      </c>
      <c r="I817" s="187" t="s">
        <v>2331</v>
      </c>
      <c r="J817" s="187" t="s">
        <v>2332</v>
      </c>
      <c r="K817" s="188">
        <v>20</v>
      </c>
      <c r="L817" s="188">
        <v>20</v>
      </c>
      <c r="M817" s="189" t="s">
        <v>807</v>
      </c>
      <c r="N817" s="190">
        <v>34.08</v>
      </c>
      <c r="O817" s="190">
        <f t="shared" si="98"/>
        <v>37.15</v>
      </c>
      <c r="P817" s="191">
        <f t="shared" si="99"/>
        <v>681.6</v>
      </c>
      <c r="Q817" s="192">
        <f t="shared" si="100"/>
        <v>681.6</v>
      </c>
      <c r="R817" s="193"/>
      <c r="S817" s="194"/>
      <c r="T817" s="195">
        <f t="shared" si="101"/>
        <v>0</v>
      </c>
      <c r="U817" s="195">
        <f t="shared" si="102"/>
        <v>0</v>
      </c>
      <c r="V817" s="195">
        <f t="shared" si="103"/>
        <v>0</v>
      </c>
      <c r="W817" s="196">
        <f t="shared" si="104"/>
        <v>0</v>
      </c>
      <c r="X817" s="197">
        <f t="shared" si="105"/>
        <v>0</v>
      </c>
    </row>
    <row r="818" ht="11.4" hidden="1" customHeight="1" spans="1:27">
      <c r="A818" s="184" t="s">
        <v>2262</v>
      </c>
      <c r="B818" s="184" t="s">
        <v>149</v>
      </c>
      <c r="C818" s="184" t="s">
        <v>2263</v>
      </c>
      <c r="D818" s="185" t="s">
        <v>522</v>
      </c>
      <c r="E818" s="186" t="s">
        <v>906</v>
      </c>
      <c r="F818" s="186" t="s">
        <v>907</v>
      </c>
      <c r="G818" s="186" t="s">
        <v>2264</v>
      </c>
      <c r="H818" s="186" t="s">
        <v>2320</v>
      </c>
      <c r="I818" s="187" t="s">
        <v>2333</v>
      </c>
      <c r="J818" s="187" t="s">
        <v>2334</v>
      </c>
      <c r="K818" s="200">
        <v>3</v>
      </c>
      <c r="L818" s="188">
        <v>1</v>
      </c>
      <c r="M818" s="189" t="s">
        <v>963</v>
      </c>
      <c r="N818" s="190">
        <v>196.45</v>
      </c>
      <c r="O818" s="190">
        <f t="shared" si="98"/>
        <v>214.13</v>
      </c>
      <c r="P818" s="191">
        <f t="shared" si="99"/>
        <v>589.35</v>
      </c>
      <c r="Q818" s="192">
        <f t="shared" si="100"/>
        <v>196.45</v>
      </c>
      <c r="R818" s="193"/>
      <c r="S818" s="194"/>
      <c r="T818" s="195">
        <f t="shared" si="101"/>
        <v>2</v>
      </c>
      <c r="U818" s="195">
        <f t="shared" si="102"/>
        <v>392.9</v>
      </c>
      <c r="V818" s="195">
        <f t="shared" si="103"/>
        <v>392.9</v>
      </c>
      <c r="W818" s="196">
        <f t="shared" si="104"/>
        <v>2</v>
      </c>
      <c r="X818" s="197">
        <f t="shared" si="105"/>
        <v>2</v>
      </c>
      <c r="AA818" s="201" t="s">
        <v>3263</v>
      </c>
    </row>
    <row r="819" ht="11.4" hidden="1" customHeight="1" spans="1:27">
      <c r="A819" s="184" t="s">
        <v>2262</v>
      </c>
      <c r="B819" s="184" t="s">
        <v>149</v>
      </c>
      <c r="C819" s="184" t="s">
        <v>2263</v>
      </c>
      <c r="D819" s="185" t="s">
        <v>522</v>
      </c>
      <c r="E819" s="186" t="s">
        <v>906</v>
      </c>
      <c r="F819" s="186" t="s">
        <v>907</v>
      </c>
      <c r="G819" s="186" t="s">
        <v>2264</v>
      </c>
      <c r="H819" s="186" t="s">
        <v>2320</v>
      </c>
      <c r="I819" s="187" t="s">
        <v>2335</v>
      </c>
      <c r="J819" s="187" t="s">
        <v>2336</v>
      </c>
      <c r="K819" s="188">
        <v>4</v>
      </c>
      <c r="L819" s="188">
        <v>4</v>
      </c>
      <c r="M819" s="189" t="s">
        <v>963</v>
      </c>
      <c r="N819" s="190">
        <v>245.17</v>
      </c>
      <c r="O819" s="190">
        <f t="shared" si="98"/>
        <v>267.24</v>
      </c>
      <c r="P819" s="191">
        <f t="shared" si="99"/>
        <v>980.68</v>
      </c>
      <c r="Q819" s="192">
        <f t="shared" si="100"/>
        <v>980.68</v>
      </c>
      <c r="R819" s="193"/>
      <c r="S819" s="194"/>
      <c r="T819" s="195">
        <f t="shared" si="101"/>
        <v>0</v>
      </c>
      <c r="U819" s="195">
        <f t="shared" si="102"/>
        <v>0</v>
      </c>
      <c r="V819" s="195">
        <f t="shared" si="103"/>
        <v>0</v>
      </c>
      <c r="W819" s="196">
        <f t="shared" si="104"/>
        <v>0</v>
      </c>
      <c r="X819" s="197">
        <f t="shared" si="105"/>
        <v>0</v>
      </c>
    </row>
    <row r="820" ht="11.4" hidden="1" customHeight="1" spans="1:27">
      <c r="A820" s="184" t="s">
        <v>2262</v>
      </c>
      <c r="B820" s="184" t="s">
        <v>149</v>
      </c>
      <c r="C820" s="184" t="s">
        <v>2263</v>
      </c>
      <c r="D820" s="185" t="s">
        <v>522</v>
      </c>
      <c r="E820" s="186" t="s">
        <v>906</v>
      </c>
      <c r="F820" s="186" t="s">
        <v>907</v>
      </c>
      <c r="G820" s="186" t="s">
        <v>2264</v>
      </c>
      <c r="H820" s="186" t="s">
        <v>2320</v>
      </c>
      <c r="I820" s="187" t="s">
        <v>2337</v>
      </c>
      <c r="J820" s="187" t="s">
        <v>2338</v>
      </c>
      <c r="K820" s="188">
        <v>4</v>
      </c>
      <c r="L820" s="188">
        <v>4</v>
      </c>
      <c r="M820" s="189" t="s">
        <v>963</v>
      </c>
      <c r="N820" s="190">
        <v>29.9</v>
      </c>
      <c r="O820" s="190">
        <f t="shared" si="98"/>
        <v>32.59</v>
      </c>
      <c r="P820" s="191">
        <f t="shared" si="99"/>
        <v>119.6</v>
      </c>
      <c r="Q820" s="192">
        <f t="shared" si="100"/>
        <v>119.6</v>
      </c>
      <c r="R820" s="193"/>
      <c r="S820" s="194"/>
      <c r="T820" s="195">
        <f t="shared" si="101"/>
        <v>0</v>
      </c>
      <c r="U820" s="195">
        <f t="shared" si="102"/>
        <v>0</v>
      </c>
      <c r="V820" s="195">
        <f t="shared" si="103"/>
        <v>0</v>
      </c>
      <c r="W820" s="196">
        <f t="shared" si="104"/>
        <v>0</v>
      </c>
      <c r="X820" s="197">
        <f t="shared" si="105"/>
        <v>0</v>
      </c>
    </row>
    <row r="821" ht="11.4" hidden="1" customHeight="1" spans="1:27">
      <c r="A821" s="184" t="s">
        <v>2262</v>
      </c>
      <c r="B821" s="184" t="s">
        <v>149</v>
      </c>
      <c r="C821" s="184" t="s">
        <v>2263</v>
      </c>
      <c r="D821" s="185" t="s">
        <v>522</v>
      </c>
      <c r="E821" s="186" t="s">
        <v>906</v>
      </c>
      <c r="F821" s="186" t="s">
        <v>907</v>
      </c>
      <c r="G821" s="186" t="s">
        <v>2264</v>
      </c>
      <c r="H821" s="186" t="s">
        <v>2320</v>
      </c>
      <c r="I821" s="187" t="s">
        <v>2339</v>
      </c>
      <c r="J821" s="187" t="s">
        <v>2340</v>
      </c>
      <c r="K821" s="188"/>
      <c r="L821" s="188"/>
      <c r="M821" s="189" t="s">
        <v>793</v>
      </c>
      <c r="N821" s="190"/>
      <c r="O821" s="190">
        <f t="shared" si="98"/>
        <v>0</v>
      </c>
      <c r="P821" s="191">
        <f t="shared" si="99"/>
        <v>0</v>
      </c>
      <c r="Q821" s="192">
        <f t="shared" si="100"/>
        <v>0</v>
      </c>
      <c r="R821" s="193"/>
      <c r="S821" s="194"/>
      <c r="T821" s="195">
        <f t="shared" si="101"/>
        <v>0</v>
      </c>
      <c r="U821" s="195">
        <f t="shared" si="102"/>
        <v>0</v>
      </c>
      <c r="V821" s="195">
        <f t="shared" si="103"/>
        <v>0</v>
      </c>
      <c r="W821" s="196" t="e">
        <f t="shared" si="104"/>
        <v>#DIV/0!</v>
      </c>
      <c r="X821" s="197" t="e">
        <f t="shared" si="105"/>
        <v>#DIV/0!</v>
      </c>
    </row>
    <row r="822" ht="11.4" hidden="1" customHeight="1" spans="1:27">
      <c r="A822" s="184" t="s">
        <v>2262</v>
      </c>
      <c r="B822" s="184" t="s">
        <v>149</v>
      </c>
      <c r="C822" s="184" t="s">
        <v>2263</v>
      </c>
      <c r="D822" s="185" t="s">
        <v>522</v>
      </c>
      <c r="E822" s="186" t="s">
        <v>906</v>
      </c>
      <c r="F822" s="186" t="s">
        <v>907</v>
      </c>
      <c r="G822" s="186" t="s">
        <v>2264</v>
      </c>
      <c r="H822" s="186" t="s">
        <v>2265</v>
      </c>
      <c r="I822" s="187" t="s">
        <v>2341</v>
      </c>
      <c r="J822" s="187" t="s">
        <v>2342</v>
      </c>
      <c r="K822" s="188">
        <v>2</v>
      </c>
      <c r="L822" s="188">
        <v>2</v>
      </c>
      <c r="M822" s="189" t="s">
        <v>963</v>
      </c>
      <c r="N822" s="190">
        <v>134.85</v>
      </c>
      <c r="O822" s="190">
        <f t="shared" si="98"/>
        <v>146.99</v>
      </c>
      <c r="P822" s="191">
        <f t="shared" si="99"/>
        <v>269.7</v>
      </c>
      <c r="Q822" s="192">
        <f t="shared" si="100"/>
        <v>269.7</v>
      </c>
      <c r="R822" s="193"/>
      <c r="S822" s="194"/>
      <c r="T822" s="195">
        <f t="shared" si="101"/>
        <v>0</v>
      </c>
      <c r="U822" s="195">
        <f t="shared" si="102"/>
        <v>0</v>
      </c>
      <c r="V822" s="195">
        <f t="shared" si="103"/>
        <v>0</v>
      </c>
      <c r="W822" s="196">
        <f t="shared" si="104"/>
        <v>0</v>
      </c>
      <c r="X822" s="197">
        <f t="shared" si="105"/>
        <v>0</v>
      </c>
    </row>
    <row r="823" ht="11.4" hidden="1" customHeight="1" spans="1:27">
      <c r="A823" s="184" t="s">
        <v>2262</v>
      </c>
      <c r="B823" s="184" t="s">
        <v>149</v>
      </c>
      <c r="C823" s="184" t="s">
        <v>2263</v>
      </c>
      <c r="D823" s="185" t="s">
        <v>522</v>
      </c>
      <c r="E823" s="186" t="s">
        <v>906</v>
      </c>
      <c r="F823" s="186" t="s">
        <v>907</v>
      </c>
      <c r="G823" s="186" t="s">
        <v>2264</v>
      </c>
      <c r="H823" s="186" t="s">
        <v>2265</v>
      </c>
      <c r="I823" s="187" t="s">
        <v>2343</v>
      </c>
      <c r="J823" s="187" t="s">
        <v>2344</v>
      </c>
      <c r="K823" s="188">
        <v>1</v>
      </c>
      <c r="L823" s="188">
        <v>1</v>
      </c>
      <c r="M823" s="189" t="s">
        <v>963</v>
      </c>
      <c r="N823" s="190">
        <v>416.64</v>
      </c>
      <c r="O823" s="190">
        <f t="shared" si="98"/>
        <v>454.14</v>
      </c>
      <c r="P823" s="191">
        <f t="shared" si="99"/>
        <v>416.64</v>
      </c>
      <c r="Q823" s="192">
        <f t="shared" si="100"/>
        <v>416.64</v>
      </c>
      <c r="R823" s="193"/>
      <c r="S823" s="194"/>
      <c r="T823" s="195">
        <f t="shared" si="101"/>
        <v>0</v>
      </c>
      <c r="U823" s="195">
        <f t="shared" si="102"/>
        <v>0</v>
      </c>
      <c r="V823" s="195">
        <f t="shared" si="103"/>
        <v>0</v>
      </c>
      <c r="W823" s="196">
        <f t="shared" si="104"/>
        <v>0</v>
      </c>
      <c r="X823" s="197">
        <f t="shared" si="105"/>
        <v>0</v>
      </c>
    </row>
    <row r="824" ht="11.4" hidden="1" customHeight="1" spans="1:27">
      <c r="A824" s="184" t="s">
        <v>2262</v>
      </c>
      <c r="B824" s="184" t="s">
        <v>149</v>
      </c>
      <c r="C824" s="184" t="s">
        <v>2263</v>
      </c>
      <c r="D824" s="185" t="s">
        <v>522</v>
      </c>
      <c r="E824" s="186" t="s">
        <v>906</v>
      </c>
      <c r="F824" s="186" t="s">
        <v>907</v>
      </c>
      <c r="G824" s="186" t="s">
        <v>2264</v>
      </c>
      <c r="H824" s="186" t="s">
        <v>2265</v>
      </c>
      <c r="I824" s="187" t="s">
        <v>2345</v>
      </c>
      <c r="J824" s="187" t="s">
        <v>2346</v>
      </c>
      <c r="K824" s="188"/>
      <c r="L824" s="188"/>
      <c r="M824" s="189" t="s">
        <v>963</v>
      </c>
      <c r="N824" s="190">
        <v>454.51</v>
      </c>
      <c r="O824" s="190">
        <f t="shared" si="98"/>
        <v>495.42</v>
      </c>
      <c r="P824" s="191">
        <f t="shared" si="99"/>
        <v>0</v>
      </c>
      <c r="Q824" s="192">
        <f t="shared" si="100"/>
        <v>0</v>
      </c>
      <c r="R824" s="193"/>
      <c r="S824" s="194"/>
      <c r="T824" s="195">
        <f t="shared" si="101"/>
        <v>0</v>
      </c>
      <c r="U824" s="195">
        <f t="shared" si="102"/>
        <v>0</v>
      </c>
      <c r="V824" s="195">
        <f t="shared" si="103"/>
        <v>0</v>
      </c>
      <c r="W824" s="196" t="e">
        <f t="shared" si="104"/>
        <v>#DIV/0!</v>
      </c>
      <c r="X824" s="197" t="e">
        <f t="shared" si="105"/>
        <v>#DIV/0!</v>
      </c>
    </row>
    <row r="825" ht="11.4" hidden="1" customHeight="1" spans="1:27">
      <c r="A825" s="184" t="s">
        <v>2262</v>
      </c>
      <c r="B825" s="184" t="s">
        <v>149</v>
      </c>
      <c r="C825" s="184" t="s">
        <v>2263</v>
      </c>
      <c r="D825" s="185" t="s">
        <v>522</v>
      </c>
      <c r="E825" s="186" t="s">
        <v>906</v>
      </c>
      <c r="F825" s="186" t="s">
        <v>907</v>
      </c>
      <c r="G825" s="186" t="s">
        <v>2264</v>
      </c>
      <c r="H825" s="186" t="s">
        <v>2265</v>
      </c>
      <c r="I825" s="187" t="s">
        <v>2347</v>
      </c>
      <c r="J825" s="187" t="s">
        <v>2348</v>
      </c>
      <c r="K825" s="188">
        <v>1</v>
      </c>
      <c r="L825" s="188">
        <v>1</v>
      </c>
      <c r="M825" s="189" t="s">
        <v>963</v>
      </c>
      <c r="N825" s="190">
        <v>236.73</v>
      </c>
      <c r="O825" s="190">
        <f t="shared" si="98"/>
        <v>258.04</v>
      </c>
      <c r="P825" s="191">
        <f t="shared" si="99"/>
        <v>236.73</v>
      </c>
      <c r="Q825" s="192">
        <f t="shared" si="100"/>
        <v>236.73</v>
      </c>
      <c r="R825" s="193"/>
      <c r="S825" s="194"/>
      <c r="T825" s="195">
        <f t="shared" si="101"/>
        <v>0</v>
      </c>
      <c r="U825" s="195">
        <f t="shared" si="102"/>
        <v>0</v>
      </c>
      <c r="V825" s="195">
        <f t="shared" si="103"/>
        <v>0</v>
      </c>
      <c r="W825" s="196">
        <f t="shared" si="104"/>
        <v>0</v>
      </c>
      <c r="X825" s="197">
        <f t="shared" si="105"/>
        <v>0</v>
      </c>
    </row>
    <row r="826" ht="11.4" hidden="1" customHeight="1" spans="1:27">
      <c r="A826" s="184" t="s">
        <v>904</v>
      </c>
      <c r="B826" s="184" t="s">
        <v>153</v>
      </c>
      <c r="C826" s="184" t="s">
        <v>905</v>
      </c>
      <c r="D826" s="185" t="s">
        <v>522</v>
      </c>
      <c r="E826" s="186" t="s">
        <v>906</v>
      </c>
      <c r="F826" s="186" t="s">
        <v>907</v>
      </c>
      <c r="G826" s="186" t="s">
        <v>908</v>
      </c>
      <c r="H826" s="186" t="s">
        <v>909</v>
      </c>
      <c r="I826" s="187" t="s">
        <v>2349</v>
      </c>
      <c r="J826" s="187" t="s">
        <v>2350</v>
      </c>
      <c r="K826" s="188"/>
      <c r="L826" s="188"/>
      <c r="M826" s="189" t="s">
        <v>989</v>
      </c>
      <c r="N826" s="190">
        <v>5000.89</v>
      </c>
      <c r="O826" s="190">
        <f t="shared" si="98"/>
        <v>5450.97</v>
      </c>
      <c r="P826" s="191">
        <f t="shared" si="99"/>
        <v>0</v>
      </c>
      <c r="Q826" s="192">
        <f t="shared" si="100"/>
        <v>0</v>
      </c>
      <c r="R826" s="193"/>
      <c r="S826" s="194"/>
      <c r="T826" s="195">
        <f t="shared" si="101"/>
        <v>0</v>
      </c>
      <c r="U826" s="195">
        <f t="shared" si="102"/>
        <v>0</v>
      </c>
      <c r="V826" s="195">
        <f t="shared" si="103"/>
        <v>0</v>
      </c>
      <c r="W826" s="196" t="e">
        <f t="shared" si="104"/>
        <v>#DIV/0!</v>
      </c>
      <c r="X826" s="197" t="e">
        <f t="shared" si="105"/>
        <v>#DIV/0!</v>
      </c>
    </row>
    <row r="827" ht="11.4" hidden="1" customHeight="1" spans="1:27">
      <c r="A827" s="184" t="s">
        <v>904</v>
      </c>
      <c r="B827" s="184" t="s">
        <v>153</v>
      </c>
      <c r="C827" s="184" t="s">
        <v>905</v>
      </c>
      <c r="D827" s="185" t="s">
        <v>522</v>
      </c>
      <c r="E827" s="186" t="s">
        <v>906</v>
      </c>
      <c r="F827" s="186" t="s">
        <v>907</v>
      </c>
      <c r="G827" s="186" t="s">
        <v>908</v>
      </c>
      <c r="H827" s="186" t="s">
        <v>909</v>
      </c>
      <c r="I827" s="187" t="s">
        <v>2352</v>
      </c>
      <c r="J827" s="187" t="s">
        <v>2353</v>
      </c>
      <c r="K827" s="188">
        <v>1</v>
      </c>
      <c r="L827" s="188">
        <v>1</v>
      </c>
      <c r="M827" s="189" t="s">
        <v>989</v>
      </c>
      <c r="N827" s="190">
        <v>4096.03</v>
      </c>
      <c r="O827" s="190">
        <f t="shared" si="98"/>
        <v>4464.67</v>
      </c>
      <c r="P827" s="191">
        <f t="shared" si="99"/>
        <v>4096.03</v>
      </c>
      <c r="Q827" s="192">
        <f t="shared" si="100"/>
        <v>4096.03</v>
      </c>
      <c r="R827" s="193"/>
      <c r="S827" s="194"/>
      <c r="T827" s="195">
        <f t="shared" si="101"/>
        <v>0</v>
      </c>
      <c r="U827" s="195">
        <f t="shared" si="102"/>
        <v>0</v>
      </c>
      <c r="V827" s="195">
        <f t="shared" si="103"/>
        <v>0</v>
      </c>
      <c r="W827" s="196">
        <f t="shared" si="104"/>
        <v>0</v>
      </c>
      <c r="X827" s="197">
        <f t="shared" si="105"/>
        <v>0</v>
      </c>
    </row>
    <row r="828" ht="11.4" hidden="1" customHeight="1" spans="1:27">
      <c r="A828" s="184" t="s">
        <v>904</v>
      </c>
      <c r="B828" s="184" t="s">
        <v>153</v>
      </c>
      <c r="C828" s="184" t="s">
        <v>905</v>
      </c>
      <c r="D828" s="185" t="s">
        <v>522</v>
      </c>
      <c r="E828" s="186" t="s">
        <v>906</v>
      </c>
      <c r="F828" s="186" t="s">
        <v>907</v>
      </c>
      <c r="G828" s="186" t="s">
        <v>908</v>
      </c>
      <c r="H828" s="186" t="s">
        <v>909</v>
      </c>
      <c r="I828" s="187" t="s">
        <v>2354</v>
      </c>
      <c r="J828" s="187" t="s">
        <v>2355</v>
      </c>
      <c r="K828" s="188">
        <v>1</v>
      </c>
      <c r="L828" s="188">
        <v>1</v>
      </c>
      <c r="M828" s="189" t="s">
        <v>989</v>
      </c>
      <c r="N828" s="190">
        <v>1924.76</v>
      </c>
      <c r="O828" s="190">
        <f t="shared" si="98"/>
        <v>2097.99</v>
      </c>
      <c r="P828" s="191">
        <f t="shared" si="99"/>
        <v>1924.76</v>
      </c>
      <c r="Q828" s="192">
        <f t="shared" si="100"/>
        <v>1924.76</v>
      </c>
      <c r="R828" s="193"/>
      <c r="S828" s="194"/>
      <c r="T828" s="195">
        <f t="shared" si="101"/>
        <v>0</v>
      </c>
      <c r="U828" s="195">
        <f t="shared" si="102"/>
        <v>0</v>
      </c>
      <c r="V828" s="195">
        <f t="shared" si="103"/>
        <v>0</v>
      </c>
      <c r="W828" s="196">
        <f t="shared" si="104"/>
        <v>0</v>
      </c>
      <c r="X828" s="197">
        <f t="shared" si="105"/>
        <v>0</v>
      </c>
    </row>
    <row r="829" ht="11.4" hidden="1" customHeight="1" spans="1:27">
      <c r="A829" s="184" t="s">
        <v>904</v>
      </c>
      <c r="B829" s="184" t="s">
        <v>153</v>
      </c>
      <c r="C829" s="184" t="s">
        <v>905</v>
      </c>
      <c r="D829" s="185" t="s">
        <v>522</v>
      </c>
      <c r="E829" s="186" t="s">
        <v>906</v>
      </c>
      <c r="F829" s="186" t="s">
        <v>907</v>
      </c>
      <c r="G829" s="186" t="s">
        <v>908</v>
      </c>
      <c r="H829" s="186" t="s">
        <v>909</v>
      </c>
      <c r="I829" s="187" t="s">
        <v>2356</v>
      </c>
      <c r="J829" s="187" t="s">
        <v>2357</v>
      </c>
      <c r="K829" s="188"/>
      <c r="L829" s="188"/>
      <c r="M829" s="189" t="s">
        <v>989</v>
      </c>
      <c r="N829" s="190">
        <v>1165.33</v>
      </c>
      <c r="O829" s="190">
        <f t="shared" si="98"/>
        <v>1270.21</v>
      </c>
      <c r="P829" s="191">
        <f t="shared" si="99"/>
        <v>0</v>
      </c>
      <c r="Q829" s="192">
        <f t="shared" si="100"/>
        <v>0</v>
      </c>
      <c r="R829" s="193"/>
      <c r="S829" s="194"/>
      <c r="T829" s="195">
        <f t="shared" si="101"/>
        <v>0</v>
      </c>
      <c r="U829" s="195">
        <f t="shared" si="102"/>
        <v>0</v>
      </c>
      <c r="V829" s="195">
        <f t="shared" si="103"/>
        <v>0</v>
      </c>
      <c r="W829" s="196" t="e">
        <f t="shared" si="104"/>
        <v>#DIV/0!</v>
      </c>
      <c r="X829" s="197" t="e">
        <f t="shared" si="105"/>
        <v>#DIV/0!</v>
      </c>
    </row>
    <row r="830" ht="11.4" hidden="1" customHeight="1" spans="1:27">
      <c r="A830" s="184" t="s">
        <v>904</v>
      </c>
      <c r="B830" s="184" t="s">
        <v>153</v>
      </c>
      <c r="C830" s="184" t="s">
        <v>905</v>
      </c>
      <c r="D830" s="185" t="s">
        <v>522</v>
      </c>
      <c r="E830" s="186" t="s">
        <v>906</v>
      </c>
      <c r="F830" s="186" t="s">
        <v>907</v>
      </c>
      <c r="G830" s="186" t="s">
        <v>908</v>
      </c>
      <c r="H830" s="186" t="s">
        <v>909</v>
      </c>
      <c r="I830" s="187" t="s">
        <v>2358</v>
      </c>
      <c r="J830" s="187" t="s">
        <v>2359</v>
      </c>
      <c r="K830" s="188"/>
      <c r="L830" s="188"/>
      <c r="M830" s="189" t="s">
        <v>989</v>
      </c>
      <c r="N830" s="190">
        <v>918.38</v>
      </c>
      <c r="O830" s="190">
        <f t="shared" si="98"/>
        <v>1001.03</v>
      </c>
      <c r="P830" s="191">
        <f t="shared" si="99"/>
        <v>0</v>
      </c>
      <c r="Q830" s="192">
        <f t="shared" si="100"/>
        <v>0</v>
      </c>
      <c r="R830" s="193"/>
      <c r="S830" s="194"/>
      <c r="T830" s="195">
        <f t="shared" si="101"/>
        <v>0</v>
      </c>
      <c r="U830" s="195">
        <f t="shared" si="102"/>
        <v>0</v>
      </c>
      <c r="V830" s="195">
        <f t="shared" si="103"/>
        <v>0</v>
      </c>
      <c r="W830" s="196" t="e">
        <f t="shared" si="104"/>
        <v>#DIV/0!</v>
      </c>
      <c r="X830" s="197" t="e">
        <f t="shared" si="105"/>
        <v>#DIV/0!</v>
      </c>
    </row>
    <row r="831" ht="11.4" hidden="1" customHeight="1" spans="1:27">
      <c r="A831" s="184" t="s">
        <v>904</v>
      </c>
      <c r="B831" s="184" t="s">
        <v>153</v>
      </c>
      <c r="C831" s="184" t="s">
        <v>905</v>
      </c>
      <c r="D831" s="185" t="s">
        <v>522</v>
      </c>
      <c r="E831" s="186" t="s">
        <v>906</v>
      </c>
      <c r="F831" s="186" t="s">
        <v>907</v>
      </c>
      <c r="G831" s="186" t="s">
        <v>908</v>
      </c>
      <c r="H831" s="186" t="s">
        <v>909</v>
      </c>
      <c r="I831" s="187" t="s">
        <v>2360</v>
      </c>
      <c r="J831" s="187" t="s">
        <v>2361</v>
      </c>
      <c r="K831" s="188">
        <v>2</v>
      </c>
      <c r="L831" s="188">
        <v>2</v>
      </c>
      <c r="M831" s="189" t="s">
        <v>989</v>
      </c>
      <c r="N831" s="190">
        <v>944.89</v>
      </c>
      <c r="O831" s="190">
        <f t="shared" si="98"/>
        <v>1029.93</v>
      </c>
      <c r="P831" s="191">
        <f t="shared" si="99"/>
        <v>1889.78</v>
      </c>
      <c r="Q831" s="192">
        <f t="shared" si="100"/>
        <v>1889.78</v>
      </c>
      <c r="R831" s="193"/>
      <c r="S831" s="194"/>
      <c r="T831" s="195">
        <f t="shared" si="101"/>
        <v>0</v>
      </c>
      <c r="U831" s="195">
        <f t="shared" si="102"/>
        <v>0</v>
      </c>
      <c r="V831" s="195">
        <f t="shared" si="103"/>
        <v>0</v>
      </c>
      <c r="W831" s="196">
        <f t="shared" si="104"/>
        <v>0</v>
      </c>
      <c r="X831" s="197">
        <f t="shared" si="105"/>
        <v>0</v>
      </c>
    </row>
    <row r="832" ht="11.4" hidden="1" customHeight="1" spans="1:27">
      <c r="A832" s="184" t="s">
        <v>904</v>
      </c>
      <c r="B832" s="184" t="s">
        <v>153</v>
      </c>
      <c r="C832" s="184" t="s">
        <v>905</v>
      </c>
      <c r="D832" s="185" t="s">
        <v>522</v>
      </c>
      <c r="E832" s="186" t="s">
        <v>906</v>
      </c>
      <c r="F832" s="186" t="s">
        <v>907</v>
      </c>
      <c r="G832" s="186" t="s">
        <v>908</v>
      </c>
      <c r="H832" s="186" t="s">
        <v>909</v>
      </c>
      <c r="I832" s="187" t="s">
        <v>2362</v>
      </c>
      <c r="J832" s="187" t="s">
        <v>2363</v>
      </c>
      <c r="K832" s="188">
        <v>3</v>
      </c>
      <c r="L832" s="188">
        <v>3</v>
      </c>
      <c r="M832" s="189" t="s">
        <v>989</v>
      </c>
      <c r="N832" s="190">
        <v>621.38</v>
      </c>
      <c r="O832" s="190">
        <f t="shared" si="98"/>
        <v>677.3</v>
      </c>
      <c r="P832" s="191">
        <f t="shared" si="99"/>
        <v>1864.14</v>
      </c>
      <c r="Q832" s="192">
        <f t="shared" si="100"/>
        <v>1864.14</v>
      </c>
      <c r="R832" s="193"/>
      <c r="S832" s="194"/>
      <c r="T832" s="195">
        <f t="shared" si="101"/>
        <v>0</v>
      </c>
      <c r="U832" s="195">
        <f t="shared" si="102"/>
        <v>0</v>
      </c>
      <c r="V832" s="195">
        <f t="shared" si="103"/>
        <v>0</v>
      </c>
      <c r="W832" s="196">
        <f t="shared" si="104"/>
        <v>0</v>
      </c>
      <c r="X832" s="197">
        <f t="shared" si="105"/>
        <v>0</v>
      </c>
    </row>
    <row r="833" ht="11.4" hidden="1" customHeight="1" spans="1:24">
      <c r="A833" s="184" t="s">
        <v>904</v>
      </c>
      <c r="B833" s="184" t="s">
        <v>153</v>
      </c>
      <c r="C833" s="184" t="s">
        <v>905</v>
      </c>
      <c r="D833" s="185" t="s">
        <v>522</v>
      </c>
      <c r="E833" s="186" t="s">
        <v>906</v>
      </c>
      <c r="F833" s="186" t="s">
        <v>907</v>
      </c>
      <c r="G833" s="186" t="s">
        <v>908</v>
      </c>
      <c r="H833" s="186" t="s">
        <v>909</v>
      </c>
      <c r="I833" s="187" t="s">
        <v>2364</v>
      </c>
      <c r="J833" s="187" t="s">
        <v>2365</v>
      </c>
      <c r="K833" s="188"/>
      <c r="L833" s="188"/>
      <c r="M833" s="189" t="s">
        <v>989</v>
      </c>
      <c r="N833" s="190">
        <v>242.43</v>
      </c>
      <c r="O833" s="190">
        <f t="shared" si="98"/>
        <v>264.25</v>
      </c>
      <c r="P833" s="191">
        <f t="shared" si="99"/>
        <v>0</v>
      </c>
      <c r="Q833" s="192">
        <f t="shared" si="100"/>
        <v>0</v>
      </c>
      <c r="R833" s="193"/>
      <c r="S833" s="194"/>
      <c r="T833" s="195">
        <f t="shared" si="101"/>
        <v>0</v>
      </c>
      <c r="U833" s="195">
        <f t="shared" si="102"/>
        <v>0</v>
      </c>
      <c r="V833" s="195">
        <f t="shared" si="103"/>
        <v>0</v>
      </c>
      <c r="W833" s="196" t="e">
        <f t="shared" si="104"/>
        <v>#DIV/0!</v>
      </c>
      <c r="X833" s="197" t="e">
        <f t="shared" si="105"/>
        <v>#DIV/0!</v>
      </c>
    </row>
    <row r="834" ht="11.4" hidden="1" customHeight="1" spans="1:24">
      <c r="A834" s="184" t="s">
        <v>904</v>
      </c>
      <c r="B834" s="184" t="s">
        <v>153</v>
      </c>
      <c r="C834" s="184" t="s">
        <v>905</v>
      </c>
      <c r="D834" s="185" t="s">
        <v>522</v>
      </c>
      <c r="E834" s="186" t="s">
        <v>906</v>
      </c>
      <c r="F834" s="186" t="s">
        <v>907</v>
      </c>
      <c r="G834" s="186" t="s">
        <v>908</v>
      </c>
      <c r="H834" s="186" t="s">
        <v>909</v>
      </c>
      <c r="I834" s="187" t="s">
        <v>2366</v>
      </c>
      <c r="J834" s="187" t="s">
        <v>2367</v>
      </c>
      <c r="K834" s="188">
        <v>2</v>
      </c>
      <c r="L834" s="188">
        <v>2</v>
      </c>
      <c r="M834" s="189" t="s">
        <v>2308</v>
      </c>
      <c r="N834" s="190">
        <v>610</v>
      </c>
      <c r="O834" s="190">
        <f t="shared" si="98"/>
        <v>664.9</v>
      </c>
      <c r="P834" s="191">
        <f t="shared" si="99"/>
        <v>1220</v>
      </c>
      <c r="Q834" s="192">
        <f t="shared" si="100"/>
        <v>1220</v>
      </c>
      <c r="R834" s="193"/>
      <c r="S834" s="194"/>
      <c r="T834" s="195">
        <f t="shared" si="101"/>
        <v>0</v>
      </c>
      <c r="U834" s="195">
        <f t="shared" si="102"/>
        <v>0</v>
      </c>
      <c r="V834" s="195">
        <f t="shared" si="103"/>
        <v>0</v>
      </c>
      <c r="W834" s="196">
        <f t="shared" si="104"/>
        <v>0</v>
      </c>
      <c r="X834" s="197">
        <f t="shared" si="105"/>
        <v>0</v>
      </c>
    </row>
    <row r="835" ht="11.4" hidden="1" customHeight="1" spans="1:24">
      <c r="A835" s="184" t="s">
        <v>904</v>
      </c>
      <c r="B835" s="184" t="s">
        <v>153</v>
      </c>
      <c r="C835" s="184" t="s">
        <v>905</v>
      </c>
      <c r="D835" s="185" t="s">
        <v>522</v>
      </c>
      <c r="E835" s="186" t="s">
        <v>906</v>
      </c>
      <c r="F835" s="186" t="s">
        <v>907</v>
      </c>
      <c r="G835" s="186" t="s">
        <v>908</v>
      </c>
      <c r="H835" s="186" t="s">
        <v>909</v>
      </c>
      <c r="I835" s="187" t="s">
        <v>2369</v>
      </c>
      <c r="J835" s="187" t="s">
        <v>2370</v>
      </c>
      <c r="K835" s="188"/>
      <c r="L835" s="188"/>
      <c r="M835" s="189" t="s">
        <v>2308</v>
      </c>
      <c r="N835" s="190">
        <v>610</v>
      </c>
      <c r="O835" s="190">
        <f t="shared" si="98"/>
        <v>664.9</v>
      </c>
      <c r="P835" s="191">
        <f t="shared" si="99"/>
        <v>0</v>
      </c>
      <c r="Q835" s="192">
        <f t="shared" si="100"/>
        <v>0</v>
      </c>
      <c r="R835" s="193"/>
      <c r="S835" s="194"/>
      <c r="T835" s="195">
        <f t="shared" si="101"/>
        <v>0</v>
      </c>
      <c r="U835" s="195">
        <f t="shared" si="102"/>
        <v>0</v>
      </c>
      <c r="V835" s="195">
        <f t="shared" si="103"/>
        <v>0</v>
      </c>
      <c r="W835" s="196" t="e">
        <f t="shared" si="104"/>
        <v>#DIV/0!</v>
      </c>
      <c r="X835" s="197" t="e">
        <f t="shared" si="105"/>
        <v>#DIV/0!</v>
      </c>
    </row>
    <row r="836" ht="11.4" hidden="1" customHeight="1" spans="1:24">
      <c r="A836" s="184" t="s">
        <v>904</v>
      </c>
      <c r="B836" s="184" t="s">
        <v>153</v>
      </c>
      <c r="C836" s="184" t="s">
        <v>905</v>
      </c>
      <c r="D836" s="185" t="s">
        <v>522</v>
      </c>
      <c r="E836" s="186" t="s">
        <v>906</v>
      </c>
      <c r="F836" s="186" t="s">
        <v>907</v>
      </c>
      <c r="G836" s="186" t="s">
        <v>908</v>
      </c>
      <c r="H836" s="186" t="s">
        <v>909</v>
      </c>
      <c r="I836" s="187" t="s">
        <v>2371</v>
      </c>
      <c r="J836" s="187" t="s">
        <v>2372</v>
      </c>
      <c r="K836" s="188"/>
      <c r="L836" s="188"/>
      <c r="M836" s="189" t="s">
        <v>2308</v>
      </c>
      <c r="N836" s="190">
        <v>368</v>
      </c>
      <c r="O836" s="190">
        <f t="shared" si="98"/>
        <v>401.12</v>
      </c>
      <c r="P836" s="191">
        <f t="shared" si="99"/>
        <v>0</v>
      </c>
      <c r="Q836" s="192">
        <f t="shared" si="100"/>
        <v>0</v>
      </c>
      <c r="R836" s="193"/>
      <c r="S836" s="194"/>
      <c r="T836" s="195">
        <f t="shared" si="101"/>
        <v>0</v>
      </c>
      <c r="U836" s="195">
        <f t="shared" si="102"/>
        <v>0</v>
      </c>
      <c r="V836" s="195">
        <f t="shared" si="103"/>
        <v>0</v>
      </c>
      <c r="W836" s="196" t="e">
        <f t="shared" si="104"/>
        <v>#DIV/0!</v>
      </c>
      <c r="X836" s="197" t="e">
        <f t="shared" si="105"/>
        <v>#DIV/0!</v>
      </c>
    </row>
    <row r="837" ht="11.4" hidden="1" customHeight="1" spans="1:24">
      <c r="A837" s="184" t="s">
        <v>904</v>
      </c>
      <c r="B837" s="184" t="s">
        <v>153</v>
      </c>
      <c r="C837" s="184" t="s">
        <v>905</v>
      </c>
      <c r="D837" s="185" t="s">
        <v>522</v>
      </c>
      <c r="E837" s="186" t="s">
        <v>906</v>
      </c>
      <c r="F837" s="186" t="s">
        <v>907</v>
      </c>
      <c r="G837" s="186" t="s">
        <v>908</v>
      </c>
      <c r="H837" s="186" t="s">
        <v>909</v>
      </c>
      <c r="I837" s="187" t="s">
        <v>2373</v>
      </c>
      <c r="J837" s="187" t="s">
        <v>2374</v>
      </c>
      <c r="K837" s="188"/>
      <c r="L837" s="188"/>
      <c r="M837" s="189" t="s">
        <v>2308</v>
      </c>
      <c r="N837" s="190">
        <v>368</v>
      </c>
      <c r="O837" s="190">
        <f t="shared" si="98"/>
        <v>401.12</v>
      </c>
      <c r="P837" s="191">
        <f t="shared" si="99"/>
        <v>0</v>
      </c>
      <c r="Q837" s="192">
        <f t="shared" si="100"/>
        <v>0</v>
      </c>
      <c r="R837" s="193"/>
      <c r="S837" s="194"/>
      <c r="T837" s="195">
        <f t="shared" si="101"/>
        <v>0</v>
      </c>
      <c r="U837" s="195">
        <f t="shared" si="102"/>
        <v>0</v>
      </c>
      <c r="V837" s="195">
        <f t="shared" si="103"/>
        <v>0</v>
      </c>
      <c r="W837" s="196" t="e">
        <f t="shared" si="104"/>
        <v>#DIV/0!</v>
      </c>
      <c r="X837" s="197" t="e">
        <f t="shared" si="105"/>
        <v>#DIV/0!</v>
      </c>
    </row>
    <row r="838" ht="11.4" hidden="1" customHeight="1" spans="1:24">
      <c r="A838" s="184" t="s">
        <v>904</v>
      </c>
      <c r="B838" s="184" t="s">
        <v>153</v>
      </c>
      <c r="C838" s="184" t="s">
        <v>905</v>
      </c>
      <c r="D838" s="185" t="s">
        <v>522</v>
      </c>
      <c r="E838" s="186" t="s">
        <v>906</v>
      </c>
      <c r="F838" s="186" t="s">
        <v>907</v>
      </c>
      <c r="G838" s="186" t="s">
        <v>908</v>
      </c>
      <c r="H838" s="186" t="s">
        <v>909</v>
      </c>
      <c r="I838" s="187" t="s">
        <v>2375</v>
      </c>
      <c r="J838" s="187" t="s">
        <v>2376</v>
      </c>
      <c r="K838" s="188"/>
      <c r="L838" s="188"/>
      <c r="M838" s="189" t="s">
        <v>793</v>
      </c>
      <c r="N838" s="190"/>
      <c r="O838" s="190">
        <f t="shared" si="98"/>
        <v>0</v>
      </c>
      <c r="P838" s="191">
        <f t="shared" si="99"/>
        <v>0</v>
      </c>
      <c r="Q838" s="192">
        <f t="shared" si="100"/>
        <v>0</v>
      </c>
      <c r="R838" s="193"/>
      <c r="S838" s="194"/>
      <c r="T838" s="195">
        <f t="shared" si="101"/>
        <v>0</v>
      </c>
      <c r="U838" s="195">
        <f t="shared" si="102"/>
        <v>0</v>
      </c>
      <c r="V838" s="195">
        <f t="shared" si="103"/>
        <v>0</v>
      </c>
      <c r="W838" s="196" t="e">
        <f t="shared" si="104"/>
        <v>#DIV/0!</v>
      </c>
      <c r="X838" s="197" t="e">
        <f t="shared" si="105"/>
        <v>#DIV/0!</v>
      </c>
    </row>
    <row r="839" ht="11.4" hidden="1" customHeight="1" spans="1:24">
      <c r="A839" s="184" t="s">
        <v>904</v>
      </c>
      <c r="B839" s="184" t="s">
        <v>153</v>
      </c>
      <c r="C839" s="184" t="s">
        <v>905</v>
      </c>
      <c r="D839" s="185" t="s">
        <v>522</v>
      </c>
      <c r="E839" s="186" t="s">
        <v>906</v>
      </c>
      <c r="F839" s="186" t="s">
        <v>907</v>
      </c>
      <c r="G839" s="186" t="s">
        <v>908</v>
      </c>
      <c r="H839" s="186" t="s">
        <v>909</v>
      </c>
      <c r="I839" s="187" t="s">
        <v>2377</v>
      </c>
      <c r="J839" s="187" t="s">
        <v>2378</v>
      </c>
      <c r="K839" s="188">
        <v>1</v>
      </c>
      <c r="L839" s="188">
        <v>1</v>
      </c>
      <c r="M839" s="189" t="s">
        <v>2308</v>
      </c>
      <c r="N839" s="190">
        <v>1973.15</v>
      </c>
      <c r="O839" s="190">
        <f t="shared" si="98"/>
        <v>2150.73</v>
      </c>
      <c r="P839" s="191">
        <f t="shared" si="99"/>
        <v>1973.15</v>
      </c>
      <c r="Q839" s="192">
        <f t="shared" si="100"/>
        <v>1973.15</v>
      </c>
      <c r="R839" s="193"/>
      <c r="S839" s="194"/>
      <c r="T839" s="195">
        <f t="shared" si="101"/>
        <v>0</v>
      </c>
      <c r="U839" s="195">
        <f t="shared" si="102"/>
        <v>0</v>
      </c>
      <c r="V839" s="195">
        <f t="shared" si="103"/>
        <v>0</v>
      </c>
      <c r="W839" s="196">
        <f t="shared" si="104"/>
        <v>0</v>
      </c>
      <c r="X839" s="197">
        <f t="shared" si="105"/>
        <v>0</v>
      </c>
    </row>
    <row r="840" ht="11.4" hidden="1" customHeight="1" spans="1:24">
      <c r="A840" s="184" t="s">
        <v>904</v>
      </c>
      <c r="B840" s="184" t="s">
        <v>153</v>
      </c>
      <c r="C840" s="184" t="s">
        <v>905</v>
      </c>
      <c r="D840" s="185" t="s">
        <v>522</v>
      </c>
      <c r="E840" s="186" t="s">
        <v>906</v>
      </c>
      <c r="F840" s="186" t="s">
        <v>907</v>
      </c>
      <c r="G840" s="186" t="s">
        <v>908</v>
      </c>
      <c r="H840" s="186" t="s">
        <v>909</v>
      </c>
      <c r="I840" s="187" t="s">
        <v>2380</v>
      </c>
      <c r="J840" s="187" t="s">
        <v>2381</v>
      </c>
      <c r="K840" s="188">
        <v>1</v>
      </c>
      <c r="L840" s="188">
        <v>1</v>
      </c>
      <c r="M840" s="189" t="s">
        <v>2308</v>
      </c>
      <c r="N840" s="190">
        <v>1264.76</v>
      </c>
      <c r="O840" s="190">
        <f t="shared" si="98"/>
        <v>1378.59</v>
      </c>
      <c r="P840" s="191">
        <f t="shared" si="99"/>
        <v>1264.76</v>
      </c>
      <c r="Q840" s="192">
        <f t="shared" si="100"/>
        <v>1264.76</v>
      </c>
      <c r="R840" s="193"/>
      <c r="S840" s="194"/>
      <c r="T840" s="195">
        <f t="shared" si="101"/>
        <v>0</v>
      </c>
      <c r="U840" s="195">
        <f t="shared" si="102"/>
        <v>0</v>
      </c>
      <c r="V840" s="195">
        <f t="shared" si="103"/>
        <v>0</v>
      </c>
      <c r="W840" s="196">
        <f t="shared" si="104"/>
        <v>0</v>
      </c>
      <c r="X840" s="197">
        <f t="shared" si="105"/>
        <v>0</v>
      </c>
    </row>
    <row r="841" ht="11.4" hidden="1" customHeight="1" spans="1:24">
      <c r="A841" s="184" t="s">
        <v>904</v>
      </c>
      <c r="B841" s="184" t="s">
        <v>153</v>
      </c>
      <c r="C841" s="184" t="s">
        <v>905</v>
      </c>
      <c r="D841" s="185" t="s">
        <v>522</v>
      </c>
      <c r="E841" s="186" t="s">
        <v>906</v>
      </c>
      <c r="F841" s="186" t="s">
        <v>907</v>
      </c>
      <c r="G841" s="186" t="s">
        <v>908</v>
      </c>
      <c r="H841" s="186" t="s">
        <v>909</v>
      </c>
      <c r="I841" s="187" t="s">
        <v>2382</v>
      </c>
      <c r="J841" s="187" t="s">
        <v>2383</v>
      </c>
      <c r="K841" s="188">
        <v>1</v>
      </c>
      <c r="L841" s="188">
        <v>1</v>
      </c>
      <c r="M841" s="189" t="s">
        <v>2308</v>
      </c>
      <c r="N841" s="190">
        <v>641.29</v>
      </c>
      <c r="O841" s="190">
        <f t="shared" si="98"/>
        <v>699.01</v>
      </c>
      <c r="P841" s="191">
        <f t="shared" si="99"/>
        <v>641.29</v>
      </c>
      <c r="Q841" s="192">
        <f t="shared" si="100"/>
        <v>641.29</v>
      </c>
      <c r="R841" s="193"/>
      <c r="S841" s="194"/>
      <c r="T841" s="195">
        <f t="shared" si="101"/>
        <v>0</v>
      </c>
      <c r="U841" s="195">
        <f t="shared" si="102"/>
        <v>0</v>
      </c>
      <c r="V841" s="195">
        <f t="shared" si="103"/>
        <v>0</v>
      </c>
      <c r="W841" s="196">
        <f t="shared" si="104"/>
        <v>0</v>
      </c>
      <c r="X841" s="197">
        <f t="shared" si="105"/>
        <v>0</v>
      </c>
    </row>
    <row r="842" ht="11.4" hidden="1" customHeight="1" spans="1:24">
      <c r="A842" s="184" t="s">
        <v>904</v>
      </c>
      <c r="B842" s="184" t="s">
        <v>153</v>
      </c>
      <c r="C842" s="184" t="s">
        <v>905</v>
      </c>
      <c r="D842" s="185" t="s">
        <v>522</v>
      </c>
      <c r="E842" s="186" t="s">
        <v>906</v>
      </c>
      <c r="F842" s="186" t="s">
        <v>907</v>
      </c>
      <c r="G842" s="186" t="s">
        <v>908</v>
      </c>
      <c r="H842" s="186" t="s">
        <v>909</v>
      </c>
      <c r="I842" s="187" t="s">
        <v>2384</v>
      </c>
      <c r="J842" s="187" t="s">
        <v>2385</v>
      </c>
      <c r="K842" s="188">
        <v>1</v>
      </c>
      <c r="L842" s="188">
        <v>1</v>
      </c>
      <c r="M842" s="189" t="s">
        <v>2308</v>
      </c>
      <c r="N842" s="190">
        <v>1813.65</v>
      </c>
      <c r="O842" s="190">
        <f t="shared" si="98"/>
        <v>1976.88</v>
      </c>
      <c r="P842" s="191">
        <f t="shared" si="99"/>
        <v>1813.65</v>
      </c>
      <c r="Q842" s="192">
        <f t="shared" si="100"/>
        <v>1813.65</v>
      </c>
      <c r="R842" s="193"/>
      <c r="S842" s="194"/>
      <c r="T842" s="195">
        <f t="shared" si="101"/>
        <v>0</v>
      </c>
      <c r="U842" s="195">
        <f t="shared" si="102"/>
        <v>0</v>
      </c>
      <c r="V842" s="195">
        <f t="shared" si="103"/>
        <v>0</v>
      </c>
      <c r="W842" s="196">
        <f t="shared" si="104"/>
        <v>0</v>
      </c>
      <c r="X842" s="197">
        <f t="shared" si="105"/>
        <v>0</v>
      </c>
    </row>
    <row r="843" ht="11.4" hidden="1" customHeight="1" spans="1:24">
      <c r="A843" s="184" t="s">
        <v>904</v>
      </c>
      <c r="B843" s="184" t="s">
        <v>153</v>
      </c>
      <c r="C843" s="184" t="s">
        <v>905</v>
      </c>
      <c r="D843" s="185" t="s">
        <v>522</v>
      </c>
      <c r="E843" s="186" t="s">
        <v>906</v>
      </c>
      <c r="F843" s="186" t="s">
        <v>907</v>
      </c>
      <c r="G843" s="186" t="s">
        <v>908</v>
      </c>
      <c r="H843" s="186" t="s">
        <v>909</v>
      </c>
      <c r="I843" s="187" t="s">
        <v>2386</v>
      </c>
      <c r="J843" s="187" t="s">
        <v>2387</v>
      </c>
      <c r="K843" s="188">
        <v>2</v>
      </c>
      <c r="L843" s="188">
        <v>2</v>
      </c>
      <c r="M843" s="189" t="s">
        <v>2308</v>
      </c>
      <c r="N843" s="190">
        <v>243.65</v>
      </c>
      <c r="O843" s="190">
        <f t="shared" si="98"/>
        <v>265.58</v>
      </c>
      <c r="P843" s="191">
        <f t="shared" si="99"/>
        <v>487.3</v>
      </c>
      <c r="Q843" s="192">
        <f t="shared" si="100"/>
        <v>487.3</v>
      </c>
      <c r="R843" s="193"/>
      <c r="S843" s="194"/>
      <c r="T843" s="195">
        <f t="shared" si="101"/>
        <v>0</v>
      </c>
      <c r="U843" s="195">
        <f t="shared" si="102"/>
        <v>0</v>
      </c>
      <c r="V843" s="195">
        <f t="shared" si="103"/>
        <v>0</v>
      </c>
      <c r="W843" s="196">
        <f t="shared" si="104"/>
        <v>0</v>
      </c>
      <c r="X843" s="197">
        <f t="shared" si="105"/>
        <v>0</v>
      </c>
    </row>
    <row r="844" ht="11.4" hidden="1" customHeight="1" spans="1:24">
      <c r="A844" s="184" t="s">
        <v>904</v>
      </c>
      <c r="B844" s="184" t="s">
        <v>153</v>
      </c>
      <c r="C844" s="184" t="s">
        <v>905</v>
      </c>
      <c r="D844" s="185" t="s">
        <v>522</v>
      </c>
      <c r="E844" s="186" t="s">
        <v>906</v>
      </c>
      <c r="F844" s="186" t="s">
        <v>907</v>
      </c>
      <c r="G844" s="186" t="s">
        <v>908</v>
      </c>
      <c r="H844" s="186" t="s">
        <v>909</v>
      </c>
      <c r="I844" s="187" t="s">
        <v>2388</v>
      </c>
      <c r="J844" s="187" t="s">
        <v>2389</v>
      </c>
      <c r="K844" s="188">
        <v>3</v>
      </c>
      <c r="L844" s="188">
        <v>3</v>
      </c>
      <c r="M844" s="189" t="s">
        <v>2308</v>
      </c>
      <c r="N844" s="190">
        <v>314.05</v>
      </c>
      <c r="O844" s="190">
        <f t="shared" si="98"/>
        <v>342.31</v>
      </c>
      <c r="P844" s="191">
        <f t="shared" si="99"/>
        <v>942.15</v>
      </c>
      <c r="Q844" s="192">
        <f t="shared" si="100"/>
        <v>942.15</v>
      </c>
      <c r="R844" s="193"/>
      <c r="S844" s="194"/>
      <c r="T844" s="195">
        <f t="shared" si="101"/>
        <v>0</v>
      </c>
      <c r="U844" s="195">
        <f t="shared" si="102"/>
        <v>0</v>
      </c>
      <c r="V844" s="195">
        <f t="shared" si="103"/>
        <v>0</v>
      </c>
      <c r="W844" s="196">
        <f t="shared" si="104"/>
        <v>0</v>
      </c>
      <c r="X844" s="197">
        <f t="shared" si="105"/>
        <v>0</v>
      </c>
    </row>
    <row r="845" ht="11.4" hidden="1" customHeight="1" spans="1:24">
      <c r="A845" s="184" t="s">
        <v>904</v>
      </c>
      <c r="B845" s="184" t="s">
        <v>153</v>
      </c>
      <c r="C845" s="184" t="s">
        <v>905</v>
      </c>
      <c r="D845" s="185" t="s">
        <v>522</v>
      </c>
      <c r="E845" s="186" t="s">
        <v>906</v>
      </c>
      <c r="F845" s="186" t="s">
        <v>907</v>
      </c>
      <c r="G845" s="186" t="s">
        <v>908</v>
      </c>
      <c r="H845" s="186" t="s">
        <v>909</v>
      </c>
      <c r="I845" s="187" t="s">
        <v>2390</v>
      </c>
      <c r="J845" s="187" t="s">
        <v>2391</v>
      </c>
      <c r="K845" s="188"/>
      <c r="L845" s="188"/>
      <c r="M845" s="189" t="s">
        <v>2308</v>
      </c>
      <c r="N845" s="190">
        <v>446.05</v>
      </c>
      <c r="O845" s="190">
        <f t="shared" ref="O845:O908" si="106">ROUND(N845*(1+$F$10),2)</f>
        <v>486.19</v>
      </c>
      <c r="P845" s="191">
        <f t="shared" ref="P845:P908" si="107">ROUND(K845*N845,2)</f>
        <v>0</v>
      </c>
      <c r="Q845" s="192">
        <f t="shared" ref="Q845:Q908" si="108">ROUND(L845*N845,2)</f>
        <v>0</v>
      </c>
      <c r="R845" s="193"/>
      <c r="S845" s="194"/>
      <c r="T845" s="195">
        <f t="shared" ref="T845:T908" si="109">K845-L845</f>
        <v>0</v>
      </c>
      <c r="U845" s="195">
        <f t="shared" ref="U845:U908" si="110">P845-Q845</f>
        <v>0</v>
      </c>
      <c r="V845" s="195">
        <f t="shared" ref="V845:V908" si="111">ABS(U845)</f>
        <v>0</v>
      </c>
      <c r="W845" s="196" t="e">
        <f t="shared" ref="W845:W908" si="112">T845/L845</f>
        <v>#DIV/0!</v>
      </c>
      <c r="X845" s="197" t="e">
        <f t="shared" ref="X845:X908" si="113">ABS(W845)</f>
        <v>#DIV/0!</v>
      </c>
    </row>
    <row r="846" ht="11.4" hidden="1" customHeight="1" spans="1:24">
      <c r="A846" s="184" t="s">
        <v>904</v>
      </c>
      <c r="B846" s="184" t="s">
        <v>153</v>
      </c>
      <c r="C846" s="184" t="s">
        <v>905</v>
      </c>
      <c r="D846" s="185" t="s">
        <v>522</v>
      </c>
      <c r="E846" s="186" t="s">
        <v>906</v>
      </c>
      <c r="F846" s="186" t="s">
        <v>907</v>
      </c>
      <c r="G846" s="186" t="s">
        <v>908</v>
      </c>
      <c r="H846" s="186" t="s">
        <v>909</v>
      </c>
      <c r="I846" s="187" t="s">
        <v>2392</v>
      </c>
      <c r="J846" s="187" t="s">
        <v>2393</v>
      </c>
      <c r="K846" s="188"/>
      <c r="L846" s="188"/>
      <c r="M846" s="189" t="s">
        <v>2308</v>
      </c>
      <c r="N846" s="190">
        <v>567.05</v>
      </c>
      <c r="O846" s="190">
        <f t="shared" si="106"/>
        <v>618.08</v>
      </c>
      <c r="P846" s="191">
        <f t="shared" si="107"/>
        <v>0</v>
      </c>
      <c r="Q846" s="192">
        <f t="shared" si="108"/>
        <v>0</v>
      </c>
      <c r="R846" s="193"/>
      <c r="S846" s="194"/>
      <c r="T846" s="195">
        <f t="shared" si="109"/>
        <v>0</v>
      </c>
      <c r="U846" s="195">
        <f t="shared" si="110"/>
        <v>0</v>
      </c>
      <c r="V846" s="195">
        <f t="shared" si="111"/>
        <v>0</v>
      </c>
      <c r="W846" s="196" t="e">
        <f t="shared" si="112"/>
        <v>#DIV/0!</v>
      </c>
      <c r="X846" s="197" t="e">
        <f t="shared" si="113"/>
        <v>#DIV/0!</v>
      </c>
    </row>
    <row r="847" ht="11.4" hidden="1" customHeight="1" spans="1:24">
      <c r="A847" s="184" t="s">
        <v>904</v>
      </c>
      <c r="B847" s="184" t="s">
        <v>153</v>
      </c>
      <c r="C847" s="184" t="s">
        <v>905</v>
      </c>
      <c r="D847" s="185" t="s">
        <v>522</v>
      </c>
      <c r="E847" s="186" t="s">
        <v>906</v>
      </c>
      <c r="F847" s="186" t="s">
        <v>907</v>
      </c>
      <c r="G847" s="186" t="s">
        <v>908</v>
      </c>
      <c r="H847" s="186" t="s">
        <v>909</v>
      </c>
      <c r="I847" s="187" t="s">
        <v>2394</v>
      </c>
      <c r="J847" s="187" t="s">
        <v>2395</v>
      </c>
      <c r="K847" s="188">
        <v>2</v>
      </c>
      <c r="L847" s="188">
        <v>2</v>
      </c>
      <c r="M847" s="189" t="s">
        <v>2308</v>
      </c>
      <c r="N847" s="190">
        <v>152.75</v>
      </c>
      <c r="O847" s="190">
        <f t="shared" si="106"/>
        <v>166.5</v>
      </c>
      <c r="P847" s="191">
        <f t="shared" si="107"/>
        <v>305.5</v>
      </c>
      <c r="Q847" s="192">
        <f t="shared" si="108"/>
        <v>305.5</v>
      </c>
      <c r="R847" s="193"/>
      <c r="S847" s="194"/>
      <c r="T847" s="195">
        <f t="shared" si="109"/>
        <v>0</v>
      </c>
      <c r="U847" s="195">
        <f t="shared" si="110"/>
        <v>0</v>
      </c>
      <c r="V847" s="195">
        <f t="shared" si="111"/>
        <v>0</v>
      </c>
      <c r="W847" s="196">
        <f t="shared" si="112"/>
        <v>0</v>
      </c>
      <c r="X847" s="199">
        <f t="shared" si="113"/>
        <v>0</v>
      </c>
    </row>
    <row r="848" ht="11.4" hidden="1" customHeight="1" spans="1:24">
      <c r="A848" s="184" t="s">
        <v>904</v>
      </c>
      <c r="B848" s="184" t="s">
        <v>153</v>
      </c>
      <c r="C848" s="184" t="s">
        <v>905</v>
      </c>
      <c r="D848" s="185" t="s">
        <v>522</v>
      </c>
      <c r="E848" s="186" t="s">
        <v>906</v>
      </c>
      <c r="F848" s="186" t="s">
        <v>907</v>
      </c>
      <c r="G848" s="186" t="s">
        <v>908</v>
      </c>
      <c r="H848" s="186" t="s">
        <v>909</v>
      </c>
      <c r="I848" s="187" t="s">
        <v>2396</v>
      </c>
      <c r="J848" s="187" t="s">
        <v>2397</v>
      </c>
      <c r="K848" s="188">
        <v>36.63</v>
      </c>
      <c r="L848" s="188">
        <v>36.62</v>
      </c>
      <c r="M848" s="189" t="s">
        <v>807</v>
      </c>
      <c r="N848" s="190">
        <v>27.67</v>
      </c>
      <c r="O848" s="190">
        <f t="shared" si="106"/>
        <v>30.16</v>
      </c>
      <c r="P848" s="191">
        <f t="shared" si="107"/>
        <v>1013.55</v>
      </c>
      <c r="Q848" s="192">
        <f t="shared" si="108"/>
        <v>1013.28</v>
      </c>
      <c r="R848" s="193"/>
      <c r="S848" s="194"/>
      <c r="T848" s="195">
        <f t="shared" si="109"/>
        <v>0.0100000000000051</v>
      </c>
      <c r="U848" s="195">
        <f t="shared" si="110"/>
        <v>0.269999999999982</v>
      </c>
      <c r="V848" s="195">
        <f t="shared" si="111"/>
        <v>0.269999999999982</v>
      </c>
      <c r="W848" s="196">
        <f t="shared" si="112"/>
        <v>0.000273074822501505</v>
      </c>
      <c r="X848" s="197">
        <f t="shared" si="113"/>
        <v>0.000273074822501505</v>
      </c>
    </row>
    <row r="849" ht="11.4" hidden="1" customHeight="1" spans="1:24">
      <c r="A849" s="184" t="s">
        <v>904</v>
      </c>
      <c r="B849" s="184" t="s">
        <v>153</v>
      </c>
      <c r="C849" s="184" t="s">
        <v>905</v>
      </c>
      <c r="D849" s="185" t="s">
        <v>522</v>
      </c>
      <c r="E849" s="186" t="s">
        <v>906</v>
      </c>
      <c r="F849" s="186" t="s">
        <v>907</v>
      </c>
      <c r="G849" s="186" t="s">
        <v>908</v>
      </c>
      <c r="H849" s="186" t="s">
        <v>909</v>
      </c>
      <c r="I849" s="187" t="s">
        <v>2398</v>
      </c>
      <c r="J849" s="187" t="s">
        <v>2399</v>
      </c>
      <c r="K849" s="188"/>
      <c r="L849" s="188"/>
      <c r="M849" s="189" t="s">
        <v>989</v>
      </c>
      <c r="N849" s="190">
        <v>2968.65</v>
      </c>
      <c r="O849" s="190">
        <f t="shared" si="106"/>
        <v>3235.83</v>
      </c>
      <c r="P849" s="191">
        <f t="shared" si="107"/>
        <v>0</v>
      </c>
      <c r="Q849" s="192">
        <f t="shared" si="108"/>
        <v>0</v>
      </c>
      <c r="R849" s="193"/>
      <c r="S849" s="194"/>
      <c r="T849" s="195">
        <f t="shared" si="109"/>
        <v>0</v>
      </c>
      <c r="U849" s="195">
        <f t="shared" si="110"/>
        <v>0</v>
      </c>
      <c r="V849" s="195">
        <f t="shared" si="111"/>
        <v>0</v>
      </c>
      <c r="W849" s="196" t="e">
        <f t="shared" si="112"/>
        <v>#DIV/0!</v>
      </c>
      <c r="X849" s="197" t="e">
        <f t="shared" si="113"/>
        <v>#DIV/0!</v>
      </c>
    </row>
    <row r="850" ht="11.4" hidden="1" customHeight="1" spans="1:24">
      <c r="A850" s="184" t="s">
        <v>904</v>
      </c>
      <c r="B850" s="184" t="s">
        <v>153</v>
      </c>
      <c r="C850" s="184" t="s">
        <v>905</v>
      </c>
      <c r="D850" s="185" t="s">
        <v>522</v>
      </c>
      <c r="E850" s="186" t="s">
        <v>906</v>
      </c>
      <c r="F850" s="186" t="s">
        <v>907</v>
      </c>
      <c r="G850" s="186" t="s">
        <v>908</v>
      </c>
      <c r="H850" s="186" t="s">
        <v>909</v>
      </c>
      <c r="I850" s="187" t="s">
        <v>2400</v>
      </c>
      <c r="J850" s="187" t="s">
        <v>2401</v>
      </c>
      <c r="K850" s="188"/>
      <c r="L850" s="188"/>
      <c r="M850" s="189" t="s">
        <v>989</v>
      </c>
      <c r="N850" s="190">
        <v>2941.15</v>
      </c>
      <c r="O850" s="190">
        <f t="shared" si="106"/>
        <v>3205.85</v>
      </c>
      <c r="P850" s="191">
        <f t="shared" si="107"/>
        <v>0</v>
      </c>
      <c r="Q850" s="192">
        <f t="shared" si="108"/>
        <v>0</v>
      </c>
      <c r="R850" s="193"/>
      <c r="S850" s="194"/>
      <c r="T850" s="195">
        <f t="shared" si="109"/>
        <v>0</v>
      </c>
      <c r="U850" s="195">
        <f t="shared" si="110"/>
        <v>0</v>
      </c>
      <c r="V850" s="195">
        <f t="shared" si="111"/>
        <v>0</v>
      </c>
      <c r="W850" s="196" t="e">
        <f t="shared" si="112"/>
        <v>#DIV/0!</v>
      </c>
      <c r="X850" s="197" t="e">
        <f t="shared" si="113"/>
        <v>#DIV/0!</v>
      </c>
    </row>
    <row r="851" ht="11.4" hidden="1" customHeight="1" spans="1:24">
      <c r="A851" s="184" t="s">
        <v>904</v>
      </c>
      <c r="B851" s="184" t="s">
        <v>153</v>
      </c>
      <c r="C851" s="184" t="s">
        <v>905</v>
      </c>
      <c r="D851" s="185" t="s">
        <v>522</v>
      </c>
      <c r="E851" s="186" t="s">
        <v>906</v>
      </c>
      <c r="F851" s="186" t="s">
        <v>907</v>
      </c>
      <c r="G851" s="186" t="s">
        <v>908</v>
      </c>
      <c r="H851" s="186" t="s">
        <v>909</v>
      </c>
      <c r="I851" s="187" t="s">
        <v>2402</v>
      </c>
      <c r="J851" s="187" t="s">
        <v>2403</v>
      </c>
      <c r="K851" s="188"/>
      <c r="L851" s="188"/>
      <c r="M851" s="189" t="s">
        <v>989</v>
      </c>
      <c r="N851" s="190">
        <v>2836.65</v>
      </c>
      <c r="O851" s="190">
        <f t="shared" si="106"/>
        <v>3091.95</v>
      </c>
      <c r="P851" s="191">
        <f t="shared" si="107"/>
        <v>0</v>
      </c>
      <c r="Q851" s="192">
        <f t="shared" si="108"/>
        <v>0</v>
      </c>
      <c r="R851" s="193"/>
      <c r="S851" s="194"/>
      <c r="T851" s="195">
        <f t="shared" si="109"/>
        <v>0</v>
      </c>
      <c r="U851" s="195">
        <f t="shared" si="110"/>
        <v>0</v>
      </c>
      <c r="V851" s="195">
        <f t="shared" si="111"/>
        <v>0</v>
      </c>
      <c r="W851" s="196" t="e">
        <f t="shared" si="112"/>
        <v>#DIV/0!</v>
      </c>
      <c r="X851" s="197" t="e">
        <f t="shared" si="113"/>
        <v>#DIV/0!</v>
      </c>
    </row>
    <row r="852" ht="11.4" hidden="1" customHeight="1" spans="1:24">
      <c r="A852" s="184" t="s">
        <v>904</v>
      </c>
      <c r="B852" s="184" t="s">
        <v>153</v>
      </c>
      <c r="C852" s="184" t="s">
        <v>905</v>
      </c>
      <c r="D852" s="185" t="s">
        <v>522</v>
      </c>
      <c r="E852" s="186" t="s">
        <v>906</v>
      </c>
      <c r="F852" s="186" t="s">
        <v>907</v>
      </c>
      <c r="G852" s="186" t="s">
        <v>908</v>
      </c>
      <c r="H852" s="186" t="s">
        <v>909</v>
      </c>
      <c r="I852" s="187" t="s">
        <v>2404</v>
      </c>
      <c r="J852" s="187" t="s">
        <v>2405</v>
      </c>
      <c r="K852" s="188"/>
      <c r="L852" s="188"/>
      <c r="M852" s="189" t="s">
        <v>989</v>
      </c>
      <c r="N852" s="190">
        <v>2358.7</v>
      </c>
      <c r="O852" s="190">
        <f t="shared" si="106"/>
        <v>2570.98</v>
      </c>
      <c r="P852" s="191">
        <f t="shared" si="107"/>
        <v>0</v>
      </c>
      <c r="Q852" s="192">
        <f t="shared" si="108"/>
        <v>0</v>
      </c>
      <c r="R852" s="193"/>
      <c r="S852" s="194"/>
      <c r="T852" s="195">
        <f t="shared" si="109"/>
        <v>0</v>
      </c>
      <c r="U852" s="195">
        <f t="shared" si="110"/>
        <v>0</v>
      </c>
      <c r="V852" s="195">
        <f t="shared" si="111"/>
        <v>0</v>
      </c>
      <c r="W852" s="196" t="e">
        <f t="shared" si="112"/>
        <v>#DIV/0!</v>
      </c>
      <c r="X852" s="197" t="e">
        <f t="shared" si="113"/>
        <v>#DIV/0!</v>
      </c>
    </row>
    <row r="853" ht="11.4" hidden="1" customHeight="1" spans="1:24">
      <c r="A853" s="184" t="s">
        <v>904</v>
      </c>
      <c r="B853" s="184" t="s">
        <v>153</v>
      </c>
      <c r="C853" s="184" t="s">
        <v>905</v>
      </c>
      <c r="D853" s="185" t="s">
        <v>522</v>
      </c>
      <c r="E853" s="186" t="s">
        <v>906</v>
      </c>
      <c r="F853" s="186" t="s">
        <v>907</v>
      </c>
      <c r="G853" s="186" t="s">
        <v>908</v>
      </c>
      <c r="H853" s="186" t="s">
        <v>909</v>
      </c>
      <c r="I853" s="187" t="s">
        <v>2406</v>
      </c>
      <c r="J853" s="187" t="s">
        <v>2407</v>
      </c>
      <c r="K853" s="188"/>
      <c r="L853" s="188"/>
      <c r="M853" s="189" t="s">
        <v>989</v>
      </c>
      <c r="N853" s="190">
        <v>2336.7</v>
      </c>
      <c r="O853" s="190">
        <f t="shared" si="106"/>
        <v>2547</v>
      </c>
      <c r="P853" s="191">
        <f t="shared" si="107"/>
        <v>0</v>
      </c>
      <c r="Q853" s="192">
        <f t="shared" si="108"/>
        <v>0</v>
      </c>
      <c r="R853" s="193"/>
      <c r="S853" s="194"/>
      <c r="T853" s="195">
        <f t="shared" si="109"/>
        <v>0</v>
      </c>
      <c r="U853" s="195">
        <f t="shared" si="110"/>
        <v>0</v>
      </c>
      <c r="V853" s="195">
        <f t="shared" si="111"/>
        <v>0</v>
      </c>
      <c r="W853" s="196" t="e">
        <f t="shared" si="112"/>
        <v>#DIV/0!</v>
      </c>
      <c r="X853" s="197" t="e">
        <f t="shared" si="113"/>
        <v>#DIV/0!</v>
      </c>
    </row>
    <row r="854" ht="11.4" hidden="1" customHeight="1" spans="1:24">
      <c r="A854" s="184" t="s">
        <v>904</v>
      </c>
      <c r="B854" s="184" t="s">
        <v>153</v>
      </c>
      <c r="C854" s="184" t="s">
        <v>905</v>
      </c>
      <c r="D854" s="185" t="s">
        <v>522</v>
      </c>
      <c r="E854" s="186" t="s">
        <v>906</v>
      </c>
      <c r="F854" s="186" t="s">
        <v>907</v>
      </c>
      <c r="G854" s="186" t="s">
        <v>908</v>
      </c>
      <c r="H854" s="186" t="s">
        <v>909</v>
      </c>
      <c r="I854" s="187" t="s">
        <v>2408</v>
      </c>
      <c r="J854" s="187" t="s">
        <v>2409</v>
      </c>
      <c r="K854" s="188"/>
      <c r="L854" s="188"/>
      <c r="M854" s="189" t="s">
        <v>989</v>
      </c>
      <c r="N854" s="190">
        <v>7092.3</v>
      </c>
      <c r="O854" s="190">
        <f t="shared" si="106"/>
        <v>7730.61</v>
      </c>
      <c r="P854" s="191">
        <f t="shared" si="107"/>
        <v>0</v>
      </c>
      <c r="Q854" s="192">
        <f t="shared" si="108"/>
        <v>0</v>
      </c>
      <c r="R854" s="193"/>
      <c r="S854" s="194"/>
      <c r="T854" s="195">
        <f t="shared" si="109"/>
        <v>0</v>
      </c>
      <c r="U854" s="195">
        <f t="shared" si="110"/>
        <v>0</v>
      </c>
      <c r="V854" s="195">
        <f t="shared" si="111"/>
        <v>0</v>
      </c>
      <c r="W854" s="196" t="e">
        <f t="shared" si="112"/>
        <v>#DIV/0!</v>
      </c>
      <c r="X854" s="197" t="e">
        <f t="shared" si="113"/>
        <v>#DIV/0!</v>
      </c>
    </row>
    <row r="855" ht="11.4" hidden="1" customHeight="1" spans="1:24">
      <c r="A855" s="184" t="s">
        <v>904</v>
      </c>
      <c r="B855" s="184" t="s">
        <v>153</v>
      </c>
      <c r="C855" s="184" t="s">
        <v>905</v>
      </c>
      <c r="D855" s="185" t="s">
        <v>522</v>
      </c>
      <c r="E855" s="186" t="s">
        <v>906</v>
      </c>
      <c r="F855" s="186" t="s">
        <v>907</v>
      </c>
      <c r="G855" s="186" t="s">
        <v>908</v>
      </c>
      <c r="H855" s="186" t="s">
        <v>909</v>
      </c>
      <c r="I855" s="187" t="s">
        <v>2410</v>
      </c>
      <c r="J855" s="187" t="s">
        <v>2411</v>
      </c>
      <c r="K855" s="188"/>
      <c r="L855" s="188"/>
      <c r="M855" s="189" t="s">
        <v>989</v>
      </c>
      <c r="N855" s="190">
        <v>6328.35</v>
      </c>
      <c r="O855" s="190">
        <f t="shared" si="106"/>
        <v>6897.9</v>
      </c>
      <c r="P855" s="191">
        <f t="shared" si="107"/>
        <v>0</v>
      </c>
      <c r="Q855" s="192">
        <f t="shared" si="108"/>
        <v>0</v>
      </c>
      <c r="R855" s="193"/>
      <c r="S855" s="194"/>
      <c r="T855" s="195">
        <f t="shared" si="109"/>
        <v>0</v>
      </c>
      <c r="U855" s="195">
        <f t="shared" si="110"/>
        <v>0</v>
      </c>
      <c r="V855" s="195">
        <f t="shared" si="111"/>
        <v>0</v>
      </c>
      <c r="W855" s="196" t="e">
        <f t="shared" si="112"/>
        <v>#DIV/0!</v>
      </c>
      <c r="X855" s="197" t="e">
        <f t="shared" si="113"/>
        <v>#DIV/0!</v>
      </c>
    </row>
    <row r="856" ht="11.4" hidden="1" customHeight="1" spans="1:24">
      <c r="A856" s="184" t="s">
        <v>904</v>
      </c>
      <c r="B856" s="184" t="s">
        <v>153</v>
      </c>
      <c r="C856" s="184" t="s">
        <v>905</v>
      </c>
      <c r="D856" s="185" t="s">
        <v>522</v>
      </c>
      <c r="E856" s="186" t="s">
        <v>906</v>
      </c>
      <c r="F856" s="186" t="s">
        <v>907</v>
      </c>
      <c r="G856" s="186" t="s">
        <v>908</v>
      </c>
      <c r="H856" s="186" t="s">
        <v>909</v>
      </c>
      <c r="I856" s="187" t="s">
        <v>2412</v>
      </c>
      <c r="J856" s="187" t="s">
        <v>2413</v>
      </c>
      <c r="K856" s="188"/>
      <c r="L856" s="188"/>
      <c r="M856" s="189" t="s">
        <v>989</v>
      </c>
      <c r="N856" s="190">
        <v>5249.49</v>
      </c>
      <c r="O856" s="190">
        <f t="shared" si="106"/>
        <v>5721.94</v>
      </c>
      <c r="P856" s="191">
        <f t="shared" si="107"/>
        <v>0</v>
      </c>
      <c r="Q856" s="192">
        <f t="shared" si="108"/>
        <v>0</v>
      </c>
      <c r="R856" s="193"/>
      <c r="S856" s="194"/>
      <c r="T856" s="195">
        <f t="shared" si="109"/>
        <v>0</v>
      </c>
      <c r="U856" s="195">
        <f t="shared" si="110"/>
        <v>0</v>
      </c>
      <c r="V856" s="195">
        <f t="shared" si="111"/>
        <v>0</v>
      </c>
      <c r="W856" s="196" t="e">
        <f t="shared" si="112"/>
        <v>#DIV/0!</v>
      </c>
      <c r="X856" s="197" t="e">
        <f t="shared" si="113"/>
        <v>#DIV/0!</v>
      </c>
    </row>
    <row r="857" ht="11.4" hidden="1" customHeight="1" spans="1:24">
      <c r="A857" s="184" t="s">
        <v>904</v>
      </c>
      <c r="B857" s="184" t="s">
        <v>153</v>
      </c>
      <c r="C857" s="184" t="s">
        <v>905</v>
      </c>
      <c r="D857" s="185" t="s">
        <v>522</v>
      </c>
      <c r="E857" s="186" t="s">
        <v>906</v>
      </c>
      <c r="F857" s="186" t="s">
        <v>907</v>
      </c>
      <c r="G857" s="186" t="s">
        <v>908</v>
      </c>
      <c r="H857" s="186" t="s">
        <v>2414</v>
      </c>
      <c r="I857" s="187" t="s">
        <v>2415</v>
      </c>
      <c r="J857" s="187" t="s">
        <v>2416</v>
      </c>
      <c r="K857" s="188"/>
      <c r="L857" s="188"/>
      <c r="M857" s="189" t="s">
        <v>847</v>
      </c>
      <c r="N857" s="190">
        <v>179.04</v>
      </c>
      <c r="O857" s="190">
        <f t="shared" si="106"/>
        <v>195.15</v>
      </c>
      <c r="P857" s="191">
        <f t="shared" si="107"/>
        <v>0</v>
      </c>
      <c r="Q857" s="192">
        <f t="shared" si="108"/>
        <v>0</v>
      </c>
      <c r="R857" s="193"/>
      <c r="S857" s="194"/>
      <c r="T857" s="195">
        <f t="shared" si="109"/>
        <v>0</v>
      </c>
      <c r="U857" s="195">
        <f t="shared" si="110"/>
        <v>0</v>
      </c>
      <c r="V857" s="195">
        <f t="shared" si="111"/>
        <v>0</v>
      </c>
      <c r="W857" s="196" t="e">
        <f t="shared" si="112"/>
        <v>#DIV/0!</v>
      </c>
      <c r="X857" s="197" t="e">
        <f t="shared" si="113"/>
        <v>#DIV/0!</v>
      </c>
    </row>
    <row r="858" ht="11.4" hidden="1" customHeight="1" spans="1:24">
      <c r="A858" s="184" t="s">
        <v>904</v>
      </c>
      <c r="B858" s="184" t="s">
        <v>153</v>
      </c>
      <c r="C858" s="184" t="s">
        <v>905</v>
      </c>
      <c r="D858" s="185" t="s">
        <v>522</v>
      </c>
      <c r="E858" s="186" t="s">
        <v>906</v>
      </c>
      <c r="F858" s="186" t="s">
        <v>907</v>
      </c>
      <c r="G858" s="186" t="s">
        <v>908</v>
      </c>
      <c r="H858" s="186" t="s">
        <v>2414</v>
      </c>
      <c r="I858" s="187" t="s">
        <v>2418</v>
      </c>
      <c r="J858" s="187" t="s">
        <v>2419</v>
      </c>
      <c r="K858" s="188">
        <v>81.37</v>
      </c>
      <c r="L858" s="188">
        <v>81.35</v>
      </c>
      <c r="M858" s="189" t="s">
        <v>847</v>
      </c>
      <c r="N858" s="190">
        <v>205.44</v>
      </c>
      <c r="O858" s="190">
        <f t="shared" si="106"/>
        <v>223.93</v>
      </c>
      <c r="P858" s="191">
        <f t="shared" si="107"/>
        <v>16716.65</v>
      </c>
      <c r="Q858" s="192">
        <f t="shared" si="108"/>
        <v>16712.54</v>
      </c>
      <c r="R858" s="193"/>
      <c r="S858" s="194"/>
      <c r="T858" s="195">
        <f t="shared" si="109"/>
        <v>0.0200000000000102</v>
      </c>
      <c r="U858" s="195">
        <f t="shared" si="110"/>
        <v>4.11000000000058</v>
      </c>
      <c r="V858" s="195">
        <f t="shared" si="111"/>
        <v>4.11000000000058</v>
      </c>
      <c r="W858" s="196">
        <f t="shared" si="112"/>
        <v>0.000245851259987833</v>
      </c>
      <c r="X858" s="197">
        <f t="shared" si="113"/>
        <v>0.000245851259987833</v>
      </c>
    </row>
    <row r="859" ht="11.4" hidden="1" customHeight="1" spans="1:24">
      <c r="A859" s="184" t="s">
        <v>904</v>
      </c>
      <c r="B859" s="184" t="s">
        <v>153</v>
      </c>
      <c r="C859" s="184" t="s">
        <v>905</v>
      </c>
      <c r="D859" s="185" t="s">
        <v>522</v>
      </c>
      <c r="E859" s="186" t="s">
        <v>906</v>
      </c>
      <c r="F859" s="186" t="s">
        <v>907</v>
      </c>
      <c r="G859" s="186" t="s">
        <v>908</v>
      </c>
      <c r="H859" s="186" t="s">
        <v>2414</v>
      </c>
      <c r="I859" s="187" t="s">
        <v>2420</v>
      </c>
      <c r="J859" s="187" t="s">
        <v>2421</v>
      </c>
      <c r="K859" s="188"/>
      <c r="L859" s="188"/>
      <c r="M859" s="189" t="s">
        <v>807</v>
      </c>
      <c r="N859" s="190">
        <v>238.25</v>
      </c>
      <c r="O859" s="190">
        <f t="shared" si="106"/>
        <v>259.69</v>
      </c>
      <c r="P859" s="191">
        <f t="shared" si="107"/>
        <v>0</v>
      </c>
      <c r="Q859" s="192">
        <f t="shared" si="108"/>
        <v>0</v>
      </c>
      <c r="R859" s="193"/>
      <c r="S859" s="194"/>
      <c r="T859" s="195">
        <f t="shared" si="109"/>
        <v>0</v>
      </c>
      <c r="U859" s="195">
        <f t="shared" si="110"/>
        <v>0</v>
      </c>
      <c r="V859" s="195">
        <f t="shared" si="111"/>
        <v>0</v>
      </c>
      <c r="W859" s="196" t="e">
        <f t="shared" si="112"/>
        <v>#DIV/0!</v>
      </c>
      <c r="X859" s="197" t="e">
        <f t="shared" si="113"/>
        <v>#DIV/0!</v>
      </c>
    </row>
    <row r="860" ht="11.4" hidden="1" customHeight="1" spans="1:24">
      <c r="A860" s="184" t="s">
        <v>904</v>
      </c>
      <c r="B860" s="184" t="s">
        <v>153</v>
      </c>
      <c r="C860" s="184" t="s">
        <v>905</v>
      </c>
      <c r="D860" s="185" t="s">
        <v>522</v>
      </c>
      <c r="E860" s="186" t="s">
        <v>906</v>
      </c>
      <c r="F860" s="186" t="s">
        <v>907</v>
      </c>
      <c r="G860" s="186" t="s">
        <v>908</v>
      </c>
      <c r="H860" s="186" t="s">
        <v>2414</v>
      </c>
      <c r="I860" s="187" t="s">
        <v>2422</v>
      </c>
      <c r="J860" s="187" t="s">
        <v>2423</v>
      </c>
      <c r="K860" s="188"/>
      <c r="L860" s="188"/>
      <c r="M860" s="189" t="s">
        <v>847</v>
      </c>
      <c r="N860" s="190">
        <v>179.04</v>
      </c>
      <c r="O860" s="190">
        <f t="shared" si="106"/>
        <v>195.15</v>
      </c>
      <c r="P860" s="191">
        <f t="shared" si="107"/>
        <v>0</v>
      </c>
      <c r="Q860" s="192">
        <f t="shared" si="108"/>
        <v>0</v>
      </c>
      <c r="R860" s="193"/>
      <c r="S860" s="194"/>
      <c r="T860" s="195">
        <f t="shared" si="109"/>
        <v>0</v>
      </c>
      <c r="U860" s="195">
        <f t="shared" si="110"/>
        <v>0</v>
      </c>
      <c r="V860" s="195">
        <f t="shared" si="111"/>
        <v>0</v>
      </c>
      <c r="W860" s="196" t="e">
        <f t="shared" si="112"/>
        <v>#DIV/0!</v>
      </c>
      <c r="X860" s="197" t="e">
        <f t="shared" si="113"/>
        <v>#DIV/0!</v>
      </c>
    </row>
    <row r="861" ht="11.4" hidden="1" customHeight="1" spans="1:24">
      <c r="A861" s="184" t="s">
        <v>904</v>
      </c>
      <c r="B861" s="184" t="s">
        <v>153</v>
      </c>
      <c r="C861" s="184" t="s">
        <v>905</v>
      </c>
      <c r="D861" s="185" t="s">
        <v>522</v>
      </c>
      <c r="E861" s="186" t="s">
        <v>906</v>
      </c>
      <c r="F861" s="186" t="s">
        <v>907</v>
      </c>
      <c r="G861" s="186" t="s">
        <v>908</v>
      </c>
      <c r="H861" s="186" t="s">
        <v>2414</v>
      </c>
      <c r="I861" s="187" t="s">
        <v>2424</v>
      </c>
      <c r="J861" s="187" t="s">
        <v>2425</v>
      </c>
      <c r="K861" s="188">
        <v>46.17</v>
      </c>
      <c r="L861" s="188">
        <v>45.45</v>
      </c>
      <c r="M861" s="189" t="s">
        <v>847</v>
      </c>
      <c r="N861" s="190">
        <v>205.44</v>
      </c>
      <c r="O861" s="190">
        <f t="shared" si="106"/>
        <v>223.93</v>
      </c>
      <c r="P861" s="191">
        <f t="shared" si="107"/>
        <v>9485.16</v>
      </c>
      <c r="Q861" s="192">
        <f t="shared" si="108"/>
        <v>9337.25</v>
      </c>
      <c r="R861" s="193"/>
      <c r="S861" s="194"/>
      <c r="T861" s="195">
        <f t="shared" si="109"/>
        <v>0.719999999999999</v>
      </c>
      <c r="U861" s="195">
        <f t="shared" si="110"/>
        <v>147.91</v>
      </c>
      <c r="V861" s="195">
        <f t="shared" si="111"/>
        <v>147.91</v>
      </c>
      <c r="W861" s="196">
        <f t="shared" si="112"/>
        <v>0.0158415841584158</v>
      </c>
      <c r="X861" s="197">
        <f t="shared" si="113"/>
        <v>0.0158415841584158</v>
      </c>
    </row>
    <row r="862" ht="11.4" hidden="1" customHeight="1" spans="1:24">
      <c r="A862" s="184" t="s">
        <v>904</v>
      </c>
      <c r="B862" s="184" t="s">
        <v>153</v>
      </c>
      <c r="C862" s="184" t="s">
        <v>905</v>
      </c>
      <c r="D862" s="185" t="s">
        <v>522</v>
      </c>
      <c r="E862" s="186" t="s">
        <v>906</v>
      </c>
      <c r="F862" s="186" t="s">
        <v>907</v>
      </c>
      <c r="G862" s="186" t="s">
        <v>908</v>
      </c>
      <c r="H862" s="186" t="s">
        <v>2414</v>
      </c>
      <c r="I862" s="187" t="s">
        <v>2426</v>
      </c>
      <c r="J862" s="187" t="s">
        <v>2427</v>
      </c>
      <c r="K862" s="188">
        <v>22.38</v>
      </c>
      <c r="L862" s="188">
        <v>22.32</v>
      </c>
      <c r="M862" s="189" t="s">
        <v>847</v>
      </c>
      <c r="N862" s="190">
        <v>156.31</v>
      </c>
      <c r="O862" s="190">
        <f t="shared" si="106"/>
        <v>170.38</v>
      </c>
      <c r="P862" s="191">
        <f t="shared" si="107"/>
        <v>3498.22</v>
      </c>
      <c r="Q862" s="192">
        <f t="shared" si="108"/>
        <v>3488.84</v>
      </c>
      <c r="R862" s="193"/>
      <c r="S862" s="194"/>
      <c r="T862" s="195">
        <f t="shared" si="109"/>
        <v>0.0599999999999987</v>
      </c>
      <c r="U862" s="195">
        <f t="shared" si="110"/>
        <v>9.37999999999965</v>
      </c>
      <c r="V862" s="195">
        <f t="shared" si="111"/>
        <v>9.37999999999965</v>
      </c>
      <c r="W862" s="196">
        <f t="shared" si="112"/>
        <v>0.0026881720430107</v>
      </c>
      <c r="X862" s="197">
        <f t="shared" si="113"/>
        <v>0.0026881720430107</v>
      </c>
    </row>
    <row r="863" ht="11.4" hidden="1" customHeight="1" spans="1:24">
      <c r="A863" s="184" t="s">
        <v>904</v>
      </c>
      <c r="B863" s="184" t="s">
        <v>153</v>
      </c>
      <c r="C863" s="184" t="s">
        <v>905</v>
      </c>
      <c r="D863" s="185" t="s">
        <v>522</v>
      </c>
      <c r="E863" s="186" t="s">
        <v>906</v>
      </c>
      <c r="F863" s="186" t="s">
        <v>907</v>
      </c>
      <c r="G863" s="186" t="s">
        <v>908</v>
      </c>
      <c r="H863" s="186" t="s">
        <v>2414</v>
      </c>
      <c r="I863" s="187" t="s">
        <v>2428</v>
      </c>
      <c r="J863" s="187" t="s">
        <v>2429</v>
      </c>
      <c r="K863" s="188"/>
      <c r="L863" s="188"/>
      <c r="M863" s="189" t="s">
        <v>807</v>
      </c>
      <c r="N863" s="190">
        <v>93.05</v>
      </c>
      <c r="O863" s="190">
        <f t="shared" si="106"/>
        <v>101.42</v>
      </c>
      <c r="P863" s="191">
        <f t="shared" si="107"/>
        <v>0</v>
      </c>
      <c r="Q863" s="192">
        <f t="shared" si="108"/>
        <v>0</v>
      </c>
      <c r="R863" s="193"/>
      <c r="S863" s="194"/>
      <c r="T863" s="195">
        <f t="shared" si="109"/>
        <v>0</v>
      </c>
      <c r="U863" s="195">
        <f t="shared" si="110"/>
        <v>0</v>
      </c>
      <c r="V863" s="195">
        <f t="shared" si="111"/>
        <v>0</v>
      </c>
      <c r="W863" s="196" t="e">
        <f t="shared" si="112"/>
        <v>#DIV/0!</v>
      </c>
      <c r="X863" s="197" t="e">
        <f t="shared" si="113"/>
        <v>#DIV/0!</v>
      </c>
    </row>
    <row r="864" ht="11.4" hidden="1" customHeight="1" spans="1:24">
      <c r="A864" s="184" t="s">
        <v>904</v>
      </c>
      <c r="B864" s="184" t="s">
        <v>153</v>
      </c>
      <c r="C864" s="184" t="s">
        <v>905</v>
      </c>
      <c r="D864" s="185" t="s">
        <v>522</v>
      </c>
      <c r="E864" s="186" t="s">
        <v>906</v>
      </c>
      <c r="F864" s="186" t="s">
        <v>907</v>
      </c>
      <c r="G864" s="186" t="s">
        <v>908</v>
      </c>
      <c r="H864" s="186" t="s">
        <v>2414</v>
      </c>
      <c r="I864" s="187" t="s">
        <v>2430</v>
      </c>
      <c r="J864" s="187" t="s">
        <v>2431</v>
      </c>
      <c r="K864" s="188"/>
      <c r="L864" s="188"/>
      <c r="M864" s="189" t="s">
        <v>807</v>
      </c>
      <c r="N864" s="190">
        <v>205.25</v>
      </c>
      <c r="O864" s="190">
        <f t="shared" si="106"/>
        <v>223.72</v>
      </c>
      <c r="P864" s="191">
        <f t="shared" si="107"/>
        <v>0</v>
      </c>
      <c r="Q864" s="192">
        <f t="shared" si="108"/>
        <v>0</v>
      </c>
      <c r="R864" s="193"/>
      <c r="S864" s="194"/>
      <c r="T864" s="195">
        <f t="shared" si="109"/>
        <v>0</v>
      </c>
      <c r="U864" s="195">
        <f t="shared" si="110"/>
        <v>0</v>
      </c>
      <c r="V864" s="195">
        <f t="shared" si="111"/>
        <v>0</v>
      </c>
      <c r="W864" s="196" t="e">
        <f t="shared" si="112"/>
        <v>#DIV/0!</v>
      </c>
      <c r="X864" s="197" t="e">
        <f t="shared" si="113"/>
        <v>#DIV/0!</v>
      </c>
    </row>
    <row r="865" ht="11.4" hidden="1" customHeight="1" spans="1:25">
      <c r="A865" s="184" t="s">
        <v>904</v>
      </c>
      <c r="B865" s="184" t="s">
        <v>153</v>
      </c>
      <c r="C865" s="184" t="s">
        <v>905</v>
      </c>
      <c r="D865" s="185" t="s">
        <v>522</v>
      </c>
      <c r="E865" s="186" t="s">
        <v>906</v>
      </c>
      <c r="F865" s="186" t="s">
        <v>907</v>
      </c>
      <c r="G865" s="186" t="s">
        <v>908</v>
      </c>
      <c r="H865" s="186" t="s">
        <v>2414</v>
      </c>
      <c r="I865" s="187" t="s">
        <v>2432</v>
      </c>
      <c r="J865" s="187" t="s">
        <v>2433</v>
      </c>
      <c r="K865" s="188">
        <v>21.45</v>
      </c>
      <c r="L865" s="188">
        <v>20.68</v>
      </c>
      <c r="M865" s="189" t="s">
        <v>847</v>
      </c>
      <c r="N865" s="190">
        <v>219.44</v>
      </c>
      <c r="O865" s="190">
        <f t="shared" si="106"/>
        <v>239.19</v>
      </c>
      <c r="P865" s="191">
        <f t="shared" si="107"/>
        <v>4706.99</v>
      </c>
      <c r="Q865" s="192">
        <f t="shared" si="108"/>
        <v>4538.02</v>
      </c>
      <c r="R865" s="193"/>
      <c r="S865" s="194"/>
      <c r="T865" s="195">
        <f t="shared" si="109"/>
        <v>0.77</v>
      </c>
      <c r="U865" s="195">
        <f t="shared" si="110"/>
        <v>168.969999999999</v>
      </c>
      <c r="V865" s="195">
        <f t="shared" si="111"/>
        <v>168.969999999999</v>
      </c>
      <c r="W865" s="196">
        <f t="shared" si="112"/>
        <v>0.0372340425531915</v>
      </c>
      <c r="X865" s="197">
        <f t="shared" si="113"/>
        <v>0.0372340425531915</v>
      </c>
    </row>
    <row r="866" ht="11.4" hidden="1" customHeight="1" spans="1:25">
      <c r="A866" s="184" t="s">
        <v>904</v>
      </c>
      <c r="B866" s="184" t="s">
        <v>153</v>
      </c>
      <c r="C866" s="184" t="s">
        <v>905</v>
      </c>
      <c r="D866" s="185" t="s">
        <v>522</v>
      </c>
      <c r="E866" s="186" t="s">
        <v>906</v>
      </c>
      <c r="F866" s="186" t="s">
        <v>907</v>
      </c>
      <c r="G866" s="186" t="s">
        <v>908</v>
      </c>
      <c r="H866" s="186" t="s">
        <v>2414</v>
      </c>
      <c r="I866" s="187" t="s">
        <v>2434</v>
      </c>
      <c r="J866" s="187" t="s">
        <v>2435</v>
      </c>
      <c r="K866" s="188"/>
      <c r="L866" s="188"/>
      <c r="M866" s="189" t="s">
        <v>847</v>
      </c>
      <c r="N866" s="190">
        <v>365.36</v>
      </c>
      <c r="O866" s="190">
        <f t="shared" si="106"/>
        <v>398.24</v>
      </c>
      <c r="P866" s="191">
        <f t="shared" si="107"/>
        <v>0</v>
      </c>
      <c r="Q866" s="192">
        <f t="shared" si="108"/>
        <v>0</v>
      </c>
      <c r="R866" s="193"/>
      <c r="S866" s="194"/>
      <c r="T866" s="195">
        <f t="shared" si="109"/>
        <v>0</v>
      </c>
      <c r="U866" s="195">
        <f t="shared" si="110"/>
        <v>0</v>
      </c>
      <c r="V866" s="195">
        <f t="shared" si="111"/>
        <v>0</v>
      </c>
      <c r="W866" s="196" t="e">
        <f t="shared" si="112"/>
        <v>#DIV/0!</v>
      </c>
      <c r="X866" s="197" t="e">
        <f t="shared" si="113"/>
        <v>#DIV/0!</v>
      </c>
    </row>
    <row r="867" ht="11.4" hidden="1" customHeight="1" spans="1:25">
      <c r="A867" s="184" t="s">
        <v>904</v>
      </c>
      <c r="B867" s="184" t="s">
        <v>153</v>
      </c>
      <c r="C867" s="184" t="s">
        <v>905</v>
      </c>
      <c r="D867" s="185" t="s">
        <v>522</v>
      </c>
      <c r="E867" s="186" t="s">
        <v>906</v>
      </c>
      <c r="F867" s="186" t="s">
        <v>907</v>
      </c>
      <c r="G867" s="186" t="s">
        <v>908</v>
      </c>
      <c r="H867" s="186" t="s">
        <v>2414</v>
      </c>
      <c r="I867" s="187" t="s">
        <v>2436</v>
      </c>
      <c r="J867" s="187" t="s">
        <v>2437</v>
      </c>
      <c r="K867" s="188"/>
      <c r="L867" s="188"/>
      <c r="M867" s="189" t="s">
        <v>963</v>
      </c>
      <c r="N867" s="190">
        <v>832.04</v>
      </c>
      <c r="O867" s="190">
        <f t="shared" si="106"/>
        <v>906.92</v>
      </c>
      <c r="P867" s="191">
        <f t="shared" si="107"/>
        <v>0</v>
      </c>
      <c r="Q867" s="192">
        <f t="shared" si="108"/>
        <v>0</v>
      </c>
      <c r="R867" s="193"/>
      <c r="S867" s="194"/>
      <c r="T867" s="195">
        <f t="shared" si="109"/>
        <v>0</v>
      </c>
      <c r="U867" s="195">
        <f t="shared" si="110"/>
        <v>0</v>
      </c>
      <c r="V867" s="195">
        <f t="shared" si="111"/>
        <v>0</v>
      </c>
      <c r="W867" s="196" t="e">
        <f t="shared" si="112"/>
        <v>#DIV/0!</v>
      </c>
      <c r="X867" s="197" t="e">
        <f t="shared" si="113"/>
        <v>#DIV/0!</v>
      </c>
    </row>
    <row r="868" ht="11.4" hidden="1" customHeight="1" spans="1:25">
      <c r="A868" s="184" t="s">
        <v>904</v>
      </c>
      <c r="B868" s="184" t="s">
        <v>153</v>
      </c>
      <c r="C868" s="184" t="s">
        <v>905</v>
      </c>
      <c r="D868" s="185" t="s">
        <v>522</v>
      </c>
      <c r="E868" s="186" t="s">
        <v>906</v>
      </c>
      <c r="F868" s="186" t="s">
        <v>907</v>
      </c>
      <c r="G868" s="186" t="s">
        <v>908</v>
      </c>
      <c r="H868" s="186" t="s">
        <v>2414</v>
      </c>
      <c r="I868" s="187" t="s">
        <v>2438</v>
      </c>
      <c r="J868" s="187" t="s">
        <v>2439</v>
      </c>
      <c r="K868" s="188"/>
      <c r="L868" s="188"/>
      <c r="M868" s="189" t="s">
        <v>963</v>
      </c>
      <c r="N868" s="190">
        <v>1691.55</v>
      </c>
      <c r="O868" s="190">
        <f t="shared" si="106"/>
        <v>1843.79</v>
      </c>
      <c r="P868" s="191">
        <f t="shared" si="107"/>
        <v>0</v>
      </c>
      <c r="Q868" s="192">
        <f t="shared" si="108"/>
        <v>0</v>
      </c>
      <c r="R868" s="193"/>
      <c r="S868" s="194"/>
      <c r="T868" s="195">
        <f t="shared" si="109"/>
        <v>0</v>
      </c>
      <c r="U868" s="195">
        <f t="shared" si="110"/>
        <v>0</v>
      </c>
      <c r="V868" s="195">
        <f t="shared" si="111"/>
        <v>0</v>
      </c>
      <c r="W868" s="196" t="e">
        <f t="shared" si="112"/>
        <v>#DIV/0!</v>
      </c>
      <c r="X868" s="197" t="e">
        <f t="shared" si="113"/>
        <v>#DIV/0!</v>
      </c>
    </row>
    <row r="869" ht="11.4" hidden="1" customHeight="1" spans="1:25">
      <c r="A869" s="184" t="s">
        <v>904</v>
      </c>
      <c r="B869" s="184" t="s">
        <v>153</v>
      </c>
      <c r="C869" s="184" t="s">
        <v>905</v>
      </c>
      <c r="D869" s="185" t="s">
        <v>522</v>
      </c>
      <c r="E869" s="186" t="s">
        <v>906</v>
      </c>
      <c r="F869" s="186" t="s">
        <v>907</v>
      </c>
      <c r="G869" s="186" t="s">
        <v>908</v>
      </c>
      <c r="H869" s="186" t="s">
        <v>2414</v>
      </c>
      <c r="I869" s="187" t="s">
        <v>2440</v>
      </c>
      <c r="J869" s="187" t="s">
        <v>2441</v>
      </c>
      <c r="K869" s="188">
        <v>4</v>
      </c>
      <c r="L869" s="188">
        <v>4</v>
      </c>
      <c r="M869" s="189" t="s">
        <v>963</v>
      </c>
      <c r="N869" s="190">
        <v>1315.9</v>
      </c>
      <c r="O869" s="190">
        <f t="shared" si="106"/>
        <v>1434.33</v>
      </c>
      <c r="P869" s="191">
        <f t="shared" si="107"/>
        <v>5263.6</v>
      </c>
      <c r="Q869" s="192">
        <f t="shared" si="108"/>
        <v>5263.6</v>
      </c>
      <c r="R869" s="193"/>
      <c r="S869" s="194"/>
      <c r="T869" s="195">
        <f t="shared" si="109"/>
        <v>0</v>
      </c>
      <c r="U869" s="195">
        <f t="shared" si="110"/>
        <v>0</v>
      </c>
      <c r="V869" s="195">
        <f t="shared" si="111"/>
        <v>0</v>
      </c>
      <c r="W869" s="196">
        <f t="shared" si="112"/>
        <v>0</v>
      </c>
      <c r="X869" s="197">
        <f t="shared" si="113"/>
        <v>0</v>
      </c>
    </row>
    <row r="870" ht="11.4" hidden="1" customHeight="1" spans="1:25">
      <c r="A870" s="184" t="s">
        <v>904</v>
      </c>
      <c r="B870" s="184" t="s">
        <v>153</v>
      </c>
      <c r="C870" s="184" t="s">
        <v>905</v>
      </c>
      <c r="D870" s="185" t="s">
        <v>522</v>
      </c>
      <c r="E870" s="186" t="s">
        <v>906</v>
      </c>
      <c r="F870" s="186" t="s">
        <v>907</v>
      </c>
      <c r="G870" s="186" t="s">
        <v>908</v>
      </c>
      <c r="H870" s="186" t="s">
        <v>2414</v>
      </c>
      <c r="I870" s="187" t="s">
        <v>2442</v>
      </c>
      <c r="J870" s="187" t="s">
        <v>2443</v>
      </c>
      <c r="K870" s="188"/>
      <c r="L870" s="188"/>
      <c r="M870" s="189" t="s">
        <v>963</v>
      </c>
      <c r="N870" s="190">
        <v>969.96</v>
      </c>
      <c r="O870" s="190">
        <f t="shared" si="106"/>
        <v>1057.26</v>
      </c>
      <c r="P870" s="191">
        <f t="shared" si="107"/>
        <v>0</v>
      </c>
      <c r="Q870" s="192">
        <f t="shared" si="108"/>
        <v>0</v>
      </c>
      <c r="R870" s="193"/>
      <c r="S870" s="194"/>
      <c r="T870" s="195">
        <f t="shared" si="109"/>
        <v>0</v>
      </c>
      <c r="U870" s="195">
        <f t="shared" si="110"/>
        <v>0</v>
      </c>
      <c r="V870" s="195">
        <f t="shared" si="111"/>
        <v>0</v>
      </c>
      <c r="W870" s="196" t="e">
        <f t="shared" si="112"/>
        <v>#DIV/0!</v>
      </c>
      <c r="X870" s="197" t="e">
        <f t="shared" si="113"/>
        <v>#DIV/0!</v>
      </c>
    </row>
    <row r="871" ht="11.4" hidden="1" customHeight="1" spans="1:25">
      <c r="A871" s="184" t="s">
        <v>904</v>
      </c>
      <c r="B871" s="184" t="s">
        <v>153</v>
      </c>
      <c r="C871" s="184" t="s">
        <v>905</v>
      </c>
      <c r="D871" s="185" t="s">
        <v>522</v>
      </c>
      <c r="E871" s="186" t="s">
        <v>906</v>
      </c>
      <c r="F871" s="186" t="s">
        <v>907</v>
      </c>
      <c r="G871" s="186" t="s">
        <v>908</v>
      </c>
      <c r="H871" s="186" t="s">
        <v>2414</v>
      </c>
      <c r="I871" s="187" t="s">
        <v>2444</v>
      </c>
      <c r="J871" s="187" t="s">
        <v>2445</v>
      </c>
      <c r="K871" s="188"/>
      <c r="L871" s="188"/>
      <c r="M871" s="189" t="s">
        <v>963</v>
      </c>
      <c r="N871" s="190">
        <v>1692.65</v>
      </c>
      <c r="O871" s="190">
        <f t="shared" si="106"/>
        <v>1844.99</v>
      </c>
      <c r="P871" s="191">
        <f t="shared" si="107"/>
        <v>0</v>
      </c>
      <c r="Q871" s="192">
        <f t="shared" si="108"/>
        <v>0</v>
      </c>
      <c r="R871" s="193"/>
      <c r="S871" s="194"/>
      <c r="T871" s="195">
        <f t="shared" si="109"/>
        <v>0</v>
      </c>
      <c r="U871" s="195">
        <f t="shared" si="110"/>
        <v>0</v>
      </c>
      <c r="V871" s="195">
        <f t="shared" si="111"/>
        <v>0</v>
      </c>
      <c r="W871" s="196" t="e">
        <f t="shared" si="112"/>
        <v>#DIV/0!</v>
      </c>
      <c r="X871" s="197" t="e">
        <f t="shared" si="113"/>
        <v>#DIV/0!</v>
      </c>
    </row>
    <row r="872" ht="11.4" hidden="1" customHeight="1" spans="1:25">
      <c r="A872" s="184" t="s">
        <v>904</v>
      </c>
      <c r="B872" s="184" t="s">
        <v>153</v>
      </c>
      <c r="C872" s="184" t="s">
        <v>905</v>
      </c>
      <c r="D872" s="185" t="s">
        <v>522</v>
      </c>
      <c r="E872" s="186" t="s">
        <v>906</v>
      </c>
      <c r="F872" s="186" t="s">
        <v>907</v>
      </c>
      <c r="G872" s="186" t="s">
        <v>908</v>
      </c>
      <c r="H872" s="186" t="s">
        <v>2414</v>
      </c>
      <c r="I872" s="187" t="s">
        <v>2446</v>
      </c>
      <c r="J872" s="187" t="s">
        <v>2447</v>
      </c>
      <c r="K872" s="188"/>
      <c r="L872" s="188"/>
      <c r="M872" s="189" t="s">
        <v>1018</v>
      </c>
      <c r="N872" s="190">
        <v>350</v>
      </c>
      <c r="O872" s="190">
        <f t="shared" si="106"/>
        <v>381.5</v>
      </c>
      <c r="P872" s="191">
        <f t="shared" si="107"/>
        <v>0</v>
      </c>
      <c r="Q872" s="192">
        <f t="shared" si="108"/>
        <v>0</v>
      </c>
      <c r="R872" s="193"/>
      <c r="S872" s="194"/>
      <c r="T872" s="195">
        <f t="shared" si="109"/>
        <v>0</v>
      </c>
      <c r="U872" s="195">
        <f t="shared" si="110"/>
        <v>0</v>
      </c>
      <c r="V872" s="195">
        <f t="shared" si="111"/>
        <v>0</v>
      </c>
      <c r="W872" s="196" t="e">
        <f t="shared" si="112"/>
        <v>#DIV/0!</v>
      </c>
      <c r="X872" s="197" t="e">
        <f t="shared" si="113"/>
        <v>#DIV/0!</v>
      </c>
    </row>
    <row r="873" ht="11.4" hidden="1" customHeight="1" spans="1:25">
      <c r="A873" s="184" t="s">
        <v>904</v>
      </c>
      <c r="B873" s="184" t="s">
        <v>153</v>
      </c>
      <c r="C873" s="184" t="s">
        <v>905</v>
      </c>
      <c r="D873" s="185" t="s">
        <v>522</v>
      </c>
      <c r="E873" s="186" t="s">
        <v>906</v>
      </c>
      <c r="F873" s="186" t="s">
        <v>907</v>
      </c>
      <c r="G873" s="186" t="s">
        <v>908</v>
      </c>
      <c r="H873" s="186" t="s">
        <v>2448</v>
      </c>
      <c r="I873" s="187" t="s">
        <v>2449</v>
      </c>
      <c r="J873" s="187" t="s">
        <v>2450</v>
      </c>
      <c r="K873" s="188"/>
      <c r="L873" s="188"/>
      <c r="M873" s="189" t="s">
        <v>807</v>
      </c>
      <c r="N873" s="190">
        <v>230.44</v>
      </c>
      <c r="O873" s="190">
        <f t="shared" si="106"/>
        <v>251.18</v>
      </c>
      <c r="P873" s="191">
        <f t="shared" si="107"/>
        <v>0</v>
      </c>
      <c r="Q873" s="192">
        <f t="shared" si="108"/>
        <v>0</v>
      </c>
      <c r="R873" s="193"/>
      <c r="S873" s="194"/>
      <c r="T873" s="195">
        <f t="shared" si="109"/>
        <v>0</v>
      </c>
      <c r="U873" s="195">
        <f t="shared" si="110"/>
        <v>0</v>
      </c>
      <c r="V873" s="195">
        <f t="shared" si="111"/>
        <v>0</v>
      </c>
      <c r="W873" s="196" t="e">
        <f t="shared" si="112"/>
        <v>#DIV/0!</v>
      </c>
      <c r="X873" s="197" t="e">
        <f t="shared" si="113"/>
        <v>#DIV/0!</v>
      </c>
    </row>
    <row r="874" ht="11.4" hidden="1" customHeight="1" spans="1:25">
      <c r="A874" s="184" t="s">
        <v>904</v>
      </c>
      <c r="B874" s="184" t="s">
        <v>153</v>
      </c>
      <c r="C874" s="184" t="s">
        <v>905</v>
      </c>
      <c r="D874" s="185" t="s">
        <v>522</v>
      </c>
      <c r="E874" s="186" t="s">
        <v>906</v>
      </c>
      <c r="F874" s="186" t="s">
        <v>907</v>
      </c>
      <c r="G874" s="186" t="s">
        <v>908</v>
      </c>
      <c r="H874" s="186" t="s">
        <v>2448</v>
      </c>
      <c r="I874" s="187" t="s">
        <v>2451</v>
      </c>
      <c r="J874" s="164" t="s">
        <v>2452</v>
      </c>
      <c r="K874" s="203">
        <f t="shared" ref="K874:K877" si="114">L874</f>
        <v>15.93</v>
      </c>
      <c r="L874" s="188">
        <v>15.93</v>
      </c>
      <c r="M874" s="189" t="s">
        <v>807</v>
      </c>
      <c r="N874" s="190">
        <v>199.42</v>
      </c>
      <c r="O874" s="190">
        <f t="shared" si="106"/>
        <v>217.37</v>
      </c>
      <c r="P874" s="191">
        <f t="shared" si="107"/>
        <v>3176.76</v>
      </c>
      <c r="Q874" s="192">
        <f t="shared" si="108"/>
        <v>3176.76</v>
      </c>
      <c r="R874" s="193"/>
      <c r="S874" s="194"/>
      <c r="T874" s="195">
        <f t="shared" si="109"/>
        <v>0</v>
      </c>
      <c r="U874" s="195">
        <f t="shared" si="110"/>
        <v>0</v>
      </c>
      <c r="V874" s="195">
        <f t="shared" si="111"/>
        <v>0</v>
      </c>
      <c r="W874" s="196">
        <f t="shared" si="112"/>
        <v>0</v>
      </c>
      <c r="X874" s="197">
        <f t="shared" si="113"/>
        <v>0</v>
      </c>
      <c r="Y874" s="201" t="s">
        <v>1986</v>
      </c>
    </row>
    <row r="875" ht="11.4" hidden="1" customHeight="1" spans="1:25">
      <c r="A875" s="184" t="s">
        <v>904</v>
      </c>
      <c r="B875" s="184" t="s">
        <v>153</v>
      </c>
      <c r="C875" s="184" t="s">
        <v>905</v>
      </c>
      <c r="D875" s="185" t="s">
        <v>522</v>
      </c>
      <c r="E875" s="186" t="s">
        <v>906</v>
      </c>
      <c r="F875" s="186" t="s">
        <v>907</v>
      </c>
      <c r="G875" s="186" t="s">
        <v>908</v>
      </c>
      <c r="H875" s="186" t="s">
        <v>2448</v>
      </c>
      <c r="I875" s="187" t="s">
        <v>2453</v>
      </c>
      <c r="J875" s="164" t="s">
        <v>2454</v>
      </c>
      <c r="K875" s="203">
        <f t="shared" si="114"/>
        <v>31</v>
      </c>
      <c r="L875" s="188">
        <v>31</v>
      </c>
      <c r="M875" s="189" t="s">
        <v>807</v>
      </c>
      <c r="N875" s="190">
        <v>187.87</v>
      </c>
      <c r="O875" s="190">
        <f t="shared" si="106"/>
        <v>204.78</v>
      </c>
      <c r="P875" s="191">
        <f t="shared" si="107"/>
        <v>5823.97</v>
      </c>
      <c r="Q875" s="192">
        <f t="shared" si="108"/>
        <v>5823.97</v>
      </c>
      <c r="R875" s="193"/>
      <c r="S875" s="194"/>
      <c r="T875" s="195">
        <f t="shared" si="109"/>
        <v>0</v>
      </c>
      <c r="U875" s="195">
        <f t="shared" si="110"/>
        <v>0</v>
      </c>
      <c r="V875" s="195">
        <f t="shared" si="111"/>
        <v>0</v>
      </c>
      <c r="W875" s="196">
        <f t="shared" si="112"/>
        <v>0</v>
      </c>
      <c r="X875" s="197">
        <f t="shared" si="113"/>
        <v>0</v>
      </c>
      <c r="Y875" s="201" t="s">
        <v>1986</v>
      </c>
    </row>
    <row r="876" ht="11.4" hidden="1" customHeight="1" spans="1:25">
      <c r="A876" s="184" t="s">
        <v>904</v>
      </c>
      <c r="B876" s="184" t="s">
        <v>153</v>
      </c>
      <c r="C876" s="184" t="s">
        <v>905</v>
      </c>
      <c r="D876" s="185" t="s">
        <v>522</v>
      </c>
      <c r="E876" s="186" t="s">
        <v>906</v>
      </c>
      <c r="F876" s="186" t="s">
        <v>907</v>
      </c>
      <c r="G876" s="186" t="s">
        <v>908</v>
      </c>
      <c r="H876" s="186" t="s">
        <v>2448</v>
      </c>
      <c r="I876" s="187" t="s">
        <v>2455</v>
      </c>
      <c r="J876" s="187" t="s">
        <v>2456</v>
      </c>
      <c r="K876" s="188"/>
      <c r="L876" s="188"/>
      <c r="M876" s="189" t="s">
        <v>807</v>
      </c>
      <c r="N876" s="190">
        <v>175.55</v>
      </c>
      <c r="O876" s="190">
        <f t="shared" si="106"/>
        <v>191.35</v>
      </c>
      <c r="P876" s="191">
        <f t="shared" si="107"/>
        <v>0</v>
      </c>
      <c r="Q876" s="192">
        <f t="shared" si="108"/>
        <v>0</v>
      </c>
      <c r="R876" s="193"/>
      <c r="S876" s="194"/>
      <c r="T876" s="195">
        <f t="shared" si="109"/>
        <v>0</v>
      </c>
      <c r="U876" s="195">
        <f t="shared" si="110"/>
        <v>0</v>
      </c>
      <c r="V876" s="195">
        <f t="shared" si="111"/>
        <v>0</v>
      </c>
      <c r="W876" s="196" t="e">
        <f t="shared" si="112"/>
        <v>#DIV/0!</v>
      </c>
      <c r="X876" s="197" t="e">
        <f t="shared" si="113"/>
        <v>#DIV/0!</v>
      </c>
    </row>
    <row r="877" ht="11.4" hidden="1" customHeight="1" spans="1:25">
      <c r="A877" s="184" t="s">
        <v>904</v>
      </c>
      <c r="B877" s="184" t="s">
        <v>153</v>
      </c>
      <c r="C877" s="184" t="s">
        <v>905</v>
      </c>
      <c r="D877" s="185" t="s">
        <v>522</v>
      </c>
      <c r="E877" s="186" t="s">
        <v>906</v>
      </c>
      <c r="F877" s="186" t="s">
        <v>907</v>
      </c>
      <c r="G877" s="186" t="s">
        <v>908</v>
      </c>
      <c r="H877" s="186" t="s">
        <v>2448</v>
      </c>
      <c r="I877" s="187" t="s">
        <v>2457</v>
      </c>
      <c r="J877" s="164" t="s">
        <v>2458</v>
      </c>
      <c r="K877" s="203">
        <f t="shared" si="114"/>
        <v>16.25</v>
      </c>
      <c r="L877" s="188">
        <v>16.25</v>
      </c>
      <c r="M877" s="189" t="s">
        <v>807</v>
      </c>
      <c r="N877" s="190">
        <v>156.85</v>
      </c>
      <c r="O877" s="190">
        <f t="shared" si="106"/>
        <v>170.97</v>
      </c>
      <c r="P877" s="191">
        <f t="shared" si="107"/>
        <v>2548.81</v>
      </c>
      <c r="Q877" s="192">
        <f t="shared" si="108"/>
        <v>2548.81</v>
      </c>
      <c r="R877" s="193"/>
      <c r="S877" s="194"/>
      <c r="T877" s="195">
        <f t="shared" si="109"/>
        <v>0</v>
      </c>
      <c r="U877" s="195">
        <f t="shared" si="110"/>
        <v>0</v>
      </c>
      <c r="V877" s="195">
        <f t="shared" si="111"/>
        <v>0</v>
      </c>
      <c r="W877" s="196">
        <f t="shared" si="112"/>
        <v>0</v>
      </c>
      <c r="X877" s="197">
        <f t="shared" si="113"/>
        <v>0</v>
      </c>
      <c r="Y877" s="201" t="s">
        <v>1986</v>
      </c>
    </row>
    <row r="878" ht="11.4" hidden="1" customHeight="1" spans="1:25">
      <c r="A878" s="184" t="s">
        <v>904</v>
      </c>
      <c r="B878" s="184" t="s">
        <v>153</v>
      </c>
      <c r="C878" s="184" t="s">
        <v>905</v>
      </c>
      <c r="D878" s="185" t="s">
        <v>522</v>
      </c>
      <c r="E878" s="186" t="s">
        <v>906</v>
      </c>
      <c r="F878" s="186" t="s">
        <v>907</v>
      </c>
      <c r="G878" s="186" t="s">
        <v>908</v>
      </c>
      <c r="H878" s="186" t="s">
        <v>2448</v>
      </c>
      <c r="I878" s="187" t="s">
        <v>2459</v>
      </c>
      <c r="J878" s="187" t="s">
        <v>2460</v>
      </c>
      <c r="K878" s="188"/>
      <c r="L878" s="188"/>
      <c r="M878" s="189" t="s">
        <v>807</v>
      </c>
      <c r="N878" s="190">
        <v>122.2</v>
      </c>
      <c r="O878" s="190">
        <f t="shared" si="106"/>
        <v>133.2</v>
      </c>
      <c r="P878" s="191">
        <f t="shared" si="107"/>
        <v>0</v>
      </c>
      <c r="Q878" s="192">
        <f t="shared" si="108"/>
        <v>0</v>
      </c>
      <c r="R878" s="193"/>
      <c r="S878" s="194"/>
      <c r="T878" s="195">
        <f t="shared" si="109"/>
        <v>0</v>
      </c>
      <c r="U878" s="195">
        <f t="shared" si="110"/>
        <v>0</v>
      </c>
      <c r="V878" s="195">
        <f t="shared" si="111"/>
        <v>0</v>
      </c>
      <c r="W878" s="196" t="e">
        <f t="shared" si="112"/>
        <v>#DIV/0!</v>
      </c>
      <c r="X878" s="197" t="e">
        <f t="shared" si="113"/>
        <v>#DIV/0!</v>
      </c>
    </row>
    <row r="879" ht="11.4" hidden="1" customHeight="1" spans="1:25">
      <c r="A879" s="184" t="s">
        <v>904</v>
      </c>
      <c r="B879" s="184" t="s">
        <v>153</v>
      </c>
      <c r="C879" s="184" t="s">
        <v>905</v>
      </c>
      <c r="D879" s="185" t="s">
        <v>522</v>
      </c>
      <c r="E879" s="186" t="s">
        <v>906</v>
      </c>
      <c r="F879" s="186" t="s">
        <v>907</v>
      </c>
      <c r="G879" s="186" t="s">
        <v>908</v>
      </c>
      <c r="H879" s="186" t="s">
        <v>2448</v>
      </c>
      <c r="I879" s="187" t="s">
        <v>2461</v>
      </c>
      <c r="J879" s="154" t="s">
        <v>2462</v>
      </c>
      <c r="K879" s="188">
        <v>1</v>
      </c>
      <c r="L879" s="188">
        <v>1</v>
      </c>
      <c r="M879" s="189" t="s">
        <v>793</v>
      </c>
      <c r="N879" s="190">
        <v>4616.45</v>
      </c>
      <c r="O879" s="190">
        <f t="shared" si="106"/>
        <v>5031.93</v>
      </c>
      <c r="P879" s="191">
        <f t="shared" si="107"/>
        <v>4616.45</v>
      </c>
      <c r="Q879" s="192">
        <f t="shared" si="108"/>
        <v>4616.45</v>
      </c>
      <c r="R879" s="193"/>
      <c r="S879" s="194"/>
      <c r="T879" s="195">
        <f t="shared" si="109"/>
        <v>0</v>
      </c>
      <c r="U879" s="195">
        <f t="shared" si="110"/>
        <v>0</v>
      </c>
      <c r="V879" s="195">
        <f t="shared" si="111"/>
        <v>0</v>
      </c>
      <c r="W879" s="196">
        <f t="shared" si="112"/>
        <v>0</v>
      </c>
      <c r="X879" s="197">
        <f t="shared" si="113"/>
        <v>0</v>
      </c>
    </row>
    <row r="880" ht="11.4" hidden="1" customHeight="1" spans="1:25">
      <c r="A880" s="184" t="s">
        <v>904</v>
      </c>
      <c r="B880" s="184" t="s">
        <v>153</v>
      </c>
      <c r="C880" s="184" t="s">
        <v>905</v>
      </c>
      <c r="D880" s="185" t="s">
        <v>522</v>
      </c>
      <c r="E880" s="186" t="s">
        <v>906</v>
      </c>
      <c r="F880" s="186" t="s">
        <v>907</v>
      </c>
      <c r="G880" s="186" t="s">
        <v>908</v>
      </c>
      <c r="H880" s="186" t="s">
        <v>2448</v>
      </c>
      <c r="I880" s="187" t="s">
        <v>2463</v>
      </c>
      <c r="J880" s="187" t="s">
        <v>2464</v>
      </c>
      <c r="K880" s="188"/>
      <c r="L880" s="188"/>
      <c r="M880" s="189" t="s">
        <v>807</v>
      </c>
      <c r="N880" s="190">
        <v>180.37</v>
      </c>
      <c r="O880" s="190">
        <f t="shared" si="106"/>
        <v>196.6</v>
      </c>
      <c r="P880" s="191">
        <f t="shared" si="107"/>
        <v>0</v>
      </c>
      <c r="Q880" s="192">
        <f t="shared" si="108"/>
        <v>0</v>
      </c>
      <c r="R880" s="193"/>
      <c r="S880" s="194"/>
      <c r="T880" s="195">
        <f t="shared" si="109"/>
        <v>0</v>
      </c>
      <c r="U880" s="195">
        <f t="shared" si="110"/>
        <v>0</v>
      </c>
      <c r="V880" s="195">
        <f t="shared" si="111"/>
        <v>0</v>
      </c>
      <c r="W880" s="196" t="e">
        <f t="shared" si="112"/>
        <v>#DIV/0!</v>
      </c>
      <c r="X880" s="197" t="e">
        <f t="shared" si="113"/>
        <v>#DIV/0!</v>
      </c>
    </row>
    <row r="881" ht="11.4" hidden="1" customHeight="1" spans="1:24">
      <c r="A881" s="184" t="s">
        <v>904</v>
      </c>
      <c r="B881" s="184" t="s">
        <v>153</v>
      </c>
      <c r="C881" s="184" t="s">
        <v>905</v>
      </c>
      <c r="D881" s="185" t="s">
        <v>522</v>
      </c>
      <c r="E881" s="186" t="s">
        <v>906</v>
      </c>
      <c r="F881" s="186" t="s">
        <v>907</v>
      </c>
      <c r="G881" s="186" t="s">
        <v>908</v>
      </c>
      <c r="H881" s="186" t="s">
        <v>2448</v>
      </c>
      <c r="I881" s="187" t="s">
        <v>2465</v>
      </c>
      <c r="J881" s="187" t="s">
        <v>2466</v>
      </c>
      <c r="K881" s="188"/>
      <c r="L881" s="188"/>
      <c r="M881" s="189" t="s">
        <v>807</v>
      </c>
      <c r="N881" s="190">
        <v>146.92</v>
      </c>
      <c r="O881" s="190">
        <f t="shared" si="106"/>
        <v>160.14</v>
      </c>
      <c r="P881" s="191">
        <f t="shared" si="107"/>
        <v>0</v>
      </c>
      <c r="Q881" s="192">
        <f t="shared" si="108"/>
        <v>0</v>
      </c>
      <c r="R881" s="193"/>
      <c r="S881" s="194"/>
      <c r="T881" s="195">
        <f t="shared" si="109"/>
        <v>0</v>
      </c>
      <c r="U881" s="195">
        <f t="shared" si="110"/>
        <v>0</v>
      </c>
      <c r="V881" s="195">
        <f t="shared" si="111"/>
        <v>0</v>
      </c>
      <c r="W881" s="196" t="e">
        <f t="shared" si="112"/>
        <v>#DIV/0!</v>
      </c>
      <c r="X881" s="197" t="e">
        <f t="shared" si="113"/>
        <v>#DIV/0!</v>
      </c>
    </row>
    <row r="882" ht="11.4" hidden="1" customHeight="1" spans="1:24">
      <c r="A882" s="184" t="s">
        <v>904</v>
      </c>
      <c r="B882" s="184" t="s">
        <v>153</v>
      </c>
      <c r="C882" s="184" t="s">
        <v>905</v>
      </c>
      <c r="D882" s="185" t="s">
        <v>522</v>
      </c>
      <c r="E882" s="186" t="s">
        <v>906</v>
      </c>
      <c r="F882" s="186" t="s">
        <v>907</v>
      </c>
      <c r="G882" s="186" t="s">
        <v>908</v>
      </c>
      <c r="H882" s="186" t="s">
        <v>2448</v>
      </c>
      <c r="I882" s="187" t="s">
        <v>2467</v>
      </c>
      <c r="J882" s="187" t="s">
        <v>2468</v>
      </c>
      <c r="K882" s="188"/>
      <c r="L882" s="188"/>
      <c r="M882" s="189" t="s">
        <v>807</v>
      </c>
      <c r="N882" s="190">
        <v>126.78</v>
      </c>
      <c r="O882" s="190">
        <f t="shared" si="106"/>
        <v>138.19</v>
      </c>
      <c r="P882" s="191">
        <f t="shared" si="107"/>
        <v>0</v>
      </c>
      <c r="Q882" s="192">
        <f t="shared" si="108"/>
        <v>0</v>
      </c>
      <c r="R882" s="193"/>
      <c r="S882" s="194"/>
      <c r="T882" s="195">
        <f t="shared" si="109"/>
        <v>0</v>
      </c>
      <c r="U882" s="195">
        <f t="shared" si="110"/>
        <v>0</v>
      </c>
      <c r="V882" s="195">
        <f t="shared" si="111"/>
        <v>0</v>
      </c>
      <c r="W882" s="196" t="e">
        <f t="shared" si="112"/>
        <v>#DIV/0!</v>
      </c>
      <c r="X882" s="197" t="e">
        <f t="shared" si="113"/>
        <v>#DIV/0!</v>
      </c>
    </row>
    <row r="883" ht="11.4" hidden="1" customHeight="1" spans="1:24">
      <c r="A883" s="184" t="s">
        <v>904</v>
      </c>
      <c r="B883" s="184" t="s">
        <v>153</v>
      </c>
      <c r="C883" s="184" t="s">
        <v>905</v>
      </c>
      <c r="D883" s="185" t="s">
        <v>522</v>
      </c>
      <c r="E883" s="186" t="s">
        <v>906</v>
      </c>
      <c r="F883" s="186" t="s">
        <v>907</v>
      </c>
      <c r="G883" s="186" t="s">
        <v>908</v>
      </c>
      <c r="H883" s="186" t="s">
        <v>2448</v>
      </c>
      <c r="I883" s="187" t="s">
        <v>2469</v>
      </c>
      <c r="J883" s="187" t="s">
        <v>2470</v>
      </c>
      <c r="K883" s="188"/>
      <c r="L883" s="188"/>
      <c r="M883" s="189" t="s">
        <v>807</v>
      </c>
      <c r="N883" s="190">
        <v>109.45</v>
      </c>
      <c r="O883" s="190">
        <f t="shared" si="106"/>
        <v>119.3</v>
      </c>
      <c r="P883" s="191">
        <f t="shared" si="107"/>
        <v>0</v>
      </c>
      <c r="Q883" s="192">
        <f t="shared" si="108"/>
        <v>0</v>
      </c>
      <c r="R883" s="193"/>
      <c r="S883" s="194"/>
      <c r="T883" s="195">
        <f t="shared" si="109"/>
        <v>0</v>
      </c>
      <c r="U883" s="195">
        <f t="shared" si="110"/>
        <v>0</v>
      </c>
      <c r="V883" s="195">
        <f t="shared" si="111"/>
        <v>0</v>
      </c>
      <c r="W883" s="196" t="e">
        <f t="shared" si="112"/>
        <v>#DIV/0!</v>
      </c>
      <c r="X883" s="197" t="e">
        <f t="shared" si="113"/>
        <v>#DIV/0!</v>
      </c>
    </row>
    <row r="884" ht="11.4" hidden="1" customHeight="1" spans="1:24">
      <c r="A884" s="184" t="s">
        <v>904</v>
      </c>
      <c r="B884" s="184" t="s">
        <v>153</v>
      </c>
      <c r="C884" s="184" t="s">
        <v>905</v>
      </c>
      <c r="D884" s="185" t="s">
        <v>522</v>
      </c>
      <c r="E884" s="186" t="s">
        <v>906</v>
      </c>
      <c r="F884" s="186" t="s">
        <v>907</v>
      </c>
      <c r="G884" s="186" t="s">
        <v>908</v>
      </c>
      <c r="H884" s="186" t="s">
        <v>2448</v>
      </c>
      <c r="I884" s="187" t="s">
        <v>2471</v>
      </c>
      <c r="J884" s="187" t="s">
        <v>2472</v>
      </c>
      <c r="K884" s="188"/>
      <c r="L884" s="188"/>
      <c r="M884" s="189" t="s">
        <v>807</v>
      </c>
      <c r="N884" s="190">
        <v>95.83</v>
      </c>
      <c r="O884" s="190">
        <f t="shared" si="106"/>
        <v>104.45</v>
      </c>
      <c r="P884" s="191">
        <f t="shared" si="107"/>
        <v>0</v>
      </c>
      <c r="Q884" s="192">
        <f t="shared" si="108"/>
        <v>0</v>
      </c>
      <c r="R884" s="193"/>
      <c r="S884" s="194"/>
      <c r="T884" s="195">
        <f t="shared" si="109"/>
        <v>0</v>
      </c>
      <c r="U884" s="195">
        <f t="shared" si="110"/>
        <v>0</v>
      </c>
      <c r="V884" s="195">
        <f t="shared" si="111"/>
        <v>0</v>
      </c>
      <c r="W884" s="196" t="e">
        <f t="shared" si="112"/>
        <v>#DIV/0!</v>
      </c>
      <c r="X884" s="197" t="e">
        <f t="shared" si="113"/>
        <v>#DIV/0!</v>
      </c>
    </row>
    <row r="885" ht="11.4" hidden="1" customHeight="1" spans="1:24">
      <c r="A885" s="184" t="s">
        <v>904</v>
      </c>
      <c r="B885" s="184" t="s">
        <v>153</v>
      </c>
      <c r="C885" s="184" t="s">
        <v>905</v>
      </c>
      <c r="D885" s="185" t="s">
        <v>522</v>
      </c>
      <c r="E885" s="186" t="s">
        <v>906</v>
      </c>
      <c r="F885" s="186" t="s">
        <v>907</v>
      </c>
      <c r="G885" s="186" t="s">
        <v>908</v>
      </c>
      <c r="H885" s="186" t="s">
        <v>2448</v>
      </c>
      <c r="I885" s="187" t="s">
        <v>2473</v>
      </c>
      <c r="J885" s="187" t="s">
        <v>2474</v>
      </c>
      <c r="K885" s="188"/>
      <c r="L885" s="188"/>
      <c r="M885" s="189" t="s">
        <v>807</v>
      </c>
      <c r="N885" s="190">
        <v>82.51</v>
      </c>
      <c r="O885" s="190">
        <f t="shared" si="106"/>
        <v>89.94</v>
      </c>
      <c r="P885" s="191">
        <f t="shared" si="107"/>
        <v>0</v>
      </c>
      <c r="Q885" s="192">
        <f t="shared" si="108"/>
        <v>0</v>
      </c>
      <c r="R885" s="193"/>
      <c r="S885" s="194"/>
      <c r="T885" s="195">
        <f t="shared" si="109"/>
        <v>0</v>
      </c>
      <c r="U885" s="195">
        <f t="shared" si="110"/>
        <v>0</v>
      </c>
      <c r="V885" s="195">
        <f t="shared" si="111"/>
        <v>0</v>
      </c>
      <c r="W885" s="196" t="e">
        <f t="shared" si="112"/>
        <v>#DIV/0!</v>
      </c>
      <c r="X885" s="197" t="e">
        <f t="shared" si="113"/>
        <v>#DIV/0!</v>
      </c>
    </row>
    <row r="886" ht="11.4" hidden="1" customHeight="1" spans="1:24">
      <c r="A886" s="184" t="s">
        <v>904</v>
      </c>
      <c r="B886" s="184" t="s">
        <v>153</v>
      </c>
      <c r="C886" s="184" t="s">
        <v>905</v>
      </c>
      <c r="D886" s="185" t="s">
        <v>522</v>
      </c>
      <c r="E886" s="186" t="s">
        <v>906</v>
      </c>
      <c r="F886" s="186" t="s">
        <v>907</v>
      </c>
      <c r="G886" s="186" t="s">
        <v>908</v>
      </c>
      <c r="H886" s="186" t="s">
        <v>2448</v>
      </c>
      <c r="I886" s="187" t="s">
        <v>2475</v>
      </c>
      <c r="J886" s="187" t="s">
        <v>2476</v>
      </c>
      <c r="K886" s="188"/>
      <c r="L886" s="188"/>
      <c r="M886" s="189" t="s">
        <v>807</v>
      </c>
      <c r="N886" s="190">
        <v>75.09</v>
      </c>
      <c r="O886" s="190">
        <f t="shared" si="106"/>
        <v>81.85</v>
      </c>
      <c r="P886" s="191">
        <f t="shared" si="107"/>
        <v>0</v>
      </c>
      <c r="Q886" s="192">
        <f t="shared" si="108"/>
        <v>0</v>
      </c>
      <c r="R886" s="193"/>
      <c r="S886" s="194"/>
      <c r="T886" s="195">
        <f t="shared" si="109"/>
        <v>0</v>
      </c>
      <c r="U886" s="195">
        <f t="shared" si="110"/>
        <v>0</v>
      </c>
      <c r="V886" s="195">
        <f t="shared" si="111"/>
        <v>0</v>
      </c>
      <c r="W886" s="196" t="e">
        <f t="shared" si="112"/>
        <v>#DIV/0!</v>
      </c>
      <c r="X886" s="197" t="e">
        <f t="shared" si="113"/>
        <v>#DIV/0!</v>
      </c>
    </row>
    <row r="887" ht="11.4" hidden="1" customHeight="1" spans="1:24">
      <c r="A887" s="184" t="s">
        <v>904</v>
      </c>
      <c r="B887" s="184" t="s">
        <v>153</v>
      </c>
      <c r="C887" s="184" t="s">
        <v>905</v>
      </c>
      <c r="D887" s="185" t="s">
        <v>522</v>
      </c>
      <c r="E887" s="186" t="s">
        <v>906</v>
      </c>
      <c r="F887" s="186" t="s">
        <v>907</v>
      </c>
      <c r="G887" s="186" t="s">
        <v>908</v>
      </c>
      <c r="H887" s="186" t="s">
        <v>2448</v>
      </c>
      <c r="I887" s="187" t="s">
        <v>2477</v>
      </c>
      <c r="J887" s="187" t="s">
        <v>2478</v>
      </c>
      <c r="K887" s="188"/>
      <c r="L887" s="188"/>
      <c r="M887" s="189" t="s">
        <v>807</v>
      </c>
      <c r="N887" s="190">
        <v>64.9</v>
      </c>
      <c r="O887" s="190">
        <f t="shared" si="106"/>
        <v>70.74</v>
      </c>
      <c r="P887" s="191">
        <f t="shared" si="107"/>
        <v>0</v>
      </c>
      <c r="Q887" s="192">
        <f t="shared" si="108"/>
        <v>0</v>
      </c>
      <c r="R887" s="193"/>
      <c r="S887" s="194"/>
      <c r="T887" s="195">
        <f t="shared" si="109"/>
        <v>0</v>
      </c>
      <c r="U887" s="195">
        <f t="shared" si="110"/>
        <v>0</v>
      </c>
      <c r="V887" s="195">
        <f t="shared" si="111"/>
        <v>0</v>
      </c>
      <c r="W887" s="196" t="e">
        <f t="shared" si="112"/>
        <v>#DIV/0!</v>
      </c>
      <c r="X887" s="197" t="e">
        <f t="shared" si="113"/>
        <v>#DIV/0!</v>
      </c>
    </row>
    <row r="888" ht="11.4" hidden="1" customHeight="1" spans="1:24">
      <c r="A888" s="184" t="s">
        <v>904</v>
      </c>
      <c r="B888" s="184" t="s">
        <v>153</v>
      </c>
      <c r="C888" s="184" t="s">
        <v>905</v>
      </c>
      <c r="D888" s="185" t="s">
        <v>522</v>
      </c>
      <c r="E888" s="186" t="s">
        <v>906</v>
      </c>
      <c r="F888" s="186" t="s">
        <v>907</v>
      </c>
      <c r="G888" s="186" t="s">
        <v>908</v>
      </c>
      <c r="H888" s="186" t="s">
        <v>2479</v>
      </c>
      <c r="I888" s="187" t="s">
        <v>2480</v>
      </c>
      <c r="J888" s="187" t="s">
        <v>2481</v>
      </c>
      <c r="K888" s="188">
        <v>2</v>
      </c>
      <c r="L888" s="188">
        <v>2</v>
      </c>
      <c r="M888" s="189" t="s">
        <v>963</v>
      </c>
      <c r="N888" s="190">
        <v>418.43</v>
      </c>
      <c r="O888" s="190">
        <f t="shared" si="106"/>
        <v>456.09</v>
      </c>
      <c r="P888" s="191">
        <f t="shared" si="107"/>
        <v>836.86</v>
      </c>
      <c r="Q888" s="192">
        <f t="shared" si="108"/>
        <v>836.86</v>
      </c>
      <c r="R888" s="193"/>
      <c r="S888" s="194"/>
      <c r="T888" s="195">
        <f t="shared" si="109"/>
        <v>0</v>
      </c>
      <c r="U888" s="195">
        <f t="shared" si="110"/>
        <v>0</v>
      </c>
      <c r="V888" s="195">
        <f t="shared" si="111"/>
        <v>0</v>
      </c>
      <c r="W888" s="196">
        <f t="shared" si="112"/>
        <v>0</v>
      </c>
      <c r="X888" s="197">
        <f t="shared" si="113"/>
        <v>0</v>
      </c>
    </row>
    <row r="889" ht="11.4" hidden="1" customHeight="1" spans="1:24">
      <c r="A889" s="184" t="s">
        <v>904</v>
      </c>
      <c r="B889" s="184" t="s">
        <v>153</v>
      </c>
      <c r="C889" s="184" t="s">
        <v>905</v>
      </c>
      <c r="D889" s="185" t="s">
        <v>522</v>
      </c>
      <c r="E889" s="186" t="s">
        <v>906</v>
      </c>
      <c r="F889" s="186" t="s">
        <v>907</v>
      </c>
      <c r="G889" s="186" t="s">
        <v>908</v>
      </c>
      <c r="H889" s="186" t="s">
        <v>2479</v>
      </c>
      <c r="I889" s="187" t="s">
        <v>2482</v>
      </c>
      <c r="J889" s="187" t="s">
        <v>2483</v>
      </c>
      <c r="K889" s="188">
        <v>1</v>
      </c>
      <c r="L889" s="188">
        <v>1</v>
      </c>
      <c r="M889" s="189" t="s">
        <v>963</v>
      </c>
      <c r="N889" s="190">
        <v>360.13</v>
      </c>
      <c r="O889" s="190">
        <f t="shared" si="106"/>
        <v>392.54</v>
      </c>
      <c r="P889" s="191">
        <f t="shared" si="107"/>
        <v>360.13</v>
      </c>
      <c r="Q889" s="192">
        <f t="shared" si="108"/>
        <v>360.13</v>
      </c>
      <c r="R889" s="193"/>
      <c r="S889" s="194"/>
      <c r="T889" s="195">
        <f t="shared" si="109"/>
        <v>0</v>
      </c>
      <c r="U889" s="195">
        <f t="shared" si="110"/>
        <v>0</v>
      </c>
      <c r="V889" s="195">
        <f t="shared" si="111"/>
        <v>0</v>
      </c>
      <c r="W889" s="196">
        <f t="shared" si="112"/>
        <v>0</v>
      </c>
      <c r="X889" s="197">
        <f t="shared" si="113"/>
        <v>0</v>
      </c>
    </row>
    <row r="890" ht="11.4" hidden="1" customHeight="1" spans="1:24">
      <c r="A890" s="184" t="s">
        <v>904</v>
      </c>
      <c r="B890" s="184" t="s">
        <v>153</v>
      </c>
      <c r="C890" s="184" t="s">
        <v>905</v>
      </c>
      <c r="D890" s="185" t="s">
        <v>522</v>
      </c>
      <c r="E890" s="186" t="s">
        <v>906</v>
      </c>
      <c r="F890" s="186" t="s">
        <v>907</v>
      </c>
      <c r="G890" s="186" t="s">
        <v>908</v>
      </c>
      <c r="H890" s="186" t="s">
        <v>2479</v>
      </c>
      <c r="I890" s="187" t="s">
        <v>2484</v>
      </c>
      <c r="J890" s="187" t="s">
        <v>2485</v>
      </c>
      <c r="K890" s="188"/>
      <c r="L890" s="188"/>
      <c r="M890" s="189" t="s">
        <v>963</v>
      </c>
      <c r="N890" s="190">
        <v>297.43</v>
      </c>
      <c r="O890" s="190">
        <f t="shared" si="106"/>
        <v>324.2</v>
      </c>
      <c r="P890" s="191">
        <f t="shared" si="107"/>
        <v>0</v>
      </c>
      <c r="Q890" s="192">
        <f t="shared" si="108"/>
        <v>0</v>
      </c>
      <c r="R890" s="193"/>
      <c r="S890" s="194"/>
      <c r="T890" s="195">
        <f t="shared" si="109"/>
        <v>0</v>
      </c>
      <c r="U890" s="195">
        <f t="shared" si="110"/>
        <v>0</v>
      </c>
      <c r="V890" s="195">
        <f t="shared" si="111"/>
        <v>0</v>
      </c>
      <c r="W890" s="196" t="e">
        <f t="shared" si="112"/>
        <v>#DIV/0!</v>
      </c>
      <c r="X890" s="197" t="e">
        <f t="shared" si="113"/>
        <v>#DIV/0!</v>
      </c>
    </row>
    <row r="891" ht="11.4" hidden="1" customHeight="1" spans="1:24">
      <c r="A891" s="184" t="s">
        <v>904</v>
      </c>
      <c r="B891" s="184" t="s">
        <v>153</v>
      </c>
      <c r="C891" s="184" t="s">
        <v>905</v>
      </c>
      <c r="D891" s="185" t="s">
        <v>522</v>
      </c>
      <c r="E891" s="186" t="s">
        <v>906</v>
      </c>
      <c r="F891" s="186" t="s">
        <v>907</v>
      </c>
      <c r="G891" s="186" t="s">
        <v>908</v>
      </c>
      <c r="H891" s="186" t="s">
        <v>2479</v>
      </c>
      <c r="I891" s="187" t="s">
        <v>2486</v>
      </c>
      <c r="J891" s="187" t="s">
        <v>2487</v>
      </c>
      <c r="K891" s="188"/>
      <c r="L891" s="188"/>
      <c r="M891" s="189" t="s">
        <v>963</v>
      </c>
      <c r="N891" s="190">
        <v>412.93</v>
      </c>
      <c r="O891" s="190">
        <f t="shared" si="106"/>
        <v>450.09</v>
      </c>
      <c r="P891" s="191">
        <f t="shared" si="107"/>
        <v>0</v>
      </c>
      <c r="Q891" s="192">
        <f t="shared" si="108"/>
        <v>0</v>
      </c>
      <c r="R891" s="193"/>
      <c r="S891" s="194"/>
      <c r="T891" s="195">
        <f t="shared" si="109"/>
        <v>0</v>
      </c>
      <c r="U891" s="195">
        <f t="shared" si="110"/>
        <v>0</v>
      </c>
      <c r="V891" s="195">
        <f t="shared" si="111"/>
        <v>0</v>
      </c>
      <c r="W891" s="196" t="e">
        <f t="shared" si="112"/>
        <v>#DIV/0!</v>
      </c>
      <c r="X891" s="197" t="e">
        <f t="shared" si="113"/>
        <v>#DIV/0!</v>
      </c>
    </row>
    <row r="892" ht="11.4" hidden="1" customHeight="1" spans="1:24">
      <c r="A892" s="184" t="s">
        <v>904</v>
      </c>
      <c r="B892" s="184" t="s">
        <v>153</v>
      </c>
      <c r="C892" s="184" t="s">
        <v>905</v>
      </c>
      <c r="D892" s="185" t="s">
        <v>522</v>
      </c>
      <c r="E892" s="186" t="s">
        <v>906</v>
      </c>
      <c r="F892" s="186" t="s">
        <v>907</v>
      </c>
      <c r="G892" s="186" t="s">
        <v>908</v>
      </c>
      <c r="H892" s="186" t="s">
        <v>2479</v>
      </c>
      <c r="I892" s="187" t="s">
        <v>2488</v>
      </c>
      <c r="J892" s="187" t="s">
        <v>2489</v>
      </c>
      <c r="K892" s="188"/>
      <c r="L892" s="188"/>
      <c r="M892" s="189" t="s">
        <v>963</v>
      </c>
      <c r="N892" s="190">
        <v>363.43</v>
      </c>
      <c r="O892" s="190">
        <f t="shared" si="106"/>
        <v>396.14</v>
      </c>
      <c r="P892" s="191">
        <f t="shared" si="107"/>
        <v>0</v>
      </c>
      <c r="Q892" s="192">
        <f t="shared" si="108"/>
        <v>0</v>
      </c>
      <c r="R892" s="193"/>
      <c r="S892" s="194"/>
      <c r="T892" s="195">
        <f t="shared" si="109"/>
        <v>0</v>
      </c>
      <c r="U892" s="195">
        <f t="shared" si="110"/>
        <v>0</v>
      </c>
      <c r="V892" s="195">
        <f t="shared" si="111"/>
        <v>0</v>
      </c>
      <c r="W892" s="196" t="e">
        <f t="shared" si="112"/>
        <v>#DIV/0!</v>
      </c>
      <c r="X892" s="197" t="e">
        <f t="shared" si="113"/>
        <v>#DIV/0!</v>
      </c>
    </row>
    <row r="893" ht="11.4" hidden="1" customHeight="1" spans="1:24">
      <c r="A893" s="184" t="s">
        <v>904</v>
      </c>
      <c r="B893" s="184" t="s">
        <v>153</v>
      </c>
      <c r="C893" s="184" t="s">
        <v>905</v>
      </c>
      <c r="D893" s="185" t="s">
        <v>522</v>
      </c>
      <c r="E893" s="186" t="s">
        <v>906</v>
      </c>
      <c r="F893" s="186" t="s">
        <v>907</v>
      </c>
      <c r="G893" s="186" t="s">
        <v>908</v>
      </c>
      <c r="H893" s="186" t="s">
        <v>2479</v>
      </c>
      <c r="I893" s="187" t="s">
        <v>2490</v>
      </c>
      <c r="J893" s="187" t="s">
        <v>2491</v>
      </c>
      <c r="K893" s="188"/>
      <c r="L893" s="188"/>
      <c r="M893" s="189" t="s">
        <v>963</v>
      </c>
      <c r="N893" s="190">
        <v>348.03</v>
      </c>
      <c r="O893" s="190">
        <f t="shared" si="106"/>
        <v>379.35</v>
      </c>
      <c r="P893" s="191">
        <f t="shared" si="107"/>
        <v>0</v>
      </c>
      <c r="Q893" s="192">
        <f t="shared" si="108"/>
        <v>0</v>
      </c>
      <c r="R893" s="193"/>
      <c r="S893" s="194"/>
      <c r="T893" s="195">
        <f t="shared" si="109"/>
        <v>0</v>
      </c>
      <c r="U893" s="195">
        <f t="shared" si="110"/>
        <v>0</v>
      </c>
      <c r="V893" s="195">
        <f t="shared" si="111"/>
        <v>0</v>
      </c>
      <c r="W893" s="196" t="e">
        <f t="shared" si="112"/>
        <v>#DIV/0!</v>
      </c>
      <c r="X893" s="197" t="e">
        <f t="shared" si="113"/>
        <v>#DIV/0!</v>
      </c>
    </row>
    <row r="894" ht="11.4" hidden="1" customHeight="1" spans="1:24">
      <c r="A894" s="184" t="s">
        <v>904</v>
      </c>
      <c r="B894" s="184" t="s">
        <v>153</v>
      </c>
      <c r="C894" s="184" t="s">
        <v>905</v>
      </c>
      <c r="D894" s="185" t="s">
        <v>522</v>
      </c>
      <c r="E894" s="186" t="s">
        <v>906</v>
      </c>
      <c r="F894" s="186" t="s">
        <v>907</v>
      </c>
      <c r="G894" s="186" t="s">
        <v>908</v>
      </c>
      <c r="H894" s="186" t="s">
        <v>2479</v>
      </c>
      <c r="I894" s="187" t="s">
        <v>2492</v>
      </c>
      <c r="J894" s="187" t="s">
        <v>2493</v>
      </c>
      <c r="K894" s="188">
        <v>8.4</v>
      </c>
      <c r="L894" s="188">
        <v>8.4</v>
      </c>
      <c r="M894" s="189" t="s">
        <v>807</v>
      </c>
      <c r="N894" s="190">
        <v>212.29</v>
      </c>
      <c r="O894" s="190">
        <f t="shared" si="106"/>
        <v>231.4</v>
      </c>
      <c r="P894" s="191">
        <f t="shared" si="107"/>
        <v>1783.24</v>
      </c>
      <c r="Q894" s="192">
        <f t="shared" si="108"/>
        <v>1783.24</v>
      </c>
      <c r="R894" s="193"/>
      <c r="S894" s="194"/>
      <c r="T894" s="195">
        <f t="shared" si="109"/>
        <v>0</v>
      </c>
      <c r="U894" s="195">
        <f t="shared" si="110"/>
        <v>0</v>
      </c>
      <c r="V894" s="195">
        <f t="shared" si="111"/>
        <v>0</v>
      </c>
      <c r="W894" s="196">
        <f t="shared" si="112"/>
        <v>0</v>
      </c>
      <c r="X894" s="197">
        <f t="shared" si="113"/>
        <v>0</v>
      </c>
    </row>
    <row r="895" ht="11.4" hidden="1" customHeight="1" spans="1:24">
      <c r="A895" s="184" t="s">
        <v>904</v>
      </c>
      <c r="B895" s="184" t="s">
        <v>153</v>
      </c>
      <c r="C895" s="184" t="s">
        <v>905</v>
      </c>
      <c r="D895" s="185" t="s">
        <v>522</v>
      </c>
      <c r="E895" s="186" t="s">
        <v>906</v>
      </c>
      <c r="F895" s="186" t="s">
        <v>907</v>
      </c>
      <c r="G895" s="186" t="s">
        <v>908</v>
      </c>
      <c r="H895" s="186" t="s">
        <v>2479</v>
      </c>
      <c r="I895" s="187" t="s">
        <v>2495</v>
      </c>
      <c r="J895" s="187" t="s">
        <v>2496</v>
      </c>
      <c r="K895" s="188">
        <v>7</v>
      </c>
      <c r="L895" s="188">
        <v>7</v>
      </c>
      <c r="M895" s="189" t="s">
        <v>963</v>
      </c>
      <c r="N895" s="190">
        <v>488.83</v>
      </c>
      <c r="O895" s="190">
        <f t="shared" si="106"/>
        <v>532.82</v>
      </c>
      <c r="P895" s="191">
        <f t="shared" si="107"/>
        <v>3421.81</v>
      </c>
      <c r="Q895" s="192">
        <f t="shared" si="108"/>
        <v>3421.81</v>
      </c>
      <c r="R895" s="193"/>
      <c r="S895" s="194"/>
      <c r="T895" s="195">
        <f t="shared" si="109"/>
        <v>0</v>
      </c>
      <c r="U895" s="195">
        <f t="shared" si="110"/>
        <v>0</v>
      </c>
      <c r="V895" s="195">
        <f t="shared" si="111"/>
        <v>0</v>
      </c>
      <c r="W895" s="196">
        <f t="shared" si="112"/>
        <v>0</v>
      </c>
      <c r="X895" s="197">
        <f t="shared" si="113"/>
        <v>0</v>
      </c>
    </row>
    <row r="896" ht="11.4" hidden="1" customHeight="1" spans="1:24">
      <c r="A896" s="184" t="s">
        <v>904</v>
      </c>
      <c r="B896" s="184" t="s">
        <v>153</v>
      </c>
      <c r="C896" s="184" t="s">
        <v>905</v>
      </c>
      <c r="D896" s="185" t="s">
        <v>522</v>
      </c>
      <c r="E896" s="186" t="s">
        <v>906</v>
      </c>
      <c r="F896" s="186" t="s">
        <v>907</v>
      </c>
      <c r="G896" s="186" t="s">
        <v>908</v>
      </c>
      <c r="H896" s="186" t="s">
        <v>2479</v>
      </c>
      <c r="I896" s="187" t="s">
        <v>2497</v>
      </c>
      <c r="J896" s="187" t="s">
        <v>2498</v>
      </c>
      <c r="K896" s="188">
        <v>2</v>
      </c>
      <c r="L896" s="188">
        <v>2</v>
      </c>
      <c r="M896" s="189" t="s">
        <v>963</v>
      </c>
      <c r="N896" s="190">
        <v>277.63</v>
      </c>
      <c r="O896" s="190">
        <f t="shared" si="106"/>
        <v>302.62</v>
      </c>
      <c r="P896" s="191">
        <f t="shared" si="107"/>
        <v>555.26</v>
      </c>
      <c r="Q896" s="192">
        <f t="shared" si="108"/>
        <v>555.26</v>
      </c>
      <c r="R896" s="193"/>
      <c r="S896" s="194"/>
      <c r="T896" s="195">
        <f t="shared" si="109"/>
        <v>0</v>
      </c>
      <c r="U896" s="195">
        <f t="shared" si="110"/>
        <v>0</v>
      </c>
      <c r="V896" s="195">
        <f t="shared" si="111"/>
        <v>0</v>
      </c>
      <c r="W896" s="196">
        <f t="shared" si="112"/>
        <v>0</v>
      </c>
      <c r="X896" s="197">
        <f t="shared" si="113"/>
        <v>0</v>
      </c>
    </row>
    <row r="897" ht="11.4" hidden="1" customHeight="1" spans="1:24">
      <c r="A897" s="184" t="s">
        <v>904</v>
      </c>
      <c r="B897" s="184" t="s">
        <v>153</v>
      </c>
      <c r="C897" s="184" t="s">
        <v>905</v>
      </c>
      <c r="D897" s="185" t="s">
        <v>522</v>
      </c>
      <c r="E897" s="186" t="s">
        <v>906</v>
      </c>
      <c r="F897" s="186" t="s">
        <v>907</v>
      </c>
      <c r="G897" s="186" t="s">
        <v>908</v>
      </c>
      <c r="H897" s="186" t="s">
        <v>2479</v>
      </c>
      <c r="I897" s="187" t="s">
        <v>2499</v>
      </c>
      <c r="J897" s="187" t="s">
        <v>2500</v>
      </c>
      <c r="K897" s="188">
        <v>8</v>
      </c>
      <c r="L897" s="188">
        <v>8</v>
      </c>
      <c r="M897" s="189" t="s">
        <v>963</v>
      </c>
      <c r="N897" s="190">
        <v>430.53</v>
      </c>
      <c r="O897" s="190">
        <f t="shared" si="106"/>
        <v>469.28</v>
      </c>
      <c r="P897" s="191">
        <f t="shared" si="107"/>
        <v>3444.24</v>
      </c>
      <c r="Q897" s="192">
        <f t="shared" si="108"/>
        <v>3444.24</v>
      </c>
      <c r="R897" s="193"/>
      <c r="S897" s="194"/>
      <c r="T897" s="195">
        <f t="shared" si="109"/>
        <v>0</v>
      </c>
      <c r="U897" s="195">
        <f t="shared" si="110"/>
        <v>0</v>
      </c>
      <c r="V897" s="195">
        <f t="shared" si="111"/>
        <v>0</v>
      </c>
      <c r="W897" s="196">
        <f t="shared" si="112"/>
        <v>0</v>
      </c>
      <c r="X897" s="197">
        <f t="shared" si="113"/>
        <v>0</v>
      </c>
    </row>
    <row r="898" ht="11.4" hidden="1" customHeight="1" spans="1:24">
      <c r="A898" s="184" t="s">
        <v>904</v>
      </c>
      <c r="B898" s="184" t="s">
        <v>153</v>
      </c>
      <c r="C898" s="184" t="s">
        <v>905</v>
      </c>
      <c r="D898" s="185" t="s">
        <v>522</v>
      </c>
      <c r="E898" s="186" t="s">
        <v>906</v>
      </c>
      <c r="F898" s="186" t="s">
        <v>907</v>
      </c>
      <c r="G898" s="186" t="s">
        <v>908</v>
      </c>
      <c r="H898" s="186" t="s">
        <v>2479</v>
      </c>
      <c r="I898" s="187" t="s">
        <v>2501</v>
      </c>
      <c r="J898" s="187" t="s">
        <v>2502</v>
      </c>
      <c r="K898" s="188"/>
      <c r="L898" s="188"/>
      <c r="M898" s="189" t="s">
        <v>963</v>
      </c>
      <c r="N898" s="190">
        <v>720.06</v>
      </c>
      <c r="O898" s="190">
        <f t="shared" si="106"/>
        <v>784.87</v>
      </c>
      <c r="P898" s="191">
        <f t="shared" si="107"/>
        <v>0</v>
      </c>
      <c r="Q898" s="192">
        <f t="shared" si="108"/>
        <v>0</v>
      </c>
      <c r="R898" s="193"/>
      <c r="S898" s="194"/>
      <c r="T898" s="195">
        <f t="shared" si="109"/>
        <v>0</v>
      </c>
      <c r="U898" s="195">
        <f t="shared" si="110"/>
        <v>0</v>
      </c>
      <c r="V898" s="195">
        <f t="shared" si="111"/>
        <v>0</v>
      </c>
      <c r="W898" s="196" t="e">
        <f t="shared" si="112"/>
        <v>#DIV/0!</v>
      </c>
      <c r="X898" s="197" t="e">
        <f t="shared" si="113"/>
        <v>#DIV/0!</v>
      </c>
    </row>
    <row r="899" ht="11.4" hidden="1" customHeight="1" spans="1:24">
      <c r="A899" s="184" t="s">
        <v>904</v>
      </c>
      <c r="B899" s="184" t="s">
        <v>153</v>
      </c>
      <c r="C899" s="184" t="s">
        <v>905</v>
      </c>
      <c r="D899" s="185" t="s">
        <v>522</v>
      </c>
      <c r="E899" s="186" t="s">
        <v>906</v>
      </c>
      <c r="F899" s="186" t="s">
        <v>907</v>
      </c>
      <c r="G899" s="186" t="s">
        <v>908</v>
      </c>
      <c r="H899" s="186" t="s">
        <v>2479</v>
      </c>
      <c r="I899" s="187" t="s">
        <v>2503</v>
      </c>
      <c r="J899" s="187" t="s">
        <v>2504</v>
      </c>
      <c r="K899" s="188"/>
      <c r="L899" s="188"/>
      <c r="M899" s="189" t="s">
        <v>963</v>
      </c>
      <c r="N899" s="190">
        <v>358.38</v>
      </c>
      <c r="O899" s="190">
        <f t="shared" si="106"/>
        <v>390.63</v>
      </c>
      <c r="P899" s="191">
        <f t="shared" si="107"/>
        <v>0</v>
      </c>
      <c r="Q899" s="192">
        <f t="shared" si="108"/>
        <v>0</v>
      </c>
      <c r="R899" s="193"/>
      <c r="S899" s="194"/>
      <c r="T899" s="195">
        <f t="shared" si="109"/>
        <v>0</v>
      </c>
      <c r="U899" s="195">
        <f t="shared" si="110"/>
        <v>0</v>
      </c>
      <c r="V899" s="195">
        <f t="shared" si="111"/>
        <v>0</v>
      </c>
      <c r="W899" s="196" t="e">
        <f t="shared" si="112"/>
        <v>#DIV/0!</v>
      </c>
      <c r="X899" s="197" t="e">
        <f t="shared" si="113"/>
        <v>#DIV/0!</v>
      </c>
    </row>
    <row r="900" ht="11.4" hidden="1" customHeight="1" spans="1:24">
      <c r="A900" s="184" t="s">
        <v>904</v>
      </c>
      <c r="B900" s="184" t="s">
        <v>153</v>
      </c>
      <c r="C900" s="184" t="s">
        <v>905</v>
      </c>
      <c r="D900" s="185" t="s">
        <v>522</v>
      </c>
      <c r="E900" s="186" t="s">
        <v>906</v>
      </c>
      <c r="F900" s="186" t="s">
        <v>907</v>
      </c>
      <c r="G900" s="186" t="s">
        <v>908</v>
      </c>
      <c r="H900" s="186" t="s">
        <v>2479</v>
      </c>
      <c r="I900" s="187" t="s">
        <v>2506</v>
      </c>
      <c r="J900" s="187" t="s">
        <v>2507</v>
      </c>
      <c r="K900" s="188"/>
      <c r="L900" s="188"/>
      <c r="M900" s="189" t="s">
        <v>963</v>
      </c>
      <c r="N900" s="190">
        <v>597.73</v>
      </c>
      <c r="O900" s="190">
        <f t="shared" si="106"/>
        <v>651.53</v>
      </c>
      <c r="P900" s="191">
        <f t="shared" si="107"/>
        <v>0</v>
      </c>
      <c r="Q900" s="192">
        <f t="shared" si="108"/>
        <v>0</v>
      </c>
      <c r="R900" s="193"/>
      <c r="S900" s="194"/>
      <c r="T900" s="195">
        <f t="shared" si="109"/>
        <v>0</v>
      </c>
      <c r="U900" s="195">
        <f t="shared" si="110"/>
        <v>0</v>
      </c>
      <c r="V900" s="195">
        <f t="shared" si="111"/>
        <v>0</v>
      </c>
      <c r="W900" s="196" t="e">
        <f t="shared" si="112"/>
        <v>#DIV/0!</v>
      </c>
      <c r="X900" s="197" t="e">
        <f t="shared" si="113"/>
        <v>#DIV/0!</v>
      </c>
    </row>
    <row r="901" ht="11.4" hidden="1" customHeight="1" spans="1:24">
      <c r="A901" s="184" t="s">
        <v>904</v>
      </c>
      <c r="B901" s="184" t="s">
        <v>153</v>
      </c>
      <c r="C901" s="184" t="s">
        <v>905</v>
      </c>
      <c r="D901" s="185" t="s">
        <v>522</v>
      </c>
      <c r="E901" s="186" t="s">
        <v>906</v>
      </c>
      <c r="F901" s="186" t="s">
        <v>907</v>
      </c>
      <c r="G901" s="186" t="s">
        <v>908</v>
      </c>
      <c r="H901" s="186" t="s">
        <v>2479</v>
      </c>
      <c r="I901" s="187" t="s">
        <v>2508</v>
      </c>
      <c r="J901" s="187" t="s">
        <v>2509</v>
      </c>
      <c r="K901" s="188"/>
      <c r="L901" s="188"/>
      <c r="M901" s="189" t="s">
        <v>963</v>
      </c>
      <c r="N901" s="190">
        <v>368.83</v>
      </c>
      <c r="O901" s="190">
        <f t="shared" si="106"/>
        <v>402.02</v>
      </c>
      <c r="P901" s="191">
        <f t="shared" si="107"/>
        <v>0</v>
      </c>
      <c r="Q901" s="192">
        <f t="shared" si="108"/>
        <v>0</v>
      </c>
      <c r="R901" s="193"/>
      <c r="S901" s="194"/>
      <c r="T901" s="195">
        <f t="shared" si="109"/>
        <v>0</v>
      </c>
      <c r="U901" s="195">
        <f t="shared" si="110"/>
        <v>0</v>
      </c>
      <c r="V901" s="195">
        <f t="shared" si="111"/>
        <v>0</v>
      </c>
      <c r="W901" s="196" t="e">
        <f t="shared" si="112"/>
        <v>#DIV/0!</v>
      </c>
      <c r="X901" s="197" t="e">
        <f t="shared" si="113"/>
        <v>#DIV/0!</v>
      </c>
    </row>
    <row r="902" ht="11.4" hidden="1" customHeight="1" spans="1:24">
      <c r="A902" s="184" t="s">
        <v>904</v>
      </c>
      <c r="B902" s="184" t="s">
        <v>153</v>
      </c>
      <c r="C902" s="184" t="s">
        <v>905</v>
      </c>
      <c r="D902" s="185" t="s">
        <v>522</v>
      </c>
      <c r="E902" s="186" t="s">
        <v>906</v>
      </c>
      <c r="F902" s="186" t="s">
        <v>907</v>
      </c>
      <c r="G902" s="186" t="s">
        <v>908</v>
      </c>
      <c r="H902" s="186" t="s">
        <v>2479</v>
      </c>
      <c r="I902" s="187" t="s">
        <v>2510</v>
      </c>
      <c r="J902" s="187" t="s">
        <v>2511</v>
      </c>
      <c r="K902" s="188"/>
      <c r="L902" s="188"/>
      <c r="M902" s="189" t="s">
        <v>963</v>
      </c>
      <c r="N902" s="190">
        <v>623.03</v>
      </c>
      <c r="O902" s="190">
        <f t="shared" si="106"/>
        <v>679.1</v>
      </c>
      <c r="P902" s="191">
        <f t="shared" si="107"/>
        <v>0</v>
      </c>
      <c r="Q902" s="192">
        <f t="shared" si="108"/>
        <v>0</v>
      </c>
      <c r="R902" s="193"/>
      <c r="S902" s="194"/>
      <c r="T902" s="195">
        <f t="shared" si="109"/>
        <v>0</v>
      </c>
      <c r="U902" s="195">
        <f t="shared" si="110"/>
        <v>0</v>
      </c>
      <c r="V902" s="195">
        <f t="shared" si="111"/>
        <v>0</v>
      </c>
      <c r="W902" s="196" t="e">
        <f t="shared" si="112"/>
        <v>#DIV/0!</v>
      </c>
      <c r="X902" s="197" t="e">
        <f t="shared" si="113"/>
        <v>#DIV/0!</v>
      </c>
    </row>
    <row r="903" ht="11.4" hidden="1" customHeight="1" spans="1:24">
      <c r="A903" s="184" t="s">
        <v>904</v>
      </c>
      <c r="B903" s="184" t="s">
        <v>153</v>
      </c>
      <c r="C903" s="184" t="s">
        <v>905</v>
      </c>
      <c r="D903" s="185" t="s">
        <v>522</v>
      </c>
      <c r="E903" s="186" t="s">
        <v>906</v>
      </c>
      <c r="F903" s="186" t="s">
        <v>907</v>
      </c>
      <c r="G903" s="186" t="s">
        <v>908</v>
      </c>
      <c r="H903" s="186" t="s">
        <v>2479</v>
      </c>
      <c r="I903" s="187" t="s">
        <v>2512</v>
      </c>
      <c r="J903" s="187" t="s">
        <v>2513</v>
      </c>
      <c r="K903" s="188"/>
      <c r="L903" s="188"/>
      <c r="M903" s="189" t="s">
        <v>963</v>
      </c>
      <c r="N903" s="190">
        <v>894.62</v>
      </c>
      <c r="O903" s="190">
        <f t="shared" si="106"/>
        <v>975.14</v>
      </c>
      <c r="P903" s="191">
        <f t="shared" si="107"/>
        <v>0</v>
      </c>
      <c r="Q903" s="192">
        <f t="shared" si="108"/>
        <v>0</v>
      </c>
      <c r="R903" s="193"/>
      <c r="S903" s="194"/>
      <c r="T903" s="195">
        <f t="shared" si="109"/>
        <v>0</v>
      </c>
      <c r="U903" s="195">
        <f t="shared" si="110"/>
        <v>0</v>
      </c>
      <c r="V903" s="195">
        <f t="shared" si="111"/>
        <v>0</v>
      </c>
      <c r="W903" s="196" t="e">
        <f t="shared" si="112"/>
        <v>#DIV/0!</v>
      </c>
      <c r="X903" s="197" t="e">
        <f t="shared" si="113"/>
        <v>#DIV/0!</v>
      </c>
    </row>
    <row r="904" ht="11.4" hidden="1" customHeight="1" spans="1:24">
      <c r="A904" s="184" t="s">
        <v>904</v>
      </c>
      <c r="B904" s="184" t="s">
        <v>153</v>
      </c>
      <c r="C904" s="184" t="s">
        <v>905</v>
      </c>
      <c r="D904" s="185" t="s">
        <v>522</v>
      </c>
      <c r="E904" s="186" t="s">
        <v>906</v>
      </c>
      <c r="F904" s="186" t="s">
        <v>907</v>
      </c>
      <c r="G904" s="186" t="s">
        <v>908</v>
      </c>
      <c r="H904" s="186" t="s">
        <v>2479</v>
      </c>
      <c r="I904" s="187" t="s">
        <v>2514</v>
      </c>
      <c r="J904" s="187" t="s">
        <v>2515</v>
      </c>
      <c r="K904" s="188"/>
      <c r="L904" s="188"/>
      <c r="M904" s="189" t="s">
        <v>963</v>
      </c>
      <c r="N904" s="190">
        <v>1213.85</v>
      </c>
      <c r="O904" s="190">
        <f t="shared" si="106"/>
        <v>1323.1</v>
      </c>
      <c r="P904" s="191">
        <f t="shared" si="107"/>
        <v>0</v>
      </c>
      <c r="Q904" s="192">
        <f t="shared" si="108"/>
        <v>0</v>
      </c>
      <c r="R904" s="193"/>
      <c r="S904" s="194"/>
      <c r="T904" s="195">
        <f t="shared" si="109"/>
        <v>0</v>
      </c>
      <c r="U904" s="195">
        <f t="shared" si="110"/>
        <v>0</v>
      </c>
      <c r="V904" s="195">
        <f t="shared" si="111"/>
        <v>0</v>
      </c>
      <c r="W904" s="196" t="e">
        <f t="shared" si="112"/>
        <v>#DIV/0!</v>
      </c>
      <c r="X904" s="197" t="e">
        <f t="shared" si="113"/>
        <v>#DIV/0!</v>
      </c>
    </row>
    <row r="905" ht="11.4" hidden="1" customHeight="1" spans="1:24">
      <c r="A905" s="184" t="s">
        <v>904</v>
      </c>
      <c r="B905" s="184" t="s">
        <v>153</v>
      </c>
      <c r="C905" s="184" t="s">
        <v>905</v>
      </c>
      <c r="D905" s="185" t="s">
        <v>522</v>
      </c>
      <c r="E905" s="186" t="s">
        <v>906</v>
      </c>
      <c r="F905" s="186" t="s">
        <v>907</v>
      </c>
      <c r="G905" s="186" t="s">
        <v>908</v>
      </c>
      <c r="H905" s="186" t="s">
        <v>2479</v>
      </c>
      <c r="I905" s="187" t="s">
        <v>2516</v>
      </c>
      <c r="J905" s="187" t="s">
        <v>2517</v>
      </c>
      <c r="K905" s="188">
        <v>4</v>
      </c>
      <c r="L905" s="188">
        <v>4</v>
      </c>
      <c r="M905" s="189" t="s">
        <v>963</v>
      </c>
      <c r="N905" s="190">
        <v>232.43</v>
      </c>
      <c r="O905" s="190">
        <f t="shared" si="106"/>
        <v>253.35</v>
      </c>
      <c r="P905" s="191">
        <f t="shared" si="107"/>
        <v>929.72</v>
      </c>
      <c r="Q905" s="192">
        <f t="shared" si="108"/>
        <v>929.72</v>
      </c>
      <c r="R905" s="193"/>
      <c r="S905" s="194"/>
      <c r="T905" s="195">
        <f t="shared" si="109"/>
        <v>0</v>
      </c>
      <c r="U905" s="195">
        <f t="shared" si="110"/>
        <v>0</v>
      </c>
      <c r="V905" s="195">
        <f t="shared" si="111"/>
        <v>0</v>
      </c>
      <c r="W905" s="196">
        <f t="shared" si="112"/>
        <v>0</v>
      </c>
      <c r="X905" s="197">
        <f t="shared" si="113"/>
        <v>0</v>
      </c>
    </row>
    <row r="906" ht="11.4" hidden="1" customHeight="1" spans="1:24">
      <c r="A906" s="184" t="s">
        <v>904</v>
      </c>
      <c r="B906" s="184" t="s">
        <v>153</v>
      </c>
      <c r="C906" s="184" t="s">
        <v>905</v>
      </c>
      <c r="D906" s="185" t="s">
        <v>522</v>
      </c>
      <c r="E906" s="186" t="s">
        <v>906</v>
      </c>
      <c r="F906" s="186" t="s">
        <v>907</v>
      </c>
      <c r="G906" s="186" t="s">
        <v>908</v>
      </c>
      <c r="H906" s="186" t="s">
        <v>2479</v>
      </c>
      <c r="I906" s="187" t="s">
        <v>2518</v>
      </c>
      <c r="J906" s="187" t="s">
        <v>2519</v>
      </c>
      <c r="K906" s="188"/>
      <c r="L906" s="188"/>
      <c r="M906" s="189" t="s">
        <v>793</v>
      </c>
      <c r="N906" s="190"/>
      <c r="O906" s="190">
        <f t="shared" si="106"/>
        <v>0</v>
      </c>
      <c r="P906" s="191">
        <f t="shared" si="107"/>
        <v>0</v>
      </c>
      <c r="Q906" s="192">
        <f t="shared" si="108"/>
        <v>0</v>
      </c>
      <c r="R906" s="193"/>
      <c r="S906" s="194"/>
      <c r="T906" s="195">
        <f t="shared" si="109"/>
        <v>0</v>
      </c>
      <c r="U906" s="195">
        <f t="shared" si="110"/>
        <v>0</v>
      </c>
      <c r="V906" s="195">
        <f t="shared" si="111"/>
        <v>0</v>
      </c>
      <c r="W906" s="196" t="e">
        <f t="shared" si="112"/>
        <v>#DIV/0!</v>
      </c>
      <c r="X906" s="197" t="e">
        <f t="shared" si="113"/>
        <v>#DIV/0!</v>
      </c>
    </row>
    <row r="907" ht="11.4" hidden="1" customHeight="1" spans="1:24">
      <c r="A907" s="184" t="s">
        <v>904</v>
      </c>
      <c r="B907" s="184" t="s">
        <v>153</v>
      </c>
      <c r="C907" s="184" t="s">
        <v>905</v>
      </c>
      <c r="D907" s="185" t="s">
        <v>522</v>
      </c>
      <c r="E907" s="186" t="s">
        <v>906</v>
      </c>
      <c r="F907" s="186" t="s">
        <v>907</v>
      </c>
      <c r="G907" s="186" t="s">
        <v>908</v>
      </c>
      <c r="H907" s="186" t="s">
        <v>2479</v>
      </c>
      <c r="I907" s="187" t="s">
        <v>2520</v>
      </c>
      <c r="J907" s="187" t="s">
        <v>2521</v>
      </c>
      <c r="K907" s="188"/>
      <c r="L907" s="188"/>
      <c r="M907" s="189" t="s">
        <v>793</v>
      </c>
      <c r="N907" s="190"/>
      <c r="O907" s="190">
        <f t="shared" si="106"/>
        <v>0</v>
      </c>
      <c r="P907" s="191">
        <f t="shared" si="107"/>
        <v>0</v>
      </c>
      <c r="Q907" s="192">
        <f t="shared" si="108"/>
        <v>0</v>
      </c>
      <c r="R907" s="193"/>
      <c r="S907" s="194"/>
      <c r="T907" s="195">
        <f t="shared" si="109"/>
        <v>0</v>
      </c>
      <c r="U907" s="195">
        <f t="shared" si="110"/>
        <v>0</v>
      </c>
      <c r="V907" s="195">
        <f t="shared" si="111"/>
        <v>0</v>
      </c>
      <c r="W907" s="196" t="e">
        <f t="shared" si="112"/>
        <v>#DIV/0!</v>
      </c>
      <c r="X907" s="197" t="e">
        <f t="shared" si="113"/>
        <v>#DIV/0!</v>
      </c>
    </row>
    <row r="908" ht="11.4" hidden="1" customHeight="1" spans="1:24">
      <c r="A908" s="184" t="s">
        <v>904</v>
      </c>
      <c r="B908" s="184" t="s">
        <v>153</v>
      </c>
      <c r="C908" s="184" t="s">
        <v>905</v>
      </c>
      <c r="D908" s="185" t="s">
        <v>522</v>
      </c>
      <c r="E908" s="186" t="s">
        <v>906</v>
      </c>
      <c r="F908" s="186" t="s">
        <v>907</v>
      </c>
      <c r="G908" s="186" t="s">
        <v>908</v>
      </c>
      <c r="H908" s="186" t="s">
        <v>2522</v>
      </c>
      <c r="I908" s="187" t="s">
        <v>2523</v>
      </c>
      <c r="J908" s="161" t="s">
        <v>2524</v>
      </c>
      <c r="K908" s="188">
        <v>1</v>
      </c>
      <c r="L908" s="188">
        <v>1</v>
      </c>
      <c r="M908" s="189" t="s">
        <v>793</v>
      </c>
      <c r="N908" s="190">
        <v>2345</v>
      </c>
      <c r="O908" s="190">
        <f t="shared" si="106"/>
        <v>2556.05</v>
      </c>
      <c r="P908" s="191">
        <f t="shared" si="107"/>
        <v>2345</v>
      </c>
      <c r="Q908" s="192">
        <f t="shared" si="108"/>
        <v>2345</v>
      </c>
      <c r="R908" s="193"/>
      <c r="S908" s="194"/>
      <c r="T908" s="195">
        <f t="shared" si="109"/>
        <v>0</v>
      </c>
      <c r="U908" s="195">
        <f t="shared" si="110"/>
        <v>0</v>
      </c>
      <c r="V908" s="195">
        <f t="shared" si="111"/>
        <v>0</v>
      </c>
      <c r="W908" s="196">
        <f t="shared" si="112"/>
        <v>0</v>
      </c>
      <c r="X908" s="197">
        <f t="shared" si="113"/>
        <v>0</v>
      </c>
    </row>
    <row r="909" ht="11.4" hidden="1" customHeight="1" spans="1:24">
      <c r="A909" s="184" t="s">
        <v>904</v>
      </c>
      <c r="B909" s="184" t="s">
        <v>153</v>
      </c>
      <c r="C909" s="184" t="s">
        <v>905</v>
      </c>
      <c r="D909" s="185" t="s">
        <v>522</v>
      </c>
      <c r="E909" s="186" t="s">
        <v>906</v>
      </c>
      <c r="F909" s="186" t="s">
        <v>907</v>
      </c>
      <c r="G909" s="186" t="s">
        <v>908</v>
      </c>
      <c r="H909" s="186" t="s">
        <v>2522</v>
      </c>
      <c r="I909" s="187" t="s">
        <v>2525</v>
      </c>
      <c r="J909" s="187" t="s">
        <v>2526</v>
      </c>
      <c r="K909" s="188">
        <v>2</v>
      </c>
      <c r="L909" s="188">
        <v>2</v>
      </c>
      <c r="M909" s="189" t="s">
        <v>989</v>
      </c>
      <c r="N909" s="190">
        <v>649.73</v>
      </c>
      <c r="O909" s="190">
        <f t="shared" ref="O909:O972" si="115">ROUND(N909*(1+$F$10),2)</f>
        <v>708.21</v>
      </c>
      <c r="P909" s="191">
        <f t="shared" ref="P909:P972" si="116">ROUND(K909*N909,2)</f>
        <v>1299.46</v>
      </c>
      <c r="Q909" s="192">
        <f t="shared" ref="Q909:Q972" si="117">ROUND(L909*N909,2)</f>
        <v>1299.46</v>
      </c>
      <c r="R909" s="193"/>
      <c r="S909" s="194"/>
      <c r="T909" s="195">
        <f t="shared" ref="T909:T972" si="118">K909-L909</f>
        <v>0</v>
      </c>
      <c r="U909" s="195">
        <f t="shared" ref="U909:U972" si="119">P909-Q909</f>
        <v>0</v>
      </c>
      <c r="V909" s="195">
        <f t="shared" ref="V909:V972" si="120">ABS(U909)</f>
        <v>0</v>
      </c>
      <c r="W909" s="196">
        <f t="shared" ref="W909:W972" si="121">T909/L909</f>
        <v>0</v>
      </c>
      <c r="X909" s="197">
        <f t="shared" ref="X909:X972" si="122">ABS(W909)</f>
        <v>0</v>
      </c>
    </row>
    <row r="910" ht="11.4" hidden="1" customHeight="1" spans="1:24">
      <c r="A910" s="184" t="s">
        <v>2527</v>
      </c>
      <c r="B910" s="184" t="s">
        <v>161</v>
      </c>
      <c r="C910" s="184" t="s">
        <v>2528</v>
      </c>
      <c r="D910" s="185" t="s">
        <v>522</v>
      </c>
      <c r="E910" s="186" t="s">
        <v>906</v>
      </c>
      <c r="F910" s="186" t="s">
        <v>2529</v>
      </c>
      <c r="G910" s="186" t="s">
        <v>2530</v>
      </c>
      <c r="H910" s="186" t="s">
        <v>2531</v>
      </c>
      <c r="I910" s="187" t="s">
        <v>2532</v>
      </c>
      <c r="J910" s="187" t="s">
        <v>2533</v>
      </c>
      <c r="K910" s="188"/>
      <c r="L910" s="188"/>
      <c r="M910" s="189" t="s">
        <v>963</v>
      </c>
      <c r="N910" s="190">
        <v>510.81</v>
      </c>
      <c r="O910" s="190">
        <f t="shared" si="115"/>
        <v>556.78</v>
      </c>
      <c r="P910" s="191">
        <f t="shared" si="116"/>
        <v>0</v>
      </c>
      <c r="Q910" s="192">
        <f t="shared" si="117"/>
        <v>0</v>
      </c>
      <c r="R910" s="193"/>
      <c r="S910" s="194"/>
      <c r="T910" s="195">
        <f t="shared" si="118"/>
        <v>0</v>
      </c>
      <c r="U910" s="195">
        <f t="shared" si="119"/>
        <v>0</v>
      </c>
      <c r="V910" s="195">
        <f t="shared" si="120"/>
        <v>0</v>
      </c>
      <c r="W910" s="196" t="e">
        <f t="shared" si="121"/>
        <v>#DIV/0!</v>
      </c>
      <c r="X910" s="197" t="e">
        <f t="shared" si="122"/>
        <v>#DIV/0!</v>
      </c>
    </row>
    <row r="911" ht="11.4" hidden="1" customHeight="1" spans="1:24">
      <c r="A911" s="184" t="s">
        <v>2527</v>
      </c>
      <c r="B911" s="184" t="s">
        <v>161</v>
      </c>
      <c r="C911" s="184" t="s">
        <v>2528</v>
      </c>
      <c r="D911" s="185" t="s">
        <v>522</v>
      </c>
      <c r="E911" s="186" t="s">
        <v>906</v>
      </c>
      <c r="F911" s="186" t="s">
        <v>2529</v>
      </c>
      <c r="G911" s="186" t="s">
        <v>2530</v>
      </c>
      <c r="H911" s="186" t="s">
        <v>2531</v>
      </c>
      <c r="I911" s="187" t="s">
        <v>2534</v>
      </c>
      <c r="J911" s="187" t="s">
        <v>2535</v>
      </c>
      <c r="K911" s="188"/>
      <c r="L911" s="188"/>
      <c r="M911" s="189" t="s">
        <v>963</v>
      </c>
      <c r="N911" s="190">
        <v>509.91</v>
      </c>
      <c r="O911" s="190">
        <f t="shared" si="115"/>
        <v>555.8</v>
      </c>
      <c r="P911" s="191">
        <f t="shared" si="116"/>
        <v>0</v>
      </c>
      <c r="Q911" s="192">
        <f t="shared" si="117"/>
        <v>0</v>
      </c>
      <c r="R911" s="193"/>
      <c r="S911" s="194"/>
      <c r="T911" s="195">
        <f t="shared" si="118"/>
        <v>0</v>
      </c>
      <c r="U911" s="195">
        <f t="shared" si="119"/>
        <v>0</v>
      </c>
      <c r="V911" s="195">
        <f t="shared" si="120"/>
        <v>0</v>
      </c>
      <c r="W911" s="196" t="e">
        <f t="shared" si="121"/>
        <v>#DIV/0!</v>
      </c>
      <c r="X911" s="197" t="e">
        <f t="shared" si="122"/>
        <v>#DIV/0!</v>
      </c>
    </row>
    <row r="912" ht="11.4" hidden="1" customHeight="1" spans="1:24">
      <c r="A912" s="184" t="s">
        <v>2527</v>
      </c>
      <c r="B912" s="184" t="s">
        <v>161</v>
      </c>
      <c r="C912" s="184" t="s">
        <v>2528</v>
      </c>
      <c r="D912" s="185" t="s">
        <v>522</v>
      </c>
      <c r="E912" s="186" t="s">
        <v>906</v>
      </c>
      <c r="F912" s="186" t="s">
        <v>2529</v>
      </c>
      <c r="G912" s="186" t="s">
        <v>2530</v>
      </c>
      <c r="H912" s="186" t="s">
        <v>2531</v>
      </c>
      <c r="I912" s="187" t="s">
        <v>2536</v>
      </c>
      <c r="J912" s="187" t="s">
        <v>2537</v>
      </c>
      <c r="K912" s="188"/>
      <c r="L912" s="188"/>
      <c r="M912" s="189" t="s">
        <v>963</v>
      </c>
      <c r="N912" s="190">
        <v>339.64</v>
      </c>
      <c r="O912" s="190">
        <f t="shared" si="115"/>
        <v>370.21</v>
      </c>
      <c r="P912" s="191">
        <f t="shared" si="116"/>
        <v>0</v>
      </c>
      <c r="Q912" s="192">
        <f t="shared" si="117"/>
        <v>0</v>
      </c>
      <c r="R912" s="193"/>
      <c r="S912" s="194"/>
      <c r="T912" s="195">
        <f t="shared" si="118"/>
        <v>0</v>
      </c>
      <c r="U912" s="195">
        <f t="shared" si="119"/>
        <v>0</v>
      </c>
      <c r="V912" s="195">
        <f t="shared" si="120"/>
        <v>0</v>
      </c>
      <c r="W912" s="196" t="e">
        <f t="shared" si="121"/>
        <v>#DIV/0!</v>
      </c>
      <c r="X912" s="197" t="e">
        <f t="shared" si="122"/>
        <v>#DIV/0!</v>
      </c>
    </row>
    <row r="913" ht="11.4" hidden="1" customHeight="1" spans="1:24">
      <c r="A913" s="184" t="s">
        <v>2527</v>
      </c>
      <c r="B913" s="184" t="s">
        <v>161</v>
      </c>
      <c r="C913" s="184" t="s">
        <v>2528</v>
      </c>
      <c r="D913" s="185" t="s">
        <v>522</v>
      </c>
      <c r="E913" s="186" t="s">
        <v>906</v>
      </c>
      <c r="F913" s="186" t="s">
        <v>2529</v>
      </c>
      <c r="G913" s="186" t="s">
        <v>2530</v>
      </c>
      <c r="H913" s="186" t="s">
        <v>2531</v>
      </c>
      <c r="I913" s="187" t="s">
        <v>2538</v>
      </c>
      <c r="J913" s="187" t="s">
        <v>2539</v>
      </c>
      <c r="K913" s="188"/>
      <c r="L913" s="188"/>
      <c r="M913" s="189" t="s">
        <v>963</v>
      </c>
      <c r="N913" s="190">
        <v>339.64</v>
      </c>
      <c r="O913" s="190">
        <f t="shared" si="115"/>
        <v>370.21</v>
      </c>
      <c r="P913" s="191">
        <f t="shared" si="116"/>
        <v>0</v>
      </c>
      <c r="Q913" s="192">
        <f t="shared" si="117"/>
        <v>0</v>
      </c>
      <c r="R913" s="193"/>
      <c r="S913" s="194"/>
      <c r="T913" s="195">
        <f t="shared" si="118"/>
        <v>0</v>
      </c>
      <c r="U913" s="195">
        <f t="shared" si="119"/>
        <v>0</v>
      </c>
      <c r="V913" s="195">
        <f t="shared" si="120"/>
        <v>0</v>
      </c>
      <c r="W913" s="196" t="e">
        <f t="shared" si="121"/>
        <v>#DIV/0!</v>
      </c>
      <c r="X913" s="197" t="e">
        <f t="shared" si="122"/>
        <v>#DIV/0!</v>
      </c>
    </row>
    <row r="914" ht="11.4" hidden="1" customHeight="1" spans="1:24">
      <c r="A914" s="184" t="s">
        <v>2527</v>
      </c>
      <c r="B914" s="184" t="s">
        <v>161</v>
      </c>
      <c r="C914" s="184" t="s">
        <v>2528</v>
      </c>
      <c r="D914" s="185" t="s">
        <v>522</v>
      </c>
      <c r="E914" s="186" t="s">
        <v>906</v>
      </c>
      <c r="F914" s="186" t="s">
        <v>2529</v>
      </c>
      <c r="G914" s="186" t="s">
        <v>2530</v>
      </c>
      <c r="H914" s="186" t="s">
        <v>2531</v>
      </c>
      <c r="I914" s="187" t="s">
        <v>2540</v>
      </c>
      <c r="J914" s="187" t="s">
        <v>2541</v>
      </c>
      <c r="K914" s="188"/>
      <c r="L914" s="188"/>
      <c r="M914" s="189" t="s">
        <v>2308</v>
      </c>
      <c r="N914" s="190">
        <v>311.71</v>
      </c>
      <c r="O914" s="190">
        <f t="shared" si="115"/>
        <v>339.76</v>
      </c>
      <c r="P914" s="191">
        <f t="shared" si="116"/>
        <v>0</v>
      </c>
      <c r="Q914" s="192">
        <f t="shared" si="117"/>
        <v>0</v>
      </c>
      <c r="R914" s="193"/>
      <c r="S914" s="194"/>
      <c r="T914" s="195">
        <f t="shared" si="118"/>
        <v>0</v>
      </c>
      <c r="U914" s="195">
        <f t="shared" si="119"/>
        <v>0</v>
      </c>
      <c r="V914" s="195">
        <f t="shared" si="120"/>
        <v>0</v>
      </c>
      <c r="W914" s="196" t="e">
        <f t="shared" si="121"/>
        <v>#DIV/0!</v>
      </c>
      <c r="X914" s="197" t="e">
        <f t="shared" si="122"/>
        <v>#DIV/0!</v>
      </c>
    </row>
    <row r="915" ht="11.4" hidden="1" customHeight="1" spans="1:24">
      <c r="A915" s="184" t="s">
        <v>2527</v>
      </c>
      <c r="B915" s="184" t="s">
        <v>161</v>
      </c>
      <c r="C915" s="184" t="s">
        <v>2528</v>
      </c>
      <c r="D915" s="185" t="s">
        <v>522</v>
      </c>
      <c r="E915" s="186" t="s">
        <v>906</v>
      </c>
      <c r="F915" s="186" t="s">
        <v>2529</v>
      </c>
      <c r="G915" s="186" t="s">
        <v>2530</v>
      </c>
      <c r="H915" s="186" t="s">
        <v>2531</v>
      </c>
      <c r="I915" s="187" t="s">
        <v>2542</v>
      </c>
      <c r="J915" s="187" t="s">
        <v>2543</v>
      </c>
      <c r="K915" s="188"/>
      <c r="L915" s="188"/>
      <c r="M915" s="189" t="s">
        <v>963</v>
      </c>
      <c r="N915" s="190">
        <v>625.23</v>
      </c>
      <c r="O915" s="190">
        <f t="shared" si="115"/>
        <v>681.5</v>
      </c>
      <c r="P915" s="191">
        <f t="shared" si="116"/>
        <v>0</v>
      </c>
      <c r="Q915" s="192">
        <f t="shared" si="117"/>
        <v>0</v>
      </c>
      <c r="R915" s="193"/>
      <c r="S915" s="194"/>
      <c r="T915" s="195">
        <f t="shared" si="118"/>
        <v>0</v>
      </c>
      <c r="U915" s="195">
        <f t="shared" si="119"/>
        <v>0</v>
      </c>
      <c r="V915" s="195">
        <f t="shared" si="120"/>
        <v>0</v>
      </c>
      <c r="W915" s="196" t="e">
        <f t="shared" si="121"/>
        <v>#DIV/0!</v>
      </c>
      <c r="X915" s="197" t="e">
        <f t="shared" si="122"/>
        <v>#DIV/0!</v>
      </c>
    </row>
    <row r="916" ht="11.4" hidden="1" customHeight="1" spans="1:24">
      <c r="A916" s="184" t="s">
        <v>2527</v>
      </c>
      <c r="B916" s="184" t="s">
        <v>161</v>
      </c>
      <c r="C916" s="184" t="s">
        <v>2528</v>
      </c>
      <c r="D916" s="185" t="s">
        <v>522</v>
      </c>
      <c r="E916" s="186" t="s">
        <v>906</v>
      </c>
      <c r="F916" s="186" t="s">
        <v>2529</v>
      </c>
      <c r="G916" s="186" t="s">
        <v>2530</v>
      </c>
      <c r="H916" s="186" t="s">
        <v>2531</v>
      </c>
      <c r="I916" s="187" t="s">
        <v>2544</v>
      </c>
      <c r="J916" s="187" t="s">
        <v>2545</v>
      </c>
      <c r="K916" s="188"/>
      <c r="L916" s="188"/>
      <c r="M916" s="189" t="s">
        <v>989</v>
      </c>
      <c r="N916" s="190">
        <v>556.76</v>
      </c>
      <c r="O916" s="190">
        <f t="shared" si="115"/>
        <v>606.87</v>
      </c>
      <c r="P916" s="191">
        <f t="shared" si="116"/>
        <v>0</v>
      </c>
      <c r="Q916" s="192">
        <f t="shared" si="117"/>
        <v>0</v>
      </c>
      <c r="R916" s="193"/>
      <c r="S916" s="194"/>
      <c r="T916" s="195">
        <f t="shared" si="118"/>
        <v>0</v>
      </c>
      <c r="U916" s="195">
        <f t="shared" si="119"/>
        <v>0</v>
      </c>
      <c r="V916" s="195">
        <f t="shared" si="120"/>
        <v>0</v>
      </c>
      <c r="W916" s="196" t="e">
        <f t="shared" si="121"/>
        <v>#DIV/0!</v>
      </c>
      <c r="X916" s="197" t="e">
        <f t="shared" si="122"/>
        <v>#DIV/0!</v>
      </c>
    </row>
    <row r="917" ht="11.4" hidden="1" customHeight="1" spans="1:24">
      <c r="A917" s="184" t="s">
        <v>2527</v>
      </c>
      <c r="B917" s="184" t="s">
        <v>161</v>
      </c>
      <c r="C917" s="184" t="s">
        <v>2528</v>
      </c>
      <c r="D917" s="185" t="s">
        <v>522</v>
      </c>
      <c r="E917" s="186" t="s">
        <v>906</v>
      </c>
      <c r="F917" s="186" t="s">
        <v>2529</v>
      </c>
      <c r="G917" s="186" t="s">
        <v>2530</v>
      </c>
      <c r="H917" s="186" t="s">
        <v>2531</v>
      </c>
      <c r="I917" s="187" t="s">
        <v>2546</v>
      </c>
      <c r="J917" s="187" t="s">
        <v>2547</v>
      </c>
      <c r="K917" s="188"/>
      <c r="L917" s="188"/>
      <c r="M917" s="189" t="s">
        <v>2548</v>
      </c>
      <c r="N917" s="190">
        <v>3112.61</v>
      </c>
      <c r="O917" s="190">
        <f t="shared" si="115"/>
        <v>3392.74</v>
      </c>
      <c r="P917" s="191">
        <f t="shared" si="116"/>
        <v>0</v>
      </c>
      <c r="Q917" s="192">
        <f t="shared" si="117"/>
        <v>0</v>
      </c>
      <c r="R917" s="193"/>
      <c r="S917" s="194"/>
      <c r="T917" s="195">
        <f t="shared" si="118"/>
        <v>0</v>
      </c>
      <c r="U917" s="195">
        <f t="shared" si="119"/>
        <v>0</v>
      </c>
      <c r="V917" s="195">
        <f t="shared" si="120"/>
        <v>0</v>
      </c>
      <c r="W917" s="196" t="e">
        <f t="shared" si="121"/>
        <v>#DIV/0!</v>
      </c>
      <c r="X917" s="197" t="e">
        <f t="shared" si="122"/>
        <v>#DIV/0!</v>
      </c>
    </row>
    <row r="918" ht="11.4" hidden="1" customHeight="1" spans="1:24">
      <c r="A918" s="184" t="s">
        <v>2527</v>
      </c>
      <c r="B918" s="184" t="s">
        <v>161</v>
      </c>
      <c r="C918" s="184" t="s">
        <v>2528</v>
      </c>
      <c r="D918" s="185" t="s">
        <v>522</v>
      </c>
      <c r="E918" s="186" t="s">
        <v>906</v>
      </c>
      <c r="F918" s="186" t="s">
        <v>2529</v>
      </c>
      <c r="G918" s="186" t="s">
        <v>2530</v>
      </c>
      <c r="H918" s="186" t="s">
        <v>2531</v>
      </c>
      <c r="I918" s="187" t="s">
        <v>2549</v>
      </c>
      <c r="J918" s="187" t="s">
        <v>2550</v>
      </c>
      <c r="K918" s="188"/>
      <c r="L918" s="188"/>
      <c r="M918" s="189" t="s">
        <v>963</v>
      </c>
      <c r="N918" s="190">
        <v>290.09</v>
      </c>
      <c r="O918" s="190">
        <f t="shared" si="115"/>
        <v>316.2</v>
      </c>
      <c r="P918" s="191">
        <f t="shared" si="116"/>
        <v>0</v>
      </c>
      <c r="Q918" s="192">
        <f t="shared" si="117"/>
        <v>0</v>
      </c>
      <c r="R918" s="193"/>
      <c r="S918" s="194"/>
      <c r="T918" s="195">
        <f t="shared" si="118"/>
        <v>0</v>
      </c>
      <c r="U918" s="195">
        <f t="shared" si="119"/>
        <v>0</v>
      </c>
      <c r="V918" s="195">
        <f t="shared" si="120"/>
        <v>0</v>
      </c>
      <c r="W918" s="196" t="e">
        <f t="shared" si="121"/>
        <v>#DIV/0!</v>
      </c>
      <c r="X918" s="197" t="e">
        <f t="shared" si="122"/>
        <v>#DIV/0!</v>
      </c>
    </row>
    <row r="919" ht="11.4" hidden="1" customHeight="1" spans="1:24">
      <c r="A919" s="184" t="s">
        <v>2527</v>
      </c>
      <c r="B919" s="184" t="s">
        <v>161</v>
      </c>
      <c r="C919" s="184" t="s">
        <v>2528</v>
      </c>
      <c r="D919" s="185" t="s">
        <v>522</v>
      </c>
      <c r="E919" s="186" t="s">
        <v>906</v>
      </c>
      <c r="F919" s="186" t="s">
        <v>2529</v>
      </c>
      <c r="G919" s="186" t="s">
        <v>2530</v>
      </c>
      <c r="H919" s="186" t="s">
        <v>2551</v>
      </c>
      <c r="I919" s="187" t="s">
        <v>2552</v>
      </c>
      <c r="J919" s="187" t="s">
        <v>2553</v>
      </c>
      <c r="K919" s="188"/>
      <c r="L919" s="188"/>
      <c r="M919" s="189" t="s">
        <v>963</v>
      </c>
      <c r="N919" s="190">
        <v>271.17</v>
      </c>
      <c r="O919" s="190">
        <f t="shared" si="115"/>
        <v>295.58</v>
      </c>
      <c r="P919" s="191">
        <f t="shared" si="116"/>
        <v>0</v>
      </c>
      <c r="Q919" s="192">
        <f t="shared" si="117"/>
        <v>0</v>
      </c>
      <c r="R919" s="193"/>
      <c r="S919" s="194"/>
      <c r="T919" s="195">
        <f t="shared" si="118"/>
        <v>0</v>
      </c>
      <c r="U919" s="195">
        <f t="shared" si="119"/>
        <v>0</v>
      </c>
      <c r="V919" s="195">
        <f t="shared" si="120"/>
        <v>0</v>
      </c>
      <c r="W919" s="196" t="e">
        <f t="shared" si="121"/>
        <v>#DIV/0!</v>
      </c>
      <c r="X919" s="197" t="e">
        <f t="shared" si="122"/>
        <v>#DIV/0!</v>
      </c>
    </row>
    <row r="920" ht="11.4" hidden="1" customHeight="1" spans="1:24">
      <c r="A920" s="184" t="s">
        <v>2527</v>
      </c>
      <c r="B920" s="184" t="s">
        <v>161</v>
      </c>
      <c r="C920" s="184" t="s">
        <v>2528</v>
      </c>
      <c r="D920" s="185" t="s">
        <v>522</v>
      </c>
      <c r="E920" s="186" t="s">
        <v>906</v>
      </c>
      <c r="F920" s="186" t="s">
        <v>2529</v>
      </c>
      <c r="G920" s="186" t="s">
        <v>2530</v>
      </c>
      <c r="H920" s="186" t="s">
        <v>2551</v>
      </c>
      <c r="I920" s="187" t="s">
        <v>2554</v>
      </c>
      <c r="J920" s="187" t="s">
        <v>2555</v>
      </c>
      <c r="K920" s="188"/>
      <c r="L920" s="188"/>
      <c r="M920" s="189" t="s">
        <v>989</v>
      </c>
      <c r="N920" s="190">
        <v>1794.59</v>
      </c>
      <c r="O920" s="190">
        <f t="shared" si="115"/>
        <v>1956.1</v>
      </c>
      <c r="P920" s="191">
        <f t="shared" si="116"/>
        <v>0</v>
      </c>
      <c r="Q920" s="192">
        <f t="shared" si="117"/>
        <v>0</v>
      </c>
      <c r="R920" s="193"/>
      <c r="S920" s="194"/>
      <c r="T920" s="195">
        <f t="shared" si="118"/>
        <v>0</v>
      </c>
      <c r="U920" s="195">
        <f t="shared" si="119"/>
        <v>0</v>
      </c>
      <c r="V920" s="195">
        <f t="shared" si="120"/>
        <v>0</v>
      </c>
      <c r="W920" s="196" t="e">
        <f t="shared" si="121"/>
        <v>#DIV/0!</v>
      </c>
      <c r="X920" s="197" t="e">
        <f t="shared" si="122"/>
        <v>#DIV/0!</v>
      </c>
    </row>
    <row r="921" ht="11.4" hidden="1" customHeight="1" spans="1:24">
      <c r="A921" s="184" t="s">
        <v>2527</v>
      </c>
      <c r="B921" s="184" t="s">
        <v>161</v>
      </c>
      <c r="C921" s="184" t="s">
        <v>2528</v>
      </c>
      <c r="D921" s="185" t="s">
        <v>522</v>
      </c>
      <c r="E921" s="186" t="s">
        <v>906</v>
      </c>
      <c r="F921" s="186" t="s">
        <v>2529</v>
      </c>
      <c r="G921" s="186" t="s">
        <v>2530</v>
      </c>
      <c r="H921" s="186" t="s">
        <v>2551</v>
      </c>
      <c r="I921" s="187" t="s">
        <v>2556</v>
      </c>
      <c r="J921" s="187" t="s">
        <v>2557</v>
      </c>
      <c r="K921" s="188"/>
      <c r="L921" s="188"/>
      <c r="M921" s="189" t="s">
        <v>793</v>
      </c>
      <c r="N921" s="190">
        <v>2774.77</v>
      </c>
      <c r="O921" s="190">
        <f t="shared" si="115"/>
        <v>3024.5</v>
      </c>
      <c r="P921" s="191">
        <f t="shared" si="116"/>
        <v>0</v>
      </c>
      <c r="Q921" s="192">
        <f t="shared" si="117"/>
        <v>0</v>
      </c>
      <c r="R921" s="193"/>
      <c r="S921" s="194"/>
      <c r="T921" s="195">
        <f t="shared" si="118"/>
        <v>0</v>
      </c>
      <c r="U921" s="195">
        <f t="shared" si="119"/>
        <v>0</v>
      </c>
      <c r="V921" s="195">
        <f t="shared" si="120"/>
        <v>0</v>
      </c>
      <c r="W921" s="196" t="e">
        <f t="shared" si="121"/>
        <v>#DIV/0!</v>
      </c>
      <c r="X921" s="197" t="e">
        <f t="shared" si="122"/>
        <v>#DIV/0!</v>
      </c>
    </row>
    <row r="922" ht="11.4" hidden="1" customHeight="1" spans="1:24">
      <c r="A922" s="184" t="s">
        <v>2527</v>
      </c>
      <c r="B922" s="184" t="s">
        <v>161</v>
      </c>
      <c r="C922" s="184" t="s">
        <v>2528</v>
      </c>
      <c r="D922" s="185" t="s">
        <v>522</v>
      </c>
      <c r="E922" s="186" t="s">
        <v>906</v>
      </c>
      <c r="F922" s="186" t="s">
        <v>2529</v>
      </c>
      <c r="G922" s="186" t="s">
        <v>2530</v>
      </c>
      <c r="H922" s="186" t="s">
        <v>2558</v>
      </c>
      <c r="I922" s="187" t="s">
        <v>2559</v>
      </c>
      <c r="J922" s="187" t="s">
        <v>2560</v>
      </c>
      <c r="K922" s="188"/>
      <c r="L922" s="188"/>
      <c r="M922" s="189" t="s">
        <v>1018</v>
      </c>
      <c r="N922" s="190">
        <v>63.96</v>
      </c>
      <c r="O922" s="190">
        <f t="shared" si="115"/>
        <v>69.72</v>
      </c>
      <c r="P922" s="191">
        <f t="shared" si="116"/>
        <v>0</v>
      </c>
      <c r="Q922" s="192">
        <f t="shared" si="117"/>
        <v>0</v>
      </c>
      <c r="R922" s="193"/>
      <c r="S922" s="194"/>
      <c r="T922" s="195">
        <f t="shared" si="118"/>
        <v>0</v>
      </c>
      <c r="U922" s="195">
        <f t="shared" si="119"/>
        <v>0</v>
      </c>
      <c r="V922" s="195">
        <f t="shared" si="120"/>
        <v>0</v>
      </c>
      <c r="W922" s="196" t="e">
        <f t="shared" si="121"/>
        <v>#DIV/0!</v>
      </c>
      <c r="X922" s="197" t="e">
        <f t="shared" si="122"/>
        <v>#DIV/0!</v>
      </c>
    </row>
    <row r="923" ht="11.4" hidden="1" customHeight="1" spans="1:24">
      <c r="A923" s="184" t="s">
        <v>2527</v>
      </c>
      <c r="B923" s="184" t="s">
        <v>161</v>
      </c>
      <c r="C923" s="184" t="s">
        <v>2528</v>
      </c>
      <c r="D923" s="185" t="s">
        <v>522</v>
      </c>
      <c r="E923" s="186" t="s">
        <v>906</v>
      </c>
      <c r="F923" s="186" t="s">
        <v>2529</v>
      </c>
      <c r="G923" s="186" t="s">
        <v>2530</v>
      </c>
      <c r="H923" s="186" t="s">
        <v>2558</v>
      </c>
      <c r="I923" s="187" t="s">
        <v>2561</v>
      </c>
      <c r="J923" s="187" t="s">
        <v>2562</v>
      </c>
      <c r="K923" s="188"/>
      <c r="L923" s="188"/>
      <c r="M923" s="189" t="s">
        <v>1018</v>
      </c>
      <c r="N923" s="190">
        <v>17.35</v>
      </c>
      <c r="O923" s="190">
        <f t="shared" si="115"/>
        <v>18.91</v>
      </c>
      <c r="P923" s="191">
        <f t="shared" si="116"/>
        <v>0</v>
      </c>
      <c r="Q923" s="192">
        <f t="shared" si="117"/>
        <v>0</v>
      </c>
      <c r="R923" s="193"/>
      <c r="S923" s="194"/>
      <c r="T923" s="195">
        <f t="shared" si="118"/>
        <v>0</v>
      </c>
      <c r="U923" s="195">
        <f t="shared" si="119"/>
        <v>0</v>
      </c>
      <c r="V923" s="195">
        <f t="shared" si="120"/>
        <v>0</v>
      </c>
      <c r="W923" s="196" t="e">
        <f t="shared" si="121"/>
        <v>#DIV/0!</v>
      </c>
      <c r="X923" s="197" t="e">
        <f t="shared" si="122"/>
        <v>#DIV/0!</v>
      </c>
    </row>
    <row r="924" ht="11.4" hidden="1" customHeight="1" spans="1:24">
      <c r="A924" s="184" t="s">
        <v>2527</v>
      </c>
      <c r="B924" s="184" t="s">
        <v>161</v>
      </c>
      <c r="C924" s="184" t="s">
        <v>2528</v>
      </c>
      <c r="D924" s="185" t="s">
        <v>522</v>
      </c>
      <c r="E924" s="186" t="s">
        <v>906</v>
      </c>
      <c r="F924" s="186" t="s">
        <v>2529</v>
      </c>
      <c r="G924" s="186" t="s">
        <v>2530</v>
      </c>
      <c r="H924" s="186" t="s">
        <v>2558</v>
      </c>
      <c r="I924" s="187" t="s">
        <v>2563</v>
      </c>
      <c r="J924" s="187" t="s">
        <v>2564</v>
      </c>
      <c r="K924" s="188"/>
      <c r="L924" s="188"/>
      <c r="M924" s="189" t="s">
        <v>807</v>
      </c>
      <c r="N924" s="190">
        <v>44</v>
      </c>
      <c r="O924" s="190">
        <f t="shared" si="115"/>
        <v>47.96</v>
      </c>
      <c r="P924" s="191">
        <f t="shared" si="116"/>
        <v>0</v>
      </c>
      <c r="Q924" s="192">
        <f t="shared" si="117"/>
        <v>0</v>
      </c>
      <c r="R924" s="193"/>
      <c r="S924" s="194"/>
      <c r="T924" s="195">
        <f t="shared" si="118"/>
        <v>0</v>
      </c>
      <c r="U924" s="195">
        <f t="shared" si="119"/>
        <v>0</v>
      </c>
      <c r="V924" s="195">
        <f t="shared" si="120"/>
        <v>0</v>
      </c>
      <c r="W924" s="196" t="e">
        <f t="shared" si="121"/>
        <v>#DIV/0!</v>
      </c>
      <c r="X924" s="197" t="e">
        <f t="shared" si="122"/>
        <v>#DIV/0!</v>
      </c>
    </row>
    <row r="925" ht="11.4" hidden="1" customHeight="1" spans="1:24">
      <c r="A925" s="184" t="s">
        <v>2527</v>
      </c>
      <c r="B925" s="184" t="s">
        <v>161</v>
      </c>
      <c r="C925" s="184" t="s">
        <v>2528</v>
      </c>
      <c r="D925" s="185" t="s">
        <v>522</v>
      </c>
      <c r="E925" s="186" t="s">
        <v>906</v>
      </c>
      <c r="F925" s="186" t="s">
        <v>2529</v>
      </c>
      <c r="G925" s="186" t="s">
        <v>2530</v>
      </c>
      <c r="H925" s="186" t="s">
        <v>2558</v>
      </c>
      <c r="I925" s="187" t="s">
        <v>2565</v>
      </c>
      <c r="J925" s="187" t="s">
        <v>2566</v>
      </c>
      <c r="K925" s="188"/>
      <c r="L925" s="188"/>
      <c r="M925" s="189" t="s">
        <v>807</v>
      </c>
      <c r="N925" s="190">
        <v>55.86</v>
      </c>
      <c r="O925" s="190">
        <f t="shared" si="115"/>
        <v>60.89</v>
      </c>
      <c r="P925" s="191">
        <f t="shared" si="116"/>
        <v>0</v>
      </c>
      <c r="Q925" s="192">
        <f t="shared" si="117"/>
        <v>0</v>
      </c>
      <c r="R925" s="193"/>
      <c r="S925" s="194"/>
      <c r="T925" s="195">
        <f t="shared" si="118"/>
        <v>0</v>
      </c>
      <c r="U925" s="195">
        <f t="shared" si="119"/>
        <v>0</v>
      </c>
      <c r="V925" s="195">
        <f t="shared" si="120"/>
        <v>0</v>
      </c>
      <c r="W925" s="196" t="e">
        <f t="shared" si="121"/>
        <v>#DIV/0!</v>
      </c>
      <c r="X925" s="197" t="e">
        <f t="shared" si="122"/>
        <v>#DIV/0!</v>
      </c>
    </row>
    <row r="926" ht="11.4" hidden="1" customHeight="1" spans="1:24">
      <c r="A926" s="184" t="s">
        <v>2527</v>
      </c>
      <c r="B926" s="184" t="s">
        <v>161</v>
      </c>
      <c r="C926" s="184" t="s">
        <v>2528</v>
      </c>
      <c r="D926" s="185" t="s">
        <v>522</v>
      </c>
      <c r="E926" s="186" t="s">
        <v>906</v>
      </c>
      <c r="F926" s="186" t="s">
        <v>2529</v>
      </c>
      <c r="G926" s="186" t="s">
        <v>2530</v>
      </c>
      <c r="H926" s="186" t="s">
        <v>2558</v>
      </c>
      <c r="I926" s="187" t="s">
        <v>2567</v>
      </c>
      <c r="J926" s="187" t="s">
        <v>2568</v>
      </c>
      <c r="K926" s="188"/>
      <c r="L926" s="188"/>
      <c r="M926" s="189" t="s">
        <v>807</v>
      </c>
      <c r="N926" s="190">
        <v>70.27</v>
      </c>
      <c r="O926" s="190">
        <f t="shared" si="115"/>
        <v>76.59</v>
      </c>
      <c r="P926" s="191">
        <f t="shared" si="116"/>
        <v>0</v>
      </c>
      <c r="Q926" s="192">
        <f t="shared" si="117"/>
        <v>0</v>
      </c>
      <c r="R926" s="193"/>
      <c r="S926" s="194"/>
      <c r="T926" s="195">
        <f t="shared" si="118"/>
        <v>0</v>
      </c>
      <c r="U926" s="195">
        <f t="shared" si="119"/>
        <v>0</v>
      </c>
      <c r="V926" s="195">
        <f t="shared" si="120"/>
        <v>0</v>
      </c>
      <c r="W926" s="196" t="e">
        <f t="shared" si="121"/>
        <v>#DIV/0!</v>
      </c>
      <c r="X926" s="197" t="e">
        <f t="shared" si="122"/>
        <v>#DIV/0!</v>
      </c>
    </row>
    <row r="927" ht="11.4" hidden="1" customHeight="1" spans="1:24">
      <c r="A927" s="184" t="s">
        <v>2527</v>
      </c>
      <c r="B927" s="184" t="s">
        <v>161</v>
      </c>
      <c r="C927" s="184" t="s">
        <v>2528</v>
      </c>
      <c r="D927" s="185" t="s">
        <v>522</v>
      </c>
      <c r="E927" s="186" t="s">
        <v>906</v>
      </c>
      <c r="F927" s="186" t="s">
        <v>2529</v>
      </c>
      <c r="G927" s="186" t="s">
        <v>2530</v>
      </c>
      <c r="H927" s="186" t="s">
        <v>2558</v>
      </c>
      <c r="I927" s="187" t="s">
        <v>2569</v>
      </c>
      <c r="J927" s="187" t="s">
        <v>2570</v>
      </c>
      <c r="K927" s="188"/>
      <c r="L927" s="188"/>
      <c r="M927" s="189" t="s">
        <v>807</v>
      </c>
      <c r="N927" s="190">
        <v>101.8</v>
      </c>
      <c r="O927" s="190">
        <f t="shared" si="115"/>
        <v>110.96</v>
      </c>
      <c r="P927" s="191">
        <f t="shared" si="116"/>
        <v>0</v>
      </c>
      <c r="Q927" s="192">
        <f t="shared" si="117"/>
        <v>0</v>
      </c>
      <c r="R927" s="193"/>
      <c r="S927" s="194"/>
      <c r="T927" s="195">
        <f t="shared" si="118"/>
        <v>0</v>
      </c>
      <c r="U927" s="195">
        <f t="shared" si="119"/>
        <v>0</v>
      </c>
      <c r="V927" s="195">
        <f t="shared" si="120"/>
        <v>0</v>
      </c>
      <c r="W927" s="196" t="e">
        <f t="shared" si="121"/>
        <v>#DIV/0!</v>
      </c>
      <c r="X927" s="197" t="e">
        <f t="shared" si="122"/>
        <v>#DIV/0!</v>
      </c>
    </row>
    <row r="928" ht="11.4" hidden="1" customHeight="1" spans="1:24">
      <c r="A928" s="184" t="s">
        <v>2527</v>
      </c>
      <c r="B928" s="184" t="s">
        <v>161</v>
      </c>
      <c r="C928" s="184" t="s">
        <v>2528</v>
      </c>
      <c r="D928" s="185" t="s">
        <v>522</v>
      </c>
      <c r="E928" s="186" t="s">
        <v>906</v>
      </c>
      <c r="F928" s="186" t="s">
        <v>2529</v>
      </c>
      <c r="G928" s="186" t="s">
        <v>2530</v>
      </c>
      <c r="H928" s="186" t="s">
        <v>2558</v>
      </c>
      <c r="I928" s="187" t="s">
        <v>2571</v>
      </c>
      <c r="J928" s="187" t="s">
        <v>2572</v>
      </c>
      <c r="K928" s="188"/>
      <c r="L928" s="188"/>
      <c r="M928" s="189" t="s">
        <v>807</v>
      </c>
      <c r="N928" s="190">
        <v>118.02</v>
      </c>
      <c r="O928" s="190">
        <f t="shared" si="115"/>
        <v>128.64</v>
      </c>
      <c r="P928" s="191">
        <f t="shared" si="116"/>
        <v>0</v>
      </c>
      <c r="Q928" s="192">
        <f t="shared" si="117"/>
        <v>0</v>
      </c>
      <c r="R928" s="193"/>
      <c r="S928" s="194"/>
      <c r="T928" s="195">
        <f t="shared" si="118"/>
        <v>0</v>
      </c>
      <c r="U928" s="195">
        <f t="shared" si="119"/>
        <v>0</v>
      </c>
      <c r="V928" s="195">
        <f t="shared" si="120"/>
        <v>0</v>
      </c>
      <c r="W928" s="196" t="e">
        <f t="shared" si="121"/>
        <v>#DIV/0!</v>
      </c>
      <c r="X928" s="197" t="e">
        <f t="shared" si="122"/>
        <v>#DIV/0!</v>
      </c>
    </row>
    <row r="929" ht="11.4" hidden="1" customHeight="1" spans="1:24">
      <c r="A929" s="184" t="s">
        <v>2527</v>
      </c>
      <c r="B929" s="184" t="s">
        <v>161</v>
      </c>
      <c r="C929" s="184" t="s">
        <v>2528</v>
      </c>
      <c r="D929" s="185" t="s">
        <v>522</v>
      </c>
      <c r="E929" s="186" t="s">
        <v>906</v>
      </c>
      <c r="F929" s="186" t="s">
        <v>2529</v>
      </c>
      <c r="G929" s="186" t="s">
        <v>2530</v>
      </c>
      <c r="H929" s="186" t="s">
        <v>2558</v>
      </c>
      <c r="I929" s="187" t="s">
        <v>2573</v>
      </c>
      <c r="J929" s="187" t="s">
        <v>2574</v>
      </c>
      <c r="K929" s="188"/>
      <c r="L929" s="188"/>
      <c r="M929" s="189" t="s">
        <v>807</v>
      </c>
      <c r="N929" s="190">
        <v>136.04</v>
      </c>
      <c r="O929" s="190">
        <f t="shared" si="115"/>
        <v>148.28</v>
      </c>
      <c r="P929" s="191">
        <f t="shared" si="116"/>
        <v>0</v>
      </c>
      <c r="Q929" s="192">
        <f t="shared" si="117"/>
        <v>0</v>
      </c>
      <c r="R929" s="193"/>
      <c r="S929" s="194"/>
      <c r="T929" s="195">
        <f t="shared" si="118"/>
        <v>0</v>
      </c>
      <c r="U929" s="195">
        <f t="shared" si="119"/>
        <v>0</v>
      </c>
      <c r="V929" s="195">
        <f t="shared" si="120"/>
        <v>0</v>
      </c>
      <c r="W929" s="196" t="e">
        <f t="shared" si="121"/>
        <v>#DIV/0!</v>
      </c>
      <c r="X929" s="197" t="e">
        <f t="shared" si="122"/>
        <v>#DIV/0!</v>
      </c>
    </row>
    <row r="930" ht="11.4" hidden="1" customHeight="1" spans="1:24">
      <c r="A930" s="184" t="s">
        <v>2527</v>
      </c>
      <c r="B930" s="184" t="s">
        <v>161</v>
      </c>
      <c r="C930" s="184" t="s">
        <v>2528</v>
      </c>
      <c r="D930" s="185" t="s">
        <v>522</v>
      </c>
      <c r="E930" s="186" t="s">
        <v>906</v>
      </c>
      <c r="F930" s="186" t="s">
        <v>2529</v>
      </c>
      <c r="G930" s="186" t="s">
        <v>2530</v>
      </c>
      <c r="H930" s="186" t="s">
        <v>2558</v>
      </c>
      <c r="I930" s="187" t="s">
        <v>2575</v>
      </c>
      <c r="J930" s="187" t="s">
        <v>2576</v>
      </c>
      <c r="K930" s="188"/>
      <c r="L930" s="188"/>
      <c r="M930" s="189" t="s">
        <v>807</v>
      </c>
      <c r="N930" s="190">
        <v>182.88</v>
      </c>
      <c r="O930" s="190">
        <f t="shared" si="115"/>
        <v>199.34</v>
      </c>
      <c r="P930" s="191">
        <f t="shared" si="116"/>
        <v>0</v>
      </c>
      <c r="Q930" s="192">
        <f t="shared" si="117"/>
        <v>0</v>
      </c>
      <c r="R930" s="193"/>
      <c r="S930" s="194"/>
      <c r="T930" s="195">
        <f t="shared" si="118"/>
        <v>0</v>
      </c>
      <c r="U930" s="195">
        <f t="shared" si="119"/>
        <v>0</v>
      </c>
      <c r="V930" s="195">
        <f t="shared" si="120"/>
        <v>0</v>
      </c>
      <c r="W930" s="196" t="e">
        <f t="shared" si="121"/>
        <v>#DIV/0!</v>
      </c>
      <c r="X930" s="197" t="e">
        <f t="shared" si="122"/>
        <v>#DIV/0!</v>
      </c>
    </row>
    <row r="931" ht="11.4" hidden="1" customHeight="1" spans="1:24">
      <c r="A931" s="184" t="s">
        <v>2527</v>
      </c>
      <c r="B931" s="184" t="s">
        <v>161</v>
      </c>
      <c r="C931" s="184" t="s">
        <v>2528</v>
      </c>
      <c r="D931" s="185" t="s">
        <v>522</v>
      </c>
      <c r="E931" s="186" t="s">
        <v>906</v>
      </c>
      <c r="F931" s="186" t="s">
        <v>2529</v>
      </c>
      <c r="G931" s="186" t="s">
        <v>2530</v>
      </c>
      <c r="H931" s="186" t="s">
        <v>2558</v>
      </c>
      <c r="I931" s="187" t="s">
        <v>2577</v>
      </c>
      <c r="J931" s="187" t="s">
        <v>2578</v>
      </c>
      <c r="K931" s="188"/>
      <c r="L931" s="188"/>
      <c r="M931" s="189" t="s">
        <v>1018</v>
      </c>
      <c r="N931" s="190">
        <v>489.12</v>
      </c>
      <c r="O931" s="190">
        <f t="shared" si="115"/>
        <v>533.14</v>
      </c>
      <c r="P931" s="191">
        <f t="shared" si="116"/>
        <v>0</v>
      </c>
      <c r="Q931" s="192">
        <f t="shared" si="117"/>
        <v>0</v>
      </c>
      <c r="R931" s="193"/>
      <c r="S931" s="194"/>
      <c r="T931" s="195">
        <f t="shared" si="118"/>
        <v>0</v>
      </c>
      <c r="U931" s="195">
        <f t="shared" si="119"/>
        <v>0</v>
      </c>
      <c r="V931" s="195">
        <f t="shared" si="120"/>
        <v>0</v>
      </c>
      <c r="W931" s="196" t="e">
        <f t="shared" si="121"/>
        <v>#DIV/0!</v>
      </c>
      <c r="X931" s="197" t="e">
        <f t="shared" si="122"/>
        <v>#DIV/0!</v>
      </c>
    </row>
    <row r="932" ht="11.4" hidden="1" customHeight="1" spans="1:24">
      <c r="A932" s="184" t="s">
        <v>2527</v>
      </c>
      <c r="B932" s="184" t="s">
        <v>161</v>
      </c>
      <c r="C932" s="184" t="s">
        <v>2528</v>
      </c>
      <c r="D932" s="185" t="s">
        <v>522</v>
      </c>
      <c r="E932" s="186" t="s">
        <v>906</v>
      </c>
      <c r="F932" s="186" t="s">
        <v>2529</v>
      </c>
      <c r="G932" s="186" t="s">
        <v>2530</v>
      </c>
      <c r="H932" s="186" t="s">
        <v>2558</v>
      </c>
      <c r="I932" s="187" t="s">
        <v>2579</v>
      </c>
      <c r="J932" s="187" t="s">
        <v>2580</v>
      </c>
      <c r="K932" s="188"/>
      <c r="L932" s="188"/>
      <c r="M932" s="189" t="s">
        <v>1018</v>
      </c>
      <c r="N932" s="190">
        <v>909.48</v>
      </c>
      <c r="O932" s="190">
        <f t="shared" si="115"/>
        <v>991.33</v>
      </c>
      <c r="P932" s="191">
        <f t="shared" si="116"/>
        <v>0</v>
      </c>
      <c r="Q932" s="192">
        <f t="shared" si="117"/>
        <v>0</v>
      </c>
      <c r="R932" s="193"/>
      <c r="S932" s="194"/>
      <c r="T932" s="195">
        <f t="shared" si="118"/>
        <v>0</v>
      </c>
      <c r="U932" s="195">
        <f t="shared" si="119"/>
        <v>0</v>
      </c>
      <c r="V932" s="195">
        <f t="shared" si="120"/>
        <v>0</v>
      </c>
      <c r="W932" s="196" t="e">
        <f t="shared" si="121"/>
        <v>#DIV/0!</v>
      </c>
      <c r="X932" s="197" t="e">
        <f t="shared" si="122"/>
        <v>#DIV/0!</v>
      </c>
    </row>
    <row r="933" ht="11.4" hidden="1" customHeight="1" spans="1:24">
      <c r="A933" s="184" t="s">
        <v>2527</v>
      </c>
      <c r="B933" s="184" t="s">
        <v>161</v>
      </c>
      <c r="C933" s="184" t="s">
        <v>2528</v>
      </c>
      <c r="D933" s="185" t="s">
        <v>522</v>
      </c>
      <c r="E933" s="186" t="s">
        <v>906</v>
      </c>
      <c r="F933" s="186" t="s">
        <v>2529</v>
      </c>
      <c r="G933" s="186" t="s">
        <v>2530</v>
      </c>
      <c r="H933" s="186" t="s">
        <v>2558</v>
      </c>
      <c r="I933" s="187" t="s">
        <v>2581</v>
      </c>
      <c r="J933" s="187" t="s">
        <v>2582</v>
      </c>
      <c r="K933" s="188"/>
      <c r="L933" s="188"/>
      <c r="M933" s="189" t="s">
        <v>1018</v>
      </c>
      <c r="N933" s="190">
        <v>240.54</v>
      </c>
      <c r="O933" s="190">
        <f t="shared" si="115"/>
        <v>262.19</v>
      </c>
      <c r="P933" s="191">
        <f t="shared" si="116"/>
        <v>0</v>
      </c>
      <c r="Q933" s="192">
        <f t="shared" si="117"/>
        <v>0</v>
      </c>
      <c r="R933" s="193"/>
      <c r="S933" s="194"/>
      <c r="T933" s="195">
        <f t="shared" si="118"/>
        <v>0</v>
      </c>
      <c r="U933" s="195">
        <f t="shared" si="119"/>
        <v>0</v>
      </c>
      <c r="V933" s="195">
        <f t="shared" si="120"/>
        <v>0</v>
      </c>
      <c r="W933" s="196" t="e">
        <f t="shared" si="121"/>
        <v>#DIV/0!</v>
      </c>
      <c r="X933" s="197" t="e">
        <f t="shared" si="122"/>
        <v>#DIV/0!</v>
      </c>
    </row>
    <row r="934" ht="11.4" hidden="1" customHeight="1" spans="1:24">
      <c r="A934" s="184" t="s">
        <v>2527</v>
      </c>
      <c r="B934" s="184" t="s">
        <v>161</v>
      </c>
      <c r="C934" s="184" t="s">
        <v>2528</v>
      </c>
      <c r="D934" s="185" t="s">
        <v>522</v>
      </c>
      <c r="E934" s="186" t="s">
        <v>906</v>
      </c>
      <c r="F934" s="186" t="s">
        <v>2529</v>
      </c>
      <c r="G934" s="186" t="s">
        <v>2530</v>
      </c>
      <c r="H934" s="186" t="s">
        <v>2558</v>
      </c>
      <c r="I934" s="187" t="s">
        <v>2583</v>
      </c>
      <c r="J934" s="187" t="s">
        <v>2584</v>
      </c>
      <c r="K934" s="188"/>
      <c r="L934" s="188"/>
      <c r="M934" s="189" t="s">
        <v>1018</v>
      </c>
      <c r="N934" s="190">
        <v>232.43</v>
      </c>
      <c r="O934" s="190">
        <f t="shared" si="115"/>
        <v>253.35</v>
      </c>
      <c r="P934" s="191">
        <f t="shared" si="116"/>
        <v>0</v>
      </c>
      <c r="Q934" s="192">
        <f t="shared" si="117"/>
        <v>0</v>
      </c>
      <c r="R934" s="193"/>
      <c r="S934" s="194"/>
      <c r="T934" s="195">
        <f t="shared" si="118"/>
        <v>0</v>
      </c>
      <c r="U934" s="195">
        <f t="shared" si="119"/>
        <v>0</v>
      </c>
      <c r="V934" s="195">
        <f t="shared" si="120"/>
        <v>0</v>
      </c>
      <c r="W934" s="196" t="e">
        <f t="shared" si="121"/>
        <v>#DIV/0!</v>
      </c>
      <c r="X934" s="197" t="e">
        <f t="shared" si="122"/>
        <v>#DIV/0!</v>
      </c>
    </row>
    <row r="935" ht="11.4" hidden="1" customHeight="1" spans="1:24">
      <c r="A935" s="184" t="s">
        <v>2527</v>
      </c>
      <c r="B935" s="184" t="s">
        <v>161</v>
      </c>
      <c r="C935" s="184" t="s">
        <v>2528</v>
      </c>
      <c r="D935" s="185" t="s">
        <v>522</v>
      </c>
      <c r="E935" s="186" t="s">
        <v>906</v>
      </c>
      <c r="F935" s="186" t="s">
        <v>2529</v>
      </c>
      <c r="G935" s="186" t="s">
        <v>2530</v>
      </c>
      <c r="H935" s="186" t="s">
        <v>2558</v>
      </c>
      <c r="I935" s="187" t="s">
        <v>2585</v>
      </c>
      <c r="J935" s="187" t="s">
        <v>2586</v>
      </c>
      <c r="K935" s="188"/>
      <c r="L935" s="188"/>
      <c r="M935" s="189" t="s">
        <v>1018</v>
      </c>
      <c r="N935" s="190">
        <v>2829.18</v>
      </c>
      <c r="O935" s="190">
        <f t="shared" si="115"/>
        <v>3083.81</v>
      </c>
      <c r="P935" s="191">
        <f t="shared" si="116"/>
        <v>0</v>
      </c>
      <c r="Q935" s="192">
        <f t="shared" si="117"/>
        <v>0</v>
      </c>
      <c r="R935" s="193"/>
      <c r="S935" s="194"/>
      <c r="T935" s="195">
        <f t="shared" si="118"/>
        <v>0</v>
      </c>
      <c r="U935" s="195">
        <f t="shared" si="119"/>
        <v>0</v>
      </c>
      <c r="V935" s="195">
        <f t="shared" si="120"/>
        <v>0</v>
      </c>
      <c r="W935" s="196" t="e">
        <f t="shared" si="121"/>
        <v>#DIV/0!</v>
      </c>
      <c r="X935" s="197" t="e">
        <f t="shared" si="122"/>
        <v>#DIV/0!</v>
      </c>
    </row>
    <row r="936" ht="11.4" hidden="1" customHeight="1" spans="1:24">
      <c r="A936" s="184" t="s">
        <v>2527</v>
      </c>
      <c r="B936" s="184" t="s">
        <v>161</v>
      </c>
      <c r="C936" s="184" t="s">
        <v>2528</v>
      </c>
      <c r="D936" s="185" t="s">
        <v>522</v>
      </c>
      <c r="E936" s="186" t="s">
        <v>906</v>
      </c>
      <c r="F936" s="186" t="s">
        <v>2529</v>
      </c>
      <c r="G936" s="186" t="s">
        <v>2530</v>
      </c>
      <c r="H936" s="186" t="s">
        <v>2558</v>
      </c>
      <c r="I936" s="187" t="s">
        <v>2587</v>
      </c>
      <c r="J936" s="187" t="s">
        <v>2588</v>
      </c>
      <c r="K936" s="188"/>
      <c r="L936" s="188"/>
      <c r="M936" s="189" t="s">
        <v>1018</v>
      </c>
      <c r="N936" s="190">
        <v>750.19</v>
      </c>
      <c r="O936" s="190">
        <f t="shared" si="115"/>
        <v>817.71</v>
      </c>
      <c r="P936" s="191">
        <f t="shared" si="116"/>
        <v>0</v>
      </c>
      <c r="Q936" s="192">
        <f t="shared" si="117"/>
        <v>0</v>
      </c>
      <c r="R936" s="193"/>
      <c r="S936" s="194"/>
      <c r="T936" s="195">
        <f t="shared" si="118"/>
        <v>0</v>
      </c>
      <c r="U936" s="195">
        <f t="shared" si="119"/>
        <v>0</v>
      </c>
      <c r="V936" s="195">
        <f t="shared" si="120"/>
        <v>0</v>
      </c>
      <c r="W936" s="196" t="e">
        <f t="shared" si="121"/>
        <v>#DIV/0!</v>
      </c>
      <c r="X936" s="197" t="e">
        <f t="shared" si="122"/>
        <v>#DIV/0!</v>
      </c>
    </row>
    <row r="937" ht="11.4" hidden="1" customHeight="1" spans="1:24">
      <c r="A937" s="184" t="s">
        <v>2527</v>
      </c>
      <c r="B937" s="184" t="s">
        <v>161</v>
      </c>
      <c r="C937" s="184" t="s">
        <v>2528</v>
      </c>
      <c r="D937" s="185" t="s">
        <v>522</v>
      </c>
      <c r="E937" s="186" t="s">
        <v>906</v>
      </c>
      <c r="F937" s="186" t="s">
        <v>2529</v>
      </c>
      <c r="G937" s="186" t="s">
        <v>2530</v>
      </c>
      <c r="H937" s="186" t="s">
        <v>2558</v>
      </c>
      <c r="I937" s="187" t="s">
        <v>2589</v>
      </c>
      <c r="J937" s="187" t="s">
        <v>2590</v>
      </c>
      <c r="K937" s="188"/>
      <c r="L937" s="188"/>
      <c r="M937" s="189" t="s">
        <v>1018</v>
      </c>
      <c r="N937" s="190">
        <v>579.08</v>
      </c>
      <c r="O937" s="190">
        <f t="shared" si="115"/>
        <v>631.2</v>
      </c>
      <c r="P937" s="191">
        <f t="shared" si="116"/>
        <v>0</v>
      </c>
      <c r="Q937" s="192">
        <f t="shared" si="117"/>
        <v>0</v>
      </c>
      <c r="R937" s="193"/>
      <c r="S937" s="194"/>
      <c r="T937" s="195">
        <f t="shared" si="118"/>
        <v>0</v>
      </c>
      <c r="U937" s="195">
        <f t="shared" si="119"/>
        <v>0</v>
      </c>
      <c r="V937" s="195">
        <f t="shared" si="120"/>
        <v>0</v>
      </c>
      <c r="W937" s="196" t="e">
        <f t="shared" si="121"/>
        <v>#DIV/0!</v>
      </c>
      <c r="X937" s="197" t="e">
        <f t="shared" si="122"/>
        <v>#DIV/0!</v>
      </c>
    </row>
    <row r="938" ht="11.4" hidden="1" customHeight="1" spans="1:24">
      <c r="A938" s="184" t="s">
        <v>2527</v>
      </c>
      <c r="B938" s="184" t="s">
        <v>161</v>
      </c>
      <c r="C938" s="184" t="s">
        <v>2528</v>
      </c>
      <c r="D938" s="185" t="s">
        <v>522</v>
      </c>
      <c r="E938" s="186" t="s">
        <v>906</v>
      </c>
      <c r="F938" s="186" t="s">
        <v>2529</v>
      </c>
      <c r="G938" s="186" t="s">
        <v>2530</v>
      </c>
      <c r="H938" s="186" t="s">
        <v>2591</v>
      </c>
      <c r="I938" s="187" t="s">
        <v>2592</v>
      </c>
      <c r="J938" s="187" t="s">
        <v>2593</v>
      </c>
      <c r="K938" s="188"/>
      <c r="L938" s="188"/>
      <c r="M938" s="189" t="s">
        <v>2548</v>
      </c>
      <c r="N938" s="190">
        <v>2654.05</v>
      </c>
      <c r="O938" s="190">
        <f t="shared" si="115"/>
        <v>2892.91</v>
      </c>
      <c r="P938" s="191">
        <f t="shared" si="116"/>
        <v>0</v>
      </c>
      <c r="Q938" s="192">
        <f t="shared" si="117"/>
        <v>0</v>
      </c>
      <c r="R938" s="193"/>
      <c r="S938" s="194"/>
      <c r="T938" s="195">
        <f t="shared" si="118"/>
        <v>0</v>
      </c>
      <c r="U938" s="195">
        <f t="shared" si="119"/>
        <v>0</v>
      </c>
      <c r="V938" s="195">
        <f t="shared" si="120"/>
        <v>0</v>
      </c>
      <c r="W938" s="196" t="e">
        <f t="shared" si="121"/>
        <v>#DIV/0!</v>
      </c>
      <c r="X938" s="197" t="e">
        <f t="shared" si="122"/>
        <v>#DIV/0!</v>
      </c>
    </row>
    <row r="939" ht="11.4" hidden="1" customHeight="1" spans="1:24">
      <c r="A939" s="184" t="s">
        <v>2527</v>
      </c>
      <c r="B939" s="184" t="s">
        <v>161</v>
      </c>
      <c r="C939" s="184" t="s">
        <v>2528</v>
      </c>
      <c r="D939" s="185" t="s">
        <v>522</v>
      </c>
      <c r="E939" s="186" t="s">
        <v>906</v>
      </c>
      <c r="F939" s="186" t="s">
        <v>2529</v>
      </c>
      <c r="G939" s="186" t="s">
        <v>2530</v>
      </c>
      <c r="H939" s="186" t="s">
        <v>2591</v>
      </c>
      <c r="I939" s="187" t="s">
        <v>2594</v>
      </c>
      <c r="J939" s="187" t="s">
        <v>2595</v>
      </c>
      <c r="K939" s="188"/>
      <c r="L939" s="188"/>
      <c r="M939" s="189" t="s">
        <v>793</v>
      </c>
      <c r="N939" s="190">
        <v>689.3</v>
      </c>
      <c r="O939" s="190">
        <f t="shared" si="115"/>
        <v>751.34</v>
      </c>
      <c r="P939" s="191">
        <f t="shared" si="116"/>
        <v>0</v>
      </c>
      <c r="Q939" s="192">
        <f t="shared" si="117"/>
        <v>0</v>
      </c>
      <c r="R939" s="193"/>
      <c r="S939" s="194"/>
      <c r="T939" s="195">
        <f t="shared" si="118"/>
        <v>0</v>
      </c>
      <c r="U939" s="195">
        <f t="shared" si="119"/>
        <v>0</v>
      </c>
      <c r="V939" s="195">
        <f t="shared" si="120"/>
        <v>0</v>
      </c>
      <c r="W939" s="196" t="e">
        <f t="shared" si="121"/>
        <v>#DIV/0!</v>
      </c>
      <c r="X939" s="197" t="e">
        <f t="shared" si="122"/>
        <v>#DIV/0!</v>
      </c>
    </row>
    <row r="940" ht="11.4" hidden="1" customHeight="1" spans="1:24">
      <c r="A940" s="184" t="s">
        <v>2527</v>
      </c>
      <c r="B940" s="184" t="s">
        <v>161</v>
      </c>
      <c r="C940" s="184" t="s">
        <v>2528</v>
      </c>
      <c r="D940" s="185" t="s">
        <v>522</v>
      </c>
      <c r="E940" s="186" t="s">
        <v>906</v>
      </c>
      <c r="F940" s="186" t="s">
        <v>2529</v>
      </c>
      <c r="G940" s="186" t="s">
        <v>2530</v>
      </c>
      <c r="H940" s="186" t="s">
        <v>2591</v>
      </c>
      <c r="I940" s="187" t="s">
        <v>2596</v>
      </c>
      <c r="J940" s="187" t="s">
        <v>2597</v>
      </c>
      <c r="K940" s="188"/>
      <c r="L940" s="188"/>
      <c r="M940" s="189" t="s">
        <v>989</v>
      </c>
      <c r="N940" s="190">
        <v>99.97</v>
      </c>
      <c r="O940" s="190">
        <f t="shared" si="115"/>
        <v>108.97</v>
      </c>
      <c r="P940" s="191">
        <f t="shared" si="116"/>
        <v>0</v>
      </c>
      <c r="Q940" s="192">
        <f t="shared" si="117"/>
        <v>0</v>
      </c>
      <c r="R940" s="193"/>
      <c r="S940" s="194"/>
      <c r="T940" s="195">
        <f t="shared" si="118"/>
        <v>0</v>
      </c>
      <c r="U940" s="195">
        <f t="shared" si="119"/>
        <v>0</v>
      </c>
      <c r="V940" s="195">
        <f t="shared" si="120"/>
        <v>0</v>
      </c>
      <c r="W940" s="196" t="e">
        <f t="shared" si="121"/>
        <v>#DIV/0!</v>
      </c>
      <c r="X940" s="197" t="e">
        <f t="shared" si="122"/>
        <v>#DIV/0!</v>
      </c>
    </row>
    <row r="941" ht="11.4" hidden="1" customHeight="1" spans="1:24">
      <c r="A941" s="184" t="s">
        <v>2527</v>
      </c>
      <c r="B941" s="184" t="s">
        <v>161</v>
      </c>
      <c r="C941" s="184" t="s">
        <v>2528</v>
      </c>
      <c r="D941" s="185" t="s">
        <v>522</v>
      </c>
      <c r="E941" s="186" t="s">
        <v>906</v>
      </c>
      <c r="F941" s="186" t="s">
        <v>2529</v>
      </c>
      <c r="G941" s="186" t="s">
        <v>2530</v>
      </c>
      <c r="H941" s="186" t="s">
        <v>2591</v>
      </c>
      <c r="I941" s="187" t="s">
        <v>2598</v>
      </c>
      <c r="J941" s="187" t="s">
        <v>2599</v>
      </c>
      <c r="K941" s="188"/>
      <c r="L941" s="188"/>
      <c r="M941" s="189" t="s">
        <v>989</v>
      </c>
      <c r="N941" s="190">
        <v>144.14</v>
      </c>
      <c r="O941" s="190">
        <f t="shared" si="115"/>
        <v>157.11</v>
      </c>
      <c r="P941" s="191">
        <f t="shared" si="116"/>
        <v>0</v>
      </c>
      <c r="Q941" s="192">
        <f t="shared" si="117"/>
        <v>0</v>
      </c>
      <c r="R941" s="193"/>
      <c r="S941" s="194"/>
      <c r="T941" s="195">
        <f t="shared" si="118"/>
        <v>0</v>
      </c>
      <c r="U941" s="195">
        <f t="shared" si="119"/>
        <v>0</v>
      </c>
      <c r="V941" s="195">
        <f t="shared" si="120"/>
        <v>0</v>
      </c>
      <c r="W941" s="196" t="e">
        <f t="shared" si="121"/>
        <v>#DIV/0!</v>
      </c>
      <c r="X941" s="197" t="e">
        <f t="shared" si="122"/>
        <v>#DIV/0!</v>
      </c>
    </row>
    <row r="942" ht="11.4" hidden="1" customHeight="1" spans="1:24">
      <c r="A942" s="184" t="s">
        <v>2527</v>
      </c>
      <c r="B942" s="184" t="s">
        <v>161</v>
      </c>
      <c r="C942" s="184" t="s">
        <v>2528</v>
      </c>
      <c r="D942" s="185" t="s">
        <v>522</v>
      </c>
      <c r="E942" s="186" t="s">
        <v>906</v>
      </c>
      <c r="F942" s="186" t="s">
        <v>2529</v>
      </c>
      <c r="G942" s="186" t="s">
        <v>2530</v>
      </c>
      <c r="H942" s="186" t="s">
        <v>2591</v>
      </c>
      <c r="I942" s="187" t="s">
        <v>2600</v>
      </c>
      <c r="J942" s="187" t="s">
        <v>2601</v>
      </c>
      <c r="K942" s="188"/>
      <c r="L942" s="188"/>
      <c r="M942" s="189" t="s">
        <v>989</v>
      </c>
      <c r="N942" s="190">
        <v>1375.89</v>
      </c>
      <c r="O942" s="190">
        <f t="shared" si="115"/>
        <v>1499.72</v>
      </c>
      <c r="P942" s="191">
        <f t="shared" si="116"/>
        <v>0</v>
      </c>
      <c r="Q942" s="192">
        <f t="shared" si="117"/>
        <v>0</v>
      </c>
      <c r="R942" s="193"/>
      <c r="S942" s="194"/>
      <c r="T942" s="195">
        <f t="shared" si="118"/>
        <v>0</v>
      </c>
      <c r="U942" s="195">
        <f t="shared" si="119"/>
        <v>0</v>
      </c>
      <c r="V942" s="195">
        <f t="shared" si="120"/>
        <v>0</v>
      </c>
      <c r="W942" s="196" t="e">
        <f t="shared" si="121"/>
        <v>#DIV/0!</v>
      </c>
      <c r="X942" s="197" t="e">
        <f t="shared" si="122"/>
        <v>#DIV/0!</v>
      </c>
    </row>
    <row r="943" ht="11.4" hidden="1" customHeight="1" spans="1:24">
      <c r="A943" s="184" t="s">
        <v>2527</v>
      </c>
      <c r="B943" s="184" t="s">
        <v>161</v>
      </c>
      <c r="C943" s="184" t="s">
        <v>2528</v>
      </c>
      <c r="D943" s="185" t="s">
        <v>522</v>
      </c>
      <c r="E943" s="186" t="s">
        <v>906</v>
      </c>
      <c r="F943" s="186" t="s">
        <v>2529</v>
      </c>
      <c r="G943" s="186" t="s">
        <v>2530</v>
      </c>
      <c r="H943" s="186" t="s">
        <v>2591</v>
      </c>
      <c r="I943" s="187" t="s">
        <v>2602</v>
      </c>
      <c r="J943" s="187" t="s">
        <v>2603</v>
      </c>
      <c r="K943" s="188"/>
      <c r="L943" s="188"/>
      <c r="M943" s="189" t="s">
        <v>1018</v>
      </c>
      <c r="N943" s="190">
        <v>1294.59</v>
      </c>
      <c r="O943" s="190">
        <f t="shared" si="115"/>
        <v>1411.1</v>
      </c>
      <c r="P943" s="191">
        <f t="shared" si="116"/>
        <v>0</v>
      </c>
      <c r="Q943" s="192">
        <f t="shared" si="117"/>
        <v>0</v>
      </c>
      <c r="R943" s="193"/>
      <c r="S943" s="194"/>
      <c r="T943" s="195">
        <f t="shared" si="118"/>
        <v>0</v>
      </c>
      <c r="U943" s="195">
        <f t="shared" si="119"/>
        <v>0</v>
      </c>
      <c r="V943" s="195">
        <f t="shared" si="120"/>
        <v>0</v>
      </c>
      <c r="W943" s="196" t="e">
        <f t="shared" si="121"/>
        <v>#DIV/0!</v>
      </c>
      <c r="X943" s="197" t="e">
        <f t="shared" si="122"/>
        <v>#DIV/0!</v>
      </c>
    </row>
    <row r="944" ht="11.4" hidden="1" customHeight="1" spans="1:24">
      <c r="A944" s="184" t="s">
        <v>2604</v>
      </c>
      <c r="B944" s="184" t="s">
        <v>164</v>
      </c>
      <c r="C944" s="184" t="s">
        <v>2605</v>
      </c>
      <c r="D944" s="185" t="s">
        <v>522</v>
      </c>
      <c r="E944" s="186" t="s">
        <v>906</v>
      </c>
      <c r="F944" s="186" t="s">
        <v>2529</v>
      </c>
      <c r="G944" s="186" t="s">
        <v>2530</v>
      </c>
      <c r="H944" s="186" t="s">
        <v>2606</v>
      </c>
      <c r="I944" s="187" t="s">
        <v>2607</v>
      </c>
      <c r="J944" s="187" t="s">
        <v>2608</v>
      </c>
      <c r="K944" s="188"/>
      <c r="L944" s="188"/>
      <c r="M944" s="189" t="s">
        <v>963</v>
      </c>
      <c r="N944" s="190">
        <v>517.6</v>
      </c>
      <c r="O944" s="190">
        <f t="shared" si="115"/>
        <v>564.18</v>
      </c>
      <c r="P944" s="191">
        <f t="shared" si="116"/>
        <v>0</v>
      </c>
      <c r="Q944" s="192">
        <f t="shared" si="117"/>
        <v>0</v>
      </c>
      <c r="R944" s="193"/>
      <c r="S944" s="194"/>
      <c r="T944" s="195">
        <f t="shared" si="118"/>
        <v>0</v>
      </c>
      <c r="U944" s="195">
        <f t="shared" si="119"/>
        <v>0</v>
      </c>
      <c r="V944" s="195">
        <f t="shared" si="120"/>
        <v>0</v>
      </c>
      <c r="W944" s="196" t="e">
        <f t="shared" si="121"/>
        <v>#DIV/0!</v>
      </c>
      <c r="X944" s="197" t="e">
        <f t="shared" si="122"/>
        <v>#DIV/0!</v>
      </c>
    </row>
    <row r="945" ht="11.4" hidden="1" customHeight="1" spans="1:24">
      <c r="A945" s="184" t="s">
        <v>2604</v>
      </c>
      <c r="B945" s="184" t="s">
        <v>164</v>
      </c>
      <c r="C945" s="184" t="s">
        <v>2605</v>
      </c>
      <c r="D945" s="185" t="s">
        <v>522</v>
      </c>
      <c r="E945" s="186" t="s">
        <v>906</v>
      </c>
      <c r="F945" s="186" t="s">
        <v>2529</v>
      </c>
      <c r="G945" s="186" t="s">
        <v>2530</v>
      </c>
      <c r="H945" s="186" t="s">
        <v>2606</v>
      </c>
      <c r="I945" s="187" t="s">
        <v>2609</v>
      </c>
      <c r="J945" s="187" t="s">
        <v>2610</v>
      </c>
      <c r="K945" s="188"/>
      <c r="L945" s="188"/>
      <c r="M945" s="189" t="s">
        <v>963</v>
      </c>
      <c r="N945" s="190">
        <v>624.3</v>
      </c>
      <c r="O945" s="190">
        <f t="shared" si="115"/>
        <v>680.49</v>
      </c>
      <c r="P945" s="191">
        <f t="shared" si="116"/>
        <v>0</v>
      </c>
      <c r="Q945" s="192">
        <f t="shared" si="117"/>
        <v>0</v>
      </c>
      <c r="R945" s="193"/>
      <c r="S945" s="194"/>
      <c r="T945" s="195">
        <f t="shared" si="118"/>
        <v>0</v>
      </c>
      <c r="U945" s="195">
        <f t="shared" si="119"/>
        <v>0</v>
      </c>
      <c r="V945" s="195">
        <f t="shared" si="120"/>
        <v>0</v>
      </c>
      <c r="W945" s="196" t="e">
        <f t="shared" si="121"/>
        <v>#DIV/0!</v>
      </c>
      <c r="X945" s="197" t="e">
        <f t="shared" si="122"/>
        <v>#DIV/0!</v>
      </c>
    </row>
    <row r="946" ht="11.4" hidden="1" customHeight="1" spans="1:24">
      <c r="A946" s="184" t="s">
        <v>2604</v>
      </c>
      <c r="B946" s="184" t="s">
        <v>164</v>
      </c>
      <c r="C946" s="184" t="s">
        <v>2605</v>
      </c>
      <c r="D946" s="185" t="s">
        <v>522</v>
      </c>
      <c r="E946" s="186" t="s">
        <v>906</v>
      </c>
      <c r="F946" s="186" t="s">
        <v>2529</v>
      </c>
      <c r="G946" s="186" t="s">
        <v>2530</v>
      </c>
      <c r="H946" s="186" t="s">
        <v>2606</v>
      </c>
      <c r="I946" s="187" t="s">
        <v>2611</v>
      </c>
      <c r="J946" s="187" t="s">
        <v>2612</v>
      </c>
      <c r="K946" s="188"/>
      <c r="L946" s="188"/>
      <c r="M946" s="189" t="s">
        <v>847</v>
      </c>
      <c r="N946" s="190">
        <v>219.99</v>
      </c>
      <c r="O946" s="190">
        <f t="shared" si="115"/>
        <v>239.79</v>
      </c>
      <c r="P946" s="191">
        <f t="shared" si="116"/>
        <v>0</v>
      </c>
      <c r="Q946" s="192">
        <f t="shared" si="117"/>
        <v>0</v>
      </c>
      <c r="R946" s="193"/>
      <c r="S946" s="194"/>
      <c r="T946" s="195">
        <f t="shared" si="118"/>
        <v>0</v>
      </c>
      <c r="U946" s="195">
        <f t="shared" si="119"/>
        <v>0</v>
      </c>
      <c r="V946" s="195">
        <f t="shared" si="120"/>
        <v>0</v>
      </c>
      <c r="W946" s="196" t="e">
        <f t="shared" si="121"/>
        <v>#DIV/0!</v>
      </c>
      <c r="X946" s="197" t="e">
        <f t="shared" si="122"/>
        <v>#DIV/0!</v>
      </c>
    </row>
    <row r="947" ht="11.4" hidden="1" customHeight="1" spans="1:24">
      <c r="A947" s="184" t="s">
        <v>2604</v>
      </c>
      <c r="B947" s="184" t="s">
        <v>164</v>
      </c>
      <c r="C947" s="184" t="s">
        <v>2605</v>
      </c>
      <c r="D947" s="185" t="s">
        <v>522</v>
      </c>
      <c r="E947" s="186" t="s">
        <v>906</v>
      </c>
      <c r="F947" s="186" t="s">
        <v>2529</v>
      </c>
      <c r="G947" s="186" t="s">
        <v>2530</v>
      </c>
      <c r="H947" s="186" t="s">
        <v>2606</v>
      </c>
      <c r="I947" s="187" t="s">
        <v>2613</v>
      </c>
      <c r="J947" s="187" t="s">
        <v>2614</v>
      </c>
      <c r="K947" s="188"/>
      <c r="L947" s="188"/>
      <c r="M947" s="189" t="s">
        <v>2308</v>
      </c>
      <c r="N947" s="190"/>
      <c r="O947" s="190">
        <f t="shared" si="115"/>
        <v>0</v>
      </c>
      <c r="P947" s="191">
        <f t="shared" si="116"/>
        <v>0</v>
      </c>
      <c r="Q947" s="192">
        <f t="shared" si="117"/>
        <v>0</v>
      </c>
      <c r="R947" s="193"/>
      <c r="S947" s="194"/>
      <c r="T947" s="195">
        <f t="shared" si="118"/>
        <v>0</v>
      </c>
      <c r="U947" s="195">
        <f t="shared" si="119"/>
        <v>0</v>
      </c>
      <c r="V947" s="195">
        <f t="shared" si="120"/>
        <v>0</v>
      </c>
      <c r="W947" s="196" t="e">
        <f t="shared" si="121"/>
        <v>#DIV/0!</v>
      </c>
      <c r="X947" s="197" t="e">
        <f t="shared" si="122"/>
        <v>#DIV/0!</v>
      </c>
    </row>
    <row r="948" ht="11.4" hidden="1" customHeight="1" spans="1:24">
      <c r="A948" s="184" t="s">
        <v>2604</v>
      </c>
      <c r="B948" s="184" t="s">
        <v>164</v>
      </c>
      <c r="C948" s="184" t="s">
        <v>2605</v>
      </c>
      <c r="D948" s="185" t="s">
        <v>522</v>
      </c>
      <c r="E948" s="186" t="s">
        <v>906</v>
      </c>
      <c r="F948" s="186" t="s">
        <v>2529</v>
      </c>
      <c r="G948" s="186" t="s">
        <v>2530</v>
      </c>
      <c r="H948" s="186" t="s">
        <v>2606</v>
      </c>
      <c r="I948" s="187" t="s">
        <v>2615</v>
      </c>
      <c r="J948" s="187" t="s">
        <v>2616</v>
      </c>
      <c r="K948" s="188"/>
      <c r="L948" s="188"/>
      <c r="M948" s="189" t="s">
        <v>847</v>
      </c>
      <c r="N948" s="190">
        <v>560</v>
      </c>
      <c r="O948" s="190">
        <f t="shared" si="115"/>
        <v>610.4</v>
      </c>
      <c r="P948" s="191">
        <f t="shared" si="116"/>
        <v>0</v>
      </c>
      <c r="Q948" s="192">
        <f t="shared" si="117"/>
        <v>0</v>
      </c>
      <c r="R948" s="193"/>
      <c r="S948" s="194"/>
      <c r="T948" s="195">
        <f t="shared" si="118"/>
        <v>0</v>
      </c>
      <c r="U948" s="195">
        <f t="shared" si="119"/>
        <v>0</v>
      </c>
      <c r="V948" s="195">
        <f t="shared" si="120"/>
        <v>0</v>
      </c>
      <c r="W948" s="196" t="e">
        <f t="shared" si="121"/>
        <v>#DIV/0!</v>
      </c>
      <c r="X948" s="197" t="e">
        <f t="shared" si="122"/>
        <v>#DIV/0!</v>
      </c>
    </row>
    <row r="949" ht="11.4" hidden="1" customHeight="1" spans="1:24">
      <c r="A949" s="184" t="s">
        <v>2604</v>
      </c>
      <c r="B949" s="184" t="s">
        <v>164</v>
      </c>
      <c r="C949" s="184" t="s">
        <v>2605</v>
      </c>
      <c r="D949" s="185" t="s">
        <v>522</v>
      </c>
      <c r="E949" s="186" t="s">
        <v>906</v>
      </c>
      <c r="F949" s="186" t="s">
        <v>2529</v>
      </c>
      <c r="G949" s="186" t="s">
        <v>2530</v>
      </c>
      <c r="H949" s="186" t="s">
        <v>2606</v>
      </c>
      <c r="I949" s="187" t="s">
        <v>2617</v>
      </c>
      <c r="J949" s="187" t="s">
        <v>2618</v>
      </c>
      <c r="K949" s="188"/>
      <c r="L949" s="188"/>
      <c r="M949" s="189" t="s">
        <v>2308</v>
      </c>
      <c r="N949" s="190">
        <v>3580</v>
      </c>
      <c r="O949" s="190">
        <f t="shared" si="115"/>
        <v>3902.2</v>
      </c>
      <c r="P949" s="191">
        <f t="shared" si="116"/>
        <v>0</v>
      </c>
      <c r="Q949" s="192">
        <f t="shared" si="117"/>
        <v>0</v>
      </c>
      <c r="R949" s="193"/>
      <c r="S949" s="194"/>
      <c r="T949" s="195">
        <f t="shared" si="118"/>
        <v>0</v>
      </c>
      <c r="U949" s="195">
        <f t="shared" si="119"/>
        <v>0</v>
      </c>
      <c r="V949" s="195">
        <f t="shared" si="120"/>
        <v>0</v>
      </c>
      <c r="W949" s="196" t="e">
        <f t="shared" si="121"/>
        <v>#DIV/0!</v>
      </c>
      <c r="X949" s="197" t="e">
        <f t="shared" si="122"/>
        <v>#DIV/0!</v>
      </c>
    </row>
    <row r="950" ht="11.4" hidden="1" customHeight="1" spans="1:24">
      <c r="A950" s="184" t="s">
        <v>2527</v>
      </c>
      <c r="B950" s="184" t="s">
        <v>161</v>
      </c>
      <c r="C950" s="184" t="s">
        <v>2528</v>
      </c>
      <c r="D950" s="185" t="s">
        <v>522</v>
      </c>
      <c r="E950" s="186" t="s">
        <v>906</v>
      </c>
      <c r="F950" s="186" t="s">
        <v>2529</v>
      </c>
      <c r="G950" s="186" t="s">
        <v>2530</v>
      </c>
      <c r="H950" s="186" t="s">
        <v>2619</v>
      </c>
      <c r="I950" s="187" t="s">
        <v>2620</v>
      </c>
      <c r="J950" s="187" t="s">
        <v>2621</v>
      </c>
      <c r="K950" s="188"/>
      <c r="L950" s="188"/>
      <c r="M950" s="189" t="s">
        <v>1018</v>
      </c>
      <c r="N950" s="190">
        <v>40</v>
      </c>
      <c r="O950" s="190">
        <f t="shared" si="115"/>
        <v>43.6</v>
      </c>
      <c r="P950" s="191">
        <f t="shared" si="116"/>
        <v>0</v>
      </c>
      <c r="Q950" s="192">
        <f t="shared" si="117"/>
        <v>0</v>
      </c>
      <c r="R950" s="193"/>
      <c r="S950" s="194"/>
      <c r="T950" s="195">
        <f t="shared" si="118"/>
        <v>0</v>
      </c>
      <c r="U950" s="195">
        <f t="shared" si="119"/>
        <v>0</v>
      </c>
      <c r="V950" s="195">
        <f t="shared" si="120"/>
        <v>0</v>
      </c>
      <c r="W950" s="196" t="e">
        <f t="shared" si="121"/>
        <v>#DIV/0!</v>
      </c>
      <c r="X950" s="197" t="e">
        <f t="shared" si="122"/>
        <v>#DIV/0!</v>
      </c>
    </row>
    <row r="951" ht="11.4" hidden="1" customHeight="1" spans="1:24">
      <c r="A951" s="184" t="s">
        <v>2622</v>
      </c>
      <c r="B951" s="184" t="s">
        <v>170</v>
      </c>
      <c r="C951" s="184" t="s">
        <v>2623</v>
      </c>
      <c r="D951" s="185" t="s">
        <v>522</v>
      </c>
      <c r="E951" s="186" t="s">
        <v>906</v>
      </c>
      <c r="F951" s="186" t="s">
        <v>2624</v>
      </c>
      <c r="G951" s="186" t="s">
        <v>2625</v>
      </c>
      <c r="H951" s="186" t="s">
        <v>2626</v>
      </c>
      <c r="I951" s="187" t="s">
        <v>2627</v>
      </c>
      <c r="J951" s="187" t="s">
        <v>2628</v>
      </c>
      <c r="K951" s="188"/>
      <c r="L951" s="188"/>
      <c r="M951" s="189" t="s">
        <v>847</v>
      </c>
      <c r="N951" s="190">
        <v>260.72</v>
      </c>
      <c r="O951" s="190">
        <f t="shared" si="115"/>
        <v>284.18</v>
      </c>
      <c r="P951" s="191">
        <f t="shared" si="116"/>
        <v>0</v>
      </c>
      <c r="Q951" s="192">
        <f t="shared" si="117"/>
        <v>0</v>
      </c>
      <c r="R951" s="193"/>
      <c r="S951" s="194"/>
      <c r="T951" s="195">
        <f t="shared" si="118"/>
        <v>0</v>
      </c>
      <c r="U951" s="195">
        <f t="shared" si="119"/>
        <v>0</v>
      </c>
      <c r="V951" s="195">
        <f t="shared" si="120"/>
        <v>0</v>
      </c>
      <c r="W951" s="196" t="e">
        <f t="shared" si="121"/>
        <v>#DIV/0!</v>
      </c>
      <c r="X951" s="197" t="e">
        <f t="shared" si="122"/>
        <v>#DIV/0!</v>
      </c>
    </row>
    <row r="952" ht="11.4" hidden="1" customHeight="1" spans="1:24">
      <c r="A952" s="184" t="s">
        <v>2622</v>
      </c>
      <c r="B952" s="184" t="s">
        <v>170</v>
      </c>
      <c r="C952" s="184" t="s">
        <v>2623</v>
      </c>
      <c r="D952" s="185" t="s">
        <v>522</v>
      </c>
      <c r="E952" s="186" t="s">
        <v>906</v>
      </c>
      <c r="F952" s="186" t="s">
        <v>2624</v>
      </c>
      <c r="G952" s="186" t="s">
        <v>2625</v>
      </c>
      <c r="H952" s="186" t="s">
        <v>2629</v>
      </c>
      <c r="I952" s="187" t="s">
        <v>2630</v>
      </c>
      <c r="J952" s="187" t="s">
        <v>2631</v>
      </c>
      <c r="K952" s="188"/>
      <c r="L952" s="188"/>
      <c r="M952" s="189" t="s">
        <v>793</v>
      </c>
      <c r="N952" s="190">
        <v>0</v>
      </c>
      <c r="O952" s="190">
        <f t="shared" si="115"/>
        <v>0</v>
      </c>
      <c r="P952" s="191">
        <f t="shared" si="116"/>
        <v>0</v>
      </c>
      <c r="Q952" s="192">
        <f t="shared" si="117"/>
        <v>0</v>
      </c>
      <c r="R952" s="193"/>
      <c r="S952" s="194"/>
      <c r="T952" s="195">
        <f t="shared" si="118"/>
        <v>0</v>
      </c>
      <c r="U952" s="195">
        <f t="shared" si="119"/>
        <v>0</v>
      </c>
      <c r="V952" s="195">
        <f t="shared" si="120"/>
        <v>0</v>
      </c>
      <c r="W952" s="196" t="e">
        <f t="shared" si="121"/>
        <v>#DIV/0!</v>
      </c>
      <c r="X952" s="197" t="e">
        <f t="shared" si="122"/>
        <v>#DIV/0!</v>
      </c>
    </row>
    <row r="953" ht="11.4" hidden="1" customHeight="1" spans="1:24">
      <c r="A953" s="184" t="s">
        <v>2622</v>
      </c>
      <c r="B953" s="184" t="s">
        <v>170</v>
      </c>
      <c r="C953" s="184" t="s">
        <v>2623</v>
      </c>
      <c r="D953" s="185" t="s">
        <v>522</v>
      </c>
      <c r="E953" s="186" t="s">
        <v>906</v>
      </c>
      <c r="F953" s="186" t="s">
        <v>2624</v>
      </c>
      <c r="G953" s="186" t="s">
        <v>2625</v>
      </c>
      <c r="H953" s="186" t="s">
        <v>2629</v>
      </c>
      <c r="I953" s="187" t="s">
        <v>2632</v>
      </c>
      <c r="J953" s="187" t="s">
        <v>2633</v>
      </c>
      <c r="K953" s="188">
        <v>1</v>
      </c>
      <c r="L953" s="188">
        <v>1</v>
      </c>
      <c r="M953" s="189" t="s">
        <v>793</v>
      </c>
      <c r="N953" s="190">
        <v>1572.2</v>
      </c>
      <c r="O953" s="190">
        <f t="shared" si="115"/>
        <v>1713.7</v>
      </c>
      <c r="P953" s="191">
        <f t="shared" si="116"/>
        <v>1572.2</v>
      </c>
      <c r="Q953" s="192">
        <f t="shared" si="117"/>
        <v>1572.2</v>
      </c>
      <c r="R953" s="193"/>
      <c r="S953" s="194"/>
      <c r="T953" s="195">
        <f t="shared" si="118"/>
        <v>0</v>
      </c>
      <c r="U953" s="195">
        <f t="shared" si="119"/>
        <v>0</v>
      </c>
      <c r="V953" s="195">
        <f t="shared" si="120"/>
        <v>0</v>
      </c>
      <c r="W953" s="196">
        <f t="shared" si="121"/>
        <v>0</v>
      </c>
      <c r="X953" s="197">
        <f t="shared" si="122"/>
        <v>0</v>
      </c>
    </row>
    <row r="954" ht="11.4" hidden="1" customHeight="1" spans="1:24">
      <c r="A954" s="184" t="s">
        <v>2622</v>
      </c>
      <c r="B954" s="184" t="s">
        <v>170</v>
      </c>
      <c r="C954" s="184" t="s">
        <v>2623</v>
      </c>
      <c r="D954" s="185" t="s">
        <v>522</v>
      </c>
      <c r="E954" s="186" t="s">
        <v>906</v>
      </c>
      <c r="F954" s="186" t="s">
        <v>2624</v>
      </c>
      <c r="G954" s="186" t="s">
        <v>2625</v>
      </c>
      <c r="H954" s="186" t="s">
        <v>2634</v>
      </c>
      <c r="I954" s="187" t="s">
        <v>2635</v>
      </c>
      <c r="J954" s="187" t="s">
        <v>2636</v>
      </c>
      <c r="K954" s="188"/>
      <c r="L954" s="188"/>
      <c r="M954" s="189" t="s">
        <v>793</v>
      </c>
      <c r="N954" s="190">
        <v>11764.6</v>
      </c>
      <c r="O954" s="190">
        <f t="shared" si="115"/>
        <v>12823.41</v>
      </c>
      <c r="P954" s="191">
        <f t="shared" si="116"/>
        <v>0</v>
      </c>
      <c r="Q954" s="192">
        <f t="shared" si="117"/>
        <v>0</v>
      </c>
      <c r="R954" s="193"/>
      <c r="S954" s="194"/>
      <c r="T954" s="195">
        <f t="shared" si="118"/>
        <v>0</v>
      </c>
      <c r="U954" s="195">
        <f t="shared" si="119"/>
        <v>0</v>
      </c>
      <c r="V954" s="195">
        <f t="shared" si="120"/>
        <v>0</v>
      </c>
      <c r="W954" s="196" t="e">
        <f t="shared" si="121"/>
        <v>#DIV/0!</v>
      </c>
      <c r="X954" s="197" t="e">
        <f t="shared" si="122"/>
        <v>#DIV/0!</v>
      </c>
    </row>
    <row r="955" ht="11.4" hidden="1" customHeight="1" spans="1:24">
      <c r="A955" s="184" t="s">
        <v>2622</v>
      </c>
      <c r="B955" s="184" t="s">
        <v>170</v>
      </c>
      <c r="C955" s="184" t="s">
        <v>2623</v>
      </c>
      <c r="D955" s="185" t="s">
        <v>522</v>
      </c>
      <c r="E955" s="186" t="s">
        <v>906</v>
      </c>
      <c r="F955" s="186" t="s">
        <v>2624</v>
      </c>
      <c r="G955" s="186" t="s">
        <v>2625</v>
      </c>
      <c r="H955" s="186" t="s">
        <v>2634</v>
      </c>
      <c r="I955" s="187" t="s">
        <v>2637</v>
      </c>
      <c r="J955" s="187" t="s">
        <v>2638</v>
      </c>
      <c r="K955" s="188"/>
      <c r="L955" s="188"/>
      <c r="M955" s="189" t="s">
        <v>1018</v>
      </c>
      <c r="N955" s="190">
        <v>661.09</v>
      </c>
      <c r="O955" s="190">
        <f t="shared" si="115"/>
        <v>720.59</v>
      </c>
      <c r="P955" s="191">
        <f t="shared" si="116"/>
        <v>0</v>
      </c>
      <c r="Q955" s="192">
        <f t="shared" si="117"/>
        <v>0</v>
      </c>
      <c r="R955" s="193"/>
      <c r="S955" s="194"/>
      <c r="T955" s="195">
        <f t="shared" si="118"/>
        <v>0</v>
      </c>
      <c r="U955" s="195">
        <f t="shared" si="119"/>
        <v>0</v>
      </c>
      <c r="V955" s="195">
        <f t="shared" si="120"/>
        <v>0</v>
      </c>
      <c r="W955" s="196" t="e">
        <f t="shared" si="121"/>
        <v>#DIV/0!</v>
      </c>
      <c r="X955" s="197" t="e">
        <f t="shared" si="122"/>
        <v>#DIV/0!</v>
      </c>
    </row>
    <row r="956" ht="11.4" hidden="1" customHeight="1" spans="1:24">
      <c r="A956" s="184" t="s">
        <v>2622</v>
      </c>
      <c r="B956" s="184" t="s">
        <v>170</v>
      </c>
      <c r="C956" s="184" t="s">
        <v>2623</v>
      </c>
      <c r="D956" s="185" t="s">
        <v>522</v>
      </c>
      <c r="E956" s="186" t="s">
        <v>906</v>
      </c>
      <c r="F956" s="186" t="s">
        <v>2624</v>
      </c>
      <c r="G956" s="186" t="s">
        <v>2625</v>
      </c>
      <c r="H956" s="186" t="s">
        <v>2634</v>
      </c>
      <c r="I956" s="187" t="s">
        <v>2639</v>
      </c>
      <c r="J956" s="187" t="s">
        <v>2640</v>
      </c>
      <c r="K956" s="188"/>
      <c r="L956" s="188"/>
      <c r="M956" s="189" t="s">
        <v>793</v>
      </c>
      <c r="N956" s="190">
        <v>11489.6</v>
      </c>
      <c r="O956" s="190">
        <f t="shared" si="115"/>
        <v>12523.66</v>
      </c>
      <c r="P956" s="191">
        <f t="shared" si="116"/>
        <v>0</v>
      </c>
      <c r="Q956" s="192">
        <f t="shared" si="117"/>
        <v>0</v>
      </c>
      <c r="R956" s="193"/>
      <c r="S956" s="194"/>
      <c r="T956" s="195">
        <f t="shared" si="118"/>
        <v>0</v>
      </c>
      <c r="U956" s="195">
        <f t="shared" si="119"/>
        <v>0</v>
      </c>
      <c r="V956" s="195">
        <f t="shared" si="120"/>
        <v>0</v>
      </c>
      <c r="W956" s="196" t="e">
        <f t="shared" si="121"/>
        <v>#DIV/0!</v>
      </c>
      <c r="X956" s="197" t="e">
        <f t="shared" si="122"/>
        <v>#DIV/0!</v>
      </c>
    </row>
    <row r="957" ht="11.4" hidden="1" customHeight="1" spans="1:24">
      <c r="A957" s="184" t="s">
        <v>2622</v>
      </c>
      <c r="B957" s="184" t="s">
        <v>170</v>
      </c>
      <c r="C957" s="184" t="s">
        <v>2623</v>
      </c>
      <c r="D957" s="185" t="s">
        <v>522</v>
      </c>
      <c r="E957" s="186" t="s">
        <v>906</v>
      </c>
      <c r="F957" s="186" t="s">
        <v>2624</v>
      </c>
      <c r="G957" s="186" t="s">
        <v>2625</v>
      </c>
      <c r="H957" s="186" t="s">
        <v>2634</v>
      </c>
      <c r="I957" s="187" t="s">
        <v>2641</v>
      </c>
      <c r="J957" s="187" t="s">
        <v>2642</v>
      </c>
      <c r="K957" s="188"/>
      <c r="L957" s="188"/>
      <c r="M957" s="189" t="s">
        <v>793</v>
      </c>
      <c r="N957" s="190">
        <v>5866.38</v>
      </c>
      <c r="O957" s="190">
        <f t="shared" si="115"/>
        <v>6394.35</v>
      </c>
      <c r="P957" s="191">
        <f t="shared" si="116"/>
        <v>0</v>
      </c>
      <c r="Q957" s="192">
        <f t="shared" si="117"/>
        <v>0</v>
      </c>
      <c r="R957" s="193"/>
      <c r="S957" s="194"/>
      <c r="T957" s="195">
        <f t="shared" si="118"/>
        <v>0</v>
      </c>
      <c r="U957" s="195">
        <f t="shared" si="119"/>
        <v>0</v>
      </c>
      <c r="V957" s="195">
        <f t="shared" si="120"/>
        <v>0</v>
      </c>
      <c r="W957" s="196" t="e">
        <f t="shared" si="121"/>
        <v>#DIV/0!</v>
      </c>
      <c r="X957" s="197" t="e">
        <f t="shared" si="122"/>
        <v>#DIV/0!</v>
      </c>
    </row>
    <row r="958" ht="11.4" hidden="1" customHeight="1" spans="1:24">
      <c r="A958" s="184" t="s">
        <v>2643</v>
      </c>
      <c r="B958" s="184" t="s">
        <v>188</v>
      </c>
      <c r="C958" s="184" t="s">
        <v>2644</v>
      </c>
      <c r="D958" s="185" t="s">
        <v>522</v>
      </c>
      <c r="E958" s="186" t="s">
        <v>2645</v>
      </c>
      <c r="F958" s="186" t="s">
        <v>2646</v>
      </c>
      <c r="G958" s="186" t="s">
        <v>2647</v>
      </c>
      <c r="H958" s="186" t="s">
        <v>2647</v>
      </c>
      <c r="I958" s="187" t="s">
        <v>2648</v>
      </c>
      <c r="J958" s="154" t="s">
        <v>2649</v>
      </c>
      <c r="K958" s="188">
        <v>4.84</v>
      </c>
      <c r="L958" s="188">
        <v>5.02</v>
      </c>
      <c r="M958" s="189" t="s">
        <v>847</v>
      </c>
      <c r="N958" s="190">
        <v>60</v>
      </c>
      <c r="O958" s="190">
        <f t="shared" si="115"/>
        <v>65.4</v>
      </c>
      <c r="P958" s="191">
        <f t="shared" si="116"/>
        <v>290.4</v>
      </c>
      <c r="Q958" s="192">
        <f t="shared" si="117"/>
        <v>301.2</v>
      </c>
      <c r="R958" s="193"/>
      <c r="S958" s="194"/>
      <c r="T958" s="195">
        <f t="shared" si="118"/>
        <v>-0.18</v>
      </c>
      <c r="U958" s="195">
        <f t="shared" si="119"/>
        <v>-10.8</v>
      </c>
      <c r="V958" s="195">
        <f t="shared" si="120"/>
        <v>10.8</v>
      </c>
      <c r="W958" s="196">
        <f t="shared" si="121"/>
        <v>-0.0358565737051792</v>
      </c>
      <c r="X958" s="197">
        <f t="shared" si="122"/>
        <v>0.0358565737051792</v>
      </c>
    </row>
    <row r="959" ht="11.4" hidden="1" customHeight="1" spans="1:24">
      <c r="A959" s="184" t="s">
        <v>2643</v>
      </c>
      <c r="B959" s="184" t="s">
        <v>188</v>
      </c>
      <c r="C959" s="184" t="s">
        <v>2644</v>
      </c>
      <c r="D959" s="185" t="s">
        <v>522</v>
      </c>
      <c r="E959" s="186" t="s">
        <v>2645</v>
      </c>
      <c r="F959" s="186" t="s">
        <v>2651</v>
      </c>
      <c r="G959" s="186" t="s">
        <v>2647</v>
      </c>
      <c r="H959" s="186" t="s">
        <v>2647</v>
      </c>
      <c r="I959" s="187" t="s">
        <v>2652</v>
      </c>
      <c r="J959" s="154" t="s">
        <v>2653</v>
      </c>
      <c r="K959" s="188">
        <v>2.58</v>
      </c>
      <c r="L959" s="188">
        <v>2.64</v>
      </c>
      <c r="M959" s="189" t="s">
        <v>847</v>
      </c>
      <c r="N959" s="190">
        <v>438.66</v>
      </c>
      <c r="O959" s="190">
        <f t="shared" si="115"/>
        <v>478.14</v>
      </c>
      <c r="P959" s="191">
        <f t="shared" si="116"/>
        <v>1131.74</v>
      </c>
      <c r="Q959" s="192">
        <f t="shared" si="117"/>
        <v>1158.06</v>
      </c>
      <c r="R959" s="193"/>
      <c r="S959" s="194"/>
      <c r="T959" s="195">
        <f t="shared" si="118"/>
        <v>-0.0600000000000001</v>
      </c>
      <c r="U959" s="195">
        <f t="shared" si="119"/>
        <v>-26.3199999999999</v>
      </c>
      <c r="V959" s="195">
        <f t="shared" si="120"/>
        <v>26.3199999999999</v>
      </c>
      <c r="W959" s="196">
        <f t="shared" si="121"/>
        <v>-0.0227272727272727</v>
      </c>
      <c r="X959" s="197">
        <f t="shared" si="122"/>
        <v>0.0227272727272727</v>
      </c>
    </row>
    <row r="960" ht="11.4" hidden="1" customHeight="1" spans="1:24">
      <c r="A960" s="184" t="s">
        <v>2643</v>
      </c>
      <c r="B960" s="184" t="s">
        <v>188</v>
      </c>
      <c r="C960" s="184" t="s">
        <v>2644</v>
      </c>
      <c r="D960" s="185" t="s">
        <v>522</v>
      </c>
      <c r="E960" s="186" t="s">
        <v>2645</v>
      </c>
      <c r="F960" s="186" t="s">
        <v>2651</v>
      </c>
      <c r="G960" s="186" t="s">
        <v>2647</v>
      </c>
      <c r="H960" s="186" t="s">
        <v>2647</v>
      </c>
      <c r="I960" s="187" t="s">
        <v>2655</v>
      </c>
      <c r="J960" s="187" t="s">
        <v>2656</v>
      </c>
      <c r="K960" s="188"/>
      <c r="L960" s="188"/>
      <c r="M960" s="189" t="s">
        <v>963</v>
      </c>
      <c r="N960" s="190">
        <v>4341.19</v>
      </c>
      <c r="O960" s="190">
        <f t="shared" si="115"/>
        <v>4731.9</v>
      </c>
      <c r="P960" s="191">
        <f t="shared" si="116"/>
        <v>0</v>
      </c>
      <c r="Q960" s="192">
        <f t="shared" si="117"/>
        <v>0</v>
      </c>
      <c r="R960" s="193"/>
      <c r="S960" s="194"/>
      <c r="T960" s="195">
        <f t="shared" si="118"/>
        <v>0</v>
      </c>
      <c r="U960" s="195">
        <f t="shared" si="119"/>
        <v>0</v>
      </c>
      <c r="V960" s="195">
        <f t="shared" si="120"/>
        <v>0</v>
      </c>
      <c r="W960" s="196" t="e">
        <f t="shared" si="121"/>
        <v>#DIV/0!</v>
      </c>
      <c r="X960" s="197" t="e">
        <f t="shared" si="122"/>
        <v>#DIV/0!</v>
      </c>
    </row>
    <row r="961" ht="11.4" hidden="1" customHeight="1" spans="1:24">
      <c r="A961" s="184" t="s">
        <v>2643</v>
      </c>
      <c r="B961" s="184" t="s">
        <v>188</v>
      </c>
      <c r="C961" s="184" t="s">
        <v>2644</v>
      </c>
      <c r="D961" s="185" t="s">
        <v>522</v>
      </c>
      <c r="E961" s="186" t="s">
        <v>2645</v>
      </c>
      <c r="F961" s="186" t="s">
        <v>2651</v>
      </c>
      <c r="G961" s="186" t="s">
        <v>2647</v>
      </c>
      <c r="H961" s="186" t="s">
        <v>2647</v>
      </c>
      <c r="I961" s="187" t="s">
        <v>2658</v>
      </c>
      <c r="J961" s="187" t="s">
        <v>2659</v>
      </c>
      <c r="K961" s="188"/>
      <c r="L961" s="188"/>
      <c r="M961" s="189" t="s">
        <v>963</v>
      </c>
      <c r="N961" s="190">
        <v>5895.79</v>
      </c>
      <c r="O961" s="190">
        <f t="shared" si="115"/>
        <v>6426.41</v>
      </c>
      <c r="P961" s="191">
        <f t="shared" si="116"/>
        <v>0</v>
      </c>
      <c r="Q961" s="192">
        <f t="shared" si="117"/>
        <v>0</v>
      </c>
      <c r="R961" s="193"/>
      <c r="S961" s="194"/>
      <c r="T961" s="195">
        <f t="shared" si="118"/>
        <v>0</v>
      </c>
      <c r="U961" s="195">
        <f t="shared" si="119"/>
        <v>0</v>
      </c>
      <c r="V961" s="195">
        <f t="shared" si="120"/>
        <v>0</v>
      </c>
      <c r="W961" s="196" t="e">
        <f t="shared" si="121"/>
        <v>#DIV/0!</v>
      </c>
      <c r="X961" s="197" t="e">
        <f t="shared" si="122"/>
        <v>#DIV/0!</v>
      </c>
    </row>
    <row r="962" ht="11.4" hidden="1" customHeight="1" spans="1:24">
      <c r="A962" s="184" t="s">
        <v>2643</v>
      </c>
      <c r="B962" s="184" t="s">
        <v>188</v>
      </c>
      <c r="C962" s="184" t="s">
        <v>2644</v>
      </c>
      <c r="D962" s="185" t="s">
        <v>522</v>
      </c>
      <c r="E962" s="186" t="s">
        <v>2645</v>
      </c>
      <c r="F962" s="186" t="s">
        <v>2651</v>
      </c>
      <c r="G962" s="186" t="s">
        <v>2647</v>
      </c>
      <c r="H962" s="186" t="s">
        <v>2647</v>
      </c>
      <c r="I962" s="187" t="s">
        <v>2660</v>
      </c>
      <c r="J962" s="187" t="s">
        <v>2661</v>
      </c>
      <c r="K962" s="188"/>
      <c r="L962" s="188"/>
      <c r="M962" s="189" t="s">
        <v>963</v>
      </c>
      <c r="N962" s="190">
        <v>1317.56</v>
      </c>
      <c r="O962" s="190">
        <f t="shared" si="115"/>
        <v>1436.14</v>
      </c>
      <c r="P962" s="191">
        <f t="shared" si="116"/>
        <v>0</v>
      </c>
      <c r="Q962" s="192">
        <f t="shared" si="117"/>
        <v>0</v>
      </c>
      <c r="R962" s="193"/>
      <c r="S962" s="194"/>
      <c r="T962" s="195">
        <f t="shared" si="118"/>
        <v>0</v>
      </c>
      <c r="U962" s="195">
        <f t="shared" si="119"/>
        <v>0</v>
      </c>
      <c r="V962" s="195">
        <f t="shared" si="120"/>
        <v>0</v>
      </c>
      <c r="W962" s="196" t="e">
        <f t="shared" si="121"/>
        <v>#DIV/0!</v>
      </c>
      <c r="X962" s="197" t="e">
        <f t="shared" si="122"/>
        <v>#DIV/0!</v>
      </c>
    </row>
    <row r="963" ht="11.4" hidden="1" customHeight="1" spans="1:24">
      <c r="A963" s="184" t="s">
        <v>2643</v>
      </c>
      <c r="B963" s="184" t="s">
        <v>188</v>
      </c>
      <c r="C963" s="184" t="s">
        <v>2644</v>
      </c>
      <c r="D963" s="185" t="s">
        <v>522</v>
      </c>
      <c r="E963" s="186" t="s">
        <v>2645</v>
      </c>
      <c r="F963" s="186" t="s">
        <v>2651</v>
      </c>
      <c r="G963" s="186" t="s">
        <v>2647</v>
      </c>
      <c r="H963" s="186" t="s">
        <v>2647</v>
      </c>
      <c r="I963" s="187" t="s">
        <v>2662</v>
      </c>
      <c r="J963" s="187" t="s">
        <v>2663</v>
      </c>
      <c r="K963" s="188"/>
      <c r="L963" s="188"/>
      <c r="M963" s="189" t="s">
        <v>963</v>
      </c>
      <c r="N963" s="190">
        <v>16886.35</v>
      </c>
      <c r="O963" s="190">
        <f t="shared" si="115"/>
        <v>18406.12</v>
      </c>
      <c r="P963" s="191">
        <f t="shared" si="116"/>
        <v>0</v>
      </c>
      <c r="Q963" s="192">
        <f t="shared" si="117"/>
        <v>0</v>
      </c>
      <c r="R963" s="193"/>
      <c r="S963" s="194"/>
      <c r="T963" s="195">
        <f t="shared" si="118"/>
        <v>0</v>
      </c>
      <c r="U963" s="195">
        <f t="shared" si="119"/>
        <v>0</v>
      </c>
      <c r="V963" s="195">
        <f t="shared" si="120"/>
        <v>0</v>
      </c>
      <c r="W963" s="196" t="e">
        <f t="shared" si="121"/>
        <v>#DIV/0!</v>
      </c>
      <c r="X963" s="197" t="e">
        <f t="shared" si="122"/>
        <v>#DIV/0!</v>
      </c>
    </row>
    <row r="964" ht="11.4" hidden="1" customHeight="1" spans="1:24">
      <c r="A964" s="184" t="s">
        <v>2643</v>
      </c>
      <c r="B964" s="184" t="s">
        <v>188</v>
      </c>
      <c r="C964" s="184" t="s">
        <v>2644</v>
      </c>
      <c r="D964" s="185" t="s">
        <v>522</v>
      </c>
      <c r="E964" s="186" t="s">
        <v>2645</v>
      </c>
      <c r="F964" s="186" t="s">
        <v>2651</v>
      </c>
      <c r="G964" s="186" t="s">
        <v>2647</v>
      </c>
      <c r="H964" s="186" t="s">
        <v>2647</v>
      </c>
      <c r="I964" s="187" t="s">
        <v>2664</v>
      </c>
      <c r="J964" s="187" t="s">
        <v>2665</v>
      </c>
      <c r="K964" s="188"/>
      <c r="L964" s="188"/>
      <c r="M964" s="189" t="s">
        <v>963</v>
      </c>
      <c r="N964" s="190">
        <v>43209.18</v>
      </c>
      <c r="O964" s="190">
        <f t="shared" si="115"/>
        <v>47098.01</v>
      </c>
      <c r="P964" s="191">
        <f t="shared" si="116"/>
        <v>0</v>
      </c>
      <c r="Q964" s="192">
        <f t="shared" si="117"/>
        <v>0</v>
      </c>
      <c r="R964" s="193"/>
      <c r="S964" s="194"/>
      <c r="T964" s="195">
        <f t="shared" si="118"/>
        <v>0</v>
      </c>
      <c r="U964" s="195">
        <f t="shared" si="119"/>
        <v>0</v>
      </c>
      <c r="V964" s="195">
        <f t="shared" si="120"/>
        <v>0</v>
      </c>
      <c r="W964" s="196" t="e">
        <f t="shared" si="121"/>
        <v>#DIV/0!</v>
      </c>
      <c r="X964" s="197" t="e">
        <f t="shared" si="122"/>
        <v>#DIV/0!</v>
      </c>
    </row>
    <row r="965" ht="11.4" hidden="1" customHeight="1" spans="1:24">
      <c r="A965" s="184" t="s">
        <v>2643</v>
      </c>
      <c r="B965" s="184" t="s">
        <v>188</v>
      </c>
      <c r="C965" s="184" t="s">
        <v>2644</v>
      </c>
      <c r="D965" s="185" t="s">
        <v>522</v>
      </c>
      <c r="E965" s="186" t="s">
        <v>2645</v>
      </c>
      <c r="F965" s="186" t="s">
        <v>2651</v>
      </c>
      <c r="G965" s="186" t="s">
        <v>2647</v>
      </c>
      <c r="H965" s="186" t="s">
        <v>2647</v>
      </c>
      <c r="I965" s="187" t="s">
        <v>2666</v>
      </c>
      <c r="J965" s="187" t="s">
        <v>2667</v>
      </c>
      <c r="K965" s="188"/>
      <c r="L965" s="188"/>
      <c r="M965" s="189" t="s">
        <v>963</v>
      </c>
      <c r="N965" s="190">
        <v>18631.78</v>
      </c>
      <c r="O965" s="190">
        <f t="shared" si="115"/>
        <v>20308.64</v>
      </c>
      <c r="P965" s="191">
        <f t="shared" si="116"/>
        <v>0</v>
      </c>
      <c r="Q965" s="192">
        <f t="shared" si="117"/>
        <v>0</v>
      </c>
      <c r="R965" s="193"/>
      <c r="S965" s="194"/>
      <c r="T965" s="195">
        <f t="shared" si="118"/>
        <v>0</v>
      </c>
      <c r="U965" s="195">
        <f t="shared" si="119"/>
        <v>0</v>
      </c>
      <c r="V965" s="195">
        <f t="shared" si="120"/>
        <v>0</v>
      </c>
      <c r="W965" s="196" t="e">
        <f t="shared" si="121"/>
        <v>#DIV/0!</v>
      </c>
      <c r="X965" s="197" t="e">
        <f t="shared" si="122"/>
        <v>#DIV/0!</v>
      </c>
    </row>
    <row r="966" ht="11.4" hidden="1" customHeight="1" spans="1:24">
      <c r="A966" s="184" t="s">
        <v>2643</v>
      </c>
      <c r="B966" s="184" t="s">
        <v>188</v>
      </c>
      <c r="C966" s="184" t="s">
        <v>2644</v>
      </c>
      <c r="D966" s="185" t="s">
        <v>522</v>
      </c>
      <c r="E966" s="186" t="s">
        <v>2645</v>
      </c>
      <c r="F966" s="186" t="s">
        <v>2651</v>
      </c>
      <c r="G966" s="186" t="s">
        <v>2647</v>
      </c>
      <c r="H966" s="186" t="s">
        <v>2647</v>
      </c>
      <c r="I966" s="187" t="s">
        <v>2668</v>
      </c>
      <c r="J966" s="187" t="s">
        <v>2669</v>
      </c>
      <c r="K966" s="188"/>
      <c r="L966" s="188"/>
      <c r="M966" s="189" t="s">
        <v>963</v>
      </c>
      <c r="N966" s="190">
        <v>45299.18</v>
      </c>
      <c r="O966" s="190">
        <f t="shared" si="115"/>
        <v>49376.11</v>
      </c>
      <c r="P966" s="191">
        <f t="shared" si="116"/>
        <v>0</v>
      </c>
      <c r="Q966" s="192">
        <f t="shared" si="117"/>
        <v>0</v>
      </c>
      <c r="R966" s="193"/>
      <c r="S966" s="194"/>
      <c r="T966" s="195">
        <f t="shared" si="118"/>
        <v>0</v>
      </c>
      <c r="U966" s="195">
        <f t="shared" si="119"/>
        <v>0</v>
      </c>
      <c r="V966" s="195">
        <f t="shared" si="120"/>
        <v>0</v>
      </c>
      <c r="W966" s="196" t="e">
        <f t="shared" si="121"/>
        <v>#DIV/0!</v>
      </c>
      <c r="X966" s="197" t="e">
        <f t="shared" si="122"/>
        <v>#DIV/0!</v>
      </c>
    </row>
    <row r="967" ht="11.4" hidden="1" customHeight="1" spans="1:24">
      <c r="A967" s="184" t="s">
        <v>2643</v>
      </c>
      <c r="B967" s="184" t="s">
        <v>188</v>
      </c>
      <c r="C967" s="184" t="s">
        <v>2644</v>
      </c>
      <c r="D967" s="185" t="s">
        <v>522</v>
      </c>
      <c r="E967" s="186" t="s">
        <v>2645</v>
      </c>
      <c r="F967" s="186" t="s">
        <v>2651</v>
      </c>
      <c r="G967" s="186" t="s">
        <v>2647</v>
      </c>
      <c r="H967" s="186" t="s">
        <v>2647</v>
      </c>
      <c r="I967" s="187" t="s">
        <v>2670</v>
      </c>
      <c r="J967" s="187" t="s">
        <v>2671</v>
      </c>
      <c r="K967" s="188"/>
      <c r="L967" s="188"/>
      <c r="M967" s="189" t="s">
        <v>963</v>
      </c>
      <c r="N967" s="190">
        <v>3067.95</v>
      </c>
      <c r="O967" s="190">
        <f t="shared" si="115"/>
        <v>3344.07</v>
      </c>
      <c r="P967" s="191">
        <f t="shared" si="116"/>
        <v>0</v>
      </c>
      <c r="Q967" s="192">
        <f t="shared" si="117"/>
        <v>0</v>
      </c>
      <c r="R967" s="193"/>
      <c r="S967" s="194"/>
      <c r="T967" s="195">
        <f t="shared" si="118"/>
        <v>0</v>
      </c>
      <c r="U967" s="195">
        <f t="shared" si="119"/>
        <v>0</v>
      </c>
      <c r="V967" s="195">
        <f t="shared" si="120"/>
        <v>0</v>
      </c>
      <c r="W967" s="196" t="e">
        <f t="shared" si="121"/>
        <v>#DIV/0!</v>
      </c>
      <c r="X967" s="197" t="e">
        <f t="shared" si="122"/>
        <v>#DIV/0!</v>
      </c>
    </row>
    <row r="968" ht="11.4" hidden="1" customHeight="1" spans="1:24">
      <c r="A968" s="184" t="s">
        <v>2643</v>
      </c>
      <c r="B968" s="184" t="s">
        <v>188</v>
      </c>
      <c r="C968" s="184" t="s">
        <v>2644</v>
      </c>
      <c r="D968" s="185" t="s">
        <v>522</v>
      </c>
      <c r="E968" s="186" t="s">
        <v>2645</v>
      </c>
      <c r="F968" s="186" t="s">
        <v>2651</v>
      </c>
      <c r="G968" s="186" t="s">
        <v>2647</v>
      </c>
      <c r="H968" s="186" t="s">
        <v>2647</v>
      </c>
      <c r="I968" s="187" t="s">
        <v>2672</v>
      </c>
      <c r="J968" s="187" t="s">
        <v>2673</v>
      </c>
      <c r="K968" s="188"/>
      <c r="L968" s="188"/>
      <c r="M968" s="189" t="s">
        <v>963</v>
      </c>
      <c r="N968" s="190">
        <v>4892.05</v>
      </c>
      <c r="O968" s="190">
        <f t="shared" si="115"/>
        <v>5332.33</v>
      </c>
      <c r="P968" s="191">
        <f t="shared" si="116"/>
        <v>0</v>
      </c>
      <c r="Q968" s="192">
        <f t="shared" si="117"/>
        <v>0</v>
      </c>
      <c r="R968" s="193"/>
      <c r="S968" s="194"/>
      <c r="T968" s="195">
        <f t="shared" si="118"/>
        <v>0</v>
      </c>
      <c r="U968" s="195">
        <f t="shared" si="119"/>
        <v>0</v>
      </c>
      <c r="V968" s="195">
        <f t="shared" si="120"/>
        <v>0</v>
      </c>
      <c r="W968" s="196" t="e">
        <f t="shared" si="121"/>
        <v>#DIV/0!</v>
      </c>
      <c r="X968" s="197" t="e">
        <f t="shared" si="122"/>
        <v>#DIV/0!</v>
      </c>
    </row>
    <row r="969" ht="11.4" hidden="1" customHeight="1" spans="1:24">
      <c r="A969" s="184" t="s">
        <v>2643</v>
      </c>
      <c r="B969" s="184" t="s">
        <v>188</v>
      </c>
      <c r="C969" s="184" t="s">
        <v>2644</v>
      </c>
      <c r="D969" s="185" t="s">
        <v>522</v>
      </c>
      <c r="E969" s="186" t="s">
        <v>2645</v>
      </c>
      <c r="F969" s="186" t="s">
        <v>2651</v>
      </c>
      <c r="G969" s="186" t="s">
        <v>2647</v>
      </c>
      <c r="H969" s="186" t="s">
        <v>2647</v>
      </c>
      <c r="I969" s="187" t="s">
        <v>2674</v>
      </c>
      <c r="J969" s="187" t="s">
        <v>2675</v>
      </c>
      <c r="K969" s="188">
        <v>1</v>
      </c>
      <c r="L969" s="188">
        <v>1</v>
      </c>
      <c r="M969" s="189" t="s">
        <v>963</v>
      </c>
      <c r="N969" s="190">
        <v>1554.6</v>
      </c>
      <c r="O969" s="190">
        <f t="shared" si="115"/>
        <v>1694.51</v>
      </c>
      <c r="P969" s="191">
        <f t="shared" si="116"/>
        <v>1554.6</v>
      </c>
      <c r="Q969" s="192">
        <f t="shared" si="117"/>
        <v>1554.6</v>
      </c>
      <c r="R969" s="193"/>
      <c r="S969" s="194"/>
      <c r="T969" s="195">
        <f t="shared" si="118"/>
        <v>0</v>
      </c>
      <c r="U969" s="195">
        <f t="shared" si="119"/>
        <v>0</v>
      </c>
      <c r="V969" s="195">
        <f t="shared" si="120"/>
        <v>0</v>
      </c>
      <c r="W969" s="196">
        <f t="shared" si="121"/>
        <v>0</v>
      </c>
      <c r="X969" s="197">
        <f t="shared" si="122"/>
        <v>0</v>
      </c>
    </row>
    <row r="970" ht="11.4" hidden="1" customHeight="1" spans="1:24">
      <c r="A970" s="184" t="s">
        <v>2643</v>
      </c>
      <c r="B970" s="184" t="s">
        <v>188</v>
      </c>
      <c r="C970" s="184" t="s">
        <v>2644</v>
      </c>
      <c r="D970" s="185" t="s">
        <v>522</v>
      </c>
      <c r="E970" s="186" t="s">
        <v>2645</v>
      </c>
      <c r="F970" s="186" t="s">
        <v>2651</v>
      </c>
      <c r="G970" s="186" t="s">
        <v>2647</v>
      </c>
      <c r="H970" s="186" t="s">
        <v>2647</v>
      </c>
      <c r="I970" s="187" t="s">
        <v>2676</v>
      </c>
      <c r="J970" s="187" t="s">
        <v>2677</v>
      </c>
      <c r="K970" s="188"/>
      <c r="L970" s="188"/>
      <c r="M970" s="189" t="s">
        <v>963</v>
      </c>
      <c r="N970" s="190">
        <v>165</v>
      </c>
      <c r="O970" s="190">
        <f t="shared" si="115"/>
        <v>179.85</v>
      </c>
      <c r="P970" s="191">
        <f t="shared" si="116"/>
        <v>0</v>
      </c>
      <c r="Q970" s="192">
        <f t="shared" si="117"/>
        <v>0</v>
      </c>
      <c r="R970" s="193"/>
      <c r="S970" s="194"/>
      <c r="T970" s="195">
        <f t="shared" si="118"/>
        <v>0</v>
      </c>
      <c r="U970" s="195">
        <f t="shared" si="119"/>
        <v>0</v>
      </c>
      <c r="V970" s="195">
        <f t="shared" si="120"/>
        <v>0</v>
      </c>
      <c r="W970" s="196" t="e">
        <f t="shared" si="121"/>
        <v>#DIV/0!</v>
      </c>
      <c r="X970" s="197" t="e">
        <f t="shared" si="122"/>
        <v>#DIV/0!</v>
      </c>
    </row>
    <row r="971" ht="11.4" hidden="1" customHeight="1" spans="1:24">
      <c r="A971" s="184" t="s">
        <v>2643</v>
      </c>
      <c r="B971" s="184" t="s">
        <v>188</v>
      </c>
      <c r="C971" s="184" t="s">
        <v>2644</v>
      </c>
      <c r="D971" s="185" t="s">
        <v>522</v>
      </c>
      <c r="E971" s="186" t="s">
        <v>2645</v>
      </c>
      <c r="F971" s="186" t="s">
        <v>2651</v>
      </c>
      <c r="G971" s="186" t="s">
        <v>2647</v>
      </c>
      <c r="H971" s="186" t="s">
        <v>2647</v>
      </c>
      <c r="I971" s="187" t="s">
        <v>2678</v>
      </c>
      <c r="J971" s="187" t="s">
        <v>2679</v>
      </c>
      <c r="K971" s="188">
        <v>2</v>
      </c>
      <c r="L971" s="188">
        <v>2</v>
      </c>
      <c r="M971" s="189" t="s">
        <v>963</v>
      </c>
      <c r="N971" s="190">
        <v>648.76</v>
      </c>
      <c r="O971" s="190">
        <f t="shared" si="115"/>
        <v>707.15</v>
      </c>
      <c r="P971" s="191">
        <f t="shared" si="116"/>
        <v>1297.52</v>
      </c>
      <c r="Q971" s="192">
        <f t="shared" si="117"/>
        <v>1297.52</v>
      </c>
      <c r="R971" s="193"/>
      <c r="S971" s="194"/>
      <c r="T971" s="195">
        <f t="shared" si="118"/>
        <v>0</v>
      </c>
      <c r="U971" s="195">
        <f t="shared" si="119"/>
        <v>0</v>
      </c>
      <c r="V971" s="195">
        <f t="shared" si="120"/>
        <v>0</v>
      </c>
      <c r="W971" s="196">
        <f t="shared" si="121"/>
        <v>0</v>
      </c>
      <c r="X971" s="197">
        <f t="shared" si="122"/>
        <v>0</v>
      </c>
    </row>
    <row r="972" ht="11.4" hidden="1" customHeight="1" spans="1:24">
      <c r="A972" s="184" t="s">
        <v>2643</v>
      </c>
      <c r="B972" s="184" t="s">
        <v>188</v>
      </c>
      <c r="C972" s="184" t="s">
        <v>2644</v>
      </c>
      <c r="D972" s="185" t="s">
        <v>522</v>
      </c>
      <c r="E972" s="186" t="s">
        <v>2645</v>
      </c>
      <c r="F972" s="186" t="s">
        <v>2651</v>
      </c>
      <c r="G972" s="186" t="s">
        <v>2647</v>
      </c>
      <c r="H972" s="186" t="s">
        <v>2647</v>
      </c>
      <c r="I972" s="187" t="s">
        <v>2680</v>
      </c>
      <c r="J972" s="187" t="s">
        <v>2681</v>
      </c>
      <c r="K972" s="188"/>
      <c r="L972" s="188"/>
      <c r="M972" s="189" t="s">
        <v>1018</v>
      </c>
      <c r="N972" s="190">
        <v>1369.65</v>
      </c>
      <c r="O972" s="190">
        <f t="shared" si="115"/>
        <v>1492.92</v>
      </c>
      <c r="P972" s="191">
        <f t="shared" si="116"/>
        <v>0</v>
      </c>
      <c r="Q972" s="192">
        <f t="shared" si="117"/>
        <v>0</v>
      </c>
      <c r="R972" s="193"/>
      <c r="S972" s="194"/>
      <c r="T972" s="195">
        <f t="shared" si="118"/>
        <v>0</v>
      </c>
      <c r="U972" s="195">
        <f t="shared" si="119"/>
        <v>0</v>
      </c>
      <c r="V972" s="195">
        <f t="shared" si="120"/>
        <v>0</v>
      </c>
      <c r="W972" s="196" t="e">
        <f t="shared" si="121"/>
        <v>#DIV/0!</v>
      </c>
      <c r="X972" s="197" t="e">
        <f t="shared" si="122"/>
        <v>#DIV/0!</v>
      </c>
    </row>
    <row r="973" ht="11.4" hidden="1" customHeight="1" spans="1:24">
      <c r="A973" s="184" t="s">
        <v>2643</v>
      </c>
      <c r="B973" s="184" t="s">
        <v>188</v>
      </c>
      <c r="C973" s="184" t="s">
        <v>2644</v>
      </c>
      <c r="D973" s="185" t="s">
        <v>522</v>
      </c>
      <c r="E973" s="186" t="s">
        <v>2645</v>
      </c>
      <c r="F973" s="186" t="s">
        <v>2651</v>
      </c>
      <c r="G973" s="186" t="s">
        <v>2647</v>
      </c>
      <c r="H973" s="186" t="s">
        <v>2647</v>
      </c>
      <c r="I973" s="187" t="s">
        <v>2682</v>
      </c>
      <c r="J973" s="187" t="s">
        <v>2683</v>
      </c>
      <c r="K973" s="188"/>
      <c r="L973" s="188"/>
      <c r="M973" s="189" t="s">
        <v>847</v>
      </c>
      <c r="N973" s="190">
        <v>489.26</v>
      </c>
      <c r="O973" s="190">
        <f t="shared" ref="O973:O1036" si="123">ROUND(N973*(1+$F$10),2)</f>
        <v>533.29</v>
      </c>
      <c r="P973" s="191">
        <f t="shared" ref="P973:P1036" si="124">ROUND(K973*N973,2)</f>
        <v>0</v>
      </c>
      <c r="Q973" s="192">
        <f t="shared" ref="Q973:Q1036" si="125">ROUND(L973*N973,2)</f>
        <v>0</v>
      </c>
      <c r="R973" s="193"/>
      <c r="S973" s="194"/>
      <c r="T973" s="195">
        <f t="shared" ref="T973:T1036" si="126">K973-L973</f>
        <v>0</v>
      </c>
      <c r="U973" s="195">
        <f t="shared" ref="U973:U1036" si="127">P973-Q973</f>
        <v>0</v>
      </c>
      <c r="V973" s="195">
        <f t="shared" ref="V973:V1036" si="128">ABS(U973)</f>
        <v>0</v>
      </c>
      <c r="W973" s="196" t="e">
        <f t="shared" ref="W973:W1036" si="129">T973/L973</f>
        <v>#DIV/0!</v>
      </c>
      <c r="X973" s="197" t="e">
        <f t="shared" ref="X973:X1036" si="130">ABS(W973)</f>
        <v>#DIV/0!</v>
      </c>
    </row>
    <row r="974" ht="11.4" hidden="1" customHeight="1" spans="1:24">
      <c r="A974" s="184" t="s">
        <v>2643</v>
      </c>
      <c r="B974" s="184" t="s">
        <v>188</v>
      </c>
      <c r="C974" s="184" t="s">
        <v>2644</v>
      </c>
      <c r="D974" s="185" t="s">
        <v>522</v>
      </c>
      <c r="E974" s="186" t="s">
        <v>2645</v>
      </c>
      <c r="F974" s="186" t="s">
        <v>2651</v>
      </c>
      <c r="G974" s="186" t="s">
        <v>2647</v>
      </c>
      <c r="H974" s="186" t="s">
        <v>2647</v>
      </c>
      <c r="I974" s="187" t="s">
        <v>2684</v>
      </c>
      <c r="J974" s="187" t="s">
        <v>2685</v>
      </c>
      <c r="K974" s="188"/>
      <c r="L974" s="188"/>
      <c r="M974" s="189" t="s">
        <v>963</v>
      </c>
      <c r="N974" s="190">
        <v>1457.26</v>
      </c>
      <c r="O974" s="190">
        <f t="shared" si="123"/>
        <v>1588.41</v>
      </c>
      <c r="P974" s="191">
        <f t="shared" si="124"/>
        <v>0</v>
      </c>
      <c r="Q974" s="192">
        <f t="shared" si="125"/>
        <v>0</v>
      </c>
      <c r="R974" s="193"/>
      <c r="S974" s="194"/>
      <c r="T974" s="195">
        <f t="shared" si="126"/>
        <v>0</v>
      </c>
      <c r="U974" s="195">
        <f t="shared" si="127"/>
        <v>0</v>
      </c>
      <c r="V974" s="195">
        <f t="shared" si="128"/>
        <v>0</v>
      </c>
      <c r="W974" s="196" t="e">
        <f t="shared" si="129"/>
        <v>#DIV/0!</v>
      </c>
      <c r="X974" s="197" t="e">
        <f t="shared" si="130"/>
        <v>#DIV/0!</v>
      </c>
    </row>
    <row r="975" ht="11.4" hidden="1" customHeight="1" spans="1:24">
      <c r="A975" s="184" t="s">
        <v>2643</v>
      </c>
      <c r="B975" s="184" t="s">
        <v>188</v>
      </c>
      <c r="C975" s="184" t="s">
        <v>2644</v>
      </c>
      <c r="D975" s="185" t="s">
        <v>522</v>
      </c>
      <c r="E975" s="186" t="s">
        <v>2645</v>
      </c>
      <c r="F975" s="186" t="s">
        <v>2651</v>
      </c>
      <c r="G975" s="186" t="s">
        <v>2647</v>
      </c>
      <c r="H975" s="186" t="s">
        <v>2647</v>
      </c>
      <c r="I975" s="187" t="s">
        <v>2686</v>
      </c>
      <c r="J975" s="187" t="s">
        <v>2687</v>
      </c>
      <c r="K975" s="188"/>
      <c r="L975" s="188"/>
      <c r="M975" s="189" t="s">
        <v>963</v>
      </c>
      <c r="N975" s="190">
        <v>489.26</v>
      </c>
      <c r="O975" s="190">
        <f t="shared" si="123"/>
        <v>533.29</v>
      </c>
      <c r="P975" s="191">
        <f t="shared" si="124"/>
        <v>0</v>
      </c>
      <c r="Q975" s="192">
        <f t="shared" si="125"/>
        <v>0</v>
      </c>
      <c r="R975" s="193"/>
      <c r="S975" s="194"/>
      <c r="T975" s="195">
        <f t="shared" si="126"/>
        <v>0</v>
      </c>
      <c r="U975" s="195">
        <f t="shared" si="127"/>
        <v>0</v>
      </c>
      <c r="V975" s="195">
        <f t="shared" si="128"/>
        <v>0</v>
      </c>
      <c r="W975" s="196" t="e">
        <f t="shared" si="129"/>
        <v>#DIV/0!</v>
      </c>
      <c r="X975" s="197" t="e">
        <f t="shared" si="130"/>
        <v>#DIV/0!</v>
      </c>
    </row>
    <row r="976" ht="11.4" hidden="1" customHeight="1" spans="1:24">
      <c r="A976" s="184" t="s">
        <v>2643</v>
      </c>
      <c r="B976" s="184" t="s">
        <v>188</v>
      </c>
      <c r="C976" s="184" t="s">
        <v>2644</v>
      </c>
      <c r="D976" s="185" t="s">
        <v>522</v>
      </c>
      <c r="E976" s="186" t="s">
        <v>2645</v>
      </c>
      <c r="F976" s="186" t="s">
        <v>2651</v>
      </c>
      <c r="G976" s="186" t="s">
        <v>2647</v>
      </c>
      <c r="H976" s="186" t="s">
        <v>2647</v>
      </c>
      <c r="I976" s="187" t="s">
        <v>2688</v>
      </c>
      <c r="J976" s="187" t="s">
        <v>2689</v>
      </c>
      <c r="K976" s="188"/>
      <c r="L976" s="188"/>
      <c r="M976" s="189" t="s">
        <v>963</v>
      </c>
      <c r="N976" s="190">
        <v>439.49</v>
      </c>
      <c r="O976" s="190">
        <f t="shared" si="123"/>
        <v>479.04</v>
      </c>
      <c r="P976" s="191">
        <f t="shared" si="124"/>
        <v>0</v>
      </c>
      <c r="Q976" s="192">
        <f t="shared" si="125"/>
        <v>0</v>
      </c>
      <c r="R976" s="193"/>
      <c r="S976" s="194"/>
      <c r="T976" s="195">
        <f t="shared" si="126"/>
        <v>0</v>
      </c>
      <c r="U976" s="195">
        <f t="shared" si="127"/>
        <v>0</v>
      </c>
      <c r="V976" s="195">
        <f t="shared" si="128"/>
        <v>0</v>
      </c>
      <c r="W976" s="196" t="e">
        <f t="shared" si="129"/>
        <v>#DIV/0!</v>
      </c>
      <c r="X976" s="197" t="e">
        <f t="shared" si="130"/>
        <v>#DIV/0!</v>
      </c>
    </row>
    <row r="977" ht="11.4" hidden="1" customHeight="1" spans="1:24">
      <c r="A977" s="184" t="s">
        <v>2643</v>
      </c>
      <c r="B977" s="184" t="s">
        <v>188</v>
      </c>
      <c r="C977" s="184" t="s">
        <v>2644</v>
      </c>
      <c r="D977" s="185" t="s">
        <v>522</v>
      </c>
      <c r="E977" s="186" t="s">
        <v>2645</v>
      </c>
      <c r="F977" s="186" t="s">
        <v>2651</v>
      </c>
      <c r="G977" s="186" t="s">
        <v>2647</v>
      </c>
      <c r="H977" s="186" t="s">
        <v>2647</v>
      </c>
      <c r="I977" s="187" t="s">
        <v>2690</v>
      </c>
      <c r="J977" s="187" t="s">
        <v>2691</v>
      </c>
      <c r="K977" s="188"/>
      <c r="L977" s="188"/>
      <c r="M977" s="189" t="s">
        <v>963</v>
      </c>
      <c r="N977" s="190">
        <v>6462.29</v>
      </c>
      <c r="O977" s="190">
        <f t="shared" si="123"/>
        <v>7043.9</v>
      </c>
      <c r="P977" s="191">
        <f t="shared" si="124"/>
        <v>0</v>
      </c>
      <c r="Q977" s="192">
        <f t="shared" si="125"/>
        <v>0</v>
      </c>
      <c r="R977" s="193"/>
      <c r="S977" s="194"/>
      <c r="T977" s="195">
        <f t="shared" si="126"/>
        <v>0</v>
      </c>
      <c r="U977" s="195">
        <f t="shared" si="127"/>
        <v>0</v>
      </c>
      <c r="V977" s="195">
        <f t="shared" si="128"/>
        <v>0</v>
      </c>
      <c r="W977" s="196" t="e">
        <f t="shared" si="129"/>
        <v>#DIV/0!</v>
      </c>
      <c r="X977" s="197" t="e">
        <f t="shared" si="130"/>
        <v>#DIV/0!</v>
      </c>
    </row>
    <row r="978" ht="11.4" hidden="1" customHeight="1" spans="1:24">
      <c r="A978" s="184" t="s">
        <v>2643</v>
      </c>
      <c r="B978" s="184" t="s">
        <v>188</v>
      </c>
      <c r="C978" s="184" t="s">
        <v>2644</v>
      </c>
      <c r="D978" s="185" t="s">
        <v>522</v>
      </c>
      <c r="E978" s="186" t="s">
        <v>2645</v>
      </c>
      <c r="F978" s="186" t="s">
        <v>2651</v>
      </c>
      <c r="G978" s="186" t="s">
        <v>2647</v>
      </c>
      <c r="H978" s="186" t="s">
        <v>2647</v>
      </c>
      <c r="I978" s="187" t="s">
        <v>2692</v>
      </c>
      <c r="J978" s="187" t="s">
        <v>2693</v>
      </c>
      <c r="K978" s="188"/>
      <c r="L978" s="188"/>
      <c r="M978" s="189" t="s">
        <v>963</v>
      </c>
      <c r="N978" s="190">
        <v>4737.19</v>
      </c>
      <c r="O978" s="190">
        <f t="shared" si="123"/>
        <v>5163.54</v>
      </c>
      <c r="P978" s="191">
        <f t="shared" si="124"/>
        <v>0</v>
      </c>
      <c r="Q978" s="192">
        <f t="shared" si="125"/>
        <v>0</v>
      </c>
      <c r="R978" s="193"/>
      <c r="S978" s="194"/>
      <c r="T978" s="195">
        <f t="shared" si="126"/>
        <v>0</v>
      </c>
      <c r="U978" s="195">
        <f t="shared" si="127"/>
        <v>0</v>
      </c>
      <c r="V978" s="195">
        <f t="shared" si="128"/>
        <v>0</v>
      </c>
      <c r="W978" s="196" t="e">
        <f t="shared" si="129"/>
        <v>#DIV/0!</v>
      </c>
      <c r="X978" s="197" t="e">
        <f t="shared" si="130"/>
        <v>#DIV/0!</v>
      </c>
    </row>
    <row r="979" ht="11.4" hidden="1" customHeight="1" spans="1:24">
      <c r="A979" s="184" t="s">
        <v>2643</v>
      </c>
      <c r="B979" s="184" t="s">
        <v>188</v>
      </c>
      <c r="C979" s="184" t="s">
        <v>2644</v>
      </c>
      <c r="D979" s="185" t="s">
        <v>522</v>
      </c>
      <c r="E979" s="186" t="s">
        <v>2645</v>
      </c>
      <c r="F979" s="186" t="s">
        <v>2651</v>
      </c>
      <c r="G979" s="186" t="s">
        <v>2647</v>
      </c>
      <c r="H979" s="186" t="s">
        <v>2647</v>
      </c>
      <c r="I979" s="187" t="s">
        <v>2694</v>
      </c>
      <c r="J979" s="187" t="s">
        <v>2695</v>
      </c>
      <c r="K979" s="188"/>
      <c r="L979" s="188"/>
      <c r="M979" s="189" t="s">
        <v>963</v>
      </c>
      <c r="N979" s="190">
        <v>1591.99</v>
      </c>
      <c r="O979" s="190">
        <f t="shared" si="123"/>
        <v>1735.27</v>
      </c>
      <c r="P979" s="191">
        <f t="shared" si="124"/>
        <v>0</v>
      </c>
      <c r="Q979" s="192">
        <f t="shared" si="125"/>
        <v>0</v>
      </c>
      <c r="R979" s="193"/>
      <c r="S979" s="194"/>
      <c r="T979" s="195">
        <f t="shared" si="126"/>
        <v>0</v>
      </c>
      <c r="U979" s="195">
        <f t="shared" si="127"/>
        <v>0</v>
      </c>
      <c r="V979" s="195">
        <f t="shared" si="128"/>
        <v>0</v>
      </c>
      <c r="W979" s="196" t="e">
        <f t="shared" si="129"/>
        <v>#DIV/0!</v>
      </c>
      <c r="X979" s="197" t="e">
        <f t="shared" si="130"/>
        <v>#DIV/0!</v>
      </c>
    </row>
    <row r="980" ht="11.4" hidden="1" customHeight="1" spans="1:24">
      <c r="A980" s="184" t="s">
        <v>2643</v>
      </c>
      <c r="B980" s="184" t="s">
        <v>188</v>
      </c>
      <c r="C980" s="184" t="s">
        <v>2644</v>
      </c>
      <c r="D980" s="185" t="s">
        <v>522</v>
      </c>
      <c r="E980" s="186" t="s">
        <v>2645</v>
      </c>
      <c r="F980" s="186" t="s">
        <v>2651</v>
      </c>
      <c r="G980" s="186" t="s">
        <v>2647</v>
      </c>
      <c r="H980" s="186" t="s">
        <v>2647</v>
      </c>
      <c r="I980" s="187" t="s">
        <v>2696</v>
      </c>
      <c r="J980" s="187" t="s">
        <v>2697</v>
      </c>
      <c r="K980" s="188"/>
      <c r="L980" s="188"/>
      <c r="M980" s="189" t="s">
        <v>963</v>
      </c>
      <c r="N980" s="190">
        <v>372.89</v>
      </c>
      <c r="O980" s="190">
        <f t="shared" si="123"/>
        <v>406.45</v>
      </c>
      <c r="P980" s="191">
        <f t="shared" si="124"/>
        <v>0</v>
      </c>
      <c r="Q980" s="192">
        <f t="shared" si="125"/>
        <v>0</v>
      </c>
      <c r="R980" s="193"/>
      <c r="S980" s="194"/>
      <c r="T980" s="195">
        <f t="shared" si="126"/>
        <v>0</v>
      </c>
      <c r="U980" s="195">
        <f t="shared" si="127"/>
        <v>0</v>
      </c>
      <c r="V980" s="195">
        <f t="shared" si="128"/>
        <v>0</v>
      </c>
      <c r="W980" s="196" t="e">
        <f t="shared" si="129"/>
        <v>#DIV/0!</v>
      </c>
      <c r="X980" s="197" t="e">
        <f t="shared" si="130"/>
        <v>#DIV/0!</v>
      </c>
    </row>
    <row r="981" ht="11.4" hidden="1" customHeight="1" spans="1:24">
      <c r="A981" s="184" t="s">
        <v>2643</v>
      </c>
      <c r="B981" s="184" t="s">
        <v>188</v>
      </c>
      <c r="C981" s="184" t="s">
        <v>2644</v>
      </c>
      <c r="D981" s="185" t="s">
        <v>522</v>
      </c>
      <c r="E981" s="186" t="s">
        <v>2645</v>
      </c>
      <c r="F981" s="186" t="s">
        <v>2651</v>
      </c>
      <c r="G981" s="186" t="s">
        <v>2647</v>
      </c>
      <c r="H981" s="186" t="s">
        <v>2647</v>
      </c>
      <c r="I981" s="187" t="s">
        <v>2698</v>
      </c>
      <c r="J981" s="187" t="s">
        <v>2699</v>
      </c>
      <c r="K981" s="188"/>
      <c r="L981" s="188"/>
      <c r="M981" s="189" t="s">
        <v>963</v>
      </c>
      <c r="N981" s="190">
        <v>549.99</v>
      </c>
      <c r="O981" s="190">
        <f t="shared" si="123"/>
        <v>599.49</v>
      </c>
      <c r="P981" s="191">
        <f t="shared" si="124"/>
        <v>0</v>
      </c>
      <c r="Q981" s="192">
        <f t="shared" si="125"/>
        <v>0</v>
      </c>
      <c r="R981" s="193"/>
      <c r="S981" s="194"/>
      <c r="T981" s="195">
        <f t="shared" si="126"/>
        <v>0</v>
      </c>
      <c r="U981" s="195">
        <f t="shared" si="127"/>
        <v>0</v>
      </c>
      <c r="V981" s="195">
        <f t="shared" si="128"/>
        <v>0</v>
      </c>
      <c r="W981" s="196" t="e">
        <f t="shared" si="129"/>
        <v>#DIV/0!</v>
      </c>
      <c r="X981" s="197" t="e">
        <f t="shared" si="130"/>
        <v>#DIV/0!</v>
      </c>
    </row>
    <row r="982" ht="11.4" hidden="1" customHeight="1" spans="1:24">
      <c r="A982" s="184" t="s">
        <v>2643</v>
      </c>
      <c r="B982" s="184" t="s">
        <v>188</v>
      </c>
      <c r="C982" s="184" t="s">
        <v>2644</v>
      </c>
      <c r="D982" s="185" t="s">
        <v>522</v>
      </c>
      <c r="E982" s="186" t="s">
        <v>2645</v>
      </c>
      <c r="F982" s="186" t="s">
        <v>2651</v>
      </c>
      <c r="G982" s="186" t="s">
        <v>2647</v>
      </c>
      <c r="H982" s="186" t="s">
        <v>2647</v>
      </c>
      <c r="I982" s="187" t="s">
        <v>2700</v>
      </c>
      <c r="J982" s="187" t="s">
        <v>2701</v>
      </c>
      <c r="K982" s="188"/>
      <c r="L982" s="188"/>
      <c r="M982" s="189" t="s">
        <v>963</v>
      </c>
      <c r="N982" s="190">
        <v>416.89</v>
      </c>
      <c r="O982" s="190">
        <f t="shared" si="123"/>
        <v>454.41</v>
      </c>
      <c r="P982" s="191">
        <f t="shared" si="124"/>
        <v>0</v>
      </c>
      <c r="Q982" s="192">
        <f t="shared" si="125"/>
        <v>0</v>
      </c>
      <c r="R982" s="193"/>
      <c r="S982" s="194"/>
      <c r="T982" s="195">
        <f t="shared" si="126"/>
        <v>0</v>
      </c>
      <c r="U982" s="195">
        <f t="shared" si="127"/>
        <v>0</v>
      </c>
      <c r="V982" s="195">
        <f t="shared" si="128"/>
        <v>0</v>
      </c>
      <c r="W982" s="196" t="e">
        <f t="shared" si="129"/>
        <v>#DIV/0!</v>
      </c>
      <c r="X982" s="197" t="e">
        <f t="shared" si="130"/>
        <v>#DIV/0!</v>
      </c>
    </row>
    <row r="983" ht="11.4" hidden="1" customHeight="1" spans="1:24">
      <c r="A983" s="184" t="s">
        <v>2643</v>
      </c>
      <c r="B983" s="184" t="s">
        <v>188</v>
      </c>
      <c r="C983" s="184" t="s">
        <v>2644</v>
      </c>
      <c r="D983" s="185" t="s">
        <v>522</v>
      </c>
      <c r="E983" s="186" t="s">
        <v>2645</v>
      </c>
      <c r="F983" s="186" t="s">
        <v>2651</v>
      </c>
      <c r="G983" s="186" t="s">
        <v>2647</v>
      </c>
      <c r="H983" s="186" t="s">
        <v>2647</v>
      </c>
      <c r="I983" s="187" t="s">
        <v>2702</v>
      </c>
      <c r="J983" s="187" t="s">
        <v>2703</v>
      </c>
      <c r="K983" s="188"/>
      <c r="L983" s="188"/>
      <c r="M983" s="189" t="s">
        <v>963</v>
      </c>
      <c r="N983" s="190">
        <v>598.39</v>
      </c>
      <c r="O983" s="190">
        <f t="shared" si="123"/>
        <v>652.25</v>
      </c>
      <c r="P983" s="191">
        <f t="shared" si="124"/>
        <v>0</v>
      </c>
      <c r="Q983" s="192">
        <f t="shared" si="125"/>
        <v>0</v>
      </c>
      <c r="R983" s="193"/>
      <c r="S983" s="194"/>
      <c r="T983" s="195">
        <f t="shared" si="126"/>
        <v>0</v>
      </c>
      <c r="U983" s="195">
        <f t="shared" si="127"/>
        <v>0</v>
      </c>
      <c r="V983" s="195">
        <f t="shared" si="128"/>
        <v>0</v>
      </c>
      <c r="W983" s="196" t="e">
        <f t="shared" si="129"/>
        <v>#DIV/0!</v>
      </c>
      <c r="X983" s="197" t="e">
        <f t="shared" si="130"/>
        <v>#DIV/0!</v>
      </c>
    </row>
    <row r="984" ht="11.4" hidden="1" customHeight="1" spans="1:24">
      <c r="A984" s="184" t="s">
        <v>2643</v>
      </c>
      <c r="B984" s="184" t="s">
        <v>188</v>
      </c>
      <c r="C984" s="184" t="s">
        <v>2644</v>
      </c>
      <c r="D984" s="185" t="s">
        <v>522</v>
      </c>
      <c r="E984" s="186" t="s">
        <v>2645</v>
      </c>
      <c r="F984" s="186" t="s">
        <v>2651</v>
      </c>
      <c r="G984" s="186" t="s">
        <v>2647</v>
      </c>
      <c r="H984" s="186" t="s">
        <v>2647</v>
      </c>
      <c r="I984" s="187" t="s">
        <v>2704</v>
      </c>
      <c r="J984" s="187" t="s">
        <v>2705</v>
      </c>
      <c r="K984" s="188"/>
      <c r="L984" s="188"/>
      <c r="M984" s="189" t="s">
        <v>963</v>
      </c>
      <c r="N984" s="190"/>
      <c r="O984" s="190">
        <f t="shared" si="123"/>
        <v>0</v>
      </c>
      <c r="P984" s="191">
        <f t="shared" si="124"/>
        <v>0</v>
      </c>
      <c r="Q984" s="192">
        <f t="shared" si="125"/>
        <v>0</v>
      </c>
      <c r="R984" s="193"/>
      <c r="S984" s="194"/>
      <c r="T984" s="195">
        <f t="shared" si="126"/>
        <v>0</v>
      </c>
      <c r="U984" s="195">
        <f t="shared" si="127"/>
        <v>0</v>
      </c>
      <c r="V984" s="195">
        <f t="shared" si="128"/>
        <v>0</v>
      </c>
      <c r="W984" s="196" t="e">
        <f t="shared" si="129"/>
        <v>#DIV/0!</v>
      </c>
      <c r="X984" s="197" t="e">
        <f t="shared" si="130"/>
        <v>#DIV/0!</v>
      </c>
    </row>
    <row r="985" ht="11.4" hidden="1" customHeight="1" spans="1:24">
      <c r="A985" s="184" t="s">
        <v>2643</v>
      </c>
      <c r="B985" s="184" t="s">
        <v>188</v>
      </c>
      <c r="C985" s="184" t="s">
        <v>2644</v>
      </c>
      <c r="D985" s="185" t="s">
        <v>522</v>
      </c>
      <c r="E985" s="186" t="s">
        <v>2645</v>
      </c>
      <c r="F985" s="186" t="s">
        <v>2651</v>
      </c>
      <c r="G985" s="186" t="s">
        <v>2647</v>
      </c>
      <c r="H985" s="186" t="s">
        <v>2647</v>
      </c>
      <c r="I985" s="187" t="s">
        <v>2706</v>
      </c>
      <c r="J985" s="187" t="s">
        <v>2707</v>
      </c>
      <c r="K985" s="188"/>
      <c r="L985" s="188"/>
      <c r="M985" s="189" t="s">
        <v>963</v>
      </c>
      <c r="N985" s="190"/>
      <c r="O985" s="190">
        <f t="shared" si="123"/>
        <v>0</v>
      </c>
      <c r="P985" s="191">
        <f t="shared" si="124"/>
        <v>0</v>
      </c>
      <c r="Q985" s="192">
        <f t="shared" si="125"/>
        <v>0</v>
      </c>
      <c r="R985" s="193"/>
      <c r="S985" s="194"/>
      <c r="T985" s="195">
        <f t="shared" si="126"/>
        <v>0</v>
      </c>
      <c r="U985" s="195">
        <f t="shared" si="127"/>
        <v>0</v>
      </c>
      <c r="V985" s="195">
        <f t="shared" si="128"/>
        <v>0</v>
      </c>
      <c r="W985" s="196" t="e">
        <f t="shared" si="129"/>
        <v>#DIV/0!</v>
      </c>
      <c r="X985" s="197" t="e">
        <f t="shared" si="130"/>
        <v>#DIV/0!</v>
      </c>
    </row>
    <row r="986" ht="11.4" hidden="1" customHeight="1" spans="1:24">
      <c r="A986" s="184" t="s">
        <v>2643</v>
      </c>
      <c r="B986" s="184" t="s">
        <v>188</v>
      </c>
      <c r="C986" s="184" t="s">
        <v>2644</v>
      </c>
      <c r="D986" s="185" t="s">
        <v>522</v>
      </c>
      <c r="E986" s="186" t="s">
        <v>2645</v>
      </c>
      <c r="F986" s="186" t="s">
        <v>2651</v>
      </c>
      <c r="G986" s="186" t="s">
        <v>2647</v>
      </c>
      <c r="H986" s="186" t="s">
        <v>2647</v>
      </c>
      <c r="I986" s="187" t="s">
        <v>2708</v>
      </c>
      <c r="J986" s="187" t="s">
        <v>2709</v>
      </c>
      <c r="K986" s="188"/>
      <c r="L986" s="188"/>
      <c r="M986" s="189" t="s">
        <v>963</v>
      </c>
      <c r="N986" s="190"/>
      <c r="O986" s="190">
        <f t="shared" si="123"/>
        <v>0</v>
      </c>
      <c r="P986" s="191">
        <f t="shared" si="124"/>
        <v>0</v>
      </c>
      <c r="Q986" s="192">
        <f t="shared" si="125"/>
        <v>0</v>
      </c>
      <c r="R986" s="193"/>
      <c r="S986" s="194"/>
      <c r="T986" s="195">
        <f t="shared" si="126"/>
        <v>0</v>
      </c>
      <c r="U986" s="195">
        <f t="shared" si="127"/>
        <v>0</v>
      </c>
      <c r="V986" s="195">
        <f t="shared" si="128"/>
        <v>0</v>
      </c>
      <c r="W986" s="196" t="e">
        <f t="shared" si="129"/>
        <v>#DIV/0!</v>
      </c>
      <c r="X986" s="197" t="e">
        <f t="shared" si="130"/>
        <v>#DIV/0!</v>
      </c>
    </row>
    <row r="987" ht="11.4" hidden="1" customHeight="1" spans="1:24">
      <c r="A987" s="184" t="s">
        <v>2643</v>
      </c>
      <c r="B987" s="184" t="s">
        <v>188</v>
      </c>
      <c r="C987" s="184" t="s">
        <v>2644</v>
      </c>
      <c r="D987" s="185" t="s">
        <v>522</v>
      </c>
      <c r="E987" s="186" t="s">
        <v>2645</v>
      </c>
      <c r="F987" s="186" t="s">
        <v>2651</v>
      </c>
      <c r="G987" s="186" t="s">
        <v>2647</v>
      </c>
      <c r="H987" s="186" t="s">
        <v>2647</v>
      </c>
      <c r="I987" s="187" t="s">
        <v>2710</v>
      </c>
      <c r="J987" s="187" t="s">
        <v>2711</v>
      </c>
      <c r="K987" s="188"/>
      <c r="L987" s="188"/>
      <c r="M987" s="189" t="s">
        <v>963</v>
      </c>
      <c r="N987" s="190"/>
      <c r="O987" s="190">
        <f t="shared" si="123"/>
        <v>0</v>
      </c>
      <c r="P987" s="191">
        <f t="shared" si="124"/>
        <v>0</v>
      </c>
      <c r="Q987" s="192">
        <f t="shared" si="125"/>
        <v>0</v>
      </c>
      <c r="R987" s="193"/>
      <c r="S987" s="194"/>
      <c r="T987" s="195">
        <f t="shared" si="126"/>
        <v>0</v>
      </c>
      <c r="U987" s="195">
        <f t="shared" si="127"/>
        <v>0</v>
      </c>
      <c r="V987" s="195">
        <f t="shared" si="128"/>
        <v>0</v>
      </c>
      <c r="W987" s="196" t="e">
        <f t="shared" si="129"/>
        <v>#DIV/0!</v>
      </c>
      <c r="X987" s="197" t="e">
        <f t="shared" si="130"/>
        <v>#DIV/0!</v>
      </c>
    </row>
    <row r="988" ht="11.4" hidden="1" customHeight="1" spans="1:24">
      <c r="A988" s="184" t="s">
        <v>2643</v>
      </c>
      <c r="B988" s="184" t="s">
        <v>188</v>
      </c>
      <c r="C988" s="184" t="s">
        <v>2644</v>
      </c>
      <c r="D988" s="185" t="s">
        <v>522</v>
      </c>
      <c r="E988" s="186" t="s">
        <v>2645</v>
      </c>
      <c r="F988" s="186" t="s">
        <v>2651</v>
      </c>
      <c r="G988" s="186" t="s">
        <v>2647</v>
      </c>
      <c r="H988" s="186" t="s">
        <v>2647</v>
      </c>
      <c r="I988" s="187" t="s">
        <v>2712</v>
      </c>
      <c r="J988" s="187" t="s">
        <v>2713</v>
      </c>
      <c r="K988" s="188"/>
      <c r="L988" s="188"/>
      <c r="M988" s="189" t="s">
        <v>963</v>
      </c>
      <c r="N988" s="190"/>
      <c r="O988" s="190">
        <f t="shared" si="123"/>
        <v>0</v>
      </c>
      <c r="P988" s="191">
        <f t="shared" si="124"/>
        <v>0</v>
      </c>
      <c r="Q988" s="192">
        <f t="shared" si="125"/>
        <v>0</v>
      </c>
      <c r="R988" s="193"/>
      <c r="S988" s="194"/>
      <c r="T988" s="195">
        <f t="shared" si="126"/>
        <v>0</v>
      </c>
      <c r="U988" s="195">
        <f t="shared" si="127"/>
        <v>0</v>
      </c>
      <c r="V988" s="195">
        <f t="shared" si="128"/>
        <v>0</v>
      </c>
      <c r="W988" s="196" t="e">
        <f t="shared" si="129"/>
        <v>#DIV/0!</v>
      </c>
      <c r="X988" s="197" t="e">
        <f t="shared" si="130"/>
        <v>#DIV/0!</v>
      </c>
    </row>
    <row r="989" ht="11.4" hidden="1" customHeight="1" spans="1:24">
      <c r="A989" s="184" t="s">
        <v>2643</v>
      </c>
      <c r="B989" s="184" t="s">
        <v>188</v>
      </c>
      <c r="C989" s="184" t="s">
        <v>2644</v>
      </c>
      <c r="D989" s="185" t="s">
        <v>522</v>
      </c>
      <c r="E989" s="186" t="s">
        <v>2645</v>
      </c>
      <c r="F989" s="186" t="s">
        <v>2651</v>
      </c>
      <c r="G989" s="186" t="s">
        <v>2647</v>
      </c>
      <c r="H989" s="186" t="s">
        <v>2647</v>
      </c>
      <c r="I989" s="187" t="s">
        <v>2714</v>
      </c>
      <c r="J989" s="187" t="s">
        <v>2715</v>
      </c>
      <c r="K989" s="188"/>
      <c r="L989" s="188"/>
      <c r="M989" s="189" t="s">
        <v>963</v>
      </c>
      <c r="N989" s="190"/>
      <c r="O989" s="190">
        <f t="shared" si="123"/>
        <v>0</v>
      </c>
      <c r="P989" s="191">
        <f t="shared" si="124"/>
        <v>0</v>
      </c>
      <c r="Q989" s="192">
        <f t="shared" si="125"/>
        <v>0</v>
      </c>
      <c r="R989" s="193"/>
      <c r="S989" s="194"/>
      <c r="T989" s="195">
        <f t="shared" si="126"/>
        <v>0</v>
      </c>
      <c r="U989" s="195">
        <f t="shared" si="127"/>
        <v>0</v>
      </c>
      <c r="V989" s="195">
        <f t="shared" si="128"/>
        <v>0</v>
      </c>
      <c r="W989" s="196" t="e">
        <f t="shared" si="129"/>
        <v>#DIV/0!</v>
      </c>
      <c r="X989" s="197" t="e">
        <f t="shared" si="130"/>
        <v>#DIV/0!</v>
      </c>
    </row>
    <row r="990" ht="11.4" hidden="1" customHeight="1" spans="1:24">
      <c r="A990" s="184" t="s">
        <v>2643</v>
      </c>
      <c r="B990" s="184" t="s">
        <v>188</v>
      </c>
      <c r="C990" s="184" t="s">
        <v>2644</v>
      </c>
      <c r="D990" s="185" t="s">
        <v>522</v>
      </c>
      <c r="E990" s="186" t="s">
        <v>2645</v>
      </c>
      <c r="F990" s="186" t="s">
        <v>2651</v>
      </c>
      <c r="G990" s="186" t="s">
        <v>2647</v>
      </c>
      <c r="H990" s="186" t="s">
        <v>2647</v>
      </c>
      <c r="I990" s="187" t="s">
        <v>2716</v>
      </c>
      <c r="J990" s="187" t="s">
        <v>2717</v>
      </c>
      <c r="K990" s="188"/>
      <c r="L990" s="188"/>
      <c r="M990" s="189" t="s">
        <v>963</v>
      </c>
      <c r="N990" s="190">
        <v>1575.49</v>
      </c>
      <c r="O990" s="190">
        <f t="shared" si="123"/>
        <v>1717.28</v>
      </c>
      <c r="P990" s="191">
        <f t="shared" si="124"/>
        <v>0</v>
      </c>
      <c r="Q990" s="192">
        <f t="shared" si="125"/>
        <v>0</v>
      </c>
      <c r="R990" s="193"/>
      <c r="S990" s="194"/>
      <c r="T990" s="195">
        <f t="shared" si="126"/>
        <v>0</v>
      </c>
      <c r="U990" s="195">
        <f t="shared" si="127"/>
        <v>0</v>
      </c>
      <c r="V990" s="195">
        <f t="shared" si="128"/>
        <v>0</v>
      </c>
      <c r="W990" s="196" t="e">
        <f t="shared" si="129"/>
        <v>#DIV/0!</v>
      </c>
      <c r="X990" s="197" t="e">
        <f t="shared" si="130"/>
        <v>#DIV/0!</v>
      </c>
    </row>
    <row r="991" ht="11.4" hidden="1" customHeight="1" spans="1:24">
      <c r="A991" s="184" t="s">
        <v>2643</v>
      </c>
      <c r="B991" s="184" t="s">
        <v>188</v>
      </c>
      <c r="C991" s="184" t="s">
        <v>2644</v>
      </c>
      <c r="D991" s="185" t="s">
        <v>522</v>
      </c>
      <c r="E991" s="186" t="s">
        <v>2645</v>
      </c>
      <c r="F991" s="186" t="s">
        <v>2651</v>
      </c>
      <c r="G991" s="186" t="s">
        <v>2647</v>
      </c>
      <c r="H991" s="186" t="s">
        <v>2647</v>
      </c>
      <c r="I991" s="187" t="s">
        <v>2718</v>
      </c>
      <c r="J991" s="187" t="s">
        <v>2719</v>
      </c>
      <c r="K991" s="188"/>
      <c r="L991" s="188"/>
      <c r="M991" s="189" t="s">
        <v>793</v>
      </c>
      <c r="N991" s="190">
        <v>3038.34</v>
      </c>
      <c r="O991" s="190">
        <f t="shared" si="123"/>
        <v>3311.79</v>
      </c>
      <c r="P991" s="191">
        <f t="shared" si="124"/>
        <v>0</v>
      </c>
      <c r="Q991" s="192">
        <f t="shared" si="125"/>
        <v>0</v>
      </c>
      <c r="R991" s="193"/>
      <c r="S991" s="194"/>
      <c r="T991" s="195">
        <f t="shared" si="126"/>
        <v>0</v>
      </c>
      <c r="U991" s="195">
        <f t="shared" si="127"/>
        <v>0</v>
      </c>
      <c r="V991" s="195">
        <f t="shared" si="128"/>
        <v>0</v>
      </c>
      <c r="W991" s="196" t="e">
        <f t="shared" si="129"/>
        <v>#DIV/0!</v>
      </c>
      <c r="X991" s="197" t="e">
        <f t="shared" si="130"/>
        <v>#DIV/0!</v>
      </c>
    </row>
    <row r="992" ht="11.4" hidden="1" customHeight="1" spans="1:24">
      <c r="A992" s="184" t="s">
        <v>2643</v>
      </c>
      <c r="B992" s="184" t="s">
        <v>188</v>
      </c>
      <c r="C992" s="184" t="s">
        <v>2644</v>
      </c>
      <c r="D992" s="185" t="s">
        <v>522</v>
      </c>
      <c r="E992" s="186" t="s">
        <v>2645</v>
      </c>
      <c r="F992" s="186" t="s">
        <v>2651</v>
      </c>
      <c r="G992" s="186" t="s">
        <v>2647</v>
      </c>
      <c r="H992" s="186" t="s">
        <v>2647</v>
      </c>
      <c r="I992" s="187" t="s">
        <v>2720</v>
      </c>
      <c r="J992" s="187" t="s">
        <v>2721</v>
      </c>
      <c r="K992" s="188"/>
      <c r="L992" s="188"/>
      <c r="M992" s="189" t="s">
        <v>963</v>
      </c>
      <c r="N992" s="190">
        <v>1575.49</v>
      </c>
      <c r="O992" s="190">
        <f t="shared" si="123"/>
        <v>1717.28</v>
      </c>
      <c r="P992" s="191">
        <f t="shared" si="124"/>
        <v>0</v>
      </c>
      <c r="Q992" s="192">
        <f t="shared" si="125"/>
        <v>0</v>
      </c>
      <c r="R992" s="193"/>
      <c r="S992" s="194"/>
      <c r="T992" s="195">
        <f t="shared" si="126"/>
        <v>0</v>
      </c>
      <c r="U992" s="195">
        <f t="shared" si="127"/>
        <v>0</v>
      </c>
      <c r="V992" s="195">
        <f t="shared" si="128"/>
        <v>0</v>
      </c>
      <c r="W992" s="196" t="e">
        <f t="shared" si="129"/>
        <v>#DIV/0!</v>
      </c>
      <c r="X992" s="197" t="e">
        <f t="shared" si="130"/>
        <v>#DIV/0!</v>
      </c>
    </row>
    <row r="993" ht="11.4" hidden="1" customHeight="1" spans="1:27">
      <c r="A993" s="184" t="s">
        <v>2643</v>
      </c>
      <c r="B993" s="184" t="s">
        <v>188</v>
      </c>
      <c r="C993" s="184" t="s">
        <v>2644</v>
      </c>
      <c r="D993" s="185" t="s">
        <v>522</v>
      </c>
      <c r="E993" s="186" t="s">
        <v>2645</v>
      </c>
      <c r="F993" s="186" t="s">
        <v>2651</v>
      </c>
      <c r="G993" s="186" t="s">
        <v>2647</v>
      </c>
      <c r="H993" s="186" t="s">
        <v>2647</v>
      </c>
      <c r="I993" s="187" t="s">
        <v>2722</v>
      </c>
      <c r="J993" s="187" t="s">
        <v>2723</v>
      </c>
      <c r="K993" s="188"/>
      <c r="L993" s="188"/>
      <c r="M993" s="189" t="s">
        <v>793</v>
      </c>
      <c r="N993" s="190">
        <v>876.46</v>
      </c>
      <c r="O993" s="190">
        <f t="shared" si="123"/>
        <v>955.34</v>
      </c>
      <c r="P993" s="191">
        <f t="shared" si="124"/>
        <v>0</v>
      </c>
      <c r="Q993" s="192">
        <f t="shared" si="125"/>
        <v>0</v>
      </c>
      <c r="R993" s="193"/>
      <c r="S993" s="194"/>
      <c r="T993" s="195">
        <f t="shared" si="126"/>
        <v>0</v>
      </c>
      <c r="U993" s="195">
        <f t="shared" si="127"/>
        <v>0</v>
      </c>
      <c r="V993" s="195">
        <f t="shared" si="128"/>
        <v>0</v>
      </c>
      <c r="W993" s="196" t="e">
        <f t="shared" si="129"/>
        <v>#DIV/0!</v>
      </c>
      <c r="X993" s="197" t="e">
        <f t="shared" si="130"/>
        <v>#DIV/0!</v>
      </c>
    </row>
    <row r="994" ht="11.4" hidden="1" customHeight="1" spans="1:27">
      <c r="A994" s="184" t="s">
        <v>2643</v>
      </c>
      <c r="B994" s="184" t="s">
        <v>188</v>
      </c>
      <c r="C994" s="184" t="s">
        <v>2644</v>
      </c>
      <c r="D994" s="185" t="s">
        <v>522</v>
      </c>
      <c r="E994" s="186" t="s">
        <v>2645</v>
      </c>
      <c r="F994" s="186" t="s">
        <v>2651</v>
      </c>
      <c r="G994" s="186" t="s">
        <v>2647</v>
      </c>
      <c r="H994" s="186" t="s">
        <v>2647</v>
      </c>
      <c r="I994" s="187" t="s">
        <v>2724</v>
      </c>
      <c r="J994" s="187" t="s">
        <v>2725</v>
      </c>
      <c r="K994" s="188"/>
      <c r="L994" s="188"/>
      <c r="M994" s="189" t="s">
        <v>963</v>
      </c>
      <c r="N994" s="190">
        <v>372.89</v>
      </c>
      <c r="O994" s="190">
        <f t="shared" si="123"/>
        <v>406.45</v>
      </c>
      <c r="P994" s="191">
        <f t="shared" si="124"/>
        <v>0</v>
      </c>
      <c r="Q994" s="192">
        <f t="shared" si="125"/>
        <v>0</v>
      </c>
      <c r="R994" s="193"/>
      <c r="S994" s="194"/>
      <c r="T994" s="195">
        <f t="shared" si="126"/>
        <v>0</v>
      </c>
      <c r="U994" s="195">
        <f t="shared" si="127"/>
        <v>0</v>
      </c>
      <c r="V994" s="195">
        <f t="shared" si="128"/>
        <v>0</v>
      </c>
      <c r="W994" s="196" t="e">
        <f t="shared" si="129"/>
        <v>#DIV/0!</v>
      </c>
      <c r="X994" s="197" t="e">
        <f t="shared" si="130"/>
        <v>#DIV/0!</v>
      </c>
    </row>
    <row r="995" ht="11.4" hidden="1" customHeight="1" spans="1:27">
      <c r="A995" s="184" t="s">
        <v>2726</v>
      </c>
      <c r="B995" s="184" t="s">
        <v>351</v>
      </c>
      <c r="C995" s="184" t="s">
        <v>2727</v>
      </c>
      <c r="D995" s="185" t="s">
        <v>522</v>
      </c>
      <c r="E995" s="186" t="s">
        <v>2728</v>
      </c>
      <c r="F995" s="186" t="s">
        <v>2729</v>
      </c>
      <c r="G995" s="186" t="s">
        <v>2730</v>
      </c>
      <c r="H995" s="186" t="s">
        <v>563</v>
      </c>
      <c r="I995" s="187" t="s">
        <v>2731</v>
      </c>
      <c r="J995" s="161" t="s">
        <v>563</v>
      </c>
      <c r="K995" s="188">
        <v>1</v>
      </c>
      <c r="L995" s="188">
        <v>1</v>
      </c>
      <c r="M995" s="189" t="s">
        <v>2308</v>
      </c>
      <c r="N995" s="190">
        <v>2676.15</v>
      </c>
      <c r="O995" s="190">
        <f t="shared" si="123"/>
        <v>2917</v>
      </c>
      <c r="P995" s="191">
        <f t="shared" si="124"/>
        <v>2676.15</v>
      </c>
      <c r="Q995" s="192">
        <f t="shared" si="125"/>
        <v>2676.15</v>
      </c>
      <c r="R995" s="193"/>
      <c r="S995" s="194"/>
      <c r="T995" s="195">
        <f t="shared" si="126"/>
        <v>0</v>
      </c>
      <c r="U995" s="195">
        <f t="shared" si="127"/>
        <v>0</v>
      </c>
      <c r="V995" s="195">
        <f t="shared" si="128"/>
        <v>0</v>
      </c>
      <c r="W995" s="196">
        <f t="shared" si="129"/>
        <v>0</v>
      </c>
      <c r="X995" s="197">
        <f t="shared" si="130"/>
        <v>0</v>
      </c>
    </row>
    <row r="996" ht="11.4" hidden="1" customHeight="1" spans="1:27">
      <c r="A996" s="184" t="s">
        <v>2732</v>
      </c>
      <c r="B996" s="184" t="s">
        <v>355</v>
      </c>
      <c r="C996" s="184" t="s">
        <v>2733</v>
      </c>
      <c r="D996" s="185" t="s">
        <v>522</v>
      </c>
      <c r="E996" s="186" t="s">
        <v>2728</v>
      </c>
      <c r="F996" s="186" t="s">
        <v>2729</v>
      </c>
      <c r="G996" s="186" t="s">
        <v>2734</v>
      </c>
      <c r="H996" s="186" t="s">
        <v>2735</v>
      </c>
      <c r="I996" s="187" t="s">
        <v>2736</v>
      </c>
      <c r="J996" s="187" t="s">
        <v>2737</v>
      </c>
      <c r="K996" s="188"/>
      <c r="L996" s="188"/>
      <c r="M996" s="189" t="s">
        <v>2308</v>
      </c>
      <c r="N996" s="190"/>
      <c r="O996" s="190">
        <f t="shared" si="123"/>
        <v>0</v>
      </c>
      <c r="P996" s="191">
        <f t="shared" si="124"/>
        <v>0</v>
      </c>
      <c r="Q996" s="192">
        <f t="shared" si="125"/>
        <v>0</v>
      </c>
      <c r="R996" s="193"/>
      <c r="S996" s="194"/>
      <c r="T996" s="195">
        <f t="shared" si="126"/>
        <v>0</v>
      </c>
      <c r="U996" s="195">
        <f t="shared" si="127"/>
        <v>0</v>
      </c>
      <c r="V996" s="195">
        <f t="shared" si="128"/>
        <v>0</v>
      </c>
      <c r="W996" s="196" t="e">
        <f t="shared" si="129"/>
        <v>#DIV/0!</v>
      </c>
      <c r="X996" s="197" t="e">
        <f t="shared" si="130"/>
        <v>#DIV/0!</v>
      </c>
    </row>
    <row r="997" ht="11.4" hidden="1" customHeight="1" spans="1:27">
      <c r="A997" s="184" t="s">
        <v>2732</v>
      </c>
      <c r="B997" s="184" t="s">
        <v>355</v>
      </c>
      <c r="C997" s="184" t="s">
        <v>2733</v>
      </c>
      <c r="D997" s="185" t="s">
        <v>522</v>
      </c>
      <c r="E997" s="186" t="s">
        <v>2728</v>
      </c>
      <c r="F997" s="186" t="s">
        <v>2729</v>
      </c>
      <c r="G997" s="186" t="s">
        <v>2734</v>
      </c>
      <c r="H997" s="186" t="s">
        <v>2735</v>
      </c>
      <c r="I997" s="187" t="s">
        <v>2738</v>
      </c>
      <c r="J997" s="187" t="s">
        <v>2739</v>
      </c>
      <c r="K997" s="188"/>
      <c r="L997" s="188"/>
      <c r="M997" s="189" t="s">
        <v>2308</v>
      </c>
      <c r="N997" s="190">
        <v>939</v>
      </c>
      <c r="O997" s="190">
        <f t="shared" si="123"/>
        <v>1023.51</v>
      </c>
      <c r="P997" s="191">
        <f t="shared" si="124"/>
        <v>0</v>
      </c>
      <c r="Q997" s="192">
        <f t="shared" si="125"/>
        <v>0</v>
      </c>
      <c r="R997" s="193"/>
      <c r="S997" s="194"/>
      <c r="T997" s="195">
        <f t="shared" si="126"/>
        <v>0</v>
      </c>
      <c r="U997" s="195">
        <f t="shared" si="127"/>
        <v>0</v>
      </c>
      <c r="V997" s="195">
        <f t="shared" si="128"/>
        <v>0</v>
      </c>
      <c r="W997" s="196" t="e">
        <f t="shared" si="129"/>
        <v>#DIV/0!</v>
      </c>
      <c r="X997" s="197" t="e">
        <f t="shared" si="130"/>
        <v>#DIV/0!</v>
      </c>
    </row>
    <row r="998" ht="11.4" hidden="1" customHeight="1" spans="1:27">
      <c r="A998" s="184" t="s">
        <v>2740</v>
      </c>
      <c r="B998" s="184" t="s">
        <v>363</v>
      </c>
      <c r="C998" s="184" t="s">
        <v>362</v>
      </c>
      <c r="D998" s="185" t="s">
        <v>522</v>
      </c>
      <c r="E998" s="186" t="s">
        <v>2728</v>
      </c>
      <c r="F998" s="186" t="s">
        <v>2729</v>
      </c>
      <c r="G998" s="186" t="s">
        <v>2734</v>
      </c>
      <c r="H998" s="186" t="s">
        <v>2735</v>
      </c>
      <c r="I998" s="187" t="s">
        <v>2741</v>
      </c>
      <c r="J998" s="187" t="s">
        <v>2742</v>
      </c>
      <c r="K998" s="188"/>
      <c r="L998" s="188"/>
      <c r="M998" s="189" t="s">
        <v>989</v>
      </c>
      <c r="N998" s="190">
        <v>4889.85</v>
      </c>
      <c r="O998" s="190">
        <f t="shared" si="123"/>
        <v>5329.94</v>
      </c>
      <c r="P998" s="191">
        <f t="shared" si="124"/>
        <v>0</v>
      </c>
      <c r="Q998" s="192">
        <f t="shared" si="125"/>
        <v>0</v>
      </c>
      <c r="R998" s="193"/>
      <c r="S998" s="194"/>
      <c r="T998" s="195">
        <f t="shared" si="126"/>
        <v>0</v>
      </c>
      <c r="U998" s="195">
        <f t="shared" si="127"/>
        <v>0</v>
      </c>
      <c r="V998" s="195">
        <f t="shared" si="128"/>
        <v>0</v>
      </c>
      <c r="W998" s="196" t="e">
        <f t="shared" si="129"/>
        <v>#DIV/0!</v>
      </c>
      <c r="X998" s="197" t="e">
        <f t="shared" si="130"/>
        <v>#DIV/0!</v>
      </c>
    </row>
    <row r="999" ht="11.4" hidden="1" customHeight="1" spans="1:27">
      <c r="A999" s="184" t="s">
        <v>2732</v>
      </c>
      <c r="B999" s="184" t="s">
        <v>355</v>
      </c>
      <c r="C999" s="184" t="s">
        <v>2743</v>
      </c>
      <c r="D999" s="185" t="s">
        <v>522</v>
      </c>
      <c r="E999" s="186" t="s">
        <v>2728</v>
      </c>
      <c r="F999" s="186" t="s">
        <v>2729</v>
      </c>
      <c r="G999" s="186" t="s">
        <v>2734</v>
      </c>
      <c r="H999" s="186" t="s">
        <v>2735</v>
      </c>
      <c r="I999" s="187" t="s">
        <v>2744</v>
      </c>
      <c r="J999" s="161" t="s">
        <v>2745</v>
      </c>
      <c r="K999" s="188">
        <v>1</v>
      </c>
      <c r="L999" s="188">
        <v>1</v>
      </c>
      <c r="M999" s="189" t="s">
        <v>793</v>
      </c>
      <c r="N999" s="190">
        <v>8944.69</v>
      </c>
      <c r="O999" s="190">
        <f t="shared" si="123"/>
        <v>9749.71</v>
      </c>
      <c r="P999" s="191">
        <f t="shared" si="124"/>
        <v>8944.69</v>
      </c>
      <c r="Q999" s="192">
        <f t="shared" si="125"/>
        <v>8944.69</v>
      </c>
      <c r="R999" s="193"/>
      <c r="S999" s="194"/>
      <c r="T999" s="195">
        <f t="shared" si="126"/>
        <v>0</v>
      </c>
      <c r="U999" s="195">
        <f t="shared" si="127"/>
        <v>0</v>
      </c>
      <c r="V999" s="195">
        <f t="shared" si="128"/>
        <v>0</v>
      </c>
      <c r="W999" s="196">
        <f t="shared" si="129"/>
        <v>0</v>
      </c>
      <c r="X999" s="197">
        <f t="shared" si="130"/>
        <v>0</v>
      </c>
    </row>
    <row r="1000" ht="11.4" hidden="1" customHeight="1" spans="1:27">
      <c r="A1000" s="184" t="s">
        <v>2732</v>
      </c>
      <c r="B1000" s="184" t="s">
        <v>355</v>
      </c>
      <c r="C1000" s="184" t="s">
        <v>2743</v>
      </c>
      <c r="D1000" s="185" t="s">
        <v>522</v>
      </c>
      <c r="E1000" s="186" t="s">
        <v>2728</v>
      </c>
      <c r="F1000" s="186" t="s">
        <v>2729</v>
      </c>
      <c r="G1000" s="186" t="s">
        <v>2734</v>
      </c>
      <c r="H1000" s="186" t="s">
        <v>2735</v>
      </c>
      <c r="I1000" s="187" t="s">
        <v>2746</v>
      </c>
      <c r="J1000" s="187" t="s">
        <v>2747</v>
      </c>
      <c r="K1000" s="188"/>
      <c r="L1000" s="188"/>
      <c r="M1000" s="189" t="s">
        <v>793</v>
      </c>
      <c r="N1000" s="190">
        <v>9276.48</v>
      </c>
      <c r="O1000" s="190">
        <f t="shared" si="123"/>
        <v>10111.36</v>
      </c>
      <c r="P1000" s="191">
        <f t="shared" si="124"/>
        <v>0</v>
      </c>
      <c r="Q1000" s="192">
        <f t="shared" si="125"/>
        <v>0</v>
      </c>
      <c r="R1000" s="193"/>
      <c r="S1000" s="194"/>
      <c r="T1000" s="195">
        <f t="shared" si="126"/>
        <v>0</v>
      </c>
      <c r="U1000" s="195">
        <f t="shared" si="127"/>
        <v>0</v>
      </c>
      <c r="V1000" s="195">
        <f t="shared" si="128"/>
        <v>0</v>
      </c>
      <c r="W1000" s="196" t="e">
        <f t="shared" si="129"/>
        <v>#DIV/0!</v>
      </c>
      <c r="X1000" s="197" t="e">
        <f t="shared" si="130"/>
        <v>#DIV/0!</v>
      </c>
    </row>
    <row r="1001" ht="11.4" hidden="1" customHeight="1" spans="1:27">
      <c r="A1001" s="184" t="s">
        <v>2732</v>
      </c>
      <c r="B1001" s="184" t="s">
        <v>355</v>
      </c>
      <c r="C1001" s="184" t="s">
        <v>2743</v>
      </c>
      <c r="D1001" s="185" t="s">
        <v>522</v>
      </c>
      <c r="E1001" s="186" t="s">
        <v>2728</v>
      </c>
      <c r="F1001" s="186" t="s">
        <v>2729</v>
      </c>
      <c r="G1001" s="186" t="s">
        <v>2734</v>
      </c>
      <c r="H1001" s="186" t="s">
        <v>2735</v>
      </c>
      <c r="I1001" s="187" t="s">
        <v>2748</v>
      </c>
      <c r="J1001" s="187" t="s">
        <v>2749</v>
      </c>
      <c r="K1001" s="188"/>
      <c r="L1001" s="188"/>
      <c r="M1001" s="189" t="s">
        <v>793</v>
      </c>
      <c r="N1001" s="190">
        <v>4264.19</v>
      </c>
      <c r="O1001" s="190">
        <f t="shared" si="123"/>
        <v>4647.97</v>
      </c>
      <c r="P1001" s="191">
        <f t="shared" si="124"/>
        <v>0</v>
      </c>
      <c r="Q1001" s="192">
        <f t="shared" si="125"/>
        <v>0</v>
      </c>
      <c r="R1001" s="193"/>
      <c r="S1001" s="194"/>
      <c r="T1001" s="195">
        <f t="shared" si="126"/>
        <v>0</v>
      </c>
      <c r="U1001" s="195">
        <f t="shared" si="127"/>
        <v>0</v>
      </c>
      <c r="V1001" s="195">
        <f t="shared" si="128"/>
        <v>0</v>
      </c>
      <c r="W1001" s="196" t="e">
        <f t="shared" si="129"/>
        <v>#DIV/0!</v>
      </c>
      <c r="X1001" s="197" t="e">
        <f t="shared" si="130"/>
        <v>#DIV/0!</v>
      </c>
    </row>
    <row r="1002" ht="11.4" hidden="1" customHeight="1" spans="1:27">
      <c r="A1002" s="184" t="s">
        <v>2750</v>
      </c>
      <c r="B1002" s="184" t="s">
        <v>359</v>
      </c>
      <c r="C1002" s="184" t="s">
        <v>358</v>
      </c>
      <c r="D1002" s="185" t="s">
        <v>522</v>
      </c>
      <c r="E1002" s="186" t="s">
        <v>2728</v>
      </c>
      <c r="F1002" s="186" t="s">
        <v>2729</v>
      </c>
      <c r="G1002" s="186" t="s">
        <v>2751</v>
      </c>
      <c r="H1002" s="186" t="s">
        <v>2752</v>
      </c>
      <c r="I1002" s="187" t="s">
        <v>2753</v>
      </c>
      <c r="J1002" s="187" t="s">
        <v>2752</v>
      </c>
      <c r="K1002" s="188"/>
      <c r="L1002" s="188"/>
      <c r="M1002" s="189" t="s">
        <v>989</v>
      </c>
      <c r="N1002" s="190">
        <v>10650.04</v>
      </c>
      <c r="O1002" s="190">
        <f t="shared" si="123"/>
        <v>11608.54</v>
      </c>
      <c r="P1002" s="191">
        <f t="shared" si="124"/>
        <v>0</v>
      </c>
      <c r="Q1002" s="192">
        <f t="shared" si="125"/>
        <v>0</v>
      </c>
      <c r="R1002" s="193"/>
      <c r="S1002" s="194"/>
      <c r="T1002" s="195">
        <f t="shared" si="126"/>
        <v>0</v>
      </c>
      <c r="U1002" s="195">
        <f t="shared" si="127"/>
        <v>0</v>
      </c>
      <c r="V1002" s="195">
        <f t="shared" si="128"/>
        <v>0</v>
      </c>
      <c r="W1002" s="196" t="e">
        <f t="shared" si="129"/>
        <v>#DIV/0!</v>
      </c>
      <c r="X1002" s="197" t="e">
        <f t="shared" si="130"/>
        <v>#DIV/0!</v>
      </c>
    </row>
    <row r="1003" ht="11.4" hidden="1" customHeight="1" spans="1:27">
      <c r="A1003" s="184" t="s">
        <v>2750</v>
      </c>
      <c r="B1003" s="184" t="s">
        <v>359</v>
      </c>
      <c r="C1003" s="184" t="s">
        <v>358</v>
      </c>
      <c r="D1003" s="185" t="s">
        <v>522</v>
      </c>
      <c r="E1003" s="186" t="s">
        <v>2728</v>
      </c>
      <c r="F1003" s="186" t="s">
        <v>2729</v>
      </c>
      <c r="G1003" s="186" t="s">
        <v>2751</v>
      </c>
      <c r="H1003" s="186" t="s">
        <v>2754</v>
      </c>
      <c r="I1003" s="187" t="s">
        <v>2755</v>
      </c>
      <c r="J1003" s="187" t="s">
        <v>2754</v>
      </c>
      <c r="K1003" s="188"/>
      <c r="L1003" s="188"/>
      <c r="M1003" s="189" t="s">
        <v>989</v>
      </c>
      <c r="N1003" s="190">
        <v>29506.31</v>
      </c>
      <c r="O1003" s="190">
        <f t="shared" si="123"/>
        <v>32161.88</v>
      </c>
      <c r="P1003" s="191">
        <f t="shared" si="124"/>
        <v>0</v>
      </c>
      <c r="Q1003" s="192">
        <f t="shared" si="125"/>
        <v>0</v>
      </c>
      <c r="R1003" s="193"/>
      <c r="S1003" s="194"/>
      <c r="T1003" s="195">
        <f t="shared" si="126"/>
        <v>0</v>
      </c>
      <c r="U1003" s="195">
        <f t="shared" si="127"/>
        <v>0</v>
      </c>
      <c r="V1003" s="195">
        <f t="shared" si="128"/>
        <v>0</v>
      </c>
      <c r="W1003" s="196" t="e">
        <f t="shared" si="129"/>
        <v>#DIV/0!</v>
      </c>
      <c r="X1003" s="197" t="e">
        <f t="shared" si="130"/>
        <v>#DIV/0!</v>
      </c>
    </row>
    <row r="1004" ht="11.4" hidden="1" customHeight="1" spans="1:27">
      <c r="A1004" s="184" t="s">
        <v>2750</v>
      </c>
      <c r="B1004" s="184" t="s">
        <v>359</v>
      </c>
      <c r="C1004" s="184" t="s">
        <v>358</v>
      </c>
      <c r="D1004" s="185" t="s">
        <v>522</v>
      </c>
      <c r="E1004" s="186" t="s">
        <v>2728</v>
      </c>
      <c r="F1004" s="186" t="s">
        <v>2729</v>
      </c>
      <c r="G1004" s="186" t="s">
        <v>2751</v>
      </c>
      <c r="H1004" s="186" t="s">
        <v>2756</v>
      </c>
      <c r="I1004" s="187" t="s">
        <v>2757</v>
      </c>
      <c r="J1004" s="187" t="s">
        <v>3264</v>
      </c>
      <c r="K1004" s="200">
        <v>1</v>
      </c>
      <c r="L1004" s="188"/>
      <c r="M1004" s="189" t="s">
        <v>989</v>
      </c>
      <c r="N1004" s="190">
        <v>9009.01</v>
      </c>
      <c r="O1004" s="190">
        <f t="shared" si="123"/>
        <v>9819.82</v>
      </c>
      <c r="P1004" s="191">
        <f t="shared" si="124"/>
        <v>9009.01</v>
      </c>
      <c r="Q1004" s="192">
        <f t="shared" si="125"/>
        <v>0</v>
      </c>
      <c r="R1004" s="193"/>
      <c r="S1004" s="194"/>
      <c r="T1004" s="195">
        <f t="shared" si="126"/>
        <v>1</v>
      </c>
      <c r="U1004" s="195">
        <f t="shared" si="127"/>
        <v>9009.01</v>
      </c>
      <c r="V1004" s="195">
        <f t="shared" si="128"/>
        <v>9009.01</v>
      </c>
      <c r="W1004" s="196" t="e">
        <f t="shared" si="129"/>
        <v>#DIV/0!</v>
      </c>
      <c r="X1004" s="197" t="e">
        <f t="shared" si="130"/>
        <v>#DIV/0!</v>
      </c>
      <c r="AA1004" s="201" t="s">
        <v>3265</v>
      </c>
    </row>
    <row r="1005" ht="11.4" hidden="1" customHeight="1" spans="1:27">
      <c r="A1005" s="184" t="s">
        <v>2758</v>
      </c>
      <c r="B1005" s="184" t="s">
        <v>378</v>
      </c>
      <c r="C1005" s="184" t="s">
        <v>573</v>
      </c>
      <c r="D1005" s="185" t="s">
        <v>522</v>
      </c>
      <c r="E1005" s="186" t="s">
        <v>2728</v>
      </c>
      <c r="F1005" s="186" t="s">
        <v>2729</v>
      </c>
      <c r="G1005" s="186" t="s">
        <v>2759</v>
      </c>
      <c r="H1005" s="186" t="s">
        <v>570</v>
      </c>
      <c r="I1005" s="187" t="s">
        <v>2760</v>
      </c>
      <c r="J1005" s="187" t="s">
        <v>2761</v>
      </c>
      <c r="K1005" s="188">
        <v>1</v>
      </c>
      <c r="L1005" s="188">
        <v>1</v>
      </c>
      <c r="M1005" s="189" t="s">
        <v>2308</v>
      </c>
      <c r="N1005" s="190">
        <v>1133.63</v>
      </c>
      <c r="O1005" s="190">
        <f t="shared" si="123"/>
        <v>1235.66</v>
      </c>
      <c r="P1005" s="191">
        <f t="shared" si="124"/>
        <v>1133.63</v>
      </c>
      <c r="Q1005" s="192">
        <f t="shared" si="125"/>
        <v>1133.63</v>
      </c>
      <c r="R1005" s="193"/>
      <c r="S1005" s="194"/>
      <c r="T1005" s="195">
        <f t="shared" si="126"/>
        <v>0</v>
      </c>
      <c r="U1005" s="195">
        <f t="shared" si="127"/>
        <v>0</v>
      </c>
      <c r="V1005" s="195">
        <f t="shared" si="128"/>
        <v>0</v>
      </c>
      <c r="W1005" s="196">
        <f t="shared" si="129"/>
        <v>0</v>
      </c>
      <c r="X1005" s="197">
        <f t="shared" si="130"/>
        <v>0</v>
      </c>
    </row>
    <row r="1006" ht="11.4" hidden="1" customHeight="1" spans="1:27">
      <c r="A1006" s="184" t="s">
        <v>2758</v>
      </c>
      <c r="B1006" s="184" t="s">
        <v>378</v>
      </c>
      <c r="C1006" s="184" t="s">
        <v>2763</v>
      </c>
      <c r="D1006" s="185" t="s">
        <v>522</v>
      </c>
      <c r="E1006" s="186" t="s">
        <v>2728</v>
      </c>
      <c r="F1006" s="186" t="s">
        <v>2729</v>
      </c>
      <c r="G1006" s="186" t="s">
        <v>2759</v>
      </c>
      <c r="H1006" s="186" t="s">
        <v>570</v>
      </c>
      <c r="I1006" s="187" t="s">
        <v>2764</v>
      </c>
      <c r="J1006" s="187" t="s">
        <v>2765</v>
      </c>
      <c r="K1006" s="188">
        <v>6</v>
      </c>
      <c r="L1006" s="188">
        <v>6</v>
      </c>
      <c r="M1006" s="189" t="s">
        <v>1018</v>
      </c>
      <c r="N1006" s="190">
        <v>262.5</v>
      </c>
      <c r="O1006" s="190">
        <f t="shared" si="123"/>
        <v>286.13</v>
      </c>
      <c r="P1006" s="191">
        <f t="shared" si="124"/>
        <v>1575</v>
      </c>
      <c r="Q1006" s="192">
        <f t="shared" si="125"/>
        <v>1575</v>
      </c>
      <c r="R1006" s="193"/>
      <c r="S1006" s="194"/>
      <c r="T1006" s="195">
        <f t="shared" si="126"/>
        <v>0</v>
      </c>
      <c r="U1006" s="195">
        <f t="shared" si="127"/>
        <v>0</v>
      </c>
      <c r="V1006" s="195">
        <f t="shared" si="128"/>
        <v>0</v>
      </c>
      <c r="W1006" s="196">
        <f t="shared" si="129"/>
        <v>0</v>
      </c>
      <c r="X1006" s="197">
        <f t="shared" si="130"/>
        <v>0</v>
      </c>
    </row>
    <row r="1007" ht="11.4" hidden="1" customHeight="1" spans="1:27">
      <c r="A1007" s="184" t="s">
        <v>2758</v>
      </c>
      <c r="B1007" s="184" t="s">
        <v>378</v>
      </c>
      <c r="C1007" s="184" t="s">
        <v>2763</v>
      </c>
      <c r="D1007" s="185" t="s">
        <v>522</v>
      </c>
      <c r="E1007" s="186" t="s">
        <v>2728</v>
      </c>
      <c r="F1007" s="186" t="s">
        <v>2729</v>
      </c>
      <c r="G1007" s="186" t="s">
        <v>2759</v>
      </c>
      <c r="H1007" s="186" t="s">
        <v>570</v>
      </c>
      <c r="I1007" s="187" t="s">
        <v>2766</v>
      </c>
      <c r="J1007" s="187" t="s">
        <v>2767</v>
      </c>
      <c r="K1007" s="188"/>
      <c r="L1007" s="188"/>
      <c r="M1007" s="189" t="s">
        <v>1018</v>
      </c>
      <c r="N1007" s="190">
        <v>220.5</v>
      </c>
      <c r="O1007" s="190">
        <f t="shared" si="123"/>
        <v>240.35</v>
      </c>
      <c r="P1007" s="191">
        <f t="shared" si="124"/>
        <v>0</v>
      </c>
      <c r="Q1007" s="192">
        <f t="shared" si="125"/>
        <v>0</v>
      </c>
      <c r="R1007" s="193"/>
      <c r="S1007" s="194"/>
      <c r="T1007" s="195">
        <f t="shared" si="126"/>
        <v>0</v>
      </c>
      <c r="U1007" s="195">
        <f t="shared" si="127"/>
        <v>0</v>
      </c>
      <c r="V1007" s="195">
        <f t="shared" si="128"/>
        <v>0</v>
      </c>
      <c r="W1007" s="196" t="e">
        <f t="shared" si="129"/>
        <v>#DIV/0!</v>
      </c>
      <c r="X1007" s="197" t="e">
        <f t="shared" si="130"/>
        <v>#DIV/0!</v>
      </c>
    </row>
    <row r="1008" ht="11.4" hidden="1" customHeight="1" spans="1:27">
      <c r="A1008" s="184" t="s">
        <v>2768</v>
      </c>
      <c r="B1008" s="184" t="s">
        <v>394</v>
      </c>
      <c r="C1008" s="184" t="s">
        <v>393</v>
      </c>
      <c r="D1008" s="185" t="s">
        <v>522</v>
      </c>
      <c r="E1008" s="186" t="s">
        <v>2728</v>
      </c>
      <c r="F1008" s="186" t="s">
        <v>2769</v>
      </c>
      <c r="G1008" s="186" t="s">
        <v>582</v>
      </c>
      <c r="H1008" s="186" t="s">
        <v>582</v>
      </c>
      <c r="I1008" s="187" t="s">
        <v>2770</v>
      </c>
      <c r="J1008" s="187" t="s">
        <v>576</v>
      </c>
      <c r="K1008" s="188">
        <v>1</v>
      </c>
      <c r="L1008" s="188">
        <v>1</v>
      </c>
      <c r="M1008" s="189" t="s">
        <v>2308</v>
      </c>
      <c r="N1008" s="190">
        <v>402</v>
      </c>
      <c r="O1008" s="190">
        <f t="shared" si="123"/>
        <v>438.18</v>
      </c>
      <c r="P1008" s="191">
        <f t="shared" si="124"/>
        <v>402</v>
      </c>
      <c r="Q1008" s="192">
        <f t="shared" si="125"/>
        <v>402</v>
      </c>
      <c r="R1008" s="193"/>
      <c r="S1008" s="194"/>
      <c r="T1008" s="195">
        <f t="shared" si="126"/>
        <v>0</v>
      </c>
      <c r="U1008" s="195">
        <f t="shared" si="127"/>
        <v>0</v>
      </c>
      <c r="V1008" s="195">
        <f t="shared" si="128"/>
        <v>0</v>
      </c>
      <c r="W1008" s="196">
        <f t="shared" si="129"/>
        <v>0</v>
      </c>
      <c r="X1008" s="197">
        <f t="shared" si="130"/>
        <v>0</v>
      </c>
    </row>
    <row r="1009" ht="11.4" hidden="1" customHeight="1" spans="1:24">
      <c r="A1009" s="184" t="s">
        <v>2771</v>
      </c>
      <c r="B1009" s="184" t="s">
        <v>401</v>
      </c>
      <c r="C1009" s="184" t="s">
        <v>400</v>
      </c>
      <c r="D1009" s="185" t="s">
        <v>522</v>
      </c>
      <c r="E1009" s="186" t="s">
        <v>2728</v>
      </c>
      <c r="F1009" s="186" t="s">
        <v>2772</v>
      </c>
      <c r="G1009" s="186" t="s">
        <v>2773</v>
      </c>
      <c r="H1009" s="186" t="s">
        <v>2773</v>
      </c>
      <c r="I1009" s="187" t="s">
        <v>2774</v>
      </c>
      <c r="J1009" s="187" t="s">
        <v>2775</v>
      </c>
      <c r="K1009" s="188">
        <v>3</v>
      </c>
      <c r="L1009" s="188">
        <v>3</v>
      </c>
      <c r="M1009" s="189" t="s">
        <v>2308</v>
      </c>
      <c r="N1009" s="190">
        <v>1413.32</v>
      </c>
      <c r="O1009" s="190">
        <f t="shared" si="123"/>
        <v>1540.52</v>
      </c>
      <c r="P1009" s="191">
        <f t="shared" si="124"/>
        <v>4239.96</v>
      </c>
      <c r="Q1009" s="192">
        <f t="shared" si="125"/>
        <v>4239.96</v>
      </c>
      <c r="R1009" s="193"/>
      <c r="S1009" s="194"/>
      <c r="T1009" s="195">
        <f t="shared" si="126"/>
        <v>0</v>
      </c>
      <c r="U1009" s="195">
        <f t="shared" si="127"/>
        <v>0</v>
      </c>
      <c r="V1009" s="195">
        <f t="shared" si="128"/>
        <v>0</v>
      </c>
      <c r="W1009" s="196">
        <f t="shared" si="129"/>
        <v>0</v>
      </c>
      <c r="X1009" s="197">
        <f t="shared" si="130"/>
        <v>0</v>
      </c>
    </row>
    <row r="1010" ht="11.4" hidden="1" customHeight="1" spans="1:24">
      <c r="A1010" s="184" t="s">
        <v>2771</v>
      </c>
      <c r="B1010" s="184" t="s">
        <v>401</v>
      </c>
      <c r="C1010" s="184" t="s">
        <v>400</v>
      </c>
      <c r="D1010" s="185" t="s">
        <v>522</v>
      </c>
      <c r="E1010" s="186" t="s">
        <v>2728</v>
      </c>
      <c r="F1010" s="186" t="s">
        <v>2772</v>
      </c>
      <c r="G1010" s="186" t="s">
        <v>2773</v>
      </c>
      <c r="H1010" s="186" t="s">
        <v>2773</v>
      </c>
      <c r="I1010" s="187" t="s">
        <v>2776</v>
      </c>
      <c r="J1010" s="187" t="s">
        <v>2777</v>
      </c>
      <c r="K1010" s="188"/>
      <c r="L1010" s="188"/>
      <c r="M1010" s="189" t="s">
        <v>2308</v>
      </c>
      <c r="N1010" s="190">
        <v>1413.32</v>
      </c>
      <c r="O1010" s="190">
        <f t="shared" si="123"/>
        <v>1540.52</v>
      </c>
      <c r="P1010" s="191">
        <f t="shared" si="124"/>
        <v>0</v>
      </c>
      <c r="Q1010" s="192">
        <f t="shared" si="125"/>
        <v>0</v>
      </c>
      <c r="R1010" s="193"/>
      <c r="S1010" s="194"/>
      <c r="T1010" s="195">
        <f t="shared" si="126"/>
        <v>0</v>
      </c>
      <c r="U1010" s="195">
        <f t="shared" si="127"/>
        <v>0</v>
      </c>
      <c r="V1010" s="195">
        <f t="shared" si="128"/>
        <v>0</v>
      </c>
      <c r="W1010" s="196" t="e">
        <f t="shared" si="129"/>
        <v>#DIV/0!</v>
      </c>
      <c r="X1010" s="197" t="e">
        <f t="shared" si="130"/>
        <v>#DIV/0!</v>
      </c>
    </row>
    <row r="1011" ht="11.4" hidden="1" customHeight="1" spans="1:24">
      <c r="A1011" s="184" t="s">
        <v>2771</v>
      </c>
      <c r="B1011" s="184" t="s">
        <v>401</v>
      </c>
      <c r="C1011" s="184" t="s">
        <v>400</v>
      </c>
      <c r="D1011" s="185" t="s">
        <v>522</v>
      </c>
      <c r="E1011" s="186" t="s">
        <v>2728</v>
      </c>
      <c r="F1011" s="186" t="s">
        <v>2772</v>
      </c>
      <c r="G1011" s="186" t="s">
        <v>2773</v>
      </c>
      <c r="H1011" s="186" t="s">
        <v>2773</v>
      </c>
      <c r="I1011" s="187" t="s">
        <v>2778</v>
      </c>
      <c r="J1011" s="187" t="s">
        <v>2779</v>
      </c>
      <c r="K1011" s="188"/>
      <c r="L1011" s="188"/>
      <c r="M1011" s="189" t="s">
        <v>2308</v>
      </c>
      <c r="N1011" s="190">
        <v>1600.08</v>
      </c>
      <c r="O1011" s="190">
        <f t="shared" si="123"/>
        <v>1744.09</v>
      </c>
      <c r="P1011" s="191">
        <f t="shared" si="124"/>
        <v>0</v>
      </c>
      <c r="Q1011" s="192">
        <f t="shared" si="125"/>
        <v>0</v>
      </c>
      <c r="R1011" s="193"/>
      <c r="S1011" s="194"/>
      <c r="T1011" s="195">
        <f t="shared" si="126"/>
        <v>0</v>
      </c>
      <c r="U1011" s="195">
        <f t="shared" si="127"/>
        <v>0</v>
      </c>
      <c r="V1011" s="195">
        <f t="shared" si="128"/>
        <v>0</v>
      </c>
      <c r="W1011" s="196" t="e">
        <f t="shared" si="129"/>
        <v>#DIV/0!</v>
      </c>
      <c r="X1011" s="197" t="e">
        <f t="shared" si="130"/>
        <v>#DIV/0!</v>
      </c>
    </row>
    <row r="1012" ht="11.4" hidden="1" customHeight="1" spans="1:24">
      <c r="A1012" s="184" t="s">
        <v>2771</v>
      </c>
      <c r="B1012" s="184" t="s">
        <v>401</v>
      </c>
      <c r="C1012" s="184" t="s">
        <v>400</v>
      </c>
      <c r="D1012" s="185" t="s">
        <v>522</v>
      </c>
      <c r="E1012" s="186" t="s">
        <v>2728</v>
      </c>
      <c r="F1012" s="186" t="s">
        <v>2772</v>
      </c>
      <c r="G1012" s="186" t="s">
        <v>2773</v>
      </c>
      <c r="H1012" s="186" t="s">
        <v>2773</v>
      </c>
      <c r="I1012" s="187" t="s">
        <v>2780</v>
      </c>
      <c r="J1012" s="187" t="s">
        <v>2781</v>
      </c>
      <c r="K1012" s="188"/>
      <c r="L1012" s="188"/>
      <c r="M1012" s="189" t="s">
        <v>963</v>
      </c>
      <c r="N1012" s="190">
        <v>2295.13</v>
      </c>
      <c r="O1012" s="190">
        <f t="shared" si="123"/>
        <v>2501.69</v>
      </c>
      <c r="P1012" s="191">
        <f t="shared" si="124"/>
        <v>0</v>
      </c>
      <c r="Q1012" s="192">
        <f t="shared" si="125"/>
        <v>0</v>
      </c>
      <c r="R1012" s="193"/>
      <c r="S1012" s="194"/>
      <c r="T1012" s="195">
        <f t="shared" si="126"/>
        <v>0</v>
      </c>
      <c r="U1012" s="195">
        <f t="shared" si="127"/>
        <v>0</v>
      </c>
      <c r="V1012" s="195">
        <f t="shared" si="128"/>
        <v>0</v>
      </c>
      <c r="W1012" s="196" t="e">
        <f t="shared" si="129"/>
        <v>#DIV/0!</v>
      </c>
      <c r="X1012" s="197" t="e">
        <f t="shared" si="130"/>
        <v>#DIV/0!</v>
      </c>
    </row>
    <row r="1013" ht="11.4" hidden="1" customHeight="1" spans="1:24">
      <c r="A1013" s="184" t="s">
        <v>2771</v>
      </c>
      <c r="B1013" s="184" t="s">
        <v>401</v>
      </c>
      <c r="C1013" s="184" t="s">
        <v>400</v>
      </c>
      <c r="D1013" s="185" t="s">
        <v>522</v>
      </c>
      <c r="E1013" s="186" t="s">
        <v>2728</v>
      </c>
      <c r="F1013" s="186" t="s">
        <v>2772</v>
      </c>
      <c r="G1013" s="186" t="s">
        <v>2773</v>
      </c>
      <c r="H1013" s="186" t="s">
        <v>2773</v>
      </c>
      <c r="I1013" s="187" t="s">
        <v>2782</v>
      </c>
      <c r="J1013" s="187" t="s">
        <v>2783</v>
      </c>
      <c r="K1013" s="188">
        <v>1</v>
      </c>
      <c r="L1013" s="188">
        <v>1</v>
      </c>
      <c r="M1013" s="189" t="s">
        <v>2308</v>
      </c>
      <c r="N1013" s="190">
        <v>2520</v>
      </c>
      <c r="O1013" s="190">
        <f t="shared" si="123"/>
        <v>2746.8</v>
      </c>
      <c r="P1013" s="191">
        <f t="shared" si="124"/>
        <v>2520</v>
      </c>
      <c r="Q1013" s="192">
        <f t="shared" si="125"/>
        <v>2520</v>
      </c>
      <c r="R1013" s="193"/>
      <c r="S1013" s="194"/>
      <c r="T1013" s="195">
        <f t="shared" si="126"/>
        <v>0</v>
      </c>
      <c r="U1013" s="195">
        <f t="shared" si="127"/>
        <v>0</v>
      </c>
      <c r="V1013" s="195">
        <f t="shared" si="128"/>
        <v>0</v>
      </c>
      <c r="W1013" s="196">
        <f t="shared" si="129"/>
        <v>0</v>
      </c>
      <c r="X1013" s="197">
        <f t="shared" si="130"/>
        <v>0</v>
      </c>
    </row>
    <row r="1014" ht="11.4" hidden="1" customHeight="1" spans="1:24">
      <c r="A1014" s="184" t="s">
        <v>2771</v>
      </c>
      <c r="B1014" s="184" t="s">
        <v>401</v>
      </c>
      <c r="C1014" s="184" t="s">
        <v>400</v>
      </c>
      <c r="D1014" s="185" t="s">
        <v>522</v>
      </c>
      <c r="E1014" s="186" t="s">
        <v>2728</v>
      </c>
      <c r="F1014" s="186" t="s">
        <v>2772</v>
      </c>
      <c r="G1014" s="186" t="s">
        <v>2773</v>
      </c>
      <c r="H1014" s="186" t="s">
        <v>2773</v>
      </c>
      <c r="I1014" s="187" t="s">
        <v>2784</v>
      </c>
      <c r="J1014" s="187" t="s">
        <v>2785</v>
      </c>
      <c r="K1014" s="188">
        <v>1</v>
      </c>
      <c r="L1014" s="188">
        <v>1</v>
      </c>
      <c r="M1014" s="189" t="s">
        <v>2308</v>
      </c>
      <c r="N1014" s="190">
        <v>1417.5</v>
      </c>
      <c r="O1014" s="190">
        <f t="shared" si="123"/>
        <v>1545.08</v>
      </c>
      <c r="P1014" s="191">
        <f t="shared" si="124"/>
        <v>1417.5</v>
      </c>
      <c r="Q1014" s="192">
        <f t="shared" si="125"/>
        <v>1417.5</v>
      </c>
      <c r="R1014" s="193"/>
      <c r="S1014" s="194"/>
      <c r="T1014" s="195">
        <f t="shared" si="126"/>
        <v>0</v>
      </c>
      <c r="U1014" s="195">
        <f t="shared" si="127"/>
        <v>0</v>
      </c>
      <c r="V1014" s="195">
        <f t="shared" si="128"/>
        <v>0</v>
      </c>
      <c r="W1014" s="196">
        <f t="shared" si="129"/>
        <v>0</v>
      </c>
      <c r="X1014" s="197">
        <f t="shared" si="130"/>
        <v>0</v>
      </c>
    </row>
    <row r="1015" ht="11.4" hidden="1" customHeight="1" spans="1:24">
      <c r="A1015" s="184" t="s">
        <v>2771</v>
      </c>
      <c r="B1015" s="184" t="s">
        <v>401</v>
      </c>
      <c r="C1015" s="184" t="s">
        <v>400</v>
      </c>
      <c r="D1015" s="185" t="s">
        <v>522</v>
      </c>
      <c r="E1015" s="186" t="s">
        <v>2728</v>
      </c>
      <c r="F1015" s="186" t="s">
        <v>2772</v>
      </c>
      <c r="G1015" s="186" t="s">
        <v>2773</v>
      </c>
      <c r="H1015" s="186" t="s">
        <v>2773</v>
      </c>
      <c r="I1015" s="187" t="s">
        <v>2786</v>
      </c>
      <c r="J1015" s="187" t="s">
        <v>2787</v>
      </c>
      <c r="K1015" s="188">
        <v>1</v>
      </c>
      <c r="L1015" s="188">
        <v>1</v>
      </c>
      <c r="M1015" s="189" t="s">
        <v>2308</v>
      </c>
      <c r="N1015" s="190">
        <v>761.25</v>
      </c>
      <c r="O1015" s="190">
        <f t="shared" si="123"/>
        <v>829.76</v>
      </c>
      <c r="P1015" s="191">
        <f t="shared" si="124"/>
        <v>761.25</v>
      </c>
      <c r="Q1015" s="192">
        <f t="shared" si="125"/>
        <v>761.25</v>
      </c>
      <c r="R1015" s="193"/>
      <c r="S1015" s="194"/>
      <c r="T1015" s="195">
        <f t="shared" si="126"/>
        <v>0</v>
      </c>
      <c r="U1015" s="195">
        <f t="shared" si="127"/>
        <v>0</v>
      </c>
      <c r="V1015" s="195">
        <f t="shared" si="128"/>
        <v>0</v>
      </c>
      <c r="W1015" s="196">
        <f t="shared" si="129"/>
        <v>0</v>
      </c>
      <c r="X1015" s="197">
        <f t="shared" si="130"/>
        <v>0</v>
      </c>
    </row>
    <row r="1016" ht="11.4" hidden="1" customHeight="1" spans="1:24">
      <c r="A1016" s="184" t="s">
        <v>2771</v>
      </c>
      <c r="B1016" s="184" t="s">
        <v>401</v>
      </c>
      <c r="C1016" s="184" t="s">
        <v>400</v>
      </c>
      <c r="D1016" s="185" t="s">
        <v>522</v>
      </c>
      <c r="E1016" s="186" t="s">
        <v>2728</v>
      </c>
      <c r="F1016" s="186" t="s">
        <v>2772</v>
      </c>
      <c r="G1016" s="186" t="s">
        <v>2788</v>
      </c>
      <c r="H1016" s="186" t="s">
        <v>2788</v>
      </c>
      <c r="I1016" s="187" t="s">
        <v>2789</v>
      </c>
      <c r="J1016" s="187" t="s">
        <v>2790</v>
      </c>
      <c r="K1016" s="188">
        <v>2</v>
      </c>
      <c r="L1016" s="188">
        <v>2</v>
      </c>
      <c r="M1016" s="189" t="s">
        <v>2308</v>
      </c>
      <c r="N1016" s="190">
        <v>670.89</v>
      </c>
      <c r="O1016" s="190">
        <f t="shared" si="123"/>
        <v>731.27</v>
      </c>
      <c r="P1016" s="191">
        <f t="shared" si="124"/>
        <v>1341.78</v>
      </c>
      <c r="Q1016" s="192">
        <f t="shared" si="125"/>
        <v>1341.78</v>
      </c>
      <c r="R1016" s="193"/>
      <c r="S1016" s="194"/>
      <c r="T1016" s="195">
        <f t="shared" si="126"/>
        <v>0</v>
      </c>
      <c r="U1016" s="195">
        <f t="shared" si="127"/>
        <v>0</v>
      </c>
      <c r="V1016" s="195">
        <f t="shared" si="128"/>
        <v>0</v>
      </c>
      <c r="W1016" s="196">
        <f t="shared" si="129"/>
        <v>0</v>
      </c>
      <c r="X1016" s="197">
        <f t="shared" si="130"/>
        <v>0</v>
      </c>
    </row>
    <row r="1017" ht="11.4" hidden="1" customHeight="1" spans="1:24">
      <c r="A1017" s="184" t="s">
        <v>2791</v>
      </c>
      <c r="B1017" s="184" t="s">
        <v>405</v>
      </c>
      <c r="C1017" s="184" t="s">
        <v>404</v>
      </c>
      <c r="D1017" s="185" t="s">
        <v>522</v>
      </c>
      <c r="E1017" s="186" t="s">
        <v>2728</v>
      </c>
      <c r="F1017" s="186" t="s">
        <v>2772</v>
      </c>
      <c r="G1017" s="186" t="s">
        <v>2792</v>
      </c>
      <c r="H1017" s="186" t="s">
        <v>578</v>
      </c>
      <c r="I1017" s="187" t="s">
        <v>2793</v>
      </c>
      <c r="J1017" s="187" t="s">
        <v>2794</v>
      </c>
      <c r="K1017" s="188"/>
      <c r="L1017" s="188"/>
      <c r="M1017" s="189" t="s">
        <v>2308</v>
      </c>
      <c r="N1017" s="190">
        <v>7311.91</v>
      </c>
      <c r="O1017" s="190">
        <f t="shared" si="123"/>
        <v>7969.98</v>
      </c>
      <c r="P1017" s="191">
        <f t="shared" si="124"/>
        <v>0</v>
      </c>
      <c r="Q1017" s="192">
        <f t="shared" si="125"/>
        <v>0</v>
      </c>
      <c r="R1017" s="193"/>
      <c r="S1017" s="194"/>
      <c r="T1017" s="195">
        <f t="shared" si="126"/>
        <v>0</v>
      </c>
      <c r="U1017" s="195">
        <f t="shared" si="127"/>
        <v>0</v>
      </c>
      <c r="V1017" s="195">
        <f t="shared" si="128"/>
        <v>0</v>
      </c>
      <c r="W1017" s="196" t="e">
        <f t="shared" si="129"/>
        <v>#DIV/0!</v>
      </c>
      <c r="X1017" s="197" t="e">
        <f t="shared" si="130"/>
        <v>#DIV/0!</v>
      </c>
    </row>
    <row r="1018" ht="11.4" hidden="1" customHeight="1" spans="1:24">
      <c r="A1018" s="184" t="s">
        <v>2791</v>
      </c>
      <c r="B1018" s="184" t="s">
        <v>405</v>
      </c>
      <c r="C1018" s="184" t="s">
        <v>404</v>
      </c>
      <c r="D1018" s="185" t="s">
        <v>522</v>
      </c>
      <c r="E1018" s="186" t="s">
        <v>2728</v>
      </c>
      <c r="F1018" s="186" t="s">
        <v>2772</v>
      </c>
      <c r="G1018" s="186" t="s">
        <v>2792</v>
      </c>
      <c r="H1018" s="186" t="s">
        <v>578</v>
      </c>
      <c r="I1018" s="187" t="s">
        <v>2795</v>
      </c>
      <c r="J1018" s="187" t="s">
        <v>2796</v>
      </c>
      <c r="K1018" s="188">
        <v>1</v>
      </c>
      <c r="L1018" s="188">
        <v>1</v>
      </c>
      <c r="M1018" s="189" t="s">
        <v>2308</v>
      </c>
      <c r="N1018" s="190">
        <v>6891.91</v>
      </c>
      <c r="O1018" s="190">
        <f t="shared" si="123"/>
        <v>7512.18</v>
      </c>
      <c r="P1018" s="191">
        <f t="shared" si="124"/>
        <v>6891.91</v>
      </c>
      <c r="Q1018" s="192">
        <f t="shared" si="125"/>
        <v>6891.91</v>
      </c>
      <c r="R1018" s="193"/>
      <c r="S1018" s="194"/>
      <c r="T1018" s="195">
        <f t="shared" si="126"/>
        <v>0</v>
      </c>
      <c r="U1018" s="195">
        <f t="shared" si="127"/>
        <v>0</v>
      </c>
      <c r="V1018" s="195">
        <f t="shared" si="128"/>
        <v>0</v>
      </c>
      <c r="W1018" s="196">
        <f t="shared" si="129"/>
        <v>0</v>
      </c>
      <c r="X1018" s="197">
        <f t="shared" si="130"/>
        <v>0</v>
      </c>
    </row>
    <row r="1019" ht="11.4" hidden="1" customHeight="1" spans="1:24">
      <c r="A1019" s="184" t="s">
        <v>2791</v>
      </c>
      <c r="B1019" s="184" t="s">
        <v>405</v>
      </c>
      <c r="C1019" s="184" t="s">
        <v>404</v>
      </c>
      <c r="D1019" s="185" t="s">
        <v>522</v>
      </c>
      <c r="E1019" s="186" t="s">
        <v>2728</v>
      </c>
      <c r="F1019" s="186" t="s">
        <v>2772</v>
      </c>
      <c r="G1019" s="186" t="s">
        <v>2792</v>
      </c>
      <c r="H1019" s="186" t="s">
        <v>578</v>
      </c>
      <c r="I1019" s="187" t="s">
        <v>2797</v>
      </c>
      <c r="J1019" s="187" t="s">
        <v>2798</v>
      </c>
      <c r="K1019" s="188"/>
      <c r="L1019" s="188"/>
      <c r="M1019" s="189" t="s">
        <v>2308</v>
      </c>
      <c r="N1019" s="190">
        <v>1399.38</v>
      </c>
      <c r="O1019" s="190">
        <f t="shared" si="123"/>
        <v>1525.32</v>
      </c>
      <c r="P1019" s="191">
        <f t="shared" si="124"/>
        <v>0</v>
      </c>
      <c r="Q1019" s="192">
        <f t="shared" si="125"/>
        <v>0</v>
      </c>
      <c r="R1019" s="193"/>
      <c r="S1019" s="194"/>
      <c r="T1019" s="195">
        <f t="shared" si="126"/>
        <v>0</v>
      </c>
      <c r="U1019" s="195">
        <f t="shared" si="127"/>
        <v>0</v>
      </c>
      <c r="V1019" s="195">
        <f t="shared" si="128"/>
        <v>0</v>
      </c>
      <c r="W1019" s="196" t="e">
        <f t="shared" si="129"/>
        <v>#DIV/0!</v>
      </c>
      <c r="X1019" s="197" t="e">
        <f t="shared" si="130"/>
        <v>#DIV/0!</v>
      </c>
    </row>
    <row r="1020" ht="11.4" hidden="1" customHeight="1" spans="1:24">
      <c r="A1020" s="184" t="s">
        <v>2791</v>
      </c>
      <c r="B1020" s="184" t="s">
        <v>405</v>
      </c>
      <c r="C1020" s="184" t="s">
        <v>404</v>
      </c>
      <c r="D1020" s="185" t="s">
        <v>522</v>
      </c>
      <c r="E1020" s="186" t="s">
        <v>2728</v>
      </c>
      <c r="F1020" s="186" t="s">
        <v>2772</v>
      </c>
      <c r="G1020" s="186" t="s">
        <v>2792</v>
      </c>
      <c r="H1020" s="186" t="s">
        <v>578</v>
      </c>
      <c r="I1020" s="187" t="s">
        <v>2799</v>
      </c>
      <c r="J1020" s="187" t="s">
        <v>2800</v>
      </c>
      <c r="K1020" s="188"/>
      <c r="L1020" s="188"/>
      <c r="M1020" s="189" t="s">
        <v>2308</v>
      </c>
      <c r="N1020" s="190">
        <v>7312.31</v>
      </c>
      <c r="O1020" s="190">
        <f t="shared" si="123"/>
        <v>7970.42</v>
      </c>
      <c r="P1020" s="191">
        <f t="shared" si="124"/>
        <v>0</v>
      </c>
      <c r="Q1020" s="192">
        <f t="shared" si="125"/>
        <v>0</v>
      </c>
      <c r="R1020" s="193"/>
      <c r="S1020" s="194"/>
      <c r="T1020" s="195">
        <f t="shared" si="126"/>
        <v>0</v>
      </c>
      <c r="U1020" s="195">
        <f t="shared" si="127"/>
        <v>0</v>
      </c>
      <c r="V1020" s="195">
        <f t="shared" si="128"/>
        <v>0</v>
      </c>
      <c r="W1020" s="196" t="e">
        <f t="shared" si="129"/>
        <v>#DIV/0!</v>
      </c>
      <c r="X1020" s="197" t="e">
        <f t="shared" si="130"/>
        <v>#DIV/0!</v>
      </c>
    </row>
    <row r="1021" ht="11.4" hidden="1" customHeight="1" spans="1:24">
      <c r="A1021" s="184" t="s">
        <v>2791</v>
      </c>
      <c r="B1021" s="184" t="s">
        <v>405</v>
      </c>
      <c r="C1021" s="184" t="s">
        <v>404</v>
      </c>
      <c r="D1021" s="185" t="s">
        <v>522</v>
      </c>
      <c r="E1021" s="186" t="s">
        <v>2728</v>
      </c>
      <c r="F1021" s="186" t="s">
        <v>2772</v>
      </c>
      <c r="G1021" s="186" t="s">
        <v>2792</v>
      </c>
      <c r="H1021" s="186" t="s">
        <v>578</v>
      </c>
      <c r="I1021" s="187" t="s">
        <v>2801</v>
      </c>
      <c r="J1021" s="187" t="s">
        <v>2802</v>
      </c>
      <c r="K1021" s="188"/>
      <c r="L1021" s="188"/>
      <c r="M1021" s="189" t="s">
        <v>2308</v>
      </c>
      <c r="N1021" s="190">
        <v>6892.31</v>
      </c>
      <c r="O1021" s="190">
        <f t="shared" si="123"/>
        <v>7512.62</v>
      </c>
      <c r="P1021" s="191">
        <f t="shared" si="124"/>
        <v>0</v>
      </c>
      <c r="Q1021" s="192">
        <f t="shared" si="125"/>
        <v>0</v>
      </c>
      <c r="R1021" s="193"/>
      <c r="S1021" s="194"/>
      <c r="T1021" s="195">
        <f t="shared" si="126"/>
        <v>0</v>
      </c>
      <c r="U1021" s="195">
        <f t="shared" si="127"/>
        <v>0</v>
      </c>
      <c r="V1021" s="195">
        <f t="shared" si="128"/>
        <v>0</v>
      </c>
      <c r="W1021" s="196" t="e">
        <f t="shared" si="129"/>
        <v>#DIV/0!</v>
      </c>
      <c r="X1021" s="197" t="e">
        <f t="shared" si="130"/>
        <v>#DIV/0!</v>
      </c>
    </row>
    <row r="1022" ht="11.4" hidden="1" customHeight="1" spans="1:24">
      <c r="A1022" s="184" t="s">
        <v>2791</v>
      </c>
      <c r="B1022" s="184" t="s">
        <v>405</v>
      </c>
      <c r="C1022" s="184" t="s">
        <v>404</v>
      </c>
      <c r="D1022" s="185" t="s">
        <v>522</v>
      </c>
      <c r="E1022" s="186" t="s">
        <v>2728</v>
      </c>
      <c r="F1022" s="186" t="s">
        <v>2772</v>
      </c>
      <c r="G1022" s="186" t="s">
        <v>2792</v>
      </c>
      <c r="H1022" s="186" t="s">
        <v>578</v>
      </c>
      <c r="I1022" s="187" t="s">
        <v>2803</v>
      </c>
      <c r="J1022" s="187" t="s">
        <v>2804</v>
      </c>
      <c r="K1022" s="188"/>
      <c r="L1022" s="188"/>
      <c r="M1022" s="189" t="s">
        <v>2308</v>
      </c>
      <c r="N1022" s="190">
        <v>1400</v>
      </c>
      <c r="O1022" s="190">
        <f t="shared" si="123"/>
        <v>1526</v>
      </c>
      <c r="P1022" s="191">
        <f t="shared" si="124"/>
        <v>0</v>
      </c>
      <c r="Q1022" s="192">
        <f t="shared" si="125"/>
        <v>0</v>
      </c>
      <c r="R1022" s="193"/>
      <c r="S1022" s="194"/>
      <c r="T1022" s="195">
        <f t="shared" si="126"/>
        <v>0</v>
      </c>
      <c r="U1022" s="195">
        <f t="shared" si="127"/>
        <v>0</v>
      </c>
      <c r="V1022" s="195">
        <f t="shared" si="128"/>
        <v>0</v>
      </c>
      <c r="W1022" s="196" t="e">
        <f t="shared" si="129"/>
        <v>#DIV/0!</v>
      </c>
      <c r="X1022" s="197" t="e">
        <f t="shared" si="130"/>
        <v>#DIV/0!</v>
      </c>
    </row>
    <row r="1023" ht="11.4" hidden="1" customHeight="1" spans="1:24">
      <c r="A1023" s="184" t="s">
        <v>2805</v>
      </c>
      <c r="B1023" s="184" t="s">
        <v>421</v>
      </c>
      <c r="C1023" s="184" t="s">
        <v>420</v>
      </c>
      <c r="D1023" s="185" t="s">
        <v>522</v>
      </c>
      <c r="E1023" s="186" t="s">
        <v>2728</v>
      </c>
      <c r="F1023" s="186" t="s">
        <v>2772</v>
      </c>
      <c r="G1023" s="186" t="s">
        <v>2806</v>
      </c>
      <c r="H1023" s="186" t="s">
        <v>580</v>
      </c>
      <c r="I1023" s="187" t="s">
        <v>2807</v>
      </c>
      <c r="J1023" s="187" t="s">
        <v>2808</v>
      </c>
      <c r="K1023" s="188"/>
      <c r="L1023" s="188"/>
      <c r="M1023" s="189" t="s">
        <v>2308</v>
      </c>
      <c r="N1023" s="190">
        <v>3437.7</v>
      </c>
      <c r="O1023" s="190">
        <f t="shared" si="123"/>
        <v>3747.09</v>
      </c>
      <c r="P1023" s="191">
        <f t="shared" si="124"/>
        <v>0</v>
      </c>
      <c r="Q1023" s="192">
        <f t="shared" si="125"/>
        <v>0</v>
      </c>
      <c r="R1023" s="193"/>
      <c r="S1023" s="194"/>
      <c r="T1023" s="195">
        <f t="shared" si="126"/>
        <v>0</v>
      </c>
      <c r="U1023" s="195">
        <f t="shared" si="127"/>
        <v>0</v>
      </c>
      <c r="V1023" s="195">
        <f t="shared" si="128"/>
        <v>0</v>
      </c>
      <c r="W1023" s="196" t="e">
        <f t="shared" si="129"/>
        <v>#DIV/0!</v>
      </c>
      <c r="X1023" s="197" t="e">
        <f t="shared" si="130"/>
        <v>#DIV/0!</v>
      </c>
    </row>
    <row r="1024" ht="11.4" hidden="1" customHeight="1" spans="1:24">
      <c r="A1024" s="184" t="s">
        <v>2805</v>
      </c>
      <c r="B1024" s="184" t="s">
        <v>421</v>
      </c>
      <c r="C1024" s="184" t="s">
        <v>420</v>
      </c>
      <c r="D1024" s="185" t="s">
        <v>522</v>
      </c>
      <c r="E1024" s="186" t="s">
        <v>2728</v>
      </c>
      <c r="F1024" s="186" t="s">
        <v>2772</v>
      </c>
      <c r="G1024" s="186" t="s">
        <v>2806</v>
      </c>
      <c r="H1024" s="186" t="s">
        <v>580</v>
      </c>
      <c r="I1024" s="187" t="s">
        <v>2809</v>
      </c>
      <c r="J1024" s="187" t="s">
        <v>2810</v>
      </c>
      <c r="K1024" s="188"/>
      <c r="L1024" s="188"/>
      <c r="M1024" s="189" t="s">
        <v>2308</v>
      </c>
      <c r="N1024" s="190">
        <v>4340.7</v>
      </c>
      <c r="O1024" s="190">
        <f t="shared" si="123"/>
        <v>4731.36</v>
      </c>
      <c r="P1024" s="191">
        <f t="shared" si="124"/>
        <v>0</v>
      </c>
      <c r="Q1024" s="192">
        <f t="shared" si="125"/>
        <v>0</v>
      </c>
      <c r="R1024" s="193"/>
      <c r="S1024" s="194"/>
      <c r="T1024" s="195">
        <f t="shared" si="126"/>
        <v>0</v>
      </c>
      <c r="U1024" s="195">
        <f t="shared" si="127"/>
        <v>0</v>
      </c>
      <c r="V1024" s="195">
        <f t="shared" si="128"/>
        <v>0</v>
      </c>
      <c r="W1024" s="196" t="e">
        <f t="shared" si="129"/>
        <v>#DIV/0!</v>
      </c>
      <c r="X1024" s="197" t="e">
        <f t="shared" si="130"/>
        <v>#DIV/0!</v>
      </c>
    </row>
    <row r="1025" ht="11.4" hidden="1" customHeight="1" spans="1:24">
      <c r="A1025" s="184" t="s">
        <v>2811</v>
      </c>
      <c r="B1025" s="184" t="s">
        <v>425</v>
      </c>
      <c r="C1025" s="184" t="s">
        <v>424</v>
      </c>
      <c r="D1025" s="185" t="s">
        <v>522</v>
      </c>
      <c r="E1025" s="186" t="s">
        <v>2728</v>
      </c>
      <c r="F1025" s="186" t="s">
        <v>2772</v>
      </c>
      <c r="G1025" s="186" t="s">
        <v>2812</v>
      </c>
      <c r="H1025" s="186" t="s">
        <v>2813</v>
      </c>
      <c r="I1025" s="187" t="s">
        <v>2814</v>
      </c>
      <c r="J1025" s="187" t="s">
        <v>2815</v>
      </c>
      <c r="K1025" s="188"/>
      <c r="L1025" s="188"/>
      <c r="M1025" s="189" t="s">
        <v>847</v>
      </c>
      <c r="N1025" s="190">
        <v>298</v>
      </c>
      <c r="O1025" s="190">
        <f t="shared" si="123"/>
        <v>324.82</v>
      </c>
      <c r="P1025" s="191">
        <f t="shared" si="124"/>
        <v>0</v>
      </c>
      <c r="Q1025" s="192">
        <f t="shared" si="125"/>
        <v>0</v>
      </c>
      <c r="R1025" s="193"/>
      <c r="S1025" s="194"/>
      <c r="T1025" s="195">
        <f t="shared" si="126"/>
        <v>0</v>
      </c>
      <c r="U1025" s="195">
        <f t="shared" si="127"/>
        <v>0</v>
      </c>
      <c r="V1025" s="195">
        <f t="shared" si="128"/>
        <v>0</v>
      </c>
      <c r="W1025" s="196" t="e">
        <f t="shared" si="129"/>
        <v>#DIV/0!</v>
      </c>
      <c r="X1025" s="197" t="e">
        <f t="shared" si="130"/>
        <v>#DIV/0!</v>
      </c>
    </row>
    <row r="1026" ht="11.4" hidden="1" customHeight="1" spans="1:24">
      <c r="A1026" s="184" t="s">
        <v>2811</v>
      </c>
      <c r="B1026" s="184" t="s">
        <v>425</v>
      </c>
      <c r="C1026" s="184" t="s">
        <v>424</v>
      </c>
      <c r="D1026" s="185" t="s">
        <v>522</v>
      </c>
      <c r="E1026" s="186" t="s">
        <v>2728</v>
      </c>
      <c r="F1026" s="186" t="s">
        <v>2772</v>
      </c>
      <c r="G1026" s="186" t="s">
        <v>2812</v>
      </c>
      <c r="H1026" s="186" t="s">
        <v>2813</v>
      </c>
      <c r="I1026" s="187" t="s">
        <v>2816</v>
      </c>
      <c r="J1026" s="187" t="s">
        <v>2817</v>
      </c>
      <c r="K1026" s="188"/>
      <c r="L1026" s="188"/>
      <c r="M1026" s="189" t="s">
        <v>2308</v>
      </c>
      <c r="N1026" s="190">
        <v>2330</v>
      </c>
      <c r="O1026" s="190">
        <f t="shared" si="123"/>
        <v>2539.7</v>
      </c>
      <c r="P1026" s="191">
        <f t="shared" si="124"/>
        <v>0</v>
      </c>
      <c r="Q1026" s="192">
        <f t="shared" si="125"/>
        <v>0</v>
      </c>
      <c r="R1026" s="193"/>
      <c r="S1026" s="194"/>
      <c r="T1026" s="195">
        <f t="shared" si="126"/>
        <v>0</v>
      </c>
      <c r="U1026" s="195">
        <f t="shared" si="127"/>
        <v>0</v>
      </c>
      <c r="V1026" s="195">
        <f t="shared" si="128"/>
        <v>0</v>
      </c>
      <c r="W1026" s="196" t="e">
        <f t="shared" si="129"/>
        <v>#DIV/0!</v>
      </c>
      <c r="X1026" s="197" t="e">
        <f t="shared" si="130"/>
        <v>#DIV/0!</v>
      </c>
    </row>
    <row r="1027" ht="11.4" hidden="1" customHeight="1" spans="1:24">
      <c r="A1027" s="184" t="s">
        <v>2818</v>
      </c>
      <c r="B1027" s="184" t="s">
        <v>323</v>
      </c>
      <c r="C1027" s="184" t="s">
        <v>2819</v>
      </c>
      <c r="D1027" s="185" t="s">
        <v>522</v>
      </c>
      <c r="E1027" s="186" t="s">
        <v>2728</v>
      </c>
      <c r="F1027" s="186" t="s">
        <v>2769</v>
      </c>
      <c r="G1027" s="186" t="s">
        <v>582</v>
      </c>
      <c r="H1027" s="186" t="s">
        <v>582</v>
      </c>
      <c r="I1027" s="187" t="s">
        <v>2820</v>
      </c>
      <c r="J1027" s="187" t="s">
        <v>2821</v>
      </c>
      <c r="K1027" s="188">
        <v>1</v>
      </c>
      <c r="L1027" s="188">
        <v>1</v>
      </c>
      <c r="M1027" s="189" t="s">
        <v>2308</v>
      </c>
      <c r="N1027" s="190">
        <v>881</v>
      </c>
      <c r="O1027" s="190">
        <f t="shared" si="123"/>
        <v>960.29</v>
      </c>
      <c r="P1027" s="191">
        <f t="shared" si="124"/>
        <v>881</v>
      </c>
      <c r="Q1027" s="192">
        <f t="shared" si="125"/>
        <v>881</v>
      </c>
      <c r="R1027" s="193"/>
      <c r="S1027" s="194"/>
      <c r="T1027" s="195">
        <f t="shared" si="126"/>
        <v>0</v>
      </c>
      <c r="U1027" s="195">
        <f t="shared" si="127"/>
        <v>0</v>
      </c>
      <c r="V1027" s="195">
        <f t="shared" si="128"/>
        <v>0</v>
      </c>
      <c r="W1027" s="196">
        <f t="shared" si="129"/>
        <v>0</v>
      </c>
      <c r="X1027" s="197">
        <f t="shared" si="130"/>
        <v>0</v>
      </c>
    </row>
    <row r="1028" ht="11.4" hidden="1" customHeight="1" spans="1:24">
      <c r="A1028" s="184" t="s">
        <v>2822</v>
      </c>
      <c r="B1028" s="184" t="s">
        <v>430</v>
      </c>
      <c r="C1028" s="184" t="s">
        <v>2823</v>
      </c>
      <c r="D1028" s="185" t="s">
        <v>522</v>
      </c>
      <c r="E1028" s="186" t="s">
        <v>2728</v>
      </c>
      <c r="F1028" s="186" t="s">
        <v>2769</v>
      </c>
      <c r="G1028" s="186" t="s">
        <v>582</v>
      </c>
      <c r="H1028" s="186" t="s">
        <v>582</v>
      </c>
      <c r="I1028" s="187" t="s">
        <v>2824</v>
      </c>
      <c r="J1028" s="187" t="s">
        <v>2825</v>
      </c>
      <c r="K1028" s="188"/>
      <c r="L1028" s="188"/>
      <c r="M1028" s="189" t="s">
        <v>2308</v>
      </c>
      <c r="N1028" s="190">
        <v>258</v>
      </c>
      <c r="O1028" s="190">
        <f t="shared" si="123"/>
        <v>281.22</v>
      </c>
      <c r="P1028" s="191">
        <f t="shared" si="124"/>
        <v>0</v>
      </c>
      <c r="Q1028" s="192">
        <f t="shared" si="125"/>
        <v>0</v>
      </c>
      <c r="R1028" s="193"/>
      <c r="S1028" s="194"/>
      <c r="T1028" s="195">
        <f t="shared" si="126"/>
        <v>0</v>
      </c>
      <c r="U1028" s="195">
        <f t="shared" si="127"/>
        <v>0</v>
      </c>
      <c r="V1028" s="195">
        <f t="shared" si="128"/>
        <v>0</v>
      </c>
      <c r="W1028" s="196" t="e">
        <f t="shared" si="129"/>
        <v>#DIV/0!</v>
      </c>
      <c r="X1028" s="197" t="e">
        <f t="shared" si="130"/>
        <v>#DIV/0!</v>
      </c>
    </row>
    <row r="1029" ht="11.4" hidden="1" customHeight="1" spans="1:24">
      <c r="A1029" s="184" t="s">
        <v>2758</v>
      </c>
      <c r="B1029" s="184" t="s">
        <v>378</v>
      </c>
      <c r="C1029" s="184" t="s">
        <v>2826</v>
      </c>
      <c r="D1029" s="185" t="s">
        <v>522</v>
      </c>
      <c r="E1029" s="186" t="s">
        <v>2728</v>
      </c>
      <c r="F1029" s="186" t="s">
        <v>2769</v>
      </c>
      <c r="G1029" s="186" t="s">
        <v>582</v>
      </c>
      <c r="H1029" s="186" t="s">
        <v>582</v>
      </c>
      <c r="I1029" s="187" t="s">
        <v>2827</v>
      </c>
      <c r="J1029" s="187" t="s">
        <v>2828</v>
      </c>
      <c r="K1029" s="188"/>
      <c r="L1029" s="188"/>
      <c r="M1029" s="189" t="s">
        <v>2308</v>
      </c>
      <c r="N1029" s="190">
        <v>300</v>
      </c>
      <c r="O1029" s="190">
        <f t="shared" si="123"/>
        <v>327</v>
      </c>
      <c r="P1029" s="191">
        <f t="shared" si="124"/>
        <v>0</v>
      </c>
      <c r="Q1029" s="192">
        <f t="shared" si="125"/>
        <v>0</v>
      </c>
      <c r="R1029" s="193"/>
      <c r="S1029" s="194"/>
      <c r="T1029" s="195">
        <f t="shared" si="126"/>
        <v>0</v>
      </c>
      <c r="U1029" s="195">
        <f t="shared" si="127"/>
        <v>0</v>
      </c>
      <c r="V1029" s="195">
        <f t="shared" si="128"/>
        <v>0</v>
      </c>
      <c r="W1029" s="196" t="e">
        <f t="shared" si="129"/>
        <v>#DIV/0!</v>
      </c>
      <c r="X1029" s="197" t="e">
        <f t="shared" si="130"/>
        <v>#DIV/0!</v>
      </c>
    </row>
    <row r="1030" ht="11.4" hidden="1" customHeight="1" spans="1:24">
      <c r="A1030" s="184" t="s">
        <v>2822</v>
      </c>
      <c r="B1030" s="184" t="s">
        <v>430</v>
      </c>
      <c r="C1030" s="184" t="s">
        <v>2823</v>
      </c>
      <c r="D1030" s="185" t="s">
        <v>522</v>
      </c>
      <c r="E1030" s="186" t="s">
        <v>2728</v>
      </c>
      <c r="F1030" s="186" t="s">
        <v>2769</v>
      </c>
      <c r="G1030" s="186" t="s">
        <v>582</v>
      </c>
      <c r="H1030" s="186" t="s">
        <v>582</v>
      </c>
      <c r="I1030" s="187" t="s">
        <v>2829</v>
      </c>
      <c r="J1030" s="187" t="s">
        <v>2830</v>
      </c>
      <c r="K1030" s="188"/>
      <c r="L1030" s="188"/>
      <c r="M1030" s="189" t="s">
        <v>807</v>
      </c>
      <c r="N1030" s="190">
        <v>99.32</v>
      </c>
      <c r="O1030" s="190">
        <f t="shared" si="123"/>
        <v>108.26</v>
      </c>
      <c r="P1030" s="191">
        <f t="shared" si="124"/>
        <v>0</v>
      </c>
      <c r="Q1030" s="192">
        <f t="shared" si="125"/>
        <v>0</v>
      </c>
      <c r="R1030" s="193"/>
      <c r="S1030" s="194"/>
      <c r="T1030" s="195">
        <f t="shared" si="126"/>
        <v>0</v>
      </c>
      <c r="U1030" s="195">
        <f t="shared" si="127"/>
        <v>0</v>
      </c>
      <c r="V1030" s="195">
        <f t="shared" si="128"/>
        <v>0</v>
      </c>
      <c r="W1030" s="196" t="e">
        <f t="shared" si="129"/>
        <v>#DIV/0!</v>
      </c>
      <c r="X1030" s="197" t="e">
        <f t="shared" si="130"/>
        <v>#DIV/0!</v>
      </c>
    </row>
    <row r="1031" ht="11.4" hidden="1" customHeight="1" spans="1:24">
      <c r="A1031" s="184" t="s">
        <v>2822</v>
      </c>
      <c r="B1031" s="184" t="s">
        <v>430</v>
      </c>
      <c r="C1031" s="184" t="s">
        <v>2823</v>
      </c>
      <c r="D1031" s="185" t="s">
        <v>522</v>
      </c>
      <c r="E1031" s="186" t="s">
        <v>2728</v>
      </c>
      <c r="F1031" s="186" t="s">
        <v>2769</v>
      </c>
      <c r="G1031" s="186" t="s">
        <v>582</v>
      </c>
      <c r="H1031" s="186" t="s">
        <v>582</v>
      </c>
      <c r="I1031" s="187" t="s">
        <v>2831</v>
      </c>
      <c r="J1031" s="187" t="s">
        <v>2832</v>
      </c>
      <c r="K1031" s="188"/>
      <c r="L1031" s="188"/>
      <c r="M1031" s="189" t="s">
        <v>807</v>
      </c>
      <c r="N1031" s="190">
        <v>99.32</v>
      </c>
      <c r="O1031" s="190">
        <f t="shared" si="123"/>
        <v>108.26</v>
      </c>
      <c r="P1031" s="191">
        <f t="shared" si="124"/>
        <v>0</v>
      </c>
      <c r="Q1031" s="192">
        <f t="shared" si="125"/>
        <v>0</v>
      </c>
      <c r="R1031" s="193"/>
      <c r="S1031" s="194"/>
      <c r="T1031" s="195">
        <f t="shared" si="126"/>
        <v>0</v>
      </c>
      <c r="U1031" s="195">
        <f t="shared" si="127"/>
        <v>0</v>
      </c>
      <c r="V1031" s="195">
        <f t="shared" si="128"/>
        <v>0</v>
      </c>
      <c r="W1031" s="196" t="e">
        <f t="shared" si="129"/>
        <v>#DIV/0!</v>
      </c>
      <c r="X1031" s="197" t="e">
        <f t="shared" si="130"/>
        <v>#DIV/0!</v>
      </c>
    </row>
    <row r="1032" ht="11.4" hidden="1" customHeight="1" spans="1:24">
      <c r="A1032" s="184" t="s">
        <v>2822</v>
      </c>
      <c r="B1032" s="184" t="s">
        <v>430</v>
      </c>
      <c r="C1032" s="184" t="s">
        <v>2823</v>
      </c>
      <c r="D1032" s="185" t="s">
        <v>522</v>
      </c>
      <c r="E1032" s="186" t="s">
        <v>2728</v>
      </c>
      <c r="F1032" s="186" t="s">
        <v>2769</v>
      </c>
      <c r="G1032" s="186" t="s">
        <v>582</v>
      </c>
      <c r="H1032" s="186" t="s">
        <v>582</v>
      </c>
      <c r="I1032" s="187" t="s">
        <v>2833</v>
      </c>
      <c r="J1032" s="154" t="s">
        <v>2834</v>
      </c>
      <c r="K1032" s="188">
        <v>1</v>
      </c>
      <c r="L1032" s="188">
        <v>1</v>
      </c>
      <c r="M1032" s="189" t="s">
        <v>1018</v>
      </c>
      <c r="N1032" s="190">
        <v>21</v>
      </c>
      <c r="O1032" s="190">
        <f t="shared" si="123"/>
        <v>22.89</v>
      </c>
      <c r="P1032" s="191">
        <f t="shared" si="124"/>
        <v>21</v>
      </c>
      <c r="Q1032" s="192">
        <f t="shared" si="125"/>
        <v>21</v>
      </c>
      <c r="R1032" s="193"/>
      <c r="S1032" s="194"/>
      <c r="T1032" s="195">
        <f t="shared" si="126"/>
        <v>0</v>
      </c>
      <c r="U1032" s="195">
        <f t="shared" si="127"/>
        <v>0</v>
      </c>
      <c r="V1032" s="195">
        <f t="shared" si="128"/>
        <v>0</v>
      </c>
      <c r="W1032" s="196">
        <f t="shared" si="129"/>
        <v>0</v>
      </c>
      <c r="X1032" s="197">
        <f t="shared" si="130"/>
        <v>0</v>
      </c>
    </row>
    <row r="1033" ht="11.4" hidden="1" customHeight="1" spans="1:24">
      <c r="A1033" s="184" t="s">
        <v>2835</v>
      </c>
      <c r="B1033" s="184" t="s">
        <v>439</v>
      </c>
      <c r="C1033" s="184" t="s">
        <v>2836</v>
      </c>
      <c r="D1033" s="185" t="s">
        <v>522</v>
      </c>
      <c r="E1033" s="186" t="s">
        <v>2837</v>
      </c>
      <c r="F1033" s="186" t="s">
        <v>2838</v>
      </c>
      <c r="G1033" s="186" t="s">
        <v>583</v>
      </c>
      <c r="H1033" s="186" t="s">
        <v>583</v>
      </c>
      <c r="I1033" s="187" t="s">
        <v>2839</v>
      </c>
      <c r="J1033" s="154" t="s">
        <v>2840</v>
      </c>
      <c r="K1033" s="188">
        <v>1</v>
      </c>
      <c r="L1033" s="188">
        <v>1</v>
      </c>
      <c r="M1033" s="189" t="s">
        <v>793</v>
      </c>
      <c r="N1033" s="190">
        <v>3735</v>
      </c>
      <c r="O1033" s="190">
        <f t="shared" si="123"/>
        <v>4071.15</v>
      </c>
      <c r="P1033" s="191">
        <f t="shared" si="124"/>
        <v>3735</v>
      </c>
      <c r="Q1033" s="192">
        <f t="shared" si="125"/>
        <v>3735</v>
      </c>
      <c r="R1033" s="193"/>
      <c r="S1033" s="194"/>
      <c r="T1033" s="195">
        <f t="shared" si="126"/>
        <v>0</v>
      </c>
      <c r="U1033" s="195">
        <f t="shared" si="127"/>
        <v>0</v>
      </c>
      <c r="V1033" s="195">
        <f t="shared" si="128"/>
        <v>0</v>
      </c>
      <c r="W1033" s="196">
        <f t="shared" si="129"/>
        <v>0</v>
      </c>
      <c r="X1033" s="197">
        <f t="shared" si="130"/>
        <v>0</v>
      </c>
    </row>
    <row r="1034" ht="11.4" hidden="1" customHeight="1" spans="1:24">
      <c r="A1034" s="184" t="s">
        <v>2841</v>
      </c>
      <c r="B1034" s="184" t="s">
        <v>459</v>
      </c>
      <c r="C1034" s="184" t="s">
        <v>2842</v>
      </c>
      <c r="D1034" s="185" t="s">
        <v>522</v>
      </c>
      <c r="E1034" s="186" t="s">
        <v>2843</v>
      </c>
      <c r="F1034" s="186" t="s">
        <v>2844</v>
      </c>
      <c r="G1034" s="186" t="s">
        <v>2845</v>
      </c>
      <c r="H1034" s="186" t="s">
        <v>2845</v>
      </c>
      <c r="I1034" s="187" t="s">
        <v>2846</v>
      </c>
      <c r="J1034" s="187" t="s">
        <v>2847</v>
      </c>
      <c r="K1034" s="188"/>
      <c r="L1034" s="188"/>
      <c r="M1034" s="189" t="s">
        <v>793</v>
      </c>
      <c r="N1034" s="190">
        <v>538.44</v>
      </c>
      <c r="O1034" s="190">
        <f t="shared" si="123"/>
        <v>586.9</v>
      </c>
      <c r="P1034" s="191">
        <f t="shared" si="124"/>
        <v>0</v>
      </c>
      <c r="Q1034" s="192">
        <f t="shared" si="125"/>
        <v>0</v>
      </c>
      <c r="R1034" s="193"/>
      <c r="S1034" s="194"/>
      <c r="T1034" s="195">
        <f t="shared" si="126"/>
        <v>0</v>
      </c>
      <c r="U1034" s="195">
        <f t="shared" si="127"/>
        <v>0</v>
      </c>
      <c r="V1034" s="195">
        <f t="shared" si="128"/>
        <v>0</v>
      </c>
      <c r="W1034" s="196" t="e">
        <f t="shared" si="129"/>
        <v>#DIV/0!</v>
      </c>
      <c r="X1034" s="197" t="e">
        <f t="shared" si="130"/>
        <v>#DIV/0!</v>
      </c>
    </row>
    <row r="1035" ht="11.4" hidden="1" customHeight="1" spans="1:24">
      <c r="A1035" s="184" t="s">
        <v>2841</v>
      </c>
      <c r="B1035" s="184" t="s">
        <v>459</v>
      </c>
      <c r="C1035" s="184" t="s">
        <v>2842</v>
      </c>
      <c r="D1035" s="185" t="s">
        <v>522</v>
      </c>
      <c r="E1035" s="186" t="s">
        <v>2843</v>
      </c>
      <c r="F1035" s="186" t="s">
        <v>2844</v>
      </c>
      <c r="G1035" s="186" t="s">
        <v>2845</v>
      </c>
      <c r="H1035" s="186" t="s">
        <v>2845</v>
      </c>
      <c r="I1035" s="187" t="s">
        <v>2848</v>
      </c>
      <c r="J1035" s="154" t="s">
        <v>2849</v>
      </c>
      <c r="K1035" s="203"/>
      <c r="L1035" s="188">
        <v>1</v>
      </c>
      <c r="M1035" s="189" t="s">
        <v>793</v>
      </c>
      <c r="N1035" s="190">
        <v>200.08</v>
      </c>
      <c r="O1035" s="190">
        <f t="shared" si="123"/>
        <v>218.09</v>
      </c>
      <c r="P1035" s="191">
        <f t="shared" si="124"/>
        <v>0</v>
      </c>
      <c r="Q1035" s="192">
        <f t="shared" si="125"/>
        <v>200.08</v>
      </c>
      <c r="R1035" s="193"/>
      <c r="S1035" s="194"/>
      <c r="T1035" s="195">
        <f t="shared" si="126"/>
        <v>-1</v>
      </c>
      <c r="U1035" s="195">
        <f t="shared" si="127"/>
        <v>-200.08</v>
      </c>
      <c r="V1035" s="195">
        <f t="shared" si="128"/>
        <v>200.08</v>
      </c>
      <c r="W1035" s="196">
        <f t="shared" si="129"/>
        <v>-1</v>
      </c>
      <c r="X1035" s="197">
        <f t="shared" si="130"/>
        <v>1</v>
      </c>
    </row>
    <row r="1036" ht="11.4" hidden="1" customHeight="1" spans="1:24">
      <c r="A1036" s="184" t="s">
        <v>2850</v>
      </c>
      <c r="B1036" s="184" t="s">
        <v>457</v>
      </c>
      <c r="C1036" s="184" t="s">
        <v>2851</v>
      </c>
      <c r="D1036" s="185" t="s">
        <v>522</v>
      </c>
      <c r="E1036" s="186" t="s">
        <v>2843</v>
      </c>
      <c r="F1036" s="186" t="s">
        <v>2852</v>
      </c>
      <c r="G1036" s="186" t="s">
        <v>2853</v>
      </c>
      <c r="H1036" s="186" t="s">
        <v>2853</v>
      </c>
      <c r="I1036" s="187" t="s">
        <v>2854</v>
      </c>
      <c r="J1036" s="187" t="s">
        <v>2855</v>
      </c>
      <c r="K1036" s="188"/>
      <c r="L1036" s="188"/>
      <c r="M1036" s="189" t="s">
        <v>793</v>
      </c>
      <c r="N1036" s="190"/>
      <c r="O1036" s="190">
        <f t="shared" si="123"/>
        <v>0</v>
      </c>
      <c r="P1036" s="191">
        <f t="shared" si="124"/>
        <v>0</v>
      </c>
      <c r="Q1036" s="192">
        <f t="shared" si="125"/>
        <v>0</v>
      </c>
      <c r="R1036" s="193"/>
      <c r="S1036" s="194"/>
      <c r="T1036" s="195">
        <f t="shared" si="126"/>
        <v>0</v>
      </c>
      <c r="U1036" s="195">
        <f t="shared" si="127"/>
        <v>0</v>
      </c>
      <c r="V1036" s="195">
        <f t="shared" si="128"/>
        <v>0</v>
      </c>
      <c r="W1036" s="196" t="e">
        <f t="shared" si="129"/>
        <v>#DIV/0!</v>
      </c>
      <c r="X1036" s="197" t="e">
        <f t="shared" si="130"/>
        <v>#DIV/0!</v>
      </c>
    </row>
    <row r="1037" ht="11.4" hidden="1" customHeight="1" spans="1:24">
      <c r="A1037" s="184" t="s">
        <v>2850</v>
      </c>
      <c r="B1037" s="184" t="s">
        <v>457</v>
      </c>
      <c r="C1037" s="184" t="s">
        <v>2851</v>
      </c>
      <c r="D1037" s="185" t="s">
        <v>522</v>
      </c>
      <c r="E1037" s="186" t="s">
        <v>2843</v>
      </c>
      <c r="F1037" s="186" t="s">
        <v>2852</v>
      </c>
      <c r="G1037" s="186" t="s">
        <v>2853</v>
      </c>
      <c r="H1037" s="186" t="s">
        <v>2853</v>
      </c>
      <c r="I1037" s="187" t="s">
        <v>2856</v>
      </c>
      <c r="J1037" s="187" t="s">
        <v>2857</v>
      </c>
      <c r="K1037" s="188"/>
      <c r="L1037" s="188"/>
      <c r="M1037" s="189" t="s">
        <v>1018</v>
      </c>
      <c r="N1037" s="190"/>
      <c r="O1037" s="190">
        <f t="shared" ref="O1037:O1100" si="131">ROUND(N1037*(1+$F$10),2)</f>
        <v>0</v>
      </c>
      <c r="P1037" s="191">
        <f t="shared" ref="P1037:P1100" si="132">ROUND(K1037*N1037,2)</f>
        <v>0</v>
      </c>
      <c r="Q1037" s="192">
        <f t="shared" ref="Q1037:Q1100" si="133">ROUND(L1037*N1037,2)</f>
        <v>0</v>
      </c>
      <c r="R1037" s="193"/>
      <c r="S1037" s="194"/>
      <c r="T1037" s="195">
        <f t="shared" ref="T1037:T1100" si="134">K1037-L1037</f>
        <v>0</v>
      </c>
      <c r="U1037" s="195">
        <f t="shared" ref="U1037:U1100" si="135">P1037-Q1037</f>
        <v>0</v>
      </c>
      <c r="V1037" s="195">
        <f t="shared" ref="V1037:V1100" si="136">ABS(U1037)</f>
        <v>0</v>
      </c>
      <c r="W1037" s="196" t="e">
        <f t="shared" ref="W1037:W1100" si="137">T1037/L1037</f>
        <v>#DIV/0!</v>
      </c>
      <c r="X1037" s="197" t="e">
        <f t="shared" ref="X1037:X1100" si="138">ABS(W1037)</f>
        <v>#DIV/0!</v>
      </c>
    </row>
    <row r="1038" ht="11.4" hidden="1" customHeight="1" spans="1:24">
      <c r="A1038" s="184" t="s">
        <v>2850</v>
      </c>
      <c r="B1038" s="184" t="s">
        <v>457</v>
      </c>
      <c r="C1038" s="184" t="s">
        <v>2851</v>
      </c>
      <c r="D1038" s="185" t="s">
        <v>522</v>
      </c>
      <c r="E1038" s="186" t="s">
        <v>2843</v>
      </c>
      <c r="F1038" s="186" t="s">
        <v>2852</v>
      </c>
      <c r="G1038" s="186" t="s">
        <v>2853</v>
      </c>
      <c r="H1038" s="186" t="s">
        <v>2853</v>
      </c>
      <c r="I1038" s="187" t="s">
        <v>2858</v>
      </c>
      <c r="J1038" s="187" t="s">
        <v>2859</v>
      </c>
      <c r="K1038" s="188"/>
      <c r="L1038" s="188"/>
      <c r="M1038" s="189" t="s">
        <v>1018</v>
      </c>
      <c r="N1038" s="190"/>
      <c r="O1038" s="190">
        <f t="shared" si="131"/>
        <v>0</v>
      </c>
      <c r="P1038" s="191">
        <f t="shared" si="132"/>
        <v>0</v>
      </c>
      <c r="Q1038" s="192">
        <f t="shared" si="133"/>
        <v>0</v>
      </c>
      <c r="R1038" s="193"/>
      <c r="S1038" s="194"/>
      <c r="T1038" s="195">
        <f t="shared" si="134"/>
        <v>0</v>
      </c>
      <c r="U1038" s="195">
        <f t="shared" si="135"/>
        <v>0</v>
      </c>
      <c r="V1038" s="195">
        <f t="shared" si="136"/>
        <v>0</v>
      </c>
      <c r="W1038" s="196" t="e">
        <f t="shared" si="137"/>
        <v>#DIV/0!</v>
      </c>
      <c r="X1038" s="197" t="e">
        <f t="shared" si="138"/>
        <v>#DIV/0!</v>
      </c>
    </row>
    <row r="1039" ht="11.4" hidden="1" customHeight="1" spans="1:24">
      <c r="A1039" s="184" t="s">
        <v>2850</v>
      </c>
      <c r="B1039" s="184" t="s">
        <v>457</v>
      </c>
      <c r="C1039" s="184" t="s">
        <v>2851</v>
      </c>
      <c r="D1039" s="185" t="s">
        <v>522</v>
      </c>
      <c r="E1039" s="186" t="s">
        <v>2843</v>
      </c>
      <c r="F1039" s="186" t="s">
        <v>2852</v>
      </c>
      <c r="G1039" s="186" t="s">
        <v>2853</v>
      </c>
      <c r="H1039" s="186" t="s">
        <v>2853</v>
      </c>
      <c r="I1039" s="187" t="s">
        <v>2860</v>
      </c>
      <c r="J1039" s="187" t="s">
        <v>2861</v>
      </c>
      <c r="K1039" s="188"/>
      <c r="L1039" s="188"/>
      <c r="M1039" s="189" t="s">
        <v>1018</v>
      </c>
      <c r="N1039" s="190">
        <v>495.5</v>
      </c>
      <c r="O1039" s="190">
        <f t="shared" si="131"/>
        <v>540.1</v>
      </c>
      <c r="P1039" s="191">
        <f t="shared" si="132"/>
        <v>0</v>
      </c>
      <c r="Q1039" s="192">
        <f t="shared" si="133"/>
        <v>0</v>
      </c>
      <c r="R1039" s="193"/>
      <c r="S1039" s="194"/>
      <c r="T1039" s="195">
        <f t="shared" si="134"/>
        <v>0</v>
      </c>
      <c r="U1039" s="195">
        <f t="shared" si="135"/>
        <v>0</v>
      </c>
      <c r="V1039" s="195">
        <f t="shared" si="136"/>
        <v>0</v>
      </c>
      <c r="W1039" s="196" t="e">
        <f t="shared" si="137"/>
        <v>#DIV/0!</v>
      </c>
      <c r="X1039" s="197" t="e">
        <f t="shared" si="138"/>
        <v>#DIV/0!</v>
      </c>
    </row>
    <row r="1040" ht="11.4" hidden="1" customHeight="1" spans="1:24">
      <c r="A1040" s="184" t="s">
        <v>2850</v>
      </c>
      <c r="B1040" s="184" t="s">
        <v>457</v>
      </c>
      <c r="C1040" s="184" t="s">
        <v>2851</v>
      </c>
      <c r="D1040" s="185" t="s">
        <v>522</v>
      </c>
      <c r="E1040" s="186" t="s">
        <v>2843</v>
      </c>
      <c r="F1040" s="186" t="s">
        <v>2852</v>
      </c>
      <c r="G1040" s="186" t="s">
        <v>2853</v>
      </c>
      <c r="H1040" s="186" t="s">
        <v>2853</v>
      </c>
      <c r="I1040" s="187" t="s">
        <v>2862</v>
      </c>
      <c r="J1040" s="187" t="s">
        <v>2863</v>
      </c>
      <c r="K1040" s="188"/>
      <c r="L1040" s="188"/>
      <c r="M1040" s="189" t="s">
        <v>1018</v>
      </c>
      <c r="N1040" s="190">
        <v>553.15</v>
      </c>
      <c r="O1040" s="190">
        <f t="shared" si="131"/>
        <v>602.93</v>
      </c>
      <c r="P1040" s="191">
        <f t="shared" si="132"/>
        <v>0</v>
      </c>
      <c r="Q1040" s="192">
        <f t="shared" si="133"/>
        <v>0</v>
      </c>
      <c r="R1040" s="193"/>
      <c r="S1040" s="194"/>
      <c r="T1040" s="195">
        <f t="shared" si="134"/>
        <v>0</v>
      </c>
      <c r="U1040" s="195">
        <f t="shared" si="135"/>
        <v>0</v>
      </c>
      <c r="V1040" s="195">
        <f t="shared" si="136"/>
        <v>0</v>
      </c>
      <c r="W1040" s="196" t="e">
        <f t="shared" si="137"/>
        <v>#DIV/0!</v>
      </c>
      <c r="X1040" s="197" t="e">
        <f t="shared" si="138"/>
        <v>#DIV/0!</v>
      </c>
    </row>
    <row r="1041" ht="11.4" hidden="1" customHeight="1" spans="1:24">
      <c r="A1041" s="184" t="s">
        <v>2864</v>
      </c>
      <c r="B1041" s="184" t="s">
        <v>461</v>
      </c>
      <c r="C1041" s="184" t="s">
        <v>2865</v>
      </c>
      <c r="D1041" s="185" t="s">
        <v>522</v>
      </c>
      <c r="E1041" s="186" t="s">
        <v>2843</v>
      </c>
      <c r="F1041" s="186" t="s">
        <v>2866</v>
      </c>
      <c r="G1041" s="186" t="s">
        <v>2867</v>
      </c>
      <c r="H1041" s="186" t="s">
        <v>2867</v>
      </c>
      <c r="I1041" s="187" t="s">
        <v>2868</v>
      </c>
      <c r="J1041" s="187" t="s">
        <v>2869</v>
      </c>
      <c r="K1041" s="188"/>
      <c r="L1041" s="188"/>
      <c r="M1041" s="189" t="s">
        <v>793</v>
      </c>
      <c r="N1041" s="190">
        <v>3715</v>
      </c>
      <c r="O1041" s="190">
        <f t="shared" si="131"/>
        <v>4049.35</v>
      </c>
      <c r="P1041" s="191">
        <f t="shared" si="132"/>
        <v>0</v>
      </c>
      <c r="Q1041" s="192">
        <f t="shared" si="133"/>
        <v>0</v>
      </c>
      <c r="R1041" s="193"/>
      <c r="S1041" s="194"/>
      <c r="T1041" s="195">
        <f t="shared" si="134"/>
        <v>0</v>
      </c>
      <c r="U1041" s="195">
        <f t="shared" si="135"/>
        <v>0</v>
      </c>
      <c r="V1041" s="195">
        <f t="shared" si="136"/>
        <v>0</v>
      </c>
      <c r="W1041" s="196" t="e">
        <f t="shared" si="137"/>
        <v>#DIV/0!</v>
      </c>
      <c r="X1041" s="197" t="e">
        <f t="shared" si="138"/>
        <v>#DIV/0!</v>
      </c>
    </row>
    <row r="1042" ht="11.4" hidden="1" customHeight="1" spans="1:24">
      <c r="A1042" s="184" t="s">
        <v>2864</v>
      </c>
      <c r="B1042" s="184" t="s">
        <v>461</v>
      </c>
      <c r="C1042" s="184" t="s">
        <v>2865</v>
      </c>
      <c r="D1042" s="185" t="s">
        <v>522</v>
      </c>
      <c r="E1042" s="186" t="s">
        <v>2843</v>
      </c>
      <c r="F1042" s="186" t="s">
        <v>2866</v>
      </c>
      <c r="G1042" s="186" t="s">
        <v>2867</v>
      </c>
      <c r="H1042" s="186" t="s">
        <v>2867</v>
      </c>
      <c r="I1042" s="187" t="s">
        <v>2870</v>
      </c>
      <c r="J1042" s="187" t="s">
        <v>2871</v>
      </c>
      <c r="K1042" s="188"/>
      <c r="L1042" s="188"/>
      <c r="M1042" s="189" t="s">
        <v>1018</v>
      </c>
      <c r="N1042" s="190">
        <v>395.49</v>
      </c>
      <c r="O1042" s="190">
        <f t="shared" si="131"/>
        <v>431.08</v>
      </c>
      <c r="P1042" s="191">
        <f t="shared" si="132"/>
        <v>0</v>
      </c>
      <c r="Q1042" s="192">
        <f t="shared" si="133"/>
        <v>0</v>
      </c>
      <c r="R1042" s="193"/>
      <c r="S1042" s="194"/>
      <c r="T1042" s="195">
        <f t="shared" si="134"/>
        <v>0</v>
      </c>
      <c r="U1042" s="195">
        <f t="shared" si="135"/>
        <v>0</v>
      </c>
      <c r="V1042" s="195">
        <f t="shared" si="136"/>
        <v>0</v>
      </c>
      <c r="W1042" s="196" t="e">
        <f t="shared" si="137"/>
        <v>#DIV/0!</v>
      </c>
      <c r="X1042" s="197" t="e">
        <f t="shared" si="138"/>
        <v>#DIV/0!</v>
      </c>
    </row>
    <row r="1043" ht="11.4" hidden="1" customHeight="1" spans="1:24">
      <c r="A1043" s="184" t="s">
        <v>2864</v>
      </c>
      <c r="B1043" s="184" t="s">
        <v>461</v>
      </c>
      <c r="C1043" s="184" t="s">
        <v>2865</v>
      </c>
      <c r="D1043" s="185" t="s">
        <v>522</v>
      </c>
      <c r="E1043" s="186" t="s">
        <v>2843</v>
      </c>
      <c r="F1043" s="186" t="s">
        <v>2866</v>
      </c>
      <c r="G1043" s="186" t="s">
        <v>2867</v>
      </c>
      <c r="H1043" s="186" t="s">
        <v>2867</v>
      </c>
      <c r="I1043" s="187" t="s">
        <v>2872</v>
      </c>
      <c r="J1043" s="187" t="s">
        <v>2873</v>
      </c>
      <c r="K1043" s="188"/>
      <c r="L1043" s="188"/>
      <c r="M1043" s="189" t="s">
        <v>807</v>
      </c>
      <c r="N1043" s="190">
        <v>103.83</v>
      </c>
      <c r="O1043" s="190">
        <f t="shared" si="131"/>
        <v>113.17</v>
      </c>
      <c r="P1043" s="191">
        <f t="shared" si="132"/>
        <v>0</v>
      </c>
      <c r="Q1043" s="192">
        <f t="shared" si="133"/>
        <v>0</v>
      </c>
      <c r="R1043" s="193"/>
      <c r="S1043" s="194"/>
      <c r="T1043" s="195">
        <f t="shared" si="134"/>
        <v>0</v>
      </c>
      <c r="U1043" s="195">
        <f t="shared" si="135"/>
        <v>0</v>
      </c>
      <c r="V1043" s="195">
        <f t="shared" si="136"/>
        <v>0</v>
      </c>
      <c r="W1043" s="196" t="e">
        <f t="shared" si="137"/>
        <v>#DIV/0!</v>
      </c>
      <c r="X1043" s="197" t="e">
        <f t="shared" si="138"/>
        <v>#DIV/0!</v>
      </c>
    </row>
    <row r="1044" ht="11.4" hidden="1" customHeight="1" spans="1:24">
      <c r="A1044" s="184" t="s">
        <v>2864</v>
      </c>
      <c r="B1044" s="184" t="s">
        <v>461</v>
      </c>
      <c r="C1044" s="184" t="s">
        <v>2865</v>
      </c>
      <c r="D1044" s="185" t="s">
        <v>522</v>
      </c>
      <c r="E1044" s="186" t="s">
        <v>2843</v>
      </c>
      <c r="F1044" s="186" t="s">
        <v>2866</v>
      </c>
      <c r="G1044" s="186" t="s">
        <v>2867</v>
      </c>
      <c r="H1044" s="186" t="s">
        <v>2867</v>
      </c>
      <c r="I1044" s="187" t="s">
        <v>2874</v>
      </c>
      <c r="J1044" s="187" t="s">
        <v>2875</v>
      </c>
      <c r="K1044" s="188">
        <v>12</v>
      </c>
      <c r="L1044" s="188">
        <v>12</v>
      </c>
      <c r="M1044" s="189" t="s">
        <v>1018</v>
      </c>
      <c r="N1044" s="190">
        <v>24.29</v>
      </c>
      <c r="O1044" s="190">
        <f t="shared" si="131"/>
        <v>26.48</v>
      </c>
      <c r="P1044" s="191">
        <f t="shared" si="132"/>
        <v>291.48</v>
      </c>
      <c r="Q1044" s="192">
        <f t="shared" si="133"/>
        <v>291.48</v>
      </c>
      <c r="R1044" s="193"/>
      <c r="S1044" s="194"/>
      <c r="T1044" s="195">
        <f t="shared" si="134"/>
        <v>0</v>
      </c>
      <c r="U1044" s="195">
        <f t="shared" si="135"/>
        <v>0</v>
      </c>
      <c r="V1044" s="195">
        <f t="shared" si="136"/>
        <v>0</v>
      </c>
      <c r="W1044" s="196">
        <f t="shared" si="137"/>
        <v>0</v>
      </c>
      <c r="X1044" s="197">
        <f t="shared" si="138"/>
        <v>0</v>
      </c>
    </row>
    <row r="1045" ht="11.4" hidden="1" customHeight="1" spans="1:24">
      <c r="A1045" s="184" t="s">
        <v>2864</v>
      </c>
      <c r="B1045" s="184" t="s">
        <v>461</v>
      </c>
      <c r="C1045" s="184" t="s">
        <v>2865</v>
      </c>
      <c r="D1045" s="185" t="s">
        <v>522</v>
      </c>
      <c r="E1045" s="186" t="s">
        <v>2843</v>
      </c>
      <c r="F1045" s="186" t="s">
        <v>2866</v>
      </c>
      <c r="G1045" s="186" t="s">
        <v>2867</v>
      </c>
      <c r="H1045" s="186" t="s">
        <v>2867</v>
      </c>
      <c r="I1045" s="187" t="s">
        <v>2876</v>
      </c>
      <c r="J1045" s="187" t="s">
        <v>2877</v>
      </c>
      <c r="K1045" s="188"/>
      <c r="L1045" s="188"/>
      <c r="M1045" s="189" t="s">
        <v>793</v>
      </c>
      <c r="N1045" s="190">
        <v>784.55</v>
      </c>
      <c r="O1045" s="190">
        <f t="shared" si="131"/>
        <v>855.16</v>
      </c>
      <c r="P1045" s="191">
        <f t="shared" si="132"/>
        <v>0</v>
      </c>
      <c r="Q1045" s="192">
        <f t="shared" si="133"/>
        <v>0</v>
      </c>
      <c r="R1045" s="193"/>
      <c r="S1045" s="194"/>
      <c r="T1045" s="195">
        <f t="shared" si="134"/>
        <v>0</v>
      </c>
      <c r="U1045" s="195">
        <f t="shared" si="135"/>
        <v>0</v>
      </c>
      <c r="V1045" s="195">
        <f t="shared" si="136"/>
        <v>0</v>
      </c>
      <c r="W1045" s="196" t="e">
        <f t="shared" si="137"/>
        <v>#DIV/0!</v>
      </c>
      <c r="X1045" s="197" t="e">
        <f t="shared" si="138"/>
        <v>#DIV/0!</v>
      </c>
    </row>
    <row r="1046" ht="11.4" hidden="1" customHeight="1" spans="1:24">
      <c r="A1046" s="184" t="s">
        <v>2864</v>
      </c>
      <c r="B1046" s="184" t="s">
        <v>461</v>
      </c>
      <c r="C1046" s="184" t="s">
        <v>2865</v>
      </c>
      <c r="D1046" s="185" t="s">
        <v>522</v>
      </c>
      <c r="E1046" s="186" t="s">
        <v>2843</v>
      </c>
      <c r="F1046" s="186" t="s">
        <v>2866</v>
      </c>
      <c r="G1046" s="186" t="s">
        <v>2867</v>
      </c>
      <c r="H1046" s="186" t="s">
        <v>2867</v>
      </c>
      <c r="I1046" s="187" t="s">
        <v>2878</v>
      </c>
      <c r="J1046" s="187" t="s">
        <v>2879</v>
      </c>
      <c r="K1046" s="188"/>
      <c r="L1046" s="188"/>
      <c r="M1046" s="189" t="s">
        <v>793</v>
      </c>
      <c r="N1046" s="190">
        <v>80.33</v>
      </c>
      <c r="O1046" s="190">
        <f t="shared" si="131"/>
        <v>87.56</v>
      </c>
      <c r="P1046" s="191">
        <f t="shared" si="132"/>
        <v>0</v>
      </c>
      <c r="Q1046" s="192">
        <f t="shared" si="133"/>
        <v>0</v>
      </c>
      <c r="R1046" s="193"/>
      <c r="S1046" s="194"/>
      <c r="T1046" s="195">
        <f t="shared" si="134"/>
        <v>0</v>
      </c>
      <c r="U1046" s="195">
        <f t="shared" si="135"/>
        <v>0</v>
      </c>
      <c r="V1046" s="195">
        <f t="shared" si="136"/>
        <v>0</v>
      </c>
      <c r="W1046" s="196" t="e">
        <f t="shared" si="137"/>
        <v>#DIV/0!</v>
      </c>
      <c r="X1046" s="197" t="e">
        <f t="shared" si="138"/>
        <v>#DIV/0!</v>
      </c>
    </row>
    <row r="1047" ht="11.4" hidden="1" customHeight="1" spans="1:24">
      <c r="A1047" s="184" t="s">
        <v>2864</v>
      </c>
      <c r="B1047" s="184" t="s">
        <v>461</v>
      </c>
      <c r="C1047" s="184" t="s">
        <v>2865</v>
      </c>
      <c r="D1047" s="185" t="s">
        <v>522</v>
      </c>
      <c r="E1047" s="186" t="s">
        <v>2843</v>
      </c>
      <c r="F1047" s="186" t="s">
        <v>2866</v>
      </c>
      <c r="G1047" s="186" t="s">
        <v>2867</v>
      </c>
      <c r="H1047" s="186" t="s">
        <v>2867</v>
      </c>
      <c r="I1047" s="187" t="s">
        <v>2880</v>
      </c>
      <c r="J1047" s="187" t="s">
        <v>2881</v>
      </c>
      <c r="K1047" s="188"/>
      <c r="L1047" s="188"/>
      <c r="M1047" s="189" t="s">
        <v>1018</v>
      </c>
      <c r="N1047" s="190">
        <v>23.74</v>
      </c>
      <c r="O1047" s="190">
        <f t="shared" si="131"/>
        <v>25.88</v>
      </c>
      <c r="P1047" s="191">
        <f t="shared" si="132"/>
        <v>0</v>
      </c>
      <c r="Q1047" s="192">
        <f t="shared" si="133"/>
        <v>0</v>
      </c>
      <c r="R1047" s="193"/>
      <c r="S1047" s="194"/>
      <c r="T1047" s="195">
        <f t="shared" si="134"/>
        <v>0</v>
      </c>
      <c r="U1047" s="195">
        <f t="shared" si="135"/>
        <v>0</v>
      </c>
      <c r="V1047" s="195">
        <f t="shared" si="136"/>
        <v>0</v>
      </c>
      <c r="W1047" s="196" t="e">
        <f t="shared" si="137"/>
        <v>#DIV/0!</v>
      </c>
      <c r="X1047" s="197" t="e">
        <f t="shared" si="138"/>
        <v>#DIV/0!</v>
      </c>
    </row>
    <row r="1048" ht="11.4" hidden="1" customHeight="1" spans="1:24">
      <c r="A1048" s="184" t="s">
        <v>2864</v>
      </c>
      <c r="B1048" s="184" t="s">
        <v>461</v>
      </c>
      <c r="C1048" s="184" t="s">
        <v>2865</v>
      </c>
      <c r="D1048" s="185" t="s">
        <v>522</v>
      </c>
      <c r="E1048" s="186" t="s">
        <v>2843</v>
      </c>
      <c r="F1048" s="186" t="s">
        <v>2866</v>
      </c>
      <c r="G1048" s="186" t="s">
        <v>2867</v>
      </c>
      <c r="H1048" s="186" t="s">
        <v>2867</v>
      </c>
      <c r="I1048" s="187" t="s">
        <v>2882</v>
      </c>
      <c r="J1048" s="187" t="s">
        <v>2883</v>
      </c>
      <c r="K1048" s="188"/>
      <c r="L1048" s="188"/>
      <c r="M1048" s="189" t="s">
        <v>1778</v>
      </c>
      <c r="N1048" s="190">
        <v>917</v>
      </c>
      <c r="O1048" s="190">
        <f t="shared" si="131"/>
        <v>999.53</v>
      </c>
      <c r="P1048" s="191">
        <f t="shared" si="132"/>
        <v>0</v>
      </c>
      <c r="Q1048" s="192">
        <f t="shared" si="133"/>
        <v>0</v>
      </c>
      <c r="R1048" s="193"/>
      <c r="S1048" s="194"/>
      <c r="T1048" s="195">
        <f t="shared" si="134"/>
        <v>0</v>
      </c>
      <c r="U1048" s="195">
        <f t="shared" si="135"/>
        <v>0</v>
      </c>
      <c r="V1048" s="195">
        <f t="shared" si="136"/>
        <v>0</v>
      </c>
      <c r="W1048" s="196" t="e">
        <f t="shared" si="137"/>
        <v>#DIV/0!</v>
      </c>
      <c r="X1048" s="197" t="e">
        <f t="shared" si="138"/>
        <v>#DIV/0!</v>
      </c>
    </row>
    <row r="1049" ht="11.4" hidden="1" customHeight="1" spans="1:24">
      <c r="A1049" s="184" t="s">
        <v>2864</v>
      </c>
      <c r="B1049" s="184" t="s">
        <v>461</v>
      </c>
      <c r="C1049" s="184" t="s">
        <v>2865</v>
      </c>
      <c r="D1049" s="185" t="s">
        <v>522</v>
      </c>
      <c r="E1049" s="186" t="s">
        <v>2843</v>
      </c>
      <c r="F1049" s="186" t="s">
        <v>2866</v>
      </c>
      <c r="G1049" s="186" t="s">
        <v>2867</v>
      </c>
      <c r="H1049" s="186" t="s">
        <v>2867</v>
      </c>
      <c r="I1049" s="187" t="s">
        <v>2884</v>
      </c>
      <c r="J1049" s="187" t="s">
        <v>2885</v>
      </c>
      <c r="K1049" s="188"/>
      <c r="L1049" s="188"/>
      <c r="M1049" s="189" t="s">
        <v>793</v>
      </c>
      <c r="N1049" s="190">
        <v>255</v>
      </c>
      <c r="O1049" s="190">
        <f t="shared" si="131"/>
        <v>277.95</v>
      </c>
      <c r="P1049" s="191">
        <f t="shared" si="132"/>
        <v>0</v>
      </c>
      <c r="Q1049" s="192">
        <f t="shared" si="133"/>
        <v>0</v>
      </c>
      <c r="R1049" s="193"/>
      <c r="S1049" s="194"/>
      <c r="T1049" s="195">
        <f t="shared" si="134"/>
        <v>0</v>
      </c>
      <c r="U1049" s="195">
        <f t="shared" si="135"/>
        <v>0</v>
      </c>
      <c r="V1049" s="195">
        <f t="shared" si="136"/>
        <v>0</v>
      </c>
      <c r="W1049" s="196" t="e">
        <f t="shared" si="137"/>
        <v>#DIV/0!</v>
      </c>
      <c r="X1049" s="197" t="e">
        <f t="shared" si="138"/>
        <v>#DIV/0!</v>
      </c>
    </row>
    <row r="1050" ht="11.4" hidden="1" customHeight="1" spans="1:24">
      <c r="A1050" s="184" t="s">
        <v>2864</v>
      </c>
      <c r="B1050" s="184" t="s">
        <v>461</v>
      </c>
      <c r="C1050" s="184" t="s">
        <v>2865</v>
      </c>
      <c r="D1050" s="185" t="s">
        <v>522</v>
      </c>
      <c r="E1050" s="186" t="s">
        <v>2843</v>
      </c>
      <c r="F1050" s="186" t="s">
        <v>2866</v>
      </c>
      <c r="G1050" s="186" t="s">
        <v>2867</v>
      </c>
      <c r="H1050" s="186" t="s">
        <v>2867</v>
      </c>
      <c r="I1050" s="187" t="s">
        <v>2886</v>
      </c>
      <c r="J1050" s="187" t="s">
        <v>2887</v>
      </c>
      <c r="K1050" s="188"/>
      <c r="L1050" s="188"/>
      <c r="M1050" s="189" t="s">
        <v>793</v>
      </c>
      <c r="N1050" s="190">
        <v>255</v>
      </c>
      <c r="O1050" s="190">
        <f t="shared" si="131"/>
        <v>277.95</v>
      </c>
      <c r="P1050" s="191">
        <f t="shared" si="132"/>
        <v>0</v>
      </c>
      <c r="Q1050" s="192">
        <f t="shared" si="133"/>
        <v>0</v>
      </c>
      <c r="R1050" s="193"/>
      <c r="S1050" s="194"/>
      <c r="T1050" s="195">
        <f t="shared" si="134"/>
        <v>0</v>
      </c>
      <c r="U1050" s="195">
        <f t="shared" si="135"/>
        <v>0</v>
      </c>
      <c r="V1050" s="195">
        <f t="shared" si="136"/>
        <v>0</v>
      </c>
      <c r="W1050" s="196" t="e">
        <f t="shared" si="137"/>
        <v>#DIV/0!</v>
      </c>
      <c r="X1050" s="197" t="e">
        <f t="shared" si="138"/>
        <v>#DIV/0!</v>
      </c>
    </row>
    <row r="1051" ht="11.4" hidden="1" customHeight="1" spans="1:24">
      <c r="A1051" s="184" t="s">
        <v>2864</v>
      </c>
      <c r="B1051" s="184" t="s">
        <v>461</v>
      </c>
      <c r="C1051" s="184" t="s">
        <v>2865</v>
      </c>
      <c r="D1051" s="185" t="s">
        <v>522</v>
      </c>
      <c r="E1051" s="186" t="s">
        <v>2843</v>
      </c>
      <c r="F1051" s="186" t="s">
        <v>2866</v>
      </c>
      <c r="G1051" s="186" t="s">
        <v>2867</v>
      </c>
      <c r="H1051" s="186" t="s">
        <v>2867</v>
      </c>
      <c r="I1051" s="187" t="s">
        <v>2888</v>
      </c>
      <c r="J1051" s="187" t="s">
        <v>2889</v>
      </c>
      <c r="K1051" s="188"/>
      <c r="L1051" s="188"/>
      <c r="M1051" s="189" t="s">
        <v>847</v>
      </c>
      <c r="N1051" s="190">
        <v>255</v>
      </c>
      <c r="O1051" s="190">
        <f t="shared" si="131"/>
        <v>277.95</v>
      </c>
      <c r="P1051" s="191">
        <f t="shared" si="132"/>
        <v>0</v>
      </c>
      <c r="Q1051" s="192">
        <f t="shared" si="133"/>
        <v>0</v>
      </c>
      <c r="R1051" s="193"/>
      <c r="S1051" s="194"/>
      <c r="T1051" s="195">
        <f t="shared" si="134"/>
        <v>0</v>
      </c>
      <c r="U1051" s="195">
        <f t="shared" si="135"/>
        <v>0</v>
      </c>
      <c r="V1051" s="195">
        <f t="shared" si="136"/>
        <v>0</v>
      </c>
      <c r="W1051" s="196" t="e">
        <f t="shared" si="137"/>
        <v>#DIV/0!</v>
      </c>
      <c r="X1051" s="197" t="e">
        <f t="shared" si="138"/>
        <v>#DIV/0!</v>
      </c>
    </row>
    <row r="1052" ht="11.4" hidden="1" customHeight="1" spans="1:24">
      <c r="A1052" s="184" t="s">
        <v>2864</v>
      </c>
      <c r="B1052" s="184" t="s">
        <v>461</v>
      </c>
      <c r="C1052" s="184" t="s">
        <v>2865</v>
      </c>
      <c r="D1052" s="185" t="s">
        <v>522</v>
      </c>
      <c r="E1052" s="186" t="s">
        <v>2843</v>
      </c>
      <c r="F1052" s="186" t="s">
        <v>2866</v>
      </c>
      <c r="G1052" s="186" t="s">
        <v>2867</v>
      </c>
      <c r="H1052" s="186" t="s">
        <v>2867</v>
      </c>
      <c r="I1052" s="187" t="s">
        <v>2890</v>
      </c>
      <c r="J1052" s="187" t="s">
        <v>2891</v>
      </c>
      <c r="K1052" s="188"/>
      <c r="L1052" s="188"/>
      <c r="M1052" s="189" t="s">
        <v>1018</v>
      </c>
      <c r="N1052" s="190">
        <v>410.55</v>
      </c>
      <c r="O1052" s="190">
        <f t="shared" si="131"/>
        <v>447.5</v>
      </c>
      <c r="P1052" s="191">
        <f t="shared" si="132"/>
        <v>0</v>
      </c>
      <c r="Q1052" s="192">
        <f t="shared" si="133"/>
        <v>0</v>
      </c>
      <c r="R1052" s="193"/>
      <c r="S1052" s="194"/>
      <c r="T1052" s="195">
        <f t="shared" si="134"/>
        <v>0</v>
      </c>
      <c r="U1052" s="195">
        <f t="shared" si="135"/>
        <v>0</v>
      </c>
      <c r="V1052" s="195">
        <f t="shared" si="136"/>
        <v>0</v>
      </c>
      <c r="W1052" s="196" t="e">
        <f t="shared" si="137"/>
        <v>#DIV/0!</v>
      </c>
      <c r="X1052" s="197" t="e">
        <f t="shared" si="138"/>
        <v>#DIV/0!</v>
      </c>
    </row>
    <row r="1053" ht="11.4" hidden="1" customHeight="1" spans="1:24">
      <c r="A1053" s="184" t="s">
        <v>2864</v>
      </c>
      <c r="B1053" s="184" t="s">
        <v>461</v>
      </c>
      <c r="C1053" s="184" t="s">
        <v>2865</v>
      </c>
      <c r="D1053" s="185" t="s">
        <v>522</v>
      </c>
      <c r="E1053" s="186" t="s">
        <v>2843</v>
      </c>
      <c r="F1053" s="186" t="s">
        <v>2866</v>
      </c>
      <c r="G1053" s="186" t="s">
        <v>2867</v>
      </c>
      <c r="H1053" s="186" t="s">
        <v>2867</v>
      </c>
      <c r="I1053" s="187" t="s">
        <v>2892</v>
      </c>
      <c r="J1053" s="187" t="s">
        <v>2893</v>
      </c>
      <c r="K1053" s="188"/>
      <c r="L1053" s="188"/>
      <c r="M1053" s="189" t="s">
        <v>963</v>
      </c>
      <c r="N1053" s="190">
        <v>1457.26</v>
      </c>
      <c r="O1053" s="190">
        <f t="shared" si="131"/>
        <v>1588.41</v>
      </c>
      <c r="P1053" s="191">
        <f t="shared" si="132"/>
        <v>0</v>
      </c>
      <c r="Q1053" s="192">
        <f t="shared" si="133"/>
        <v>0</v>
      </c>
      <c r="R1053" s="193"/>
      <c r="S1053" s="194"/>
      <c r="T1053" s="195">
        <f t="shared" si="134"/>
        <v>0</v>
      </c>
      <c r="U1053" s="195">
        <f t="shared" si="135"/>
        <v>0</v>
      </c>
      <c r="V1053" s="195">
        <f t="shared" si="136"/>
        <v>0</v>
      </c>
      <c r="W1053" s="196" t="e">
        <f t="shared" si="137"/>
        <v>#DIV/0!</v>
      </c>
      <c r="X1053" s="197" t="e">
        <f t="shared" si="138"/>
        <v>#DIV/0!</v>
      </c>
    </row>
    <row r="1054" ht="11.4" hidden="1" customHeight="1" spans="1:24">
      <c r="A1054" s="184" t="s">
        <v>2894</v>
      </c>
      <c r="B1054" s="184" t="s">
        <v>111</v>
      </c>
      <c r="C1054" s="184" t="s">
        <v>1101</v>
      </c>
      <c r="D1054" s="185" t="s">
        <v>702</v>
      </c>
      <c r="E1054" s="186" t="s">
        <v>2895</v>
      </c>
      <c r="F1054" s="186" t="s">
        <v>2896</v>
      </c>
      <c r="G1054" s="186" t="s">
        <v>2896</v>
      </c>
      <c r="H1054" s="186" t="s">
        <v>2897</v>
      </c>
      <c r="I1054" s="187" t="s">
        <v>1104</v>
      </c>
      <c r="J1054" s="187" t="s">
        <v>1105</v>
      </c>
      <c r="K1054" s="188"/>
      <c r="L1054" s="188"/>
      <c r="M1054" s="189" t="s">
        <v>847</v>
      </c>
      <c r="N1054" s="190">
        <v>180.78</v>
      </c>
      <c r="O1054" s="190">
        <f t="shared" si="131"/>
        <v>197.05</v>
      </c>
      <c r="P1054" s="191">
        <f t="shared" si="132"/>
        <v>0</v>
      </c>
      <c r="Q1054" s="192">
        <f t="shared" si="133"/>
        <v>0</v>
      </c>
      <c r="R1054" s="193"/>
      <c r="S1054" s="194"/>
      <c r="T1054" s="195">
        <f t="shared" si="134"/>
        <v>0</v>
      </c>
      <c r="U1054" s="195">
        <f t="shared" si="135"/>
        <v>0</v>
      </c>
      <c r="V1054" s="195">
        <f t="shared" si="136"/>
        <v>0</v>
      </c>
      <c r="W1054" s="196" t="e">
        <f t="shared" si="137"/>
        <v>#DIV/0!</v>
      </c>
      <c r="X1054" s="197" t="e">
        <f t="shared" si="138"/>
        <v>#DIV/0!</v>
      </c>
    </row>
    <row r="1055" ht="11.4" hidden="1" customHeight="1" spans="1:24">
      <c r="A1055" s="184" t="s">
        <v>2894</v>
      </c>
      <c r="B1055" s="184" t="s">
        <v>111</v>
      </c>
      <c r="C1055" s="184" t="s">
        <v>1101</v>
      </c>
      <c r="D1055" s="185" t="s">
        <v>702</v>
      </c>
      <c r="E1055" s="186" t="s">
        <v>2895</v>
      </c>
      <c r="F1055" s="186" t="s">
        <v>2896</v>
      </c>
      <c r="G1055" s="186" t="s">
        <v>2896</v>
      </c>
      <c r="H1055" s="186" t="s">
        <v>2897</v>
      </c>
      <c r="I1055" s="187" t="s">
        <v>1106</v>
      </c>
      <c r="J1055" s="187" t="s">
        <v>1107</v>
      </c>
      <c r="K1055" s="188"/>
      <c r="L1055" s="188"/>
      <c r="M1055" s="189" t="s">
        <v>807</v>
      </c>
      <c r="N1055" s="190">
        <v>41.36</v>
      </c>
      <c r="O1055" s="190">
        <f t="shared" si="131"/>
        <v>45.08</v>
      </c>
      <c r="P1055" s="191">
        <f t="shared" si="132"/>
        <v>0</v>
      </c>
      <c r="Q1055" s="192">
        <f t="shared" si="133"/>
        <v>0</v>
      </c>
      <c r="R1055" s="193"/>
      <c r="S1055" s="194"/>
      <c r="T1055" s="195">
        <f t="shared" si="134"/>
        <v>0</v>
      </c>
      <c r="U1055" s="195">
        <f t="shared" si="135"/>
        <v>0</v>
      </c>
      <c r="V1055" s="195">
        <f t="shared" si="136"/>
        <v>0</v>
      </c>
      <c r="W1055" s="196" t="e">
        <f t="shared" si="137"/>
        <v>#DIV/0!</v>
      </c>
      <c r="X1055" s="197" t="e">
        <f t="shared" si="138"/>
        <v>#DIV/0!</v>
      </c>
    </row>
    <row r="1056" ht="11.4" hidden="1" customHeight="1" spans="1:24">
      <c r="A1056" s="184" t="s">
        <v>2894</v>
      </c>
      <c r="B1056" s="184" t="s">
        <v>111</v>
      </c>
      <c r="C1056" s="184" t="s">
        <v>1101</v>
      </c>
      <c r="D1056" s="185" t="s">
        <v>702</v>
      </c>
      <c r="E1056" s="186" t="s">
        <v>2895</v>
      </c>
      <c r="F1056" s="186" t="s">
        <v>2896</v>
      </c>
      <c r="G1056" s="186" t="s">
        <v>2896</v>
      </c>
      <c r="H1056" s="186" t="s">
        <v>2897</v>
      </c>
      <c r="I1056" s="187" t="s">
        <v>1109</v>
      </c>
      <c r="J1056" s="187" t="s">
        <v>1110</v>
      </c>
      <c r="K1056" s="188"/>
      <c r="L1056" s="188"/>
      <c r="M1056" s="189" t="s">
        <v>847</v>
      </c>
      <c r="N1056" s="190">
        <v>160.21</v>
      </c>
      <c r="O1056" s="190">
        <f t="shared" si="131"/>
        <v>174.63</v>
      </c>
      <c r="P1056" s="191">
        <f t="shared" si="132"/>
        <v>0</v>
      </c>
      <c r="Q1056" s="192">
        <f t="shared" si="133"/>
        <v>0</v>
      </c>
      <c r="R1056" s="193"/>
      <c r="S1056" s="194"/>
      <c r="T1056" s="195">
        <f t="shared" si="134"/>
        <v>0</v>
      </c>
      <c r="U1056" s="195">
        <f t="shared" si="135"/>
        <v>0</v>
      </c>
      <c r="V1056" s="195">
        <f t="shared" si="136"/>
        <v>0</v>
      </c>
      <c r="W1056" s="196" t="e">
        <f t="shared" si="137"/>
        <v>#DIV/0!</v>
      </c>
      <c r="X1056" s="197" t="e">
        <f t="shared" si="138"/>
        <v>#DIV/0!</v>
      </c>
    </row>
    <row r="1057" ht="11.4" hidden="1" customHeight="1" spans="1:24">
      <c r="A1057" s="184" t="s">
        <v>2894</v>
      </c>
      <c r="B1057" s="184" t="s">
        <v>111</v>
      </c>
      <c r="C1057" s="184" t="s">
        <v>1101</v>
      </c>
      <c r="D1057" s="185" t="s">
        <v>702</v>
      </c>
      <c r="E1057" s="186" t="s">
        <v>2895</v>
      </c>
      <c r="F1057" s="186" t="s">
        <v>2896</v>
      </c>
      <c r="G1057" s="186" t="s">
        <v>2896</v>
      </c>
      <c r="H1057" s="186" t="s">
        <v>2897</v>
      </c>
      <c r="I1057" s="187" t="s">
        <v>1111</v>
      </c>
      <c r="J1057" s="187" t="s">
        <v>1112</v>
      </c>
      <c r="K1057" s="188"/>
      <c r="L1057" s="188"/>
      <c r="M1057" s="189" t="s">
        <v>807</v>
      </c>
      <c r="N1057" s="190">
        <v>38.94</v>
      </c>
      <c r="O1057" s="190">
        <f t="shared" si="131"/>
        <v>42.44</v>
      </c>
      <c r="P1057" s="191">
        <f t="shared" si="132"/>
        <v>0</v>
      </c>
      <c r="Q1057" s="192">
        <f t="shared" si="133"/>
        <v>0</v>
      </c>
      <c r="R1057" s="193"/>
      <c r="S1057" s="194"/>
      <c r="T1057" s="195">
        <f t="shared" si="134"/>
        <v>0</v>
      </c>
      <c r="U1057" s="195">
        <f t="shared" si="135"/>
        <v>0</v>
      </c>
      <c r="V1057" s="195">
        <f t="shared" si="136"/>
        <v>0</v>
      </c>
      <c r="W1057" s="196" t="e">
        <f t="shared" si="137"/>
        <v>#DIV/0!</v>
      </c>
      <c r="X1057" s="197" t="e">
        <f t="shared" si="138"/>
        <v>#DIV/0!</v>
      </c>
    </row>
    <row r="1058" ht="11.4" hidden="1" customHeight="1" spans="1:24">
      <c r="A1058" s="184" t="s">
        <v>2894</v>
      </c>
      <c r="B1058" s="184" t="s">
        <v>111</v>
      </c>
      <c r="C1058" s="184" t="s">
        <v>1101</v>
      </c>
      <c r="D1058" s="185" t="s">
        <v>702</v>
      </c>
      <c r="E1058" s="186" t="s">
        <v>2895</v>
      </c>
      <c r="F1058" s="186" t="s">
        <v>2896</v>
      </c>
      <c r="G1058" s="186" t="s">
        <v>2896</v>
      </c>
      <c r="H1058" s="186" t="s">
        <v>2897</v>
      </c>
      <c r="I1058" s="187" t="s">
        <v>1113</v>
      </c>
      <c r="J1058" s="187" t="s">
        <v>1114</v>
      </c>
      <c r="K1058" s="188"/>
      <c r="L1058" s="188"/>
      <c r="M1058" s="189" t="s">
        <v>847</v>
      </c>
      <c r="N1058" s="190">
        <v>181.99</v>
      </c>
      <c r="O1058" s="190">
        <f t="shared" si="131"/>
        <v>198.37</v>
      </c>
      <c r="P1058" s="191">
        <f t="shared" si="132"/>
        <v>0</v>
      </c>
      <c r="Q1058" s="192">
        <f t="shared" si="133"/>
        <v>0</v>
      </c>
      <c r="R1058" s="193"/>
      <c r="S1058" s="194"/>
      <c r="T1058" s="195">
        <f t="shared" si="134"/>
        <v>0</v>
      </c>
      <c r="U1058" s="195">
        <f t="shared" si="135"/>
        <v>0</v>
      </c>
      <c r="V1058" s="195">
        <f t="shared" si="136"/>
        <v>0</v>
      </c>
      <c r="W1058" s="196" t="e">
        <f t="shared" si="137"/>
        <v>#DIV/0!</v>
      </c>
      <c r="X1058" s="197" t="e">
        <f t="shared" si="138"/>
        <v>#DIV/0!</v>
      </c>
    </row>
    <row r="1059" ht="11.4" hidden="1" customHeight="1" spans="1:24">
      <c r="A1059" s="184" t="s">
        <v>2894</v>
      </c>
      <c r="B1059" s="184" t="s">
        <v>111</v>
      </c>
      <c r="C1059" s="184" t="s">
        <v>1101</v>
      </c>
      <c r="D1059" s="185" t="s">
        <v>702</v>
      </c>
      <c r="E1059" s="186" t="s">
        <v>2895</v>
      </c>
      <c r="F1059" s="186" t="s">
        <v>2896</v>
      </c>
      <c r="G1059" s="186" t="s">
        <v>2896</v>
      </c>
      <c r="H1059" s="186" t="s">
        <v>2897</v>
      </c>
      <c r="I1059" s="187" t="s">
        <v>1115</v>
      </c>
      <c r="J1059" s="187" t="s">
        <v>1116</v>
      </c>
      <c r="K1059" s="188"/>
      <c r="L1059" s="188"/>
      <c r="M1059" s="189" t="s">
        <v>807</v>
      </c>
      <c r="N1059" s="190">
        <v>42.57</v>
      </c>
      <c r="O1059" s="190">
        <f t="shared" si="131"/>
        <v>46.4</v>
      </c>
      <c r="P1059" s="191">
        <f t="shared" si="132"/>
        <v>0</v>
      </c>
      <c r="Q1059" s="192">
        <f t="shared" si="133"/>
        <v>0</v>
      </c>
      <c r="R1059" s="193"/>
      <c r="S1059" s="194"/>
      <c r="T1059" s="195">
        <f t="shared" si="134"/>
        <v>0</v>
      </c>
      <c r="U1059" s="195">
        <f t="shared" si="135"/>
        <v>0</v>
      </c>
      <c r="V1059" s="195">
        <f t="shared" si="136"/>
        <v>0</v>
      </c>
      <c r="W1059" s="196" t="e">
        <f t="shared" si="137"/>
        <v>#DIV/0!</v>
      </c>
      <c r="X1059" s="197" t="e">
        <f t="shared" si="138"/>
        <v>#DIV/0!</v>
      </c>
    </row>
    <row r="1060" ht="11.4" hidden="1" customHeight="1" spans="1:24">
      <c r="A1060" s="184" t="s">
        <v>2894</v>
      </c>
      <c r="B1060" s="184" t="s">
        <v>111</v>
      </c>
      <c r="C1060" s="184" t="s">
        <v>1101</v>
      </c>
      <c r="D1060" s="185" t="s">
        <v>702</v>
      </c>
      <c r="E1060" s="186" t="s">
        <v>2895</v>
      </c>
      <c r="F1060" s="186" t="s">
        <v>2896</v>
      </c>
      <c r="G1060" s="186" t="s">
        <v>2896</v>
      </c>
      <c r="H1060" s="186" t="s">
        <v>2897</v>
      </c>
      <c r="I1060" s="187" t="s">
        <v>1117</v>
      </c>
      <c r="J1060" s="187" t="s">
        <v>1118</v>
      </c>
      <c r="K1060" s="188"/>
      <c r="L1060" s="188"/>
      <c r="M1060" s="189" t="s">
        <v>847</v>
      </c>
      <c r="N1060" s="190">
        <v>187.98</v>
      </c>
      <c r="O1060" s="190">
        <f t="shared" si="131"/>
        <v>204.9</v>
      </c>
      <c r="P1060" s="191">
        <f t="shared" si="132"/>
        <v>0</v>
      </c>
      <c r="Q1060" s="192">
        <f t="shared" si="133"/>
        <v>0</v>
      </c>
      <c r="R1060" s="193"/>
      <c r="S1060" s="194"/>
      <c r="T1060" s="195">
        <f t="shared" si="134"/>
        <v>0</v>
      </c>
      <c r="U1060" s="195">
        <f t="shared" si="135"/>
        <v>0</v>
      </c>
      <c r="V1060" s="195">
        <f t="shared" si="136"/>
        <v>0</v>
      </c>
      <c r="W1060" s="196" t="e">
        <f t="shared" si="137"/>
        <v>#DIV/0!</v>
      </c>
      <c r="X1060" s="197" t="e">
        <f t="shared" si="138"/>
        <v>#DIV/0!</v>
      </c>
    </row>
    <row r="1061" ht="11.4" hidden="1" customHeight="1" spans="1:24">
      <c r="A1061" s="184" t="s">
        <v>2894</v>
      </c>
      <c r="B1061" s="184" t="s">
        <v>111</v>
      </c>
      <c r="C1061" s="184" t="s">
        <v>1101</v>
      </c>
      <c r="D1061" s="185" t="s">
        <v>702</v>
      </c>
      <c r="E1061" s="186" t="s">
        <v>2895</v>
      </c>
      <c r="F1061" s="186" t="s">
        <v>2896</v>
      </c>
      <c r="G1061" s="186" t="s">
        <v>2896</v>
      </c>
      <c r="H1061" s="186" t="s">
        <v>2897</v>
      </c>
      <c r="I1061" s="187" t="s">
        <v>1119</v>
      </c>
      <c r="J1061" s="187" t="s">
        <v>1120</v>
      </c>
      <c r="K1061" s="188"/>
      <c r="L1061" s="188"/>
      <c r="M1061" s="189" t="s">
        <v>847</v>
      </c>
      <c r="N1061" s="190">
        <v>171.66</v>
      </c>
      <c r="O1061" s="190">
        <f t="shared" si="131"/>
        <v>187.11</v>
      </c>
      <c r="P1061" s="191">
        <f t="shared" si="132"/>
        <v>0</v>
      </c>
      <c r="Q1061" s="192">
        <f t="shared" si="133"/>
        <v>0</v>
      </c>
      <c r="R1061" s="193"/>
      <c r="S1061" s="194"/>
      <c r="T1061" s="195">
        <f t="shared" si="134"/>
        <v>0</v>
      </c>
      <c r="U1061" s="195">
        <f t="shared" si="135"/>
        <v>0</v>
      </c>
      <c r="V1061" s="195">
        <f t="shared" si="136"/>
        <v>0</v>
      </c>
      <c r="W1061" s="196" t="e">
        <f t="shared" si="137"/>
        <v>#DIV/0!</v>
      </c>
      <c r="X1061" s="197" t="e">
        <f t="shared" si="138"/>
        <v>#DIV/0!</v>
      </c>
    </row>
    <row r="1062" ht="11.4" hidden="1" customHeight="1" spans="1:24">
      <c r="A1062" s="184" t="s">
        <v>2894</v>
      </c>
      <c r="B1062" s="184" t="s">
        <v>111</v>
      </c>
      <c r="C1062" s="184" t="s">
        <v>1101</v>
      </c>
      <c r="D1062" s="185" t="s">
        <v>702</v>
      </c>
      <c r="E1062" s="186" t="s">
        <v>2895</v>
      </c>
      <c r="F1062" s="186" t="s">
        <v>2896</v>
      </c>
      <c r="G1062" s="186" t="s">
        <v>2896</v>
      </c>
      <c r="H1062" s="186" t="s">
        <v>2897</v>
      </c>
      <c r="I1062" s="187" t="s">
        <v>1121</v>
      </c>
      <c r="J1062" s="187" t="s">
        <v>1122</v>
      </c>
      <c r="K1062" s="188"/>
      <c r="L1062" s="188"/>
      <c r="M1062" s="189" t="s">
        <v>847</v>
      </c>
      <c r="N1062" s="190">
        <v>189.15</v>
      </c>
      <c r="O1062" s="190">
        <f t="shared" si="131"/>
        <v>206.17</v>
      </c>
      <c r="P1062" s="191">
        <f t="shared" si="132"/>
        <v>0</v>
      </c>
      <c r="Q1062" s="192">
        <f t="shared" si="133"/>
        <v>0</v>
      </c>
      <c r="R1062" s="193"/>
      <c r="S1062" s="194"/>
      <c r="T1062" s="195">
        <f t="shared" si="134"/>
        <v>0</v>
      </c>
      <c r="U1062" s="195">
        <f t="shared" si="135"/>
        <v>0</v>
      </c>
      <c r="V1062" s="195">
        <f t="shared" si="136"/>
        <v>0</v>
      </c>
      <c r="W1062" s="196" t="e">
        <f t="shared" si="137"/>
        <v>#DIV/0!</v>
      </c>
      <c r="X1062" s="197" t="e">
        <f t="shared" si="138"/>
        <v>#DIV/0!</v>
      </c>
    </row>
    <row r="1063" ht="11.4" hidden="1" customHeight="1" spans="1:24">
      <c r="A1063" s="184" t="s">
        <v>2894</v>
      </c>
      <c r="B1063" s="184" t="s">
        <v>111</v>
      </c>
      <c r="C1063" s="184" t="s">
        <v>1101</v>
      </c>
      <c r="D1063" s="185" t="s">
        <v>702</v>
      </c>
      <c r="E1063" s="186" t="s">
        <v>2895</v>
      </c>
      <c r="F1063" s="186" t="s">
        <v>2896</v>
      </c>
      <c r="G1063" s="186" t="s">
        <v>2896</v>
      </c>
      <c r="H1063" s="186" t="s">
        <v>2897</v>
      </c>
      <c r="I1063" s="187" t="s">
        <v>1123</v>
      </c>
      <c r="J1063" s="187" t="s">
        <v>1124</v>
      </c>
      <c r="K1063" s="188"/>
      <c r="L1063" s="188"/>
      <c r="M1063" s="189" t="s">
        <v>807</v>
      </c>
      <c r="N1063" s="190">
        <v>41.36</v>
      </c>
      <c r="O1063" s="190">
        <f t="shared" si="131"/>
        <v>45.08</v>
      </c>
      <c r="P1063" s="191">
        <f t="shared" si="132"/>
        <v>0</v>
      </c>
      <c r="Q1063" s="192">
        <f t="shared" si="133"/>
        <v>0</v>
      </c>
      <c r="R1063" s="193"/>
      <c r="S1063" s="194"/>
      <c r="T1063" s="195">
        <f t="shared" si="134"/>
        <v>0</v>
      </c>
      <c r="U1063" s="195">
        <f t="shared" si="135"/>
        <v>0</v>
      </c>
      <c r="V1063" s="195">
        <f t="shared" si="136"/>
        <v>0</v>
      </c>
      <c r="W1063" s="196" t="e">
        <f t="shared" si="137"/>
        <v>#DIV/0!</v>
      </c>
      <c r="X1063" s="197" t="e">
        <f t="shared" si="138"/>
        <v>#DIV/0!</v>
      </c>
    </row>
    <row r="1064" ht="11.4" hidden="1" customHeight="1" spans="1:24">
      <c r="A1064" s="184" t="s">
        <v>2894</v>
      </c>
      <c r="B1064" s="184" t="s">
        <v>111</v>
      </c>
      <c r="C1064" s="184" t="s">
        <v>1101</v>
      </c>
      <c r="D1064" s="185" t="s">
        <v>702</v>
      </c>
      <c r="E1064" s="186" t="s">
        <v>2895</v>
      </c>
      <c r="F1064" s="186" t="s">
        <v>2896</v>
      </c>
      <c r="G1064" s="186" t="s">
        <v>2896</v>
      </c>
      <c r="H1064" s="186" t="s">
        <v>2897</v>
      </c>
      <c r="I1064" s="187" t="s">
        <v>1125</v>
      </c>
      <c r="J1064" s="187" t="s">
        <v>1126</v>
      </c>
      <c r="K1064" s="188"/>
      <c r="L1064" s="188"/>
      <c r="M1064" s="189" t="s">
        <v>807</v>
      </c>
      <c r="N1064" s="190">
        <v>38.94</v>
      </c>
      <c r="O1064" s="190">
        <f t="shared" si="131"/>
        <v>42.44</v>
      </c>
      <c r="P1064" s="191">
        <f t="shared" si="132"/>
        <v>0</v>
      </c>
      <c r="Q1064" s="192">
        <f t="shared" si="133"/>
        <v>0</v>
      </c>
      <c r="R1064" s="193"/>
      <c r="S1064" s="194"/>
      <c r="T1064" s="195">
        <f t="shared" si="134"/>
        <v>0</v>
      </c>
      <c r="U1064" s="195">
        <f t="shared" si="135"/>
        <v>0</v>
      </c>
      <c r="V1064" s="195">
        <f t="shared" si="136"/>
        <v>0</v>
      </c>
      <c r="W1064" s="196" t="e">
        <f t="shared" si="137"/>
        <v>#DIV/0!</v>
      </c>
      <c r="X1064" s="197" t="e">
        <f t="shared" si="138"/>
        <v>#DIV/0!</v>
      </c>
    </row>
    <row r="1065" ht="11.4" hidden="1" customHeight="1" spans="1:24">
      <c r="A1065" s="184" t="s">
        <v>2894</v>
      </c>
      <c r="B1065" s="184" t="s">
        <v>111</v>
      </c>
      <c r="C1065" s="184" t="s">
        <v>1101</v>
      </c>
      <c r="D1065" s="185" t="s">
        <v>702</v>
      </c>
      <c r="E1065" s="186" t="s">
        <v>2895</v>
      </c>
      <c r="F1065" s="186" t="s">
        <v>2896</v>
      </c>
      <c r="G1065" s="186" t="s">
        <v>2896</v>
      </c>
      <c r="H1065" s="186" t="s">
        <v>2897</v>
      </c>
      <c r="I1065" s="187" t="s">
        <v>1127</v>
      </c>
      <c r="J1065" s="187" t="s">
        <v>1128</v>
      </c>
      <c r="K1065" s="188"/>
      <c r="L1065" s="188"/>
      <c r="M1065" s="189" t="s">
        <v>807</v>
      </c>
      <c r="N1065" s="190">
        <v>40.15</v>
      </c>
      <c r="O1065" s="190">
        <f t="shared" si="131"/>
        <v>43.76</v>
      </c>
      <c r="P1065" s="191">
        <f t="shared" si="132"/>
        <v>0</v>
      </c>
      <c r="Q1065" s="192">
        <f t="shared" si="133"/>
        <v>0</v>
      </c>
      <c r="R1065" s="193"/>
      <c r="S1065" s="194"/>
      <c r="T1065" s="195">
        <f t="shared" si="134"/>
        <v>0</v>
      </c>
      <c r="U1065" s="195">
        <f t="shared" si="135"/>
        <v>0</v>
      </c>
      <c r="V1065" s="195">
        <f t="shared" si="136"/>
        <v>0</v>
      </c>
      <c r="W1065" s="196" t="e">
        <f t="shared" si="137"/>
        <v>#DIV/0!</v>
      </c>
      <c r="X1065" s="197" t="e">
        <f t="shared" si="138"/>
        <v>#DIV/0!</v>
      </c>
    </row>
    <row r="1066" ht="11.4" hidden="1" customHeight="1" spans="1:24">
      <c r="A1066" s="184" t="s">
        <v>2894</v>
      </c>
      <c r="B1066" s="184" t="s">
        <v>111</v>
      </c>
      <c r="C1066" s="184" t="s">
        <v>1101</v>
      </c>
      <c r="D1066" s="185" t="s">
        <v>702</v>
      </c>
      <c r="E1066" s="186" t="s">
        <v>2895</v>
      </c>
      <c r="F1066" s="186" t="s">
        <v>2896</v>
      </c>
      <c r="G1066" s="186" t="s">
        <v>2896</v>
      </c>
      <c r="H1066" s="186" t="s">
        <v>2897</v>
      </c>
      <c r="I1066" s="187" t="s">
        <v>1129</v>
      </c>
      <c r="J1066" s="187" t="s">
        <v>1130</v>
      </c>
      <c r="K1066" s="188"/>
      <c r="L1066" s="188"/>
      <c r="M1066" s="189" t="s">
        <v>847</v>
      </c>
      <c r="N1066" s="190">
        <v>219.86</v>
      </c>
      <c r="O1066" s="190">
        <f t="shared" si="131"/>
        <v>239.65</v>
      </c>
      <c r="P1066" s="191">
        <f t="shared" si="132"/>
        <v>0</v>
      </c>
      <c r="Q1066" s="192">
        <f t="shared" si="133"/>
        <v>0</v>
      </c>
      <c r="R1066" s="193"/>
      <c r="S1066" s="194"/>
      <c r="T1066" s="195">
        <f t="shared" si="134"/>
        <v>0</v>
      </c>
      <c r="U1066" s="195">
        <f t="shared" si="135"/>
        <v>0</v>
      </c>
      <c r="V1066" s="195">
        <f t="shared" si="136"/>
        <v>0</v>
      </c>
      <c r="W1066" s="196" t="e">
        <f t="shared" si="137"/>
        <v>#DIV/0!</v>
      </c>
      <c r="X1066" s="197" t="e">
        <f t="shared" si="138"/>
        <v>#DIV/0!</v>
      </c>
    </row>
    <row r="1067" ht="11.4" hidden="1" customHeight="1" spans="1:24">
      <c r="A1067" s="184" t="s">
        <v>2894</v>
      </c>
      <c r="B1067" s="184" t="s">
        <v>111</v>
      </c>
      <c r="C1067" s="184" t="s">
        <v>1101</v>
      </c>
      <c r="D1067" s="185" t="s">
        <v>702</v>
      </c>
      <c r="E1067" s="186" t="s">
        <v>2895</v>
      </c>
      <c r="F1067" s="186" t="s">
        <v>2896</v>
      </c>
      <c r="G1067" s="186" t="s">
        <v>2896</v>
      </c>
      <c r="H1067" s="186" t="s">
        <v>2897</v>
      </c>
      <c r="I1067" s="187" t="s">
        <v>1131</v>
      </c>
      <c r="J1067" s="187" t="s">
        <v>1132</v>
      </c>
      <c r="K1067" s="188"/>
      <c r="L1067" s="188"/>
      <c r="M1067" s="189" t="s">
        <v>847</v>
      </c>
      <c r="N1067" s="190">
        <v>203.42</v>
      </c>
      <c r="O1067" s="190">
        <f t="shared" si="131"/>
        <v>221.73</v>
      </c>
      <c r="P1067" s="191">
        <f t="shared" si="132"/>
        <v>0</v>
      </c>
      <c r="Q1067" s="192">
        <f t="shared" si="133"/>
        <v>0</v>
      </c>
      <c r="R1067" s="193"/>
      <c r="S1067" s="194"/>
      <c r="T1067" s="195">
        <f t="shared" si="134"/>
        <v>0</v>
      </c>
      <c r="U1067" s="195">
        <f t="shared" si="135"/>
        <v>0</v>
      </c>
      <c r="V1067" s="195">
        <f t="shared" si="136"/>
        <v>0</v>
      </c>
      <c r="W1067" s="196" t="e">
        <f t="shared" si="137"/>
        <v>#DIV/0!</v>
      </c>
      <c r="X1067" s="197" t="e">
        <f t="shared" si="138"/>
        <v>#DIV/0!</v>
      </c>
    </row>
    <row r="1068" ht="11.4" hidden="1" customHeight="1" spans="1:24">
      <c r="A1068" s="184" t="s">
        <v>2894</v>
      </c>
      <c r="B1068" s="184" t="s">
        <v>111</v>
      </c>
      <c r="C1068" s="184" t="s">
        <v>1101</v>
      </c>
      <c r="D1068" s="185" t="s">
        <v>702</v>
      </c>
      <c r="E1068" s="186" t="s">
        <v>2895</v>
      </c>
      <c r="F1068" s="186" t="s">
        <v>2896</v>
      </c>
      <c r="G1068" s="186" t="s">
        <v>2896</v>
      </c>
      <c r="H1068" s="186" t="s">
        <v>2897</v>
      </c>
      <c r="I1068" s="187" t="s">
        <v>1133</v>
      </c>
      <c r="J1068" s="187" t="s">
        <v>1134</v>
      </c>
      <c r="K1068" s="188">
        <v>2.53</v>
      </c>
      <c r="L1068" s="188">
        <v>2.44</v>
      </c>
      <c r="M1068" s="189" t="s">
        <v>847</v>
      </c>
      <c r="N1068" s="190">
        <v>222.39</v>
      </c>
      <c r="O1068" s="190">
        <f t="shared" si="131"/>
        <v>242.41</v>
      </c>
      <c r="P1068" s="191">
        <f t="shared" si="132"/>
        <v>562.65</v>
      </c>
      <c r="Q1068" s="192">
        <f t="shared" si="133"/>
        <v>542.63</v>
      </c>
      <c r="R1068" s="193"/>
      <c r="S1068" s="194"/>
      <c r="T1068" s="195">
        <f t="shared" si="134"/>
        <v>0.0899999999999999</v>
      </c>
      <c r="U1068" s="195">
        <f t="shared" si="135"/>
        <v>20.02</v>
      </c>
      <c r="V1068" s="195">
        <f t="shared" si="136"/>
        <v>20.02</v>
      </c>
      <c r="W1068" s="196">
        <f t="shared" si="137"/>
        <v>0.0368852459016393</v>
      </c>
      <c r="X1068" s="197">
        <f t="shared" si="138"/>
        <v>0.0368852459016393</v>
      </c>
    </row>
    <row r="1069" ht="11.4" hidden="1" customHeight="1" spans="1:24">
      <c r="A1069" s="184" t="s">
        <v>2894</v>
      </c>
      <c r="B1069" s="184" t="s">
        <v>111</v>
      </c>
      <c r="C1069" s="184" t="s">
        <v>1101</v>
      </c>
      <c r="D1069" s="185" t="s">
        <v>702</v>
      </c>
      <c r="E1069" s="186" t="s">
        <v>2895</v>
      </c>
      <c r="F1069" s="186" t="s">
        <v>2896</v>
      </c>
      <c r="G1069" s="186" t="s">
        <v>2896</v>
      </c>
      <c r="H1069" s="186" t="s">
        <v>2897</v>
      </c>
      <c r="I1069" s="187" t="s">
        <v>1135</v>
      </c>
      <c r="J1069" s="187" t="s">
        <v>1136</v>
      </c>
      <c r="K1069" s="188"/>
      <c r="L1069" s="188"/>
      <c r="M1069" s="189" t="s">
        <v>807</v>
      </c>
      <c r="N1069" s="190">
        <v>41.36</v>
      </c>
      <c r="O1069" s="190">
        <f t="shared" si="131"/>
        <v>45.08</v>
      </c>
      <c r="P1069" s="191">
        <f t="shared" si="132"/>
        <v>0</v>
      </c>
      <c r="Q1069" s="192">
        <f t="shared" si="133"/>
        <v>0</v>
      </c>
      <c r="R1069" s="193"/>
      <c r="S1069" s="194"/>
      <c r="T1069" s="195">
        <f t="shared" si="134"/>
        <v>0</v>
      </c>
      <c r="U1069" s="195">
        <f t="shared" si="135"/>
        <v>0</v>
      </c>
      <c r="V1069" s="195">
        <f t="shared" si="136"/>
        <v>0</v>
      </c>
      <c r="W1069" s="196" t="e">
        <f t="shared" si="137"/>
        <v>#DIV/0!</v>
      </c>
      <c r="X1069" s="197" t="e">
        <f t="shared" si="138"/>
        <v>#DIV/0!</v>
      </c>
    </row>
    <row r="1070" ht="11.4" hidden="1" customHeight="1" spans="1:24">
      <c r="A1070" s="184" t="s">
        <v>2894</v>
      </c>
      <c r="B1070" s="184" t="s">
        <v>111</v>
      </c>
      <c r="C1070" s="184" t="s">
        <v>1101</v>
      </c>
      <c r="D1070" s="185" t="s">
        <v>702</v>
      </c>
      <c r="E1070" s="186" t="s">
        <v>2895</v>
      </c>
      <c r="F1070" s="186" t="s">
        <v>2896</v>
      </c>
      <c r="G1070" s="186" t="s">
        <v>2896</v>
      </c>
      <c r="H1070" s="186" t="s">
        <v>2897</v>
      </c>
      <c r="I1070" s="187" t="s">
        <v>1137</v>
      </c>
      <c r="J1070" s="187" t="s">
        <v>1138</v>
      </c>
      <c r="K1070" s="188"/>
      <c r="L1070" s="188"/>
      <c r="M1070" s="189" t="s">
        <v>807</v>
      </c>
      <c r="N1070" s="190">
        <v>40.15</v>
      </c>
      <c r="O1070" s="190">
        <f t="shared" si="131"/>
        <v>43.76</v>
      </c>
      <c r="P1070" s="191">
        <f t="shared" si="132"/>
        <v>0</v>
      </c>
      <c r="Q1070" s="192">
        <f t="shared" si="133"/>
        <v>0</v>
      </c>
      <c r="R1070" s="193"/>
      <c r="S1070" s="194"/>
      <c r="T1070" s="195">
        <f t="shared" si="134"/>
        <v>0</v>
      </c>
      <c r="U1070" s="195">
        <f t="shared" si="135"/>
        <v>0</v>
      </c>
      <c r="V1070" s="195">
        <f t="shared" si="136"/>
        <v>0</v>
      </c>
      <c r="W1070" s="196" t="e">
        <f t="shared" si="137"/>
        <v>#DIV/0!</v>
      </c>
      <c r="X1070" s="197" t="e">
        <f t="shared" si="138"/>
        <v>#DIV/0!</v>
      </c>
    </row>
    <row r="1071" ht="11.4" hidden="1" customHeight="1" spans="1:24">
      <c r="A1071" s="184" t="s">
        <v>2894</v>
      </c>
      <c r="B1071" s="184" t="s">
        <v>111</v>
      </c>
      <c r="C1071" s="184" t="s">
        <v>1101</v>
      </c>
      <c r="D1071" s="185" t="s">
        <v>702</v>
      </c>
      <c r="E1071" s="186" t="s">
        <v>2895</v>
      </c>
      <c r="F1071" s="186" t="s">
        <v>2896</v>
      </c>
      <c r="G1071" s="186" t="s">
        <v>2896</v>
      </c>
      <c r="H1071" s="186" t="s">
        <v>2897</v>
      </c>
      <c r="I1071" s="187" t="s">
        <v>1139</v>
      </c>
      <c r="J1071" s="187" t="s">
        <v>2898</v>
      </c>
      <c r="K1071" s="188"/>
      <c r="L1071" s="188"/>
      <c r="M1071" s="189" t="s">
        <v>807</v>
      </c>
      <c r="N1071" s="190">
        <v>41.36</v>
      </c>
      <c r="O1071" s="190">
        <f t="shared" si="131"/>
        <v>45.08</v>
      </c>
      <c r="P1071" s="191">
        <f t="shared" si="132"/>
        <v>0</v>
      </c>
      <c r="Q1071" s="192">
        <f t="shared" si="133"/>
        <v>0</v>
      </c>
      <c r="R1071" s="193"/>
      <c r="S1071" s="194"/>
      <c r="T1071" s="195">
        <f t="shared" si="134"/>
        <v>0</v>
      </c>
      <c r="U1071" s="195">
        <f t="shared" si="135"/>
        <v>0</v>
      </c>
      <c r="V1071" s="195">
        <f t="shared" si="136"/>
        <v>0</v>
      </c>
      <c r="W1071" s="196" t="e">
        <f t="shared" si="137"/>
        <v>#DIV/0!</v>
      </c>
      <c r="X1071" s="197" t="e">
        <f t="shared" si="138"/>
        <v>#DIV/0!</v>
      </c>
    </row>
    <row r="1072" ht="11.4" hidden="1" customHeight="1" spans="1:24">
      <c r="A1072" s="184" t="s">
        <v>2894</v>
      </c>
      <c r="B1072" s="184" t="s">
        <v>111</v>
      </c>
      <c r="C1072" s="184" t="s">
        <v>1101</v>
      </c>
      <c r="D1072" s="185" t="s">
        <v>702</v>
      </c>
      <c r="E1072" s="186" t="s">
        <v>2895</v>
      </c>
      <c r="F1072" s="186" t="s">
        <v>2896</v>
      </c>
      <c r="G1072" s="186" t="s">
        <v>2896</v>
      </c>
      <c r="H1072" s="186" t="s">
        <v>2897</v>
      </c>
      <c r="I1072" s="187" t="s">
        <v>1141</v>
      </c>
      <c r="J1072" s="187" t="s">
        <v>1142</v>
      </c>
      <c r="K1072" s="188"/>
      <c r="L1072" s="188"/>
      <c r="M1072" s="189" t="s">
        <v>847</v>
      </c>
      <c r="N1072" s="190">
        <v>196.14</v>
      </c>
      <c r="O1072" s="190">
        <f t="shared" si="131"/>
        <v>213.79</v>
      </c>
      <c r="P1072" s="191">
        <f t="shared" si="132"/>
        <v>0</v>
      </c>
      <c r="Q1072" s="192">
        <f t="shared" si="133"/>
        <v>0</v>
      </c>
      <c r="R1072" s="193"/>
      <c r="S1072" s="194"/>
      <c r="T1072" s="195">
        <f t="shared" si="134"/>
        <v>0</v>
      </c>
      <c r="U1072" s="195">
        <f t="shared" si="135"/>
        <v>0</v>
      </c>
      <c r="V1072" s="195">
        <f t="shared" si="136"/>
        <v>0</v>
      </c>
      <c r="W1072" s="196" t="e">
        <f t="shared" si="137"/>
        <v>#DIV/0!</v>
      </c>
      <c r="X1072" s="197" t="e">
        <f t="shared" si="138"/>
        <v>#DIV/0!</v>
      </c>
    </row>
    <row r="1073" ht="11.4" hidden="1" customHeight="1" spans="1:24">
      <c r="A1073" s="184" t="s">
        <v>2894</v>
      </c>
      <c r="B1073" s="184" t="s">
        <v>111</v>
      </c>
      <c r="C1073" s="184" t="s">
        <v>1101</v>
      </c>
      <c r="D1073" s="185" t="s">
        <v>702</v>
      </c>
      <c r="E1073" s="186" t="s">
        <v>2895</v>
      </c>
      <c r="F1073" s="186" t="s">
        <v>2896</v>
      </c>
      <c r="G1073" s="186" t="s">
        <v>2896</v>
      </c>
      <c r="H1073" s="186" t="s">
        <v>2897</v>
      </c>
      <c r="I1073" s="187" t="s">
        <v>1143</v>
      </c>
      <c r="J1073" s="187" t="s">
        <v>1144</v>
      </c>
      <c r="K1073" s="188"/>
      <c r="L1073" s="188"/>
      <c r="M1073" s="189" t="s">
        <v>807</v>
      </c>
      <c r="N1073" s="190">
        <v>41.47</v>
      </c>
      <c r="O1073" s="190">
        <f t="shared" si="131"/>
        <v>45.2</v>
      </c>
      <c r="P1073" s="191">
        <f t="shared" si="132"/>
        <v>0</v>
      </c>
      <c r="Q1073" s="192">
        <f t="shared" si="133"/>
        <v>0</v>
      </c>
      <c r="R1073" s="193"/>
      <c r="S1073" s="194"/>
      <c r="T1073" s="195">
        <f t="shared" si="134"/>
        <v>0</v>
      </c>
      <c r="U1073" s="195">
        <f t="shared" si="135"/>
        <v>0</v>
      </c>
      <c r="V1073" s="195">
        <f t="shared" si="136"/>
        <v>0</v>
      </c>
      <c r="W1073" s="196" t="e">
        <f t="shared" si="137"/>
        <v>#DIV/0!</v>
      </c>
      <c r="X1073" s="197" t="e">
        <f t="shared" si="138"/>
        <v>#DIV/0!</v>
      </c>
    </row>
    <row r="1074" ht="11.4" hidden="1" customHeight="1" spans="1:24">
      <c r="A1074" s="184" t="s">
        <v>2894</v>
      </c>
      <c r="B1074" s="184" t="s">
        <v>111</v>
      </c>
      <c r="C1074" s="184" t="s">
        <v>1101</v>
      </c>
      <c r="D1074" s="185" t="s">
        <v>702</v>
      </c>
      <c r="E1074" s="186" t="s">
        <v>2895</v>
      </c>
      <c r="F1074" s="186" t="s">
        <v>2896</v>
      </c>
      <c r="G1074" s="186" t="s">
        <v>2896</v>
      </c>
      <c r="H1074" s="186" t="s">
        <v>2897</v>
      </c>
      <c r="I1074" s="187" t="s">
        <v>1145</v>
      </c>
      <c r="J1074" s="187" t="s">
        <v>1146</v>
      </c>
      <c r="K1074" s="188"/>
      <c r="L1074" s="188"/>
      <c r="M1074" s="189" t="s">
        <v>847</v>
      </c>
      <c r="N1074" s="190">
        <v>179.82</v>
      </c>
      <c r="O1074" s="190">
        <f t="shared" si="131"/>
        <v>196</v>
      </c>
      <c r="P1074" s="191">
        <f t="shared" si="132"/>
        <v>0</v>
      </c>
      <c r="Q1074" s="192">
        <f t="shared" si="133"/>
        <v>0</v>
      </c>
      <c r="R1074" s="193"/>
      <c r="S1074" s="194"/>
      <c r="T1074" s="195">
        <f t="shared" si="134"/>
        <v>0</v>
      </c>
      <c r="U1074" s="195">
        <f t="shared" si="135"/>
        <v>0</v>
      </c>
      <c r="V1074" s="195">
        <f t="shared" si="136"/>
        <v>0</v>
      </c>
      <c r="W1074" s="196" t="e">
        <f t="shared" si="137"/>
        <v>#DIV/0!</v>
      </c>
      <c r="X1074" s="197" t="e">
        <f t="shared" si="138"/>
        <v>#DIV/0!</v>
      </c>
    </row>
    <row r="1075" ht="11.4" hidden="1" customHeight="1" spans="1:24">
      <c r="A1075" s="184" t="s">
        <v>2894</v>
      </c>
      <c r="B1075" s="184" t="s">
        <v>111</v>
      </c>
      <c r="C1075" s="184" t="s">
        <v>1101</v>
      </c>
      <c r="D1075" s="185" t="s">
        <v>702</v>
      </c>
      <c r="E1075" s="186" t="s">
        <v>2895</v>
      </c>
      <c r="F1075" s="186" t="s">
        <v>2896</v>
      </c>
      <c r="G1075" s="186" t="s">
        <v>2896</v>
      </c>
      <c r="H1075" s="186" t="s">
        <v>2897</v>
      </c>
      <c r="I1075" s="187" t="s">
        <v>1147</v>
      </c>
      <c r="J1075" s="187" t="s">
        <v>1148</v>
      </c>
      <c r="K1075" s="188"/>
      <c r="L1075" s="188"/>
      <c r="M1075" s="189" t="s">
        <v>807</v>
      </c>
      <c r="N1075" s="190">
        <v>37.84</v>
      </c>
      <c r="O1075" s="190">
        <f t="shared" si="131"/>
        <v>41.25</v>
      </c>
      <c r="P1075" s="191">
        <f t="shared" si="132"/>
        <v>0</v>
      </c>
      <c r="Q1075" s="192">
        <f t="shared" si="133"/>
        <v>0</v>
      </c>
      <c r="R1075" s="193"/>
      <c r="S1075" s="194"/>
      <c r="T1075" s="195">
        <f t="shared" si="134"/>
        <v>0</v>
      </c>
      <c r="U1075" s="195">
        <f t="shared" si="135"/>
        <v>0</v>
      </c>
      <c r="V1075" s="195">
        <f t="shared" si="136"/>
        <v>0</v>
      </c>
      <c r="W1075" s="196" t="e">
        <f t="shared" si="137"/>
        <v>#DIV/0!</v>
      </c>
      <c r="X1075" s="197" t="e">
        <f t="shared" si="138"/>
        <v>#DIV/0!</v>
      </c>
    </row>
    <row r="1076" ht="11.4" hidden="1" customHeight="1" spans="1:24">
      <c r="A1076" s="184" t="s">
        <v>2894</v>
      </c>
      <c r="B1076" s="184" t="s">
        <v>111</v>
      </c>
      <c r="C1076" s="184" t="s">
        <v>1101</v>
      </c>
      <c r="D1076" s="185" t="s">
        <v>702</v>
      </c>
      <c r="E1076" s="186" t="s">
        <v>2895</v>
      </c>
      <c r="F1076" s="186" t="s">
        <v>2896</v>
      </c>
      <c r="G1076" s="186" t="s">
        <v>2896</v>
      </c>
      <c r="H1076" s="186" t="s">
        <v>2897</v>
      </c>
      <c r="I1076" s="187" t="s">
        <v>1149</v>
      </c>
      <c r="J1076" s="187" t="s">
        <v>1150</v>
      </c>
      <c r="K1076" s="188"/>
      <c r="L1076" s="188"/>
      <c r="M1076" s="189" t="s">
        <v>847</v>
      </c>
      <c r="N1076" s="190">
        <v>193.81</v>
      </c>
      <c r="O1076" s="190">
        <f t="shared" si="131"/>
        <v>211.25</v>
      </c>
      <c r="P1076" s="191">
        <f t="shared" si="132"/>
        <v>0</v>
      </c>
      <c r="Q1076" s="192">
        <f t="shared" si="133"/>
        <v>0</v>
      </c>
      <c r="R1076" s="193"/>
      <c r="S1076" s="194"/>
      <c r="T1076" s="195">
        <f t="shared" si="134"/>
        <v>0</v>
      </c>
      <c r="U1076" s="195">
        <f t="shared" si="135"/>
        <v>0</v>
      </c>
      <c r="V1076" s="195">
        <f t="shared" si="136"/>
        <v>0</v>
      </c>
      <c r="W1076" s="196" t="e">
        <f t="shared" si="137"/>
        <v>#DIV/0!</v>
      </c>
      <c r="X1076" s="197" t="e">
        <f t="shared" si="138"/>
        <v>#DIV/0!</v>
      </c>
    </row>
    <row r="1077" ht="11.4" hidden="1" customHeight="1" spans="1:24">
      <c r="A1077" s="184" t="s">
        <v>2894</v>
      </c>
      <c r="B1077" s="184" t="s">
        <v>111</v>
      </c>
      <c r="C1077" s="184" t="s">
        <v>1101</v>
      </c>
      <c r="D1077" s="185" t="s">
        <v>702</v>
      </c>
      <c r="E1077" s="186" t="s">
        <v>2895</v>
      </c>
      <c r="F1077" s="186" t="s">
        <v>2896</v>
      </c>
      <c r="G1077" s="186" t="s">
        <v>2896</v>
      </c>
      <c r="H1077" s="186" t="s">
        <v>2897</v>
      </c>
      <c r="I1077" s="187" t="s">
        <v>1151</v>
      </c>
      <c r="J1077" s="187" t="s">
        <v>1152</v>
      </c>
      <c r="K1077" s="188"/>
      <c r="L1077" s="188"/>
      <c r="M1077" s="189" t="s">
        <v>807</v>
      </c>
      <c r="N1077" s="190">
        <v>39.05</v>
      </c>
      <c r="O1077" s="190">
        <f t="shared" si="131"/>
        <v>42.56</v>
      </c>
      <c r="P1077" s="191">
        <f t="shared" si="132"/>
        <v>0</v>
      </c>
      <c r="Q1077" s="192">
        <f t="shared" si="133"/>
        <v>0</v>
      </c>
      <c r="R1077" s="193"/>
      <c r="S1077" s="194"/>
      <c r="T1077" s="195">
        <f t="shared" si="134"/>
        <v>0</v>
      </c>
      <c r="U1077" s="195">
        <f t="shared" si="135"/>
        <v>0</v>
      </c>
      <c r="V1077" s="195">
        <f t="shared" si="136"/>
        <v>0</v>
      </c>
      <c r="W1077" s="196" t="e">
        <f t="shared" si="137"/>
        <v>#DIV/0!</v>
      </c>
      <c r="X1077" s="197" t="e">
        <f t="shared" si="138"/>
        <v>#DIV/0!</v>
      </c>
    </row>
    <row r="1078" ht="11.4" hidden="1" customHeight="1" spans="1:24">
      <c r="A1078" s="184" t="s">
        <v>2894</v>
      </c>
      <c r="B1078" s="184" t="s">
        <v>111</v>
      </c>
      <c r="C1078" s="184" t="s">
        <v>1101</v>
      </c>
      <c r="D1078" s="185" t="s">
        <v>702</v>
      </c>
      <c r="E1078" s="186" t="s">
        <v>2895</v>
      </c>
      <c r="F1078" s="186" t="s">
        <v>2896</v>
      </c>
      <c r="G1078" s="186" t="s">
        <v>2896</v>
      </c>
      <c r="H1078" s="186" t="s">
        <v>2897</v>
      </c>
      <c r="I1078" s="187" t="s">
        <v>1153</v>
      </c>
      <c r="J1078" s="187" t="s">
        <v>1154</v>
      </c>
      <c r="K1078" s="188"/>
      <c r="L1078" s="188"/>
      <c r="M1078" s="189" t="s">
        <v>847</v>
      </c>
      <c r="N1078" s="190">
        <v>178.2</v>
      </c>
      <c r="O1078" s="190">
        <f t="shared" si="131"/>
        <v>194.24</v>
      </c>
      <c r="P1078" s="191">
        <f t="shared" si="132"/>
        <v>0</v>
      </c>
      <c r="Q1078" s="192">
        <f t="shared" si="133"/>
        <v>0</v>
      </c>
      <c r="R1078" s="193"/>
      <c r="S1078" s="194"/>
      <c r="T1078" s="195">
        <f t="shared" si="134"/>
        <v>0</v>
      </c>
      <c r="U1078" s="195">
        <f t="shared" si="135"/>
        <v>0</v>
      </c>
      <c r="V1078" s="195">
        <f t="shared" si="136"/>
        <v>0</v>
      </c>
      <c r="W1078" s="196" t="e">
        <f t="shared" si="137"/>
        <v>#DIV/0!</v>
      </c>
      <c r="X1078" s="197" t="e">
        <f t="shared" si="138"/>
        <v>#DIV/0!</v>
      </c>
    </row>
    <row r="1079" ht="11.4" hidden="1" customHeight="1" spans="1:24">
      <c r="A1079" s="184" t="s">
        <v>2894</v>
      </c>
      <c r="B1079" s="184" t="s">
        <v>111</v>
      </c>
      <c r="C1079" s="184" t="s">
        <v>1101</v>
      </c>
      <c r="D1079" s="185" t="s">
        <v>702</v>
      </c>
      <c r="E1079" s="186" t="s">
        <v>2895</v>
      </c>
      <c r="F1079" s="186" t="s">
        <v>2896</v>
      </c>
      <c r="G1079" s="186" t="s">
        <v>2896</v>
      </c>
      <c r="H1079" s="186" t="s">
        <v>2897</v>
      </c>
      <c r="I1079" s="187" t="s">
        <v>1155</v>
      </c>
      <c r="J1079" s="187" t="s">
        <v>1156</v>
      </c>
      <c r="K1079" s="188"/>
      <c r="L1079" s="188"/>
      <c r="M1079" s="189" t="s">
        <v>847</v>
      </c>
      <c r="N1079" s="190">
        <v>170.67</v>
      </c>
      <c r="O1079" s="190">
        <f t="shared" si="131"/>
        <v>186.03</v>
      </c>
      <c r="P1079" s="191">
        <f t="shared" si="132"/>
        <v>0</v>
      </c>
      <c r="Q1079" s="192">
        <f t="shared" si="133"/>
        <v>0</v>
      </c>
      <c r="R1079" s="193"/>
      <c r="S1079" s="194"/>
      <c r="T1079" s="195">
        <f t="shared" si="134"/>
        <v>0</v>
      </c>
      <c r="U1079" s="195">
        <f t="shared" si="135"/>
        <v>0</v>
      </c>
      <c r="V1079" s="195">
        <f t="shared" si="136"/>
        <v>0</v>
      </c>
      <c r="W1079" s="196" t="e">
        <f t="shared" si="137"/>
        <v>#DIV/0!</v>
      </c>
      <c r="X1079" s="197" t="e">
        <f t="shared" si="138"/>
        <v>#DIV/0!</v>
      </c>
    </row>
    <row r="1080" ht="11.4" hidden="1" customHeight="1" spans="1:24">
      <c r="A1080" s="184" t="s">
        <v>2894</v>
      </c>
      <c r="B1080" s="184" t="s">
        <v>111</v>
      </c>
      <c r="C1080" s="184" t="s">
        <v>1101</v>
      </c>
      <c r="D1080" s="185" t="s">
        <v>702</v>
      </c>
      <c r="E1080" s="186" t="s">
        <v>2895</v>
      </c>
      <c r="F1080" s="186" t="s">
        <v>2896</v>
      </c>
      <c r="G1080" s="186" t="s">
        <v>2896</v>
      </c>
      <c r="H1080" s="186" t="s">
        <v>2897</v>
      </c>
      <c r="I1080" s="187" t="s">
        <v>1157</v>
      </c>
      <c r="J1080" s="187" t="s">
        <v>1158</v>
      </c>
      <c r="K1080" s="188"/>
      <c r="L1080" s="188"/>
      <c r="M1080" s="189" t="s">
        <v>847</v>
      </c>
      <c r="N1080" s="190">
        <v>181.7</v>
      </c>
      <c r="O1080" s="190">
        <f t="shared" si="131"/>
        <v>198.05</v>
      </c>
      <c r="P1080" s="191">
        <f t="shared" si="132"/>
        <v>0</v>
      </c>
      <c r="Q1080" s="192">
        <f t="shared" si="133"/>
        <v>0</v>
      </c>
      <c r="R1080" s="193"/>
      <c r="S1080" s="194"/>
      <c r="T1080" s="195">
        <f t="shared" si="134"/>
        <v>0</v>
      </c>
      <c r="U1080" s="195">
        <f t="shared" si="135"/>
        <v>0</v>
      </c>
      <c r="V1080" s="195">
        <f t="shared" si="136"/>
        <v>0</v>
      </c>
      <c r="W1080" s="196" t="e">
        <f t="shared" si="137"/>
        <v>#DIV/0!</v>
      </c>
      <c r="X1080" s="197" t="e">
        <f t="shared" si="138"/>
        <v>#DIV/0!</v>
      </c>
    </row>
    <row r="1081" ht="11.4" hidden="1" customHeight="1" spans="1:24">
      <c r="A1081" s="184" t="s">
        <v>2894</v>
      </c>
      <c r="B1081" s="184" t="s">
        <v>111</v>
      </c>
      <c r="C1081" s="184" t="s">
        <v>1101</v>
      </c>
      <c r="D1081" s="185" t="s">
        <v>702</v>
      </c>
      <c r="E1081" s="186" t="s">
        <v>2895</v>
      </c>
      <c r="F1081" s="186" t="s">
        <v>2896</v>
      </c>
      <c r="G1081" s="186" t="s">
        <v>2896</v>
      </c>
      <c r="H1081" s="186" t="s">
        <v>2897</v>
      </c>
      <c r="I1081" s="187" t="s">
        <v>1159</v>
      </c>
      <c r="J1081" s="187" t="s">
        <v>1160</v>
      </c>
      <c r="K1081" s="188"/>
      <c r="L1081" s="188"/>
      <c r="M1081" s="189" t="s">
        <v>847</v>
      </c>
      <c r="N1081" s="190">
        <v>180.78</v>
      </c>
      <c r="O1081" s="190">
        <f t="shared" si="131"/>
        <v>197.05</v>
      </c>
      <c r="P1081" s="191">
        <f t="shared" si="132"/>
        <v>0</v>
      </c>
      <c r="Q1081" s="192">
        <f t="shared" si="133"/>
        <v>0</v>
      </c>
      <c r="R1081" s="193"/>
      <c r="S1081" s="194"/>
      <c r="T1081" s="195">
        <f t="shared" si="134"/>
        <v>0</v>
      </c>
      <c r="U1081" s="195">
        <f t="shared" si="135"/>
        <v>0</v>
      </c>
      <c r="V1081" s="195">
        <f t="shared" si="136"/>
        <v>0</v>
      </c>
      <c r="W1081" s="196" t="e">
        <f t="shared" si="137"/>
        <v>#DIV/0!</v>
      </c>
      <c r="X1081" s="197" t="e">
        <f t="shared" si="138"/>
        <v>#DIV/0!</v>
      </c>
    </row>
    <row r="1082" ht="11.4" hidden="1" customHeight="1" spans="1:24">
      <c r="A1082" s="184" t="s">
        <v>2894</v>
      </c>
      <c r="B1082" s="184" t="s">
        <v>111</v>
      </c>
      <c r="C1082" s="184" t="s">
        <v>1101</v>
      </c>
      <c r="D1082" s="185" t="s">
        <v>702</v>
      </c>
      <c r="E1082" s="186" t="s">
        <v>2895</v>
      </c>
      <c r="F1082" s="186" t="s">
        <v>2896</v>
      </c>
      <c r="G1082" s="186" t="s">
        <v>2896</v>
      </c>
      <c r="H1082" s="186" t="s">
        <v>2897</v>
      </c>
      <c r="I1082" s="187" t="s">
        <v>1161</v>
      </c>
      <c r="J1082" s="187" t="s">
        <v>1162</v>
      </c>
      <c r="K1082" s="188"/>
      <c r="L1082" s="188"/>
      <c r="M1082" s="189" t="s">
        <v>847</v>
      </c>
      <c r="N1082" s="190">
        <v>162.63</v>
      </c>
      <c r="O1082" s="190">
        <f t="shared" si="131"/>
        <v>177.27</v>
      </c>
      <c r="P1082" s="191">
        <f t="shared" si="132"/>
        <v>0</v>
      </c>
      <c r="Q1082" s="192">
        <f t="shared" si="133"/>
        <v>0</v>
      </c>
      <c r="R1082" s="193"/>
      <c r="S1082" s="194"/>
      <c r="T1082" s="195">
        <f t="shared" si="134"/>
        <v>0</v>
      </c>
      <c r="U1082" s="195">
        <f t="shared" si="135"/>
        <v>0</v>
      </c>
      <c r="V1082" s="195">
        <f t="shared" si="136"/>
        <v>0</v>
      </c>
      <c r="W1082" s="196" t="e">
        <f t="shared" si="137"/>
        <v>#DIV/0!</v>
      </c>
      <c r="X1082" s="197" t="e">
        <f t="shared" si="138"/>
        <v>#DIV/0!</v>
      </c>
    </row>
    <row r="1083" ht="11.4" hidden="1" customHeight="1" spans="1:24">
      <c r="A1083" s="184" t="s">
        <v>2894</v>
      </c>
      <c r="B1083" s="184" t="s">
        <v>111</v>
      </c>
      <c r="C1083" s="184" t="s">
        <v>1101</v>
      </c>
      <c r="D1083" s="185" t="s">
        <v>702</v>
      </c>
      <c r="E1083" s="186" t="s">
        <v>2895</v>
      </c>
      <c r="F1083" s="186" t="s">
        <v>2896</v>
      </c>
      <c r="G1083" s="186" t="s">
        <v>2896</v>
      </c>
      <c r="H1083" s="186" t="s">
        <v>2897</v>
      </c>
      <c r="I1083" s="187" t="s">
        <v>1163</v>
      </c>
      <c r="J1083" s="187" t="s">
        <v>1164</v>
      </c>
      <c r="K1083" s="188"/>
      <c r="L1083" s="188"/>
      <c r="M1083" s="189" t="s">
        <v>847</v>
      </c>
      <c r="N1083" s="190">
        <v>183.2</v>
      </c>
      <c r="O1083" s="190">
        <f t="shared" si="131"/>
        <v>199.69</v>
      </c>
      <c r="P1083" s="191">
        <f t="shared" si="132"/>
        <v>0</v>
      </c>
      <c r="Q1083" s="192">
        <f t="shared" si="133"/>
        <v>0</v>
      </c>
      <c r="R1083" s="193"/>
      <c r="S1083" s="194"/>
      <c r="T1083" s="195">
        <f t="shared" si="134"/>
        <v>0</v>
      </c>
      <c r="U1083" s="195">
        <f t="shared" si="135"/>
        <v>0</v>
      </c>
      <c r="V1083" s="195">
        <f t="shared" si="136"/>
        <v>0</v>
      </c>
      <c r="W1083" s="196" t="e">
        <f t="shared" si="137"/>
        <v>#DIV/0!</v>
      </c>
      <c r="X1083" s="197" t="e">
        <f t="shared" si="138"/>
        <v>#DIV/0!</v>
      </c>
    </row>
    <row r="1084" ht="11.4" hidden="1" customHeight="1" spans="1:24">
      <c r="A1084" s="184" t="s">
        <v>2894</v>
      </c>
      <c r="B1084" s="184" t="s">
        <v>111</v>
      </c>
      <c r="C1084" s="184" t="s">
        <v>1101</v>
      </c>
      <c r="D1084" s="185" t="s">
        <v>702</v>
      </c>
      <c r="E1084" s="186" t="s">
        <v>2895</v>
      </c>
      <c r="F1084" s="186" t="s">
        <v>2896</v>
      </c>
      <c r="G1084" s="186" t="s">
        <v>2896</v>
      </c>
      <c r="H1084" s="186" t="s">
        <v>2897</v>
      </c>
      <c r="I1084" s="187" t="s">
        <v>1708</v>
      </c>
      <c r="J1084" s="187" t="s">
        <v>1709</v>
      </c>
      <c r="K1084" s="188"/>
      <c r="L1084" s="188"/>
      <c r="M1084" s="189" t="s">
        <v>847</v>
      </c>
      <c r="N1084" s="190">
        <v>203.87</v>
      </c>
      <c r="O1084" s="190">
        <f t="shared" si="131"/>
        <v>222.22</v>
      </c>
      <c r="P1084" s="191">
        <f t="shared" si="132"/>
        <v>0</v>
      </c>
      <c r="Q1084" s="192">
        <f t="shared" si="133"/>
        <v>0</v>
      </c>
      <c r="R1084" s="193"/>
      <c r="S1084" s="194"/>
      <c r="T1084" s="195">
        <f t="shared" si="134"/>
        <v>0</v>
      </c>
      <c r="U1084" s="195">
        <f t="shared" si="135"/>
        <v>0</v>
      </c>
      <c r="V1084" s="195">
        <f t="shared" si="136"/>
        <v>0</v>
      </c>
      <c r="W1084" s="196" t="e">
        <f t="shared" si="137"/>
        <v>#DIV/0!</v>
      </c>
      <c r="X1084" s="197" t="e">
        <f t="shared" si="138"/>
        <v>#DIV/0!</v>
      </c>
    </row>
    <row r="1085" ht="11.4" hidden="1" customHeight="1" spans="1:24">
      <c r="A1085" s="184" t="s">
        <v>2894</v>
      </c>
      <c r="B1085" s="184" t="s">
        <v>111</v>
      </c>
      <c r="C1085" s="184" t="s">
        <v>1101</v>
      </c>
      <c r="D1085" s="185" t="s">
        <v>702</v>
      </c>
      <c r="E1085" s="186" t="s">
        <v>2895</v>
      </c>
      <c r="F1085" s="186" t="s">
        <v>2896</v>
      </c>
      <c r="G1085" s="186" t="s">
        <v>2896</v>
      </c>
      <c r="H1085" s="186" t="s">
        <v>2897</v>
      </c>
      <c r="I1085" s="187" t="s">
        <v>1710</v>
      </c>
      <c r="J1085" s="187" t="s">
        <v>1711</v>
      </c>
      <c r="K1085" s="188"/>
      <c r="L1085" s="188"/>
      <c r="M1085" s="189" t="s">
        <v>807</v>
      </c>
      <c r="N1085" s="190">
        <v>101.27</v>
      </c>
      <c r="O1085" s="190">
        <f t="shared" si="131"/>
        <v>110.38</v>
      </c>
      <c r="P1085" s="191">
        <f t="shared" si="132"/>
        <v>0</v>
      </c>
      <c r="Q1085" s="192">
        <f t="shared" si="133"/>
        <v>0</v>
      </c>
      <c r="R1085" s="193"/>
      <c r="S1085" s="194"/>
      <c r="T1085" s="195">
        <f t="shared" si="134"/>
        <v>0</v>
      </c>
      <c r="U1085" s="195">
        <f t="shared" si="135"/>
        <v>0</v>
      </c>
      <c r="V1085" s="195">
        <f t="shared" si="136"/>
        <v>0</v>
      </c>
      <c r="W1085" s="196" t="e">
        <f t="shared" si="137"/>
        <v>#DIV/0!</v>
      </c>
      <c r="X1085" s="197" t="e">
        <f t="shared" si="138"/>
        <v>#DIV/0!</v>
      </c>
    </row>
    <row r="1086" ht="11.4" hidden="1" customHeight="1" spans="1:24">
      <c r="A1086" s="184" t="s">
        <v>2894</v>
      </c>
      <c r="B1086" s="184" t="s">
        <v>111</v>
      </c>
      <c r="C1086" s="184" t="s">
        <v>1101</v>
      </c>
      <c r="D1086" s="185" t="s">
        <v>702</v>
      </c>
      <c r="E1086" s="186" t="s">
        <v>2895</v>
      </c>
      <c r="F1086" s="186" t="s">
        <v>2896</v>
      </c>
      <c r="G1086" s="186" t="s">
        <v>2896</v>
      </c>
      <c r="H1086" s="186" t="s">
        <v>2897</v>
      </c>
      <c r="I1086" s="187" t="s">
        <v>1712</v>
      </c>
      <c r="J1086" s="187" t="s">
        <v>1713</v>
      </c>
      <c r="K1086" s="188"/>
      <c r="L1086" s="188"/>
      <c r="M1086" s="189" t="s">
        <v>847</v>
      </c>
      <c r="N1086" s="190">
        <v>194.19</v>
      </c>
      <c r="O1086" s="190">
        <f t="shared" si="131"/>
        <v>211.67</v>
      </c>
      <c r="P1086" s="191">
        <f t="shared" si="132"/>
        <v>0</v>
      </c>
      <c r="Q1086" s="192">
        <f t="shared" si="133"/>
        <v>0</v>
      </c>
      <c r="R1086" s="193"/>
      <c r="S1086" s="194"/>
      <c r="T1086" s="195">
        <f t="shared" si="134"/>
        <v>0</v>
      </c>
      <c r="U1086" s="195">
        <f t="shared" si="135"/>
        <v>0</v>
      </c>
      <c r="V1086" s="195">
        <f t="shared" si="136"/>
        <v>0</v>
      </c>
      <c r="W1086" s="196" t="e">
        <f t="shared" si="137"/>
        <v>#DIV/0!</v>
      </c>
      <c r="X1086" s="197" t="e">
        <f t="shared" si="138"/>
        <v>#DIV/0!</v>
      </c>
    </row>
    <row r="1087" ht="11.4" hidden="1" customHeight="1" spans="1:24">
      <c r="A1087" s="184" t="s">
        <v>2894</v>
      </c>
      <c r="B1087" s="184" t="s">
        <v>111</v>
      </c>
      <c r="C1087" s="184" t="s">
        <v>1101</v>
      </c>
      <c r="D1087" s="185" t="s">
        <v>702</v>
      </c>
      <c r="E1087" s="186" t="s">
        <v>2895</v>
      </c>
      <c r="F1087" s="186" t="s">
        <v>2896</v>
      </c>
      <c r="G1087" s="186" t="s">
        <v>2896</v>
      </c>
      <c r="H1087" s="186" t="s">
        <v>2897</v>
      </c>
      <c r="I1087" s="187" t="s">
        <v>1714</v>
      </c>
      <c r="J1087" s="187" t="s">
        <v>1715</v>
      </c>
      <c r="K1087" s="188"/>
      <c r="L1087" s="188"/>
      <c r="M1087" s="189" t="s">
        <v>807</v>
      </c>
      <c r="N1087" s="190">
        <v>83.12</v>
      </c>
      <c r="O1087" s="190">
        <f t="shared" si="131"/>
        <v>90.6</v>
      </c>
      <c r="P1087" s="191">
        <f t="shared" si="132"/>
        <v>0</v>
      </c>
      <c r="Q1087" s="192">
        <f t="shared" si="133"/>
        <v>0</v>
      </c>
      <c r="R1087" s="193"/>
      <c r="S1087" s="194"/>
      <c r="T1087" s="195">
        <f t="shared" si="134"/>
        <v>0</v>
      </c>
      <c r="U1087" s="195">
        <f t="shared" si="135"/>
        <v>0</v>
      </c>
      <c r="V1087" s="195">
        <f t="shared" si="136"/>
        <v>0</v>
      </c>
      <c r="W1087" s="196" t="e">
        <f t="shared" si="137"/>
        <v>#DIV/0!</v>
      </c>
      <c r="X1087" s="197" t="e">
        <f t="shared" si="138"/>
        <v>#DIV/0!</v>
      </c>
    </row>
    <row r="1088" ht="11.4" hidden="1" customHeight="1" spans="1:24">
      <c r="A1088" s="184" t="s">
        <v>2894</v>
      </c>
      <c r="B1088" s="184" t="s">
        <v>111</v>
      </c>
      <c r="C1088" s="184" t="s">
        <v>1101</v>
      </c>
      <c r="D1088" s="185" t="s">
        <v>702</v>
      </c>
      <c r="E1088" s="186" t="s">
        <v>2895</v>
      </c>
      <c r="F1088" s="186" t="s">
        <v>2896</v>
      </c>
      <c r="G1088" s="186" t="s">
        <v>2896</v>
      </c>
      <c r="H1088" s="186" t="s">
        <v>2897</v>
      </c>
      <c r="I1088" s="187" t="s">
        <v>1716</v>
      </c>
      <c r="J1088" s="187" t="s">
        <v>1717</v>
      </c>
      <c r="K1088" s="188"/>
      <c r="L1088" s="188"/>
      <c r="M1088" s="189" t="s">
        <v>847</v>
      </c>
      <c r="N1088" s="190">
        <v>202.66</v>
      </c>
      <c r="O1088" s="190">
        <f t="shared" si="131"/>
        <v>220.9</v>
      </c>
      <c r="P1088" s="191">
        <f t="shared" si="132"/>
        <v>0</v>
      </c>
      <c r="Q1088" s="192">
        <f t="shared" si="133"/>
        <v>0</v>
      </c>
      <c r="R1088" s="193"/>
      <c r="S1088" s="194"/>
      <c r="T1088" s="195">
        <f t="shared" si="134"/>
        <v>0</v>
      </c>
      <c r="U1088" s="195">
        <f t="shared" si="135"/>
        <v>0</v>
      </c>
      <c r="V1088" s="195">
        <f t="shared" si="136"/>
        <v>0</v>
      </c>
      <c r="W1088" s="196" t="e">
        <f t="shared" si="137"/>
        <v>#DIV/0!</v>
      </c>
      <c r="X1088" s="197" t="e">
        <f t="shared" si="138"/>
        <v>#DIV/0!</v>
      </c>
    </row>
    <row r="1089" ht="11.4" hidden="1" customHeight="1" spans="1:27">
      <c r="A1089" s="184" t="s">
        <v>2894</v>
      </c>
      <c r="B1089" s="184" t="s">
        <v>111</v>
      </c>
      <c r="C1089" s="184" t="s">
        <v>1101</v>
      </c>
      <c r="D1089" s="185" t="s">
        <v>702</v>
      </c>
      <c r="E1089" s="186" t="s">
        <v>2895</v>
      </c>
      <c r="F1089" s="186" t="s">
        <v>2896</v>
      </c>
      <c r="G1089" s="186" t="s">
        <v>2896</v>
      </c>
      <c r="H1089" s="186" t="s">
        <v>2897</v>
      </c>
      <c r="I1089" s="187" t="s">
        <v>1718</v>
      </c>
      <c r="J1089" s="187" t="s">
        <v>1719</v>
      </c>
      <c r="K1089" s="188"/>
      <c r="L1089" s="188"/>
      <c r="M1089" s="189" t="s">
        <v>807</v>
      </c>
      <c r="N1089" s="190">
        <v>101.27</v>
      </c>
      <c r="O1089" s="190">
        <f t="shared" si="131"/>
        <v>110.38</v>
      </c>
      <c r="P1089" s="191">
        <f t="shared" si="132"/>
        <v>0</v>
      </c>
      <c r="Q1089" s="192">
        <f t="shared" si="133"/>
        <v>0</v>
      </c>
      <c r="R1089" s="193"/>
      <c r="S1089" s="194"/>
      <c r="T1089" s="195">
        <f t="shared" si="134"/>
        <v>0</v>
      </c>
      <c r="U1089" s="195">
        <f t="shared" si="135"/>
        <v>0</v>
      </c>
      <c r="V1089" s="195">
        <f t="shared" si="136"/>
        <v>0</v>
      </c>
      <c r="W1089" s="196" t="e">
        <f t="shared" si="137"/>
        <v>#DIV/0!</v>
      </c>
      <c r="X1089" s="197" t="e">
        <f t="shared" si="138"/>
        <v>#DIV/0!</v>
      </c>
    </row>
    <row r="1090" ht="11.4" hidden="1" customHeight="1" spans="1:27">
      <c r="A1090" s="184" t="s">
        <v>2899</v>
      </c>
      <c r="B1090" s="184" t="s">
        <v>113</v>
      </c>
      <c r="C1090" s="184" t="s">
        <v>1101</v>
      </c>
      <c r="D1090" s="185" t="s">
        <v>702</v>
      </c>
      <c r="E1090" s="186" t="s">
        <v>2895</v>
      </c>
      <c r="F1090" s="186" t="s">
        <v>2896</v>
      </c>
      <c r="G1090" s="186" t="s">
        <v>2896</v>
      </c>
      <c r="H1090" s="186" t="s">
        <v>2900</v>
      </c>
      <c r="I1090" s="187" t="s">
        <v>1314</v>
      </c>
      <c r="J1090" s="187" t="s">
        <v>1315</v>
      </c>
      <c r="K1090" s="188"/>
      <c r="L1090" s="188"/>
      <c r="M1090" s="189" t="s">
        <v>847</v>
      </c>
      <c r="N1090" s="190">
        <v>179.53</v>
      </c>
      <c r="O1090" s="190">
        <f t="shared" si="131"/>
        <v>195.69</v>
      </c>
      <c r="P1090" s="191">
        <f t="shared" si="132"/>
        <v>0</v>
      </c>
      <c r="Q1090" s="192">
        <f t="shared" si="133"/>
        <v>0</v>
      </c>
      <c r="R1090" s="193"/>
      <c r="S1090" s="194"/>
      <c r="T1090" s="195">
        <f t="shared" si="134"/>
        <v>0</v>
      </c>
      <c r="U1090" s="195">
        <f t="shared" si="135"/>
        <v>0</v>
      </c>
      <c r="V1090" s="195">
        <f t="shared" si="136"/>
        <v>0</v>
      </c>
      <c r="W1090" s="196" t="e">
        <f t="shared" si="137"/>
        <v>#DIV/0!</v>
      </c>
      <c r="X1090" s="197" t="e">
        <f t="shared" si="138"/>
        <v>#DIV/0!</v>
      </c>
    </row>
    <row r="1091" ht="11.4" hidden="1" customHeight="1" spans="1:27">
      <c r="A1091" s="184" t="s">
        <v>2899</v>
      </c>
      <c r="B1091" s="184" t="s">
        <v>113</v>
      </c>
      <c r="C1091" s="184" t="s">
        <v>1101</v>
      </c>
      <c r="D1091" s="185" t="s">
        <v>702</v>
      </c>
      <c r="E1091" s="186" t="s">
        <v>2895</v>
      </c>
      <c r="F1091" s="186" t="s">
        <v>2896</v>
      </c>
      <c r="G1091" s="186" t="s">
        <v>2896</v>
      </c>
      <c r="H1091" s="186" t="s">
        <v>2900</v>
      </c>
      <c r="I1091" s="187" t="s">
        <v>1316</v>
      </c>
      <c r="J1091" s="187" t="s">
        <v>1317</v>
      </c>
      <c r="K1091" s="188"/>
      <c r="L1091" s="188"/>
      <c r="M1091" s="189" t="s">
        <v>847</v>
      </c>
      <c r="N1091" s="190">
        <v>168.64</v>
      </c>
      <c r="O1091" s="190">
        <f t="shared" si="131"/>
        <v>183.82</v>
      </c>
      <c r="P1091" s="191">
        <f t="shared" si="132"/>
        <v>0</v>
      </c>
      <c r="Q1091" s="192">
        <f t="shared" si="133"/>
        <v>0</v>
      </c>
      <c r="R1091" s="193"/>
      <c r="S1091" s="194"/>
      <c r="T1091" s="195">
        <f t="shared" si="134"/>
        <v>0</v>
      </c>
      <c r="U1091" s="195">
        <f t="shared" si="135"/>
        <v>0</v>
      </c>
      <c r="V1091" s="195">
        <f t="shared" si="136"/>
        <v>0</v>
      </c>
      <c r="W1091" s="196" t="e">
        <f t="shared" si="137"/>
        <v>#DIV/0!</v>
      </c>
      <c r="X1091" s="197" t="e">
        <f t="shared" si="138"/>
        <v>#DIV/0!</v>
      </c>
    </row>
    <row r="1092" ht="11.4" hidden="1" customHeight="1" spans="1:27">
      <c r="A1092" s="184" t="s">
        <v>2899</v>
      </c>
      <c r="B1092" s="184" t="s">
        <v>113</v>
      </c>
      <c r="C1092" s="184" t="s">
        <v>1101</v>
      </c>
      <c r="D1092" s="185" t="s">
        <v>702</v>
      </c>
      <c r="E1092" s="186" t="s">
        <v>2895</v>
      </c>
      <c r="F1092" s="186" t="s">
        <v>2896</v>
      </c>
      <c r="G1092" s="186" t="s">
        <v>2896</v>
      </c>
      <c r="H1092" s="186" t="s">
        <v>2900</v>
      </c>
      <c r="I1092" s="187" t="s">
        <v>1318</v>
      </c>
      <c r="J1092" s="187" t="s">
        <v>1319</v>
      </c>
      <c r="K1092" s="188"/>
      <c r="L1092" s="188"/>
      <c r="M1092" s="189" t="s">
        <v>847</v>
      </c>
      <c r="N1092" s="190">
        <v>179.53</v>
      </c>
      <c r="O1092" s="190">
        <f t="shared" si="131"/>
        <v>195.69</v>
      </c>
      <c r="P1092" s="191">
        <f t="shared" si="132"/>
        <v>0</v>
      </c>
      <c r="Q1092" s="192">
        <f t="shared" si="133"/>
        <v>0</v>
      </c>
      <c r="R1092" s="193"/>
      <c r="S1092" s="194"/>
      <c r="T1092" s="195">
        <f t="shared" si="134"/>
        <v>0</v>
      </c>
      <c r="U1092" s="195">
        <f t="shared" si="135"/>
        <v>0</v>
      </c>
      <c r="V1092" s="195">
        <f t="shared" si="136"/>
        <v>0</v>
      </c>
      <c r="W1092" s="196" t="e">
        <f t="shared" si="137"/>
        <v>#DIV/0!</v>
      </c>
      <c r="X1092" s="197" t="e">
        <f t="shared" si="138"/>
        <v>#DIV/0!</v>
      </c>
    </row>
    <row r="1093" ht="11.4" hidden="1" customHeight="1" spans="1:27">
      <c r="A1093" s="184" t="s">
        <v>2899</v>
      </c>
      <c r="B1093" s="184" t="s">
        <v>113</v>
      </c>
      <c r="C1093" s="184" t="s">
        <v>1101</v>
      </c>
      <c r="D1093" s="185" t="s">
        <v>702</v>
      </c>
      <c r="E1093" s="186" t="s">
        <v>2895</v>
      </c>
      <c r="F1093" s="186" t="s">
        <v>2896</v>
      </c>
      <c r="G1093" s="186" t="s">
        <v>2896</v>
      </c>
      <c r="H1093" s="186" t="s">
        <v>2900</v>
      </c>
      <c r="I1093" s="187" t="s">
        <v>1320</v>
      </c>
      <c r="J1093" s="187" t="s">
        <v>1321</v>
      </c>
      <c r="K1093" s="188"/>
      <c r="L1093" s="188"/>
      <c r="M1093" s="189" t="s">
        <v>847</v>
      </c>
      <c r="N1093" s="190">
        <v>169.85</v>
      </c>
      <c r="O1093" s="190">
        <f t="shared" si="131"/>
        <v>185.14</v>
      </c>
      <c r="P1093" s="191">
        <f t="shared" si="132"/>
        <v>0</v>
      </c>
      <c r="Q1093" s="192">
        <f t="shared" si="133"/>
        <v>0</v>
      </c>
      <c r="R1093" s="193"/>
      <c r="S1093" s="194"/>
      <c r="T1093" s="195">
        <f t="shared" si="134"/>
        <v>0</v>
      </c>
      <c r="U1093" s="195">
        <f t="shared" si="135"/>
        <v>0</v>
      </c>
      <c r="V1093" s="195">
        <f t="shared" si="136"/>
        <v>0</v>
      </c>
      <c r="W1093" s="196" t="e">
        <f t="shared" si="137"/>
        <v>#DIV/0!</v>
      </c>
      <c r="X1093" s="197" t="e">
        <f t="shared" si="138"/>
        <v>#DIV/0!</v>
      </c>
    </row>
    <row r="1094" ht="11.4" hidden="1" customHeight="1" spans="1:27">
      <c r="A1094" s="184" t="s">
        <v>2899</v>
      </c>
      <c r="B1094" s="184" t="s">
        <v>113</v>
      </c>
      <c r="C1094" s="184" t="s">
        <v>1101</v>
      </c>
      <c r="D1094" s="185" t="s">
        <v>702</v>
      </c>
      <c r="E1094" s="186" t="s">
        <v>2895</v>
      </c>
      <c r="F1094" s="186" t="s">
        <v>2896</v>
      </c>
      <c r="G1094" s="186" t="s">
        <v>2896</v>
      </c>
      <c r="H1094" s="186" t="s">
        <v>2900</v>
      </c>
      <c r="I1094" s="187" t="s">
        <v>1322</v>
      </c>
      <c r="J1094" s="187" t="s">
        <v>1323</v>
      </c>
      <c r="K1094" s="188"/>
      <c r="L1094" s="188"/>
      <c r="M1094" s="189" t="s">
        <v>847</v>
      </c>
      <c r="N1094" s="190">
        <v>165.01</v>
      </c>
      <c r="O1094" s="190">
        <f t="shared" si="131"/>
        <v>179.86</v>
      </c>
      <c r="P1094" s="191">
        <f t="shared" si="132"/>
        <v>0</v>
      </c>
      <c r="Q1094" s="192">
        <f t="shared" si="133"/>
        <v>0</v>
      </c>
      <c r="R1094" s="193"/>
      <c r="S1094" s="194"/>
      <c r="T1094" s="195">
        <f t="shared" si="134"/>
        <v>0</v>
      </c>
      <c r="U1094" s="195">
        <f t="shared" si="135"/>
        <v>0</v>
      </c>
      <c r="V1094" s="195">
        <f t="shared" si="136"/>
        <v>0</v>
      </c>
      <c r="W1094" s="196" t="e">
        <f t="shared" si="137"/>
        <v>#DIV/0!</v>
      </c>
      <c r="X1094" s="197" t="e">
        <f t="shared" si="138"/>
        <v>#DIV/0!</v>
      </c>
    </row>
    <row r="1095" ht="11.4" hidden="1" customHeight="1" spans="1:27">
      <c r="A1095" s="184" t="s">
        <v>2899</v>
      </c>
      <c r="B1095" s="184" t="s">
        <v>113</v>
      </c>
      <c r="C1095" s="184" t="s">
        <v>1101</v>
      </c>
      <c r="D1095" s="185" t="s">
        <v>702</v>
      </c>
      <c r="E1095" s="186" t="s">
        <v>2895</v>
      </c>
      <c r="F1095" s="186" t="s">
        <v>2896</v>
      </c>
      <c r="G1095" s="186" t="s">
        <v>2896</v>
      </c>
      <c r="H1095" s="186" t="s">
        <v>2900</v>
      </c>
      <c r="I1095" s="187" t="s">
        <v>1324</v>
      </c>
      <c r="J1095" s="187" t="s">
        <v>3254</v>
      </c>
      <c r="K1095" s="188"/>
      <c r="L1095" s="188"/>
      <c r="M1095" s="189" t="s">
        <v>847</v>
      </c>
      <c r="N1095" s="190">
        <v>169.85</v>
      </c>
      <c r="O1095" s="190">
        <f t="shared" si="131"/>
        <v>185.14</v>
      </c>
      <c r="P1095" s="191">
        <f t="shared" si="132"/>
        <v>0</v>
      </c>
      <c r="Q1095" s="192">
        <f t="shared" si="133"/>
        <v>0</v>
      </c>
      <c r="R1095" s="193"/>
      <c r="S1095" s="194"/>
      <c r="T1095" s="195">
        <f t="shared" si="134"/>
        <v>0</v>
      </c>
      <c r="U1095" s="195">
        <f t="shared" si="135"/>
        <v>0</v>
      </c>
      <c r="V1095" s="195">
        <f t="shared" si="136"/>
        <v>0</v>
      </c>
      <c r="W1095" s="196" t="e">
        <f t="shared" si="137"/>
        <v>#DIV/0!</v>
      </c>
      <c r="X1095" s="197" t="e">
        <f t="shared" si="138"/>
        <v>#DIV/0!</v>
      </c>
    </row>
    <row r="1096" ht="11.4" hidden="1" customHeight="1" spans="1:27">
      <c r="A1096" s="184" t="s">
        <v>2901</v>
      </c>
      <c r="B1096" s="184" t="s">
        <v>115</v>
      </c>
      <c r="C1096" s="184" t="s">
        <v>1101</v>
      </c>
      <c r="D1096" s="185" t="s">
        <v>702</v>
      </c>
      <c r="E1096" s="186" t="s">
        <v>2895</v>
      </c>
      <c r="F1096" s="186" t="s">
        <v>2896</v>
      </c>
      <c r="G1096" s="186" t="s">
        <v>2896</v>
      </c>
      <c r="H1096" s="186" t="s">
        <v>2902</v>
      </c>
      <c r="I1096" s="187" t="s">
        <v>1381</v>
      </c>
      <c r="J1096" s="187" t="s">
        <v>1382</v>
      </c>
      <c r="K1096" s="188">
        <v>2.02</v>
      </c>
      <c r="L1096" s="188">
        <v>2.02</v>
      </c>
      <c r="M1096" s="189" t="s">
        <v>847</v>
      </c>
      <c r="N1096" s="190">
        <v>250.08</v>
      </c>
      <c r="O1096" s="190">
        <f t="shared" si="131"/>
        <v>272.59</v>
      </c>
      <c r="P1096" s="191">
        <f t="shared" si="132"/>
        <v>505.16</v>
      </c>
      <c r="Q1096" s="192">
        <f t="shared" si="133"/>
        <v>505.16</v>
      </c>
      <c r="R1096" s="193"/>
      <c r="S1096" s="194"/>
      <c r="T1096" s="195">
        <f t="shared" si="134"/>
        <v>0</v>
      </c>
      <c r="U1096" s="195">
        <f t="shared" si="135"/>
        <v>0</v>
      </c>
      <c r="V1096" s="195">
        <f t="shared" si="136"/>
        <v>0</v>
      </c>
      <c r="W1096" s="196">
        <f t="shared" si="137"/>
        <v>0</v>
      </c>
      <c r="X1096" s="197">
        <f t="shared" si="138"/>
        <v>0</v>
      </c>
    </row>
    <row r="1097" ht="11.4" hidden="1" customHeight="1" spans="1:27">
      <c r="A1097" s="184" t="s">
        <v>2901</v>
      </c>
      <c r="B1097" s="184" t="s">
        <v>115</v>
      </c>
      <c r="C1097" s="184" t="s">
        <v>1101</v>
      </c>
      <c r="D1097" s="185" t="s">
        <v>702</v>
      </c>
      <c r="E1097" s="186" t="s">
        <v>2895</v>
      </c>
      <c r="F1097" s="186" t="s">
        <v>2896</v>
      </c>
      <c r="G1097" s="186" t="s">
        <v>2896</v>
      </c>
      <c r="H1097" s="186" t="s">
        <v>2902</v>
      </c>
      <c r="I1097" s="187" t="s">
        <v>1384</v>
      </c>
      <c r="J1097" s="187" t="s">
        <v>1385</v>
      </c>
      <c r="K1097" s="188"/>
      <c r="L1097" s="188"/>
      <c r="M1097" s="189" t="s">
        <v>847</v>
      </c>
      <c r="N1097" s="190">
        <v>139.73</v>
      </c>
      <c r="O1097" s="190">
        <f t="shared" si="131"/>
        <v>152.31</v>
      </c>
      <c r="P1097" s="191">
        <f t="shared" si="132"/>
        <v>0</v>
      </c>
      <c r="Q1097" s="192">
        <f t="shared" si="133"/>
        <v>0</v>
      </c>
      <c r="R1097" s="193"/>
      <c r="S1097" s="194"/>
      <c r="T1097" s="195">
        <f t="shared" si="134"/>
        <v>0</v>
      </c>
      <c r="U1097" s="195">
        <f t="shared" si="135"/>
        <v>0</v>
      </c>
      <c r="V1097" s="195">
        <f t="shared" si="136"/>
        <v>0</v>
      </c>
      <c r="W1097" s="196" t="e">
        <f t="shared" si="137"/>
        <v>#DIV/0!</v>
      </c>
      <c r="X1097" s="197" t="e">
        <f t="shared" si="138"/>
        <v>#DIV/0!</v>
      </c>
    </row>
    <row r="1098" ht="11.4" hidden="1" customHeight="1" spans="1:27">
      <c r="A1098" s="184" t="s">
        <v>2901</v>
      </c>
      <c r="B1098" s="184" t="s">
        <v>115</v>
      </c>
      <c r="C1098" s="184" t="s">
        <v>1101</v>
      </c>
      <c r="D1098" s="185" t="s">
        <v>702</v>
      </c>
      <c r="E1098" s="186" t="s">
        <v>2895</v>
      </c>
      <c r="F1098" s="186" t="s">
        <v>2896</v>
      </c>
      <c r="G1098" s="186" t="s">
        <v>2896</v>
      </c>
      <c r="H1098" s="186" t="s">
        <v>2902</v>
      </c>
      <c r="I1098" s="187" t="s">
        <v>1336</v>
      </c>
      <c r="J1098" s="187" t="s">
        <v>1337</v>
      </c>
      <c r="K1098" s="188">
        <v>2.63</v>
      </c>
      <c r="L1098" s="188">
        <v>2.63</v>
      </c>
      <c r="M1098" s="189" t="s">
        <v>847</v>
      </c>
      <c r="N1098" s="190">
        <v>62.19</v>
      </c>
      <c r="O1098" s="190">
        <f t="shared" si="131"/>
        <v>67.79</v>
      </c>
      <c r="P1098" s="191">
        <f t="shared" si="132"/>
        <v>163.56</v>
      </c>
      <c r="Q1098" s="192">
        <f t="shared" si="133"/>
        <v>163.56</v>
      </c>
      <c r="R1098" s="193"/>
      <c r="S1098" s="194"/>
      <c r="T1098" s="195">
        <f t="shared" si="134"/>
        <v>0</v>
      </c>
      <c r="U1098" s="195">
        <f t="shared" si="135"/>
        <v>0</v>
      </c>
      <c r="V1098" s="195">
        <f t="shared" si="136"/>
        <v>0</v>
      </c>
      <c r="W1098" s="196">
        <f t="shared" si="137"/>
        <v>0</v>
      </c>
      <c r="X1098" s="199">
        <f t="shared" si="138"/>
        <v>0</v>
      </c>
    </row>
    <row r="1099" ht="11.4" hidden="1" customHeight="1" spans="1:27">
      <c r="A1099" s="184" t="s">
        <v>2903</v>
      </c>
      <c r="B1099" s="184" t="s">
        <v>119</v>
      </c>
      <c r="C1099" s="184" t="s">
        <v>1101</v>
      </c>
      <c r="D1099" s="185" t="s">
        <v>702</v>
      </c>
      <c r="E1099" s="186" t="s">
        <v>2895</v>
      </c>
      <c r="F1099" s="186" t="s">
        <v>2896</v>
      </c>
      <c r="G1099" s="186" t="s">
        <v>2896</v>
      </c>
      <c r="H1099" s="186" t="s">
        <v>2904</v>
      </c>
      <c r="I1099" s="187" t="s">
        <v>2905</v>
      </c>
      <c r="J1099" s="154" t="s">
        <v>2906</v>
      </c>
      <c r="K1099" s="188">
        <v>1</v>
      </c>
      <c r="L1099" s="188">
        <v>1</v>
      </c>
      <c r="M1099" s="189" t="s">
        <v>793</v>
      </c>
      <c r="N1099" s="190">
        <v>2739.8</v>
      </c>
      <c r="O1099" s="190">
        <f t="shared" si="131"/>
        <v>2986.38</v>
      </c>
      <c r="P1099" s="191">
        <f t="shared" si="132"/>
        <v>2739.8</v>
      </c>
      <c r="Q1099" s="192">
        <f t="shared" si="133"/>
        <v>2739.8</v>
      </c>
      <c r="R1099" s="193"/>
      <c r="S1099" s="194"/>
      <c r="T1099" s="195">
        <f t="shared" si="134"/>
        <v>0</v>
      </c>
      <c r="U1099" s="195">
        <f t="shared" si="135"/>
        <v>0</v>
      </c>
      <c r="V1099" s="195">
        <f t="shared" si="136"/>
        <v>0</v>
      </c>
      <c r="W1099" s="196">
        <f t="shared" si="137"/>
        <v>0</v>
      </c>
      <c r="X1099" s="197">
        <f t="shared" si="138"/>
        <v>0</v>
      </c>
    </row>
    <row r="1100" ht="11.4" hidden="1" customHeight="1" spans="1:27">
      <c r="A1100" s="184" t="s">
        <v>2907</v>
      </c>
      <c r="B1100" s="184" t="s">
        <v>127</v>
      </c>
      <c r="C1100" s="184" t="s">
        <v>1101</v>
      </c>
      <c r="D1100" s="185" t="s">
        <v>702</v>
      </c>
      <c r="E1100" s="186" t="s">
        <v>2895</v>
      </c>
      <c r="F1100" s="186" t="s">
        <v>2896</v>
      </c>
      <c r="G1100" s="186" t="s">
        <v>2896</v>
      </c>
      <c r="H1100" s="186" t="s">
        <v>2908</v>
      </c>
      <c r="I1100" s="187" t="s">
        <v>2909</v>
      </c>
      <c r="J1100" s="187" t="s">
        <v>2910</v>
      </c>
      <c r="K1100" s="188"/>
      <c r="L1100" s="188"/>
      <c r="M1100" s="189" t="s">
        <v>1500</v>
      </c>
      <c r="N1100" s="190">
        <v>747.45</v>
      </c>
      <c r="O1100" s="190">
        <f t="shared" si="131"/>
        <v>814.72</v>
      </c>
      <c r="P1100" s="191">
        <f t="shared" si="132"/>
        <v>0</v>
      </c>
      <c r="Q1100" s="192">
        <f t="shared" si="133"/>
        <v>0</v>
      </c>
      <c r="R1100" s="193"/>
      <c r="S1100" s="194"/>
      <c r="T1100" s="195">
        <f t="shared" si="134"/>
        <v>0</v>
      </c>
      <c r="U1100" s="195">
        <f t="shared" si="135"/>
        <v>0</v>
      </c>
      <c r="V1100" s="195">
        <f t="shared" si="136"/>
        <v>0</v>
      </c>
      <c r="W1100" s="196" t="e">
        <f t="shared" si="137"/>
        <v>#DIV/0!</v>
      </c>
      <c r="X1100" s="197" t="e">
        <f t="shared" si="138"/>
        <v>#DIV/0!</v>
      </c>
    </row>
    <row r="1101" ht="11.4" hidden="1" customHeight="1" spans="1:27">
      <c r="A1101" s="184" t="s">
        <v>2907</v>
      </c>
      <c r="B1101" s="184" t="s">
        <v>127</v>
      </c>
      <c r="C1101" s="184" t="s">
        <v>1101</v>
      </c>
      <c r="D1101" s="185" t="s">
        <v>702</v>
      </c>
      <c r="E1101" s="186" t="s">
        <v>2895</v>
      </c>
      <c r="F1101" s="186" t="s">
        <v>2896</v>
      </c>
      <c r="G1101" s="186" t="s">
        <v>2896</v>
      </c>
      <c r="H1101" s="186" t="s">
        <v>2911</v>
      </c>
      <c r="I1101" s="187" t="s">
        <v>2912</v>
      </c>
      <c r="J1101" s="187" t="s">
        <v>2913</v>
      </c>
      <c r="K1101" s="188"/>
      <c r="L1101" s="188"/>
      <c r="M1101" s="189" t="s">
        <v>807</v>
      </c>
      <c r="N1101" s="190">
        <v>75.86</v>
      </c>
      <c r="O1101" s="190">
        <f t="shared" ref="O1101:O1164" si="139">ROUND(N1101*(1+$F$10),2)</f>
        <v>82.69</v>
      </c>
      <c r="P1101" s="191">
        <f t="shared" ref="P1101:P1164" si="140">ROUND(K1101*N1101,2)</f>
        <v>0</v>
      </c>
      <c r="Q1101" s="192">
        <f t="shared" ref="Q1101:Q1164" si="141">ROUND(L1101*N1101,2)</f>
        <v>0</v>
      </c>
      <c r="R1101" s="193"/>
      <c r="S1101" s="194"/>
      <c r="T1101" s="195">
        <f t="shared" ref="T1101:T1164" si="142">K1101-L1101</f>
        <v>0</v>
      </c>
      <c r="U1101" s="195">
        <f t="shared" ref="U1101:U1164" si="143">P1101-Q1101</f>
        <v>0</v>
      </c>
      <c r="V1101" s="195">
        <f t="shared" ref="V1101:V1164" si="144">ABS(U1101)</f>
        <v>0</v>
      </c>
      <c r="W1101" s="196" t="e">
        <f t="shared" ref="W1101:W1164" si="145">T1101/L1101</f>
        <v>#DIV/0!</v>
      </c>
      <c r="X1101" s="197" t="e">
        <f t="shared" ref="X1101:X1164" si="146">ABS(W1101)</f>
        <v>#DIV/0!</v>
      </c>
    </row>
    <row r="1102" ht="11.4" hidden="1" customHeight="1" spans="1:27">
      <c r="A1102" s="184" t="s">
        <v>2907</v>
      </c>
      <c r="B1102" s="184" t="s">
        <v>127</v>
      </c>
      <c r="C1102" s="184" t="s">
        <v>1101</v>
      </c>
      <c r="D1102" s="185" t="s">
        <v>702</v>
      </c>
      <c r="E1102" s="186" t="s">
        <v>2895</v>
      </c>
      <c r="F1102" s="186" t="s">
        <v>2896</v>
      </c>
      <c r="G1102" s="186" t="s">
        <v>2896</v>
      </c>
      <c r="H1102" s="186" t="s">
        <v>2911</v>
      </c>
      <c r="I1102" s="187" t="s">
        <v>2914</v>
      </c>
      <c r="J1102" s="187" t="s">
        <v>2915</v>
      </c>
      <c r="K1102" s="188"/>
      <c r="L1102" s="188"/>
      <c r="M1102" s="189" t="s">
        <v>807</v>
      </c>
      <c r="N1102" s="190">
        <v>112.38</v>
      </c>
      <c r="O1102" s="190">
        <f t="shared" si="139"/>
        <v>122.49</v>
      </c>
      <c r="P1102" s="191">
        <f t="shared" si="140"/>
        <v>0</v>
      </c>
      <c r="Q1102" s="192">
        <f t="shared" si="141"/>
        <v>0</v>
      </c>
      <c r="R1102" s="193"/>
      <c r="S1102" s="194"/>
      <c r="T1102" s="195">
        <f t="shared" si="142"/>
        <v>0</v>
      </c>
      <c r="U1102" s="195">
        <f t="shared" si="143"/>
        <v>0</v>
      </c>
      <c r="V1102" s="195">
        <f t="shared" si="144"/>
        <v>0</v>
      </c>
      <c r="W1102" s="196" t="e">
        <f t="shared" si="145"/>
        <v>#DIV/0!</v>
      </c>
      <c r="X1102" s="197" t="e">
        <f t="shared" si="146"/>
        <v>#DIV/0!</v>
      </c>
    </row>
    <row r="1103" ht="11.4" hidden="1" customHeight="1" spans="1:27">
      <c r="A1103" s="184" t="s">
        <v>2916</v>
      </c>
      <c r="B1103" s="184" t="s">
        <v>139</v>
      </c>
      <c r="C1103" s="184" t="s">
        <v>1880</v>
      </c>
      <c r="D1103" s="185" t="s">
        <v>702</v>
      </c>
      <c r="E1103" s="186" t="s">
        <v>2895</v>
      </c>
      <c r="F1103" s="186" t="s">
        <v>2896</v>
      </c>
      <c r="G1103" s="186" t="s">
        <v>2896</v>
      </c>
      <c r="H1103" s="186" t="s">
        <v>2917</v>
      </c>
      <c r="I1103" s="187" t="s">
        <v>2918</v>
      </c>
      <c r="J1103" s="187" t="s">
        <v>2919</v>
      </c>
      <c r="K1103" s="188"/>
      <c r="L1103" s="188"/>
      <c r="M1103" s="189" t="s">
        <v>2308</v>
      </c>
      <c r="N1103" s="190">
        <v>3163.71</v>
      </c>
      <c r="O1103" s="190">
        <f t="shared" si="139"/>
        <v>3448.44</v>
      </c>
      <c r="P1103" s="191">
        <f t="shared" si="140"/>
        <v>0</v>
      </c>
      <c r="Q1103" s="192">
        <f t="shared" si="141"/>
        <v>0</v>
      </c>
      <c r="R1103" s="193"/>
      <c r="S1103" s="194"/>
      <c r="T1103" s="195">
        <f t="shared" si="142"/>
        <v>0</v>
      </c>
      <c r="U1103" s="195">
        <f t="shared" si="143"/>
        <v>0</v>
      </c>
      <c r="V1103" s="195">
        <f t="shared" si="144"/>
        <v>0</v>
      </c>
      <c r="W1103" s="196" t="e">
        <f t="shared" si="145"/>
        <v>#DIV/0!</v>
      </c>
      <c r="X1103" s="197" t="e">
        <f t="shared" si="146"/>
        <v>#DIV/0!</v>
      </c>
    </row>
    <row r="1104" ht="11.4" hidden="1" customHeight="1" spans="1:27">
      <c r="A1104" s="184" t="s">
        <v>2916</v>
      </c>
      <c r="B1104" s="184" t="s">
        <v>139</v>
      </c>
      <c r="C1104" s="184" t="s">
        <v>1880</v>
      </c>
      <c r="D1104" s="185" t="s">
        <v>702</v>
      </c>
      <c r="E1104" s="186" t="s">
        <v>2895</v>
      </c>
      <c r="F1104" s="186" t="s">
        <v>2896</v>
      </c>
      <c r="G1104" s="186" t="s">
        <v>2896</v>
      </c>
      <c r="H1104" s="186" t="s">
        <v>2917</v>
      </c>
      <c r="I1104" s="187" t="s">
        <v>1892</v>
      </c>
      <c r="J1104" s="154" t="s">
        <v>1893</v>
      </c>
      <c r="K1104" s="200">
        <v>4</v>
      </c>
      <c r="L1104" s="188">
        <v>3</v>
      </c>
      <c r="M1104" s="189" t="s">
        <v>1778</v>
      </c>
      <c r="N1104" s="190">
        <v>486.16</v>
      </c>
      <c r="O1104" s="190">
        <f t="shared" si="139"/>
        <v>529.91</v>
      </c>
      <c r="P1104" s="191">
        <f t="shared" si="140"/>
        <v>1944.64</v>
      </c>
      <c r="Q1104" s="192">
        <f t="shared" si="141"/>
        <v>1458.48</v>
      </c>
      <c r="R1104" s="193"/>
      <c r="S1104" s="194"/>
      <c r="T1104" s="195">
        <f t="shared" si="142"/>
        <v>1</v>
      </c>
      <c r="U1104" s="195">
        <f t="shared" si="143"/>
        <v>486.16</v>
      </c>
      <c r="V1104" s="195">
        <f t="shared" si="144"/>
        <v>486.16</v>
      </c>
      <c r="W1104" s="196">
        <f t="shared" si="145"/>
        <v>0.333333333333333</v>
      </c>
      <c r="X1104" s="197">
        <f t="shared" si="146"/>
        <v>0.333333333333333</v>
      </c>
      <c r="AA1104" s="201" t="s">
        <v>3266</v>
      </c>
    </row>
    <row r="1105" ht="11.4" hidden="1" customHeight="1" spans="1:24">
      <c r="A1105" s="184" t="s">
        <v>2916</v>
      </c>
      <c r="B1105" s="184" t="s">
        <v>139</v>
      </c>
      <c r="C1105" s="184" t="s">
        <v>1880</v>
      </c>
      <c r="D1105" s="185" t="s">
        <v>702</v>
      </c>
      <c r="E1105" s="186" t="s">
        <v>2895</v>
      </c>
      <c r="F1105" s="186" t="s">
        <v>2896</v>
      </c>
      <c r="G1105" s="186" t="s">
        <v>2896</v>
      </c>
      <c r="H1105" s="186" t="s">
        <v>2917</v>
      </c>
      <c r="I1105" s="187" t="s">
        <v>1895</v>
      </c>
      <c r="J1105" s="154" t="s">
        <v>1896</v>
      </c>
      <c r="K1105" s="188">
        <v>6</v>
      </c>
      <c r="L1105" s="188">
        <v>6</v>
      </c>
      <c r="M1105" s="189" t="s">
        <v>1018</v>
      </c>
      <c r="N1105" s="190">
        <v>105.21</v>
      </c>
      <c r="O1105" s="190">
        <f t="shared" si="139"/>
        <v>114.68</v>
      </c>
      <c r="P1105" s="191">
        <f t="shared" si="140"/>
        <v>631.26</v>
      </c>
      <c r="Q1105" s="192">
        <f t="shared" si="141"/>
        <v>631.26</v>
      </c>
      <c r="R1105" s="193"/>
      <c r="S1105" s="194"/>
      <c r="T1105" s="195">
        <f t="shared" si="142"/>
        <v>0</v>
      </c>
      <c r="U1105" s="195">
        <f t="shared" si="143"/>
        <v>0</v>
      </c>
      <c r="V1105" s="195">
        <f t="shared" si="144"/>
        <v>0</v>
      </c>
      <c r="W1105" s="196">
        <f t="shared" si="145"/>
        <v>0</v>
      </c>
      <c r="X1105" s="197">
        <f t="shared" si="146"/>
        <v>0</v>
      </c>
    </row>
    <row r="1106" ht="11.4" hidden="1" customHeight="1" spans="1:24">
      <c r="A1106" s="184" t="s">
        <v>2916</v>
      </c>
      <c r="B1106" s="184" t="s">
        <v>139</v>
      </c>
      <c r="C1106" s="184" t="s">
        <v>1880</v>
      </c>
      <c r="D1106" s="185" t="s">
        <v>702</v>
      </c>
      <c r="E1106" s="186" t="s">
        <v>2895</v>
      </c>
      <c r="F1106" s="186" t="s">
        <v>2896</v>
      </c>
      <c r="G1106" s="186" t="s">
        <v>2896</v>
      </c>
      <c r="H1106" s="186" t="s">
        <v>2917</v>
      </c>
      <c r="I1106" s="187" t="s">
        <v>1897</v>
      </c>
      <c r="J1106" s="187" t="s">
        <v>1898</v>
      </c>
      <c r="K1106" s="188"/>
      <c r="L1106" s="188"/>
      <c r="M1106" s="189" t="s">
        <v>1778</v>
      </c>
      <c r="N1106" s="190">
        <v>511.41</v>
      </c>
      <c r="O1106" s="190">
        <f t="shared" si="139"/>
        <v>557.44</v>
      </c>
      <c r="P1106" s="191">
        <f t="shared" si="140"/>
        <v>0</v>
      </c>
      <c r="Q1106" s="192">
        <f t="shared" si="141"/>
        <v>0</v>
      </c>
      <c r="R1106" s="193"/>
      <c r="S1106" s="194"/>
      <c r="T1106" s="195">
        <f t="shared" si="142"/>
        <v>0</v>
      </c>
      <c r="U1106" s="195">
        <f t="shared" si="143"/>
        <v>0</v>
      </c>
      <c r="V1106" s="195">
        <f t="shared" si="144"/>
        <v>0</v>
      </c>
      <c r="W1106" s="196" t="e">
        <f t="shared" si="145"/>
        <v>#DIV/0!</v>
      </c>
      <c r="X1106" s="197" t="e">
        <f t="shared" si="146"/>
        <v>#DIV/0!</v>
      </c>
    </row>
    <row r="1107" ht="11.4" hidden="1" customHeight="1" spans="1:24">
      <c r="A1107" s="184" t="s">
        <v>2916</v>
      </c>
      <c r="B1107" s="184" t="s">
        <v>139</v>
      </c>
      <c r="C1107" s="184" t="s">
        <v>1880</v>
      </c>
      <c r="D1107" s="185" t="s">
        <v>702</v>
      </c>
      <c r="E1107" s="186" t="s">
        <v>2895</v>
      </c>
      <c r="F1107" s="186" t="s">
        <v>2896</v>
      </c>
      <c r="G1107" s="186" t="s">
        <v>2896</v>
      </c>
      <c r="H1107" s="186" t="s">
        <v>2917</v>
      </c>
      <c r="I1107" s="187" t="s">
        <v>1899</v>
      </c>
      <c r="J1107" s="187" t="s">
        <v>1900</v>
      </c>
      <c r="K1107" s="188"/>
      <c r="L1107" s="188"/>
      <c r="M1107" s="189" t="s">
        <v>1018</v>
      </c>
      <c r="N1107" s="190">
        <v>105.85</v>
      </c>
      <c r="O1107" s="190">
        <f t="shared" si="139"/>
        <v>115.38</v>
      </c>
      <c r="P1107" s="191">
        <f t="shared" si="140"/>
        <v>0</v>
      </c>
      <c r="Q1107" s="192">
        <f t="shared" si="141"/>
        <v>0</v>
      </c>
      <c r="R1107" s="193"/>
      <c r="S1107" s="194"/>
      <c r="T1107" s="195">
        <f t="shared" si="142"/>
        <v>0</v>
      </c>
      <c r="U1107" s="195">
        <f t="shared" si="143"/>
        <v>0</v>
      </c>
      <c r="V1107" s="195">
        <f t="shared" si="144"/>
        <v>0</v>
      </c>
      <c r="W1107" s="196" t="e">
        <f t="shared" si="145"/>
        <v>#DIV/0!</v>
      </c>
      <c r="X1107" s="197" t="e">
        <f t="shared" si="146"/>
        <v>#DIV/0!</v>
      </c>
    </row>
    <row r="1108" ht="11.4" hidden="1" customHeight="1" spans="1:24">
      <c r="A1108" s="184" t="s">
        <v>2916</v>
      </c>
      <c r="B1108" s="184" t="s">
        <v>139</v>
      </c>
      <c r="C1108" s="184" t="s">
        <v>1880</v>
      </c>
      <c r="D1108" s="185" t="s">
        <v>702</v>
      </c>
      <c r="E1108" s="186" t="s">
        <v>2895</v>
      </c>
      <c r="F1108" s="186" t="s">
        <v>2896</v>
      </c>
      <c r="G1108" s="186" t="s">
        <v>2896</v>
      </c>
      <c r="H1108" s="186" t="s">
        <v>2917</v>
      </c>
      <c r="I1108" s="187" t="s">
        <v>1940</v>
      </c>
      <c r="J1108" s="154" t="s">
        <v>1941</v>
      </c>
      <c r="K1108" s="188">
        <v>1</v>
      </c>
      <c r="L1108" s="188">
        <v>1</v>
      </c>
      <c r="M1108" s="189" t="s">
        <v>989</v>
      </c>
      <c r="N1108" s="190">
        <v>1330.45</v>
      </c>
      <c r="O1108" s="190">
        <f t="shared" si="139"/>
        <v>1450.19</v>
      </c>
      <c r="P1108" s="191">
        <f t="shared" si="140"/>
        <v>1330.45</v>
      </c>
      <c r="Q1108" s="192">
        <f t="shared" si="141"/>
        <v>1330.45</v>
      </c>
      <c r="R1108" s="193"/>
      <c r="S1108" s="194"/>
      <c r="T1108" s="195">
        <f t="shared" si="142"/>
        <v>0</v>
      </c>
      <c r="U1108" s="195">
        <f t="shared" si="143"/>
        <v>0</v>
      </c>
      <c r="V1108" s="195">
        <f t="shared" si="144"/>
        <v>0</v>
      </c>
      <c r="W1108" s="196">
        <f t="shared" si="145"/>
        <v>0</v>
      </c>
      <c r="X1108" s="197">
        <f t="shared" si="146"/>
        <v>0</v>
      </c>
    </row>
    <row r="1109" ht="11.4" hidden="1" customHeight="1" spans="1:24">
      <c r="A1109" s="184" t="s">
        <v>2916</v>
      </c>
      <c r="B1109" s="184" t="s">
        <v>139</v>
      </c>
      <c r="C1109" s="184" t="s">
        <v>1880</v>
      </c>
      <c r="D1109" s="185" t="s">
        <v>702</v>
      </c>
      <c r="E1109" s="186" t="s">
        <v>2895</v>
      </c>
      <c r="F1109" s="186" t="s">
        <v>2896</v>
      </c>
      <c r="G1109" s="186" t="s">
        <v>2896</v>
      </c>
      <c r="H1109" s="186" t="s">
        <v>2917</v>
      </c>
      <c r="I1109" s="187" t="s">
        <v>2920</v>
      </c>
      <c r="J1109" s="187" t="s">
        <v>2921</v>
      </c>
      <c r="K1109" s="188"/>
      <c r="L1109" s="188"/>
      <c r="M1109" s="189" t="s">
        <v>807</v>
      </c>
      <c r="N1109" s="190">
        <v>38.5</v>
      </c>
      <c r="O1109" s="190">
        <f t="shared" si="139"/>
        <v>41.97</v>
      </c>
      <c r="P1109" s="191">
        <f t="shared" si="140"/>
        <v>0</v>
      </c>
      <c r="Q1109" s="192">
        <f t="shared" si="141"/>
        <v>0</v>
      </c>
      <c r="R1109" s="193"/>
      <c r="S1109" s="194"/>
      <c r="T1109" s="195">
        <f t="shared" si="142"/>
        <v>0</v>
      </c>
      <c r="U1109" s="195">
        <f t="shared" si="143"/>
        <v>0</v>
      </c>
      <c r="V1109" s="195">
        <f t="shared" si="144"/>
        <v>0</v>
      </c>
      <c r="W1109" s="196" t="e">
        <f t="shared" si="145"/>
        <v>#DIV/0!</v>
      </c>
      <c r="X1109" s="197" t="e">
        <f t="shared" si="146"/>
        <v>#DIV/0!</v>
      </c>
    </row>
    <row r="1110" ht="11.4" hidden="1" customHeight="1" spans="1:24">
      <c r="A1110" s="184" t="s">
        <v>2916</v>
      </c>
      <c r="B1110" s="184" t="s">
        <v>139</v>
      </c>
      <c r="C1110" s="184" t="s">
        <v>1880</v>
      </c>
      <c r="D1110" s="185" t="s">
        <v>702</v>
      </c>
      <c r="E1110" s="186" t="s">
        <v>2895</v>
      </c>
      <c r="F1110" s="186" t="s">
        <v>2896</v>
      </c>
      <c r="G1110" s="186" t="s">
        <v>2896</v>
      </c>
      <c r="H1110" s="186" t="s">
        <v>2917</v>
      </c>
      <c r="I1110" s="187" t="s">
        <v>2922</v>
      </c>
      <c r="J1110" s="187" t="s">
        <v>2923</v>
      </c>
      <c r="K1110" s="188"/>
      <c r="L1110" s="188"/>
      <c r="M1110" s="189" t="s">
        <v>793</v>
      </c>
      <c r="N1110" s="190">
        <v>1637.1</v>
      </c>
      <c r="O1110" s="190">
        <f t="shared" si="139"/>
        <v>1784.44</v>
      </c>
      <c r="P1110" s="191">
        <f t="shared" si="140"/>
        <v>0</v>
      </c>
      <c r="Q1110" s="192">
        <f t="shared" si="141"/>
        <v>0</v>
      </c>
      <c r="R1110" s="193"/>
      <c r="S1110" s="194"/>
      <c r="T1110" s="195">
        <f t="shared" si="142"/>
        <v>0</v>
      </c>
      <c r="U1110" s="195">
        <f t="shared" si="143"/>
        <v>0</v>
      </c>
      <c r="V1110" s="195">
        <f t="shared" si="144"/>
        <v>0</v>
      </c>
      <c r="W1110" s="196" t="e">
        <f t="shared" si="145"/>
        <v>#DIV/0!</v>
      </c>
      <c r="X1110" s="197" t="e">
        <f t="shared" si="146"/>
        <v>#DIV/0!</v>
      </c>
    </row>
    <row r="1111" ht="11.4" hidden="1" customHeight="1" spans="1:24">
      <c r="A1111" s="184" t="s">
        <v>2916</v>
      </c>
      <c r="B1111" s="184" t="s">
        <v>139</v>
      </c>
      <c r="C1111" s="184" t="s">
        <v>1880</v>
      </c>
      <c r="D1111" s="185" t="s">
        <v>702</v>
      </c>
      <c r="E1111" s="186" t="s">
        <v>2895</v>
      </c>
      <c r="F1111" s="186" t="s">
        <v>2896</v>
      </c>
      <c r="G1111" s="186" t="s">
        <v>2896</v>
      </c>
      <c r="H1111" s="186" t="s">
        <v>2917</v>
      </c>
      <c r="I1111" s="187" t="s">
        <v>2924</v>
      </c>
      <c r="J1111" s="154" t="s">
        <v>2925</v>
      </c>
      <c r="K1111" s="188">
        <v>1</v>
      </c>
      <c r="L1111" s="188">
        <v>1</v>
      </c>
      <c r="M1111" s="189" t="s">
        <v>793</v>
      </c>
      <c r="N1111" s="190">
        <v>666.36</v>
      </c>
      <c r="O1111" s="190">
        <f t="shared" si="139"/>
        <v>726.33</v>
      </c>
      <c r="P1111" s="191">
        <f t="shared" si="140"/>
        <v>666.36</v>
      </c>
      <c r="Q1111" s="192">
        <f t="shared" si="141"/>
        <v>666.36</v>
      </c>
      <c r="R1111" s="193"/>
      <c r="S1111" s="194"/>
      <c r="T1111" s="195">
        <f t="shared" si="142"/>
        <v>0</v>
      </c>
      <c r="U1111" s="195">
        <f t="shared" si="143"/>
        <v>0</v>
      </c>
      <c r="V1111" s="195">
        <f t="shared" si="144"/>
        <v>0</v>
      </c>
      <c r="W1111" s="196">
        <f t="shared" si="145"/>
        <v>0</v>
      </c>
      <c r="X1111" s="197">
        <f t="shared" si="146"/>
        <v>0</v>
      </c>
    </row>
    <row r="1112" ht="11.4" hidden="1" customHeight="1" spans="1:24">
      <c r="A1112" s="184" t="s">
        <v>2916</v>
      </c>
      <c r="B1112" s="184" t="s">
        <v>139</v>
      </c>
      <c r="C1112" s="184" t="s">
        <v>1880</v>
      </c>
      <c r="D1112" s="185" t="s">
        <v>702</v>
      </c>
      <c r="E1112" s="186" t="s">
        <v>2895</v>
      </c>
      <c r="F1112" s="186" t="s">
        <v>2896</v>
      </c>
      <c r="G1112" s="186" t="s">
        <v>2896</v>
      </c>
      <c r="H1112" s="186" t="s">
        <v>2917</v>
      </c>
      <c r="I1112" s="187" t="s">
        <v>2926</v>
      </c>
      <c r="J1112" s="187" t="s">
        <v>2927</v>
      </c>
      <c r="K1112" s="188"/>
      <c r="L1112" s="188"/>
      <c r="M1112" s="189" t="s">
        <v>793</v>
      </c>
      <c r="N1112" s="190">
        <v>2615.56</v>
      </c>
      <c r="O1112" s="190">
        <f t="shared" si="139"/>
        <v>2850.96</v>
      </c>
      <c r="P1112" s="191">
        <f t="shared" si="140"/>
        <v>0</v>
      </c>
      <c r="Q1112" s="192">
        <f t="shared" si="141"/>
        <v>0</v>
      </c>
      <c r="R1112" s="193"/>
      <c r="S1112" s="194"/>
      <c r="T1112" s="195">
        <f t="shared" si="142"/>
        <v>0</v>
      </c>
      <c r="U1112" s="195">
        <f t="shared" si="143"/>
        <v>0</v>
      </c>
      <c r="V1112" s="195">
        <f t="shared" si="144"/>
        <v>0</v>
      </c>
      <c r="W1112" s="196" t="e">
        <f t="shared" si="145"/>
        <v>#DIV/0!</v>
      </c>
      <c r="X1112" s="197" t="e">
        <f t="shared" si="146"/>
        <v>#DIV/0!</v>
      </c>
    </row>
    <row r="1113" ht="11.4" hidden="1" customHeight="1" spans="1:24">
      <c r="A1113" s="184" t="s">
        <v>2916</v>
      </c>
      <c r="B1113" s="184" t="s">
        <v>139</v>
      </c>
      <c r="C1113" s="184" t="s">
        <v>1880</v>
      </c>
      <c r="D1113" s="185" t="s">
        <v>702</v>
      </c>
      <c r="E1113" s="186" t="s">
        <v>2895</v>
      </c>
      <c r="F1113" s="186" t="s">
        <v>2896</v>
      </c>
      <c r="G1113" s="186" t="s">
        <v>2896</v>
      </c>
      <c r="H1113" s="186" t="s">
        <v>2917</v>
      </c>
      <c r="I1113" s="187" t="s">
        <v>2928</v>
      </c>
      <c r="J1113" s="187" t="s">
        <v>2929</v>
      </c>
      <c r="K1113" s="188"/>
      <c r="L1113" s="188"/>
      <c r="M1113" s="189" t="s">
        <v>793</v>
      </c>
      <c r="N1113" s="190">
        <v>261.79</v>
      </c>
      <c r="O1113" s="190">
        <f t="shared" si="139"/>
        <v>285.35</v>
      </c>
      <c r="P1113" s="191">
        <f t="shared" si="140"/>
        <v>0</v>
      </c>
      <c r="Q1113" s="192">
        <f t="shared" si="141"/>
        <v>0</v>
      </c>
      <c r="R1113" s="193"/>
      <c r="S1113" s="194"/>
      <c r="T1113" s="195">
        <f t="shared" si="142"/>
        <v>0</v>
      </c>
      <c r="U1113" s="195">
        <f t="shared" si="143"/>
        <v>0</v>
      </c>
      <c r="V1113" s="195">
        <f t="shared" si="144"/>
        <v>0</v>
      </c>
      <c r="W1113" s="196" t="e">
        <f t="shared" si="145"/>
        <v>#DIV/0!</v>
      </c>
      <c r="X1113" s="197" t="e">
        <f t="shared" si="146"/>
        <v>#DIV/0!</v>
      </c>
    </row>
    <row r="1114" ht="11.4" hidden="1" customHeight="1" spans="1:24">
      <c r="A1114" s="184" t="s">
        <v>2916</v>
      </c>
      <c r="B1114" s="184" t="s">
        <v>139</v>
      </c>
      <c r="C1114" s="184" t="s">
        <v>1880</v>
      </c>
      <c r="D1114" s="185" t="s">
        <v>702</v>
      </c>
      <c r="E1114" s="186" t="s">
        <v>2895</v>
      </c>
      <c r="F1114" s="186" t="s">
        <v>2896</v>
      </c>
      <c r="G1114" s="186" t="s">
        <v>2896</v>
      </c>
      <c r="H1114" s="186" t="s">
        <v>2917</v>
      </c>
      <c r="I1114" s="187" t="s">
        <v>2930</v>
      </c>
      <c r="J1114" s="187" t="s">
        <v>2931</v>
      </c>
      <c r="K1114" s="188"/>
      <c r="L1114" s="188"/>
      <c r="M1114" s="189" t="s">
        <v>1018</v>
      </c>
      <c r="N1114" s="190">
        <v>857.45</v>
      </c>
      <c r="O1114" s="190">
        <f t="shared" si="139"/>
        <v>934.62</v>
      </c>
      <c r="P1114" s="191">
        <f t="shared" si="140"/>
        <v>0</v>
      </c>
      <c r="Q1114" s="192">
        <f t="shared" si="141"/>
        <v>0</v>
      </c>
      <c r="R1114" s="193"/>
      <c r="S1114" s="194"/>
      <c r="T1114" s="195">
        <f t="shared" si="142"/>
        <v>0</v>
      </c>
      <c r="U1114" s="195">
        <f t="shared" si="143"/>
        <v>0</v>
      </c>
      <c r="V1114" s="195">
        <f t="shared" si="144"/>
        <v>0</v>
      </c>
      <c r="W1114" s="196" t="e">
        <f t="shared" si="145"/>
        <v>#DIV/0!</v>
      </c>
      <c r="X1114" s="197" t="e">
        <f t="shared" si="146"/>
        <v>#DIV/0!</v>
      </c>
    </row>
    <row r="1115" ht="11.4" hidden="1" customHeight="1" spans="1:24">
      <c r="A1115" s="184" t="s">
        <v>2932</v>
      </c>
      <c r="B1115" s="184" t="s">
        <v>188</v>
      </c>
      <c r="C1115" s="184" t="s">
        <v>2644</v>
      </c>
      <c r="D1115" s="185" t="s">
        <v>702</v>
      </c>
      <c r="E1115" s="186" t="s">
        <v>2933</v>
      </c>
      <c r="F1115" s="186" t="s">
        <v>2934</v>
      </c>
      <c r="G1115" s="186" t="s">
        <v>2934</v>
      </c>
      <c r="H1115" s="186" t="s">
        <v>2935</v>
      </c>
      <c r="I1115" s="187" t="s">
        <v>2936</v>
      </c>
      <c r="J1115" s="187" t="s">
        <v>2935</v>
      </c>
      <c r="K1115" s="188"/>
      <c r="L1115" s="188"/>
      <c r="M1115" s="189" t="s">
        <v>793</v>
      </c>
      <c r="N1115" s="190">
        <v>153.45</v>
      </c>
      <c r="O1115" s="190">
        <f t="shared" si="139"/>
        <v>167.26</v>
      </c>
      <c r="P1115" s="191">
        <f t="shared" si="140"/>
        <v>0</v>
      </c>
      <c r="Q1115" s="192">
        <f t="shared" si="141"/>
        <v>0</v>
      </c>
      <c r="R1115" s="193"/>
      <c r="S1115" s="194"/>
      <c r="T1115" s="195">
        <f t="shared" si="142"/>
        <v>0</v>
      </c>
      <c r="U1115" s="195">
        <f t="shared" si="143"/>
        <v>0</v>
      </c>
      <c r="V1115" s="195">
        <f t="shared" si="144"/>
        <v>0</v>
      </c>
      <c r="W1115" s="196" t="e">
        <f t="shared" si="145"/>
        <v>#DIV/0!</v>
      </c>
      <c r="X1115" s="197" t="e">
        <f t="shared" si="146"/>
        <v>#DIV/0!</v>
      </c>
    </row>
    <row r="1116" ht="11.4" hidden="1" customHeight="1" spans="1:24">
      <c r="A1116" s="184" t="s">
        <v>2932</v>
      </c>
      <c r="B1116" s="184" t="s">
        <v>188</v>
      </c>
      <c r="C1116" s="184" t="s">
        <v>2644</v>
      </c>
      <c r="D1116" s="185" t="s">
        <v>702</v>
      </c>
      <c r="E1116" s="186" t="s">
        <v>2933</v>
      </c>
      <c r="F1116" s="186" t="s">
        <v>2934</v>
      </c>
      <c r="G1116" s="186" t="s">
        <v>2934</v>
      </c>
      <c r="H1116" s="186" t="s">
        <v>2937</v>
      </c>
      <c r="I1116" s="187" t="s">
        <v>2938</v>
      </c>
      <c r="J1116" s="187" t="s">
        <v>2937</v>
      </c>
      <c r="K1116" s="188"/>
      <c r="L1116" s="188"/>
      <c r="M1116" s="189" t="s">
        <v>793</v>
      </c>
      <c r="N1116" s="190">
        <v>188.65</v>
      </c>
      <c r="O1116" s="190">
        <f t="shared" si="139"/>
        <v>205.63</v>
      </c>
      <c r="P1116" s="191">
        <f t="shared" si="140"/>
        <v>0</v>
      </c>
      <c r="Q1116" s="192">
        <f t="shared" si="141"/>
        <v>0</v>
      </c>
      <c r="R1116" s="193"/>
      <c r="S1116" s="194"/>
      <c r="T1116" s="195">
        <f t="shared" si="142"/>
        <v>0</v>
      </c>
      <c r="U1116" s="195">
        <f t="shared" si="143"/>
        <v>0</v>
      </c>
      <c r="V1116" s="195">
        <f t="shared" si="144"/>
        <v>0</v>
      </c>
      <c r="W1116" s="196" t="e">
        <f t="shared" si="145"/>
        <v>#DIV/0!</v>
      </c>
      <c r="X1116" s="197" t="e">
        <f t="shared" si="146"/>
        <v>#DIV/0!</v>
      </c>
    </row>
    <row r="1117" ht="11.4" hidden="1" customHeight="1" spans="1:24">
      <c r="A1117" s="184" t="s">
        <v>2932</v>
      </c>
      <c r="B1117" s="184" t="s">
        <v>188</v>
      </c>
      <c r="C1117" s="184" t="s">
        <v>2644</v>
      </c>
      <c r="D1117" s="185" t="s">
        <v>702</v>
      </c>
      <c r="E1117" s="186" t="s">
        <v>2933</v>
      </c>
      <c r="F1117" s="186" t="s">
        <v>2934</v>
      </c>
      <c r="G1117" s="186" t="s">
        <v>2934</v>
      </c>
      <c r="H1117" s="186" t="s">
        <v>2939</v>
      </c>
      <c r="I1117" s="187" t="s">
        <v>2940</v>
      </c>
      <c r="J1117" s="154" t="s">
        <v>2939</v>
      </c>
      <c r="K1117" s="188">
        <v>1</v>
      </c>
      <c r="L1117" s="188">
        <v>1</v>
      </c>
      <c r="M1117" s="189" t="s">
        <v>793</v>
      </c>
      <c r="N1117" s="190">
        <v>450.45</v>
      </c>
      <c r="O1117" s="190">
        <f t="shared" si="139"/>
        <v>490.99</v>
      </c>
      <c r="P1117" s="191">
        <f t="shared" si="140"/>
        <v>450.45</v>
      </c>
      <c r="Q1117" s="192">
        <f t="shared" si="141"/>
        <v>450.45</v>
      </c>
      <c r="R1117" s="193"/>
      <c r="S1117" s="194"/>
      <c r="T1117" s="195">
        <f t="shared" si="142"/>
        <v>0</v>
      </c>
      <c r="U1117" s="195">
        <f t="shared" si="143"/>
        <v>0</v>
      </c>
      <c r="V1117" s="195">
        <f t="shared" si="144"/>
        <v>0</v>
      </c>
      <c r="W1117" s="196">
        <f t="shared" si="145"/>
        <v>0</v>
      </c>
      <c r="X1117" s="197">
        <f t="shared" si="146"/>
        <v>0</v>
      </c>
    </row>
    <row r="1118" ht="11.4" hidden="1" customHeight="1" spans="1:24">
      <c r="A1118" s="184" t="s">
        <v>2941</v>
      </c>
      <c r="B1118" s="184" t="s">
        <v>119</v>
      </c>
      <c r="C1118" s="184" t="s">
        <v>1101</v>
      </c>
      <c r="D1118" s="185" t="s">
        <v>705</v>
      </c>
      <c r="E1118" s="186" t="s">
        <v>2942</v>
      </c>
      <c r="F1118" s="186" t="s">
        <v>2943</v>
      </c>
      <c r="G1118" s="186" t="s">
        <v>2943</v>
      </c>
      <c r="H1118" s="186" t="s">
        <v>2944</v>
      </c>
      <c r="I1118" s="187" t="s">
        <v>2945</v>
      </c>
      <c r="J1118" s="187" t="s">
        <v>2946</v>
      </c>
      <c r="K1118" s="188"/>
      <c r="L1118" s="188"/>
      <c r="M1118" s="189" t="s">
        <v>793</v>
      </c>
      <c r="N1118" s="190">
        <v>31781.08</v>
      </c>
      <c r="O1118" s="190">
        <f t="shared" si="139"/>
        <v>34641.38</v>
      </c>
      <c r="P1118" s="191">
        <f t="shared" si="140"/>
        <v>0</v>
      </c>
      <c r="Q1118" s="192">
        <f t="shared" si="141"/>
        <v>0</v>
      </c>
      <c r="R1118" s="193"/>
      <c r="S1118" s="194"/>
      <c r="T1118" s="195">
        <f t="shared" si="142"/>
        <v>0</v>
      </c>
      <c r="U1118" s="195">
        <f t="shared" si="143"/>
        <v>0</v>
      </c>
      <c r="V1118" s="195">
        <f t="shared" si="144"/>
        <v>0</v>
      </c>
      <c r="W1118" s="196" t="e">
        <f t="shared" si="145"/>
        <v>#DIV/0!</v>
      </c>
      <c r="X1118" s="197" t="e">
        <f t="shared" si="146"/>
        <v>#DIV/0!</v>
      </c>
    </row>
    <row r="1119" ht="11.4" hidden="1" customHeight="1" spans="1:24">
      <c r="A1119" s="184" t="s">
        <v>2941</v>
      </c>
      <c r="B1119" s="184" t="s">
        <v>119</v>
      </c>
      <c r="C1119" s="184" t="s">
        <v>1101</v>
      </c>
      <c r="D1119" s="185" t="s">
        <v>705</v>
      </c>
      <c r="E1119" s="186" t="s">
        <v>2942</v>
      </c>
      <c r="F1119" s="186" t="s">
        <v>2943</v>
      </c>
      <c r="G1119" s="186" t="s">
        <v>2943</v>
      </c>
      <c r="H1119" s="186" t="s">
        <v>2944</v>
      </c>
      <c r="I1119" s="187" t="s">
        <v>2947</v>
      </c>
      <c r="J1119" s="187" t="s">
        <v>2948</v>
      </c>
      <c r="K1119" s="188"/>
      <c r="L1119" s="188"/>
      <c r="M1119" s="189" t="s">
        <v>793</v>
      </c>
      <c r="N1119" s="190">
        <v>2941.44</v>
      </c>
      <c r="O1119" s="190">
        <f t="shared" si="139"/>
        <v>3206.17</v>
      </c>
      <c r="P1119" s="191">
        <f t="shared" si="140"/>
        <v>0</v>
      </c>
      <c r="Q1119" s="192">
        <f t="shared" si="141"/>
        <v>0</v>
      </c>
      <c r="R1119" s="193"/>
      <c r="S1119" s="194"/>
      <c r="T1119" s="195">
        <f t="shared" si="142"/>
        <v>0</v>
      </c>
      <c r="U1119" s="195">
        <f t="shared" si="143"/>
        <v>0</v>
      </c>
      <c r="V1119" s="195">
        <f t="shared" si="144"/>
        <v>0</v>
      </c>
      <c r="W1119" s="196" t="e">
        <f t="shared" si="145"/>
        <v>#DIV/0!</v>
      </c>
      <c r="X1119" s="197" t="e">
        <f t="shared" si="146"/>
        <v>#DIV/0!</v>
      </c>
    </row>
    <row r="1120" ht="11.4" hidden="1" customHeight="1" spans="1:24">
      <c r="A1120" s="184" t="s">
        <v>2949</v>
      </c>
      <c r="B1120" s="184" t="s">
        <v>127</v>
      </c>
      <c r="C1120" s="184" t="s">
        <v>1101</v>
      </c>
      <c r="D1120" s="185" t="s">
        <v>705</v>
      </c>
      <c r="E1120" s="186" t="s">
        <v>2942</v>
      </c>
      <c r="F1120" s="186" t="s">
        <v>2943</v>
      </c>
      <c r="G1120" s="186" t="s">
        <v>2943</v>
      </c>
      <c r="H1120" s="186" t="s">
        <v>2950</v>
      </c>
      <c r="I1120" s="187" t="s">
        <v>2909</v>
      </c>
      <c r="J1120" s="187" t="s">
        <v>2910</v>
      </c>
      <c r="K1120" s="188"/>
      <c r="L1120" s="188"/>
      <c r="M1120" s="189" t="s">
        <v>1500</v>
      </c>
      <c r="N1120" s="190">
        <v>747.45</v>
      </c>
      <c r="O1120" s="190">
        <f t="shared" si="139"/>
        <v>814.72</v>
      </c>
      <c r="P1120" s="191">
        <f t="shared" si="140"/>
        <v>0</v>
      </c>
      <c r="Q1120" s="192">
        <f t="shared" si="141"/>
        <v>0</v>
      </c>
      <c r="R1120" s="193"/>
      <c r="S1120" s="194"/>
      <c r="T1120" s="195">
        <f t="shared" si="142"/>
        <v>0</v>
      </c>
      <c r="U1120" s="195">
        <f t="shared" si="143"/>
        <v>0</v>
      </c>
      <c r="V1120" s="195">
        <f t="shared" si="144"/>
        <v>0</v>
      </c>
      <c r="W1120" s="196" t="e">
        <f t="shared" si="145"/>
        <v>#DIV/0!</v>
      </c>
      <c r="X1120" s="197" t="e">
        <f t="shared" si="146"/>
        <v>#DIV/0!</v>
      </c>
    </row>
    <row r="1121" ht="11.4" hidden="1" customHeight="1" spans="1:24">
      <c r="A1121" s="184" t="s">
        <v>2951</v>
      </c>
      <c r="B1121" s="184" t="s">
        <v>139</v>
      </c>
      <c r="C1121" s="184" t="s">
        <v>1880</v>
      </c>
      <c r="D1121" s="185" t="s">
        <v>705</v>
      </c>
      <c r="E1121" s="186" t="s">
        <v>2942</v>
      </c>
      <c r="F1121" s="186" t="s">
        <v>2943</v>
      </c>
      <c r="G1121" s="186" t="s">
        <v>2943</v>
      </c>
      <c r="H1121" s="186" t="s">
        <v>2952</v>
      </c>
      <c r="I1121" s="187" t="s">
        <v>2953</v>
      </c>
      <c r="J1121" s="187" t="s">
        <v>2954</v>
      </c>
      <c r="K1121" s="188"/>
      <c r="L1121" s="188"/>
      <c r="M1121" s="189" t="s">
        <v>807</v>
      </c>
      <c r="N1121" s="190">
        <v>45.05</v>
      </c>
      <c r="O1121" s="190">
        <f t="shared" si="139"/>
        <v>49.1</v>
      </c>
      <c r="P1121" s="191">
        <f t="shared" si="140"/>
        <v>0</v>
      </c>
      <c r="Q1121" s="192">
        <f t="shared" si="141"/>
        <v>0</v>
      </c>
      <c r="R1121" s="193"/>
      <c r="S1121" s="194"/>
      <c r="T1121" s="195">
        <f t="shared" si="142"/>
        <v>0</v>
      </c>
      <c r="U1121" s="195">
        <f t="shared" si="143"/>
        <v>0</v>
      </c>
      <c r="V1121" s="195">
        <f t="shared" si="144"/>
        <v>0</v>
      </c>
      <c r="W1121" s="196" t="e">
        <f t="shared" si="145"/>
        <v>#DIV/0!</v>
      </c>
      <c r="X1121" s="197" t="e">
        <f t="shared" si="146"/>
        <v>#DIV/0!</v>
      </c>
    </row>
    <row r="1122" ht="11.4" hidden="1" customHeight="1" spans="1:24">
      <c r="A1122" s="184" t="s">
        <v>2951</v>
      </c>
      <c r="B1122" s="184" t="s">
        <v>139</v>
      </c>
      <c r="C1122" s="184" t="s">
        <v>1880</v>
      </c>
      <c r="D1122" s="185" t="s">
        <v>705</v>
      </c>
      <c r="E1122" s="186" t="s">
        <v>2942</v>
      </c>
      <c r="F1122" s="186" t="s">
        <v>2943</v>
      </c>
      <c r="G1122" s="186" t="s">
        <v>2943</v>
      </c>
      <c r="H1122" s="186" t="s">
        <v>2952</v>
      </c>
      <c r="I1122" s="187" t="s">
        <v>2922</v>
      </c>
      <c r="J1122" s="187" t="s">
        <v>2923</v>
      </c>
      <c r="K1122" s="188"/>
      <c r="L1122" s="188"/>
      <c r="M1122" s="189" t="s">
        <v>793</v>
      </c>
      <c r="N1122" s="190">
        <v>1637.1</v>
      </c>
      <c r="O1122" s="190">
        <f t="shared" si="139"/>
        <v>1784.44</v>
      </c>
      <c r="P1122" s="191">
        <f t="shared" si="140"/>
        <v>0</v>
      </c>
      <c r="Q1122" s="192">
        <f t="shared" si="141"/>
        <v>0</v>
      </c>
      <c r="R1122" s="193"/>
      <c r="S1122" s="194"/>
      <c r="T1122" s="195">
        <f t="shared" si="142"/>
        <v>0</v>
      </c>
      <c r="U1122" s="195">
        <f t="shared" si="143"/>
        <v>0</v>
      </c>
      <c r="V1122" s="195">
        <f t="shared" si="144"/>
        <v>0</v>
      </c>
      <c r="W1122" s="196" t="e">
        <f t="shared" si="145"/>
        <v>#DIV/0!</v>
      </c>
      <c r="X1122" s="197" t="e">
        <f t="shared" si="146"/>
        <v>#DIV/0!</v>
      </c>
    </row>
    <row r="1123" ht="11.4" hidden="1" customHeight="1" spans="1:24">
      <c r="A1123" s="184" t="s">
        <v>2951</v>
      </c>
      <c r="B1123" s="184" t="s">
        <v>139</v>
      </c>
      <c r="C1123" s="184" t="s">
        <v>1880</v>
      </c>
      <c r="D1123" s="185" t="s">
        <v>705</v>
      </c>
      <c r="E1123" s="186" t="s">
        <v>2942</v>
      </c>
      <c r="F1123" s="186" t="s">
        <v>2943</v>
      </c>
      <c r="G1123" s="186" t="s">
        <v>2943</v>
      </c>
      <c r="H1123" s="186" t="s">
        <v>2952</v>
      </c>
      <c r="I1123" s="187" t="s">
        <v>2924</v>
      </c>
      <c r="J1123" s="187" t="s">
        <v>2925</v>
      </c>
      <c r="K1123" s="188"/>
      <c r="L1123" s="188"/>
      <c r="M1123" s="189" t="s">
        <v>793</v>
      </c>
      <c r="N1123" s="190">
        <v>666.36</v>
      </c>
      <c r="O1123" s="190">
        <f t="shared" si="139"/>
        <v>726.33</v>
      </c>
      <c r="P1123" s="191">
        <f t="shared" si="140"/>
        <v>0</v>
      </c>
      <c r="Q1123" s="192">
        <f t="shared" si="141"/>
        <v>0</v>
      </c>
      <c r="R1123" s="193"/>
      <c r="S1123" s="194"/>
      <c r="T1123" s="195">
        <f t="shared" si="142"/>
        <v>0</v>
      </c>
      <c r="U1123" s="195">
        <f t="shared" si="143"/>
        <v>0</v>
      </c>
      <c r="V1123" s="195">
        <f t="shared" si="144"/>
        <v>0</v>
      </c>
      <c r="W1123" s="196" t="e">
        <f t="shared" si="145"/>
        <v>#DIV/0!</v>
      </c>
      <c r="X1123" s="197" t="e">
        <f t="shared" si="146"/>
        <v>#DIV/0!</v>
      </c>
    </row>
    <row r="1124" ht="11.4" hidden="1" customHeight="1" spans="1:24">
      <c r="A1124" s="184" t="s">
        <v>2951</v>
      </c>
      <c r="B1124" s="184" t="s">
        <v>139</v>
      </c>
      <c r="C1124" s="184" t="s">
        <v>1880</v>
      </c>
      <c r="D1124" s="185" t="s">
        <v>705</v>
      </c>
      <c r="E1124" s="186" t="s">
        <v>2942</v>
      </c>
      <c r="F1124" s="186" t="s">
        <v>2943</v>
      </c>
      <c r="G1124" s="186" t="s">
        <v>2943</v>
      </c>
      <c r="H1124" s="186" t="s">
        <v>2952</v>
      </c>
      <c r="I1124" s="187" t="s">
        <v>2926</v>
      </c>
      <c r="J1124" s="187" t="s">
        <v>2927</v>
      </c>
      <c r="K1124" s="188"/>
      <c r="L1124" s="188"/>
      <c r="M1124" s="189" t="s">
        <v>793</v>
      </c>
      <c r="N1124" s="190">
        <v>2615.56</v>
      </c>
      <c r="O1124" s="190">
        <f t="shared" si="139"/>
        <v>2850.96</v>
      </c>
      <c r="P1124" s="191">
        <f t="shared" si="140"/>
        <v>0</v>
      </c>
      <c r="Q1124" s="192">
        <f t="shared" si="141"/>
        <v>0</v>
      </c>
      <c r="R1124" s="193"/>
      <c r="S1124" s="194"/>
      <c r="T1124" s="195">
        <f t="shared" si="142"/>
        <v>0</v>
      </c>
      <c r="U1124" s="195">
        <f t="shared" si="143"/>
        <v>0</v>
      </c>
      <c r="V1124" s="195">
        <f t="shared" si="144"/>
        <v>0</v>
      </c>
      <c r="W1124" s="196" t="e">
        <f t="shared" si="145"/>
        <v>#DIV/0!</v>
      </c>
      <c r="X1124" s="197" t="e">
        <f t="shared" si="146"/>
        <v>#DIV/0!</v>
      </c>
    </row>
    <row r="1125" ht="11.4" hidden="1" customHeight="1" spans="1:24">
      <c r="A1125" s="184" t="s">
        <v>2955</v>
      </c>
      <c r="B1125" s="184" t="s">
        <v>111</v>
      </c>
      <c r="C1125" s="184" t="s">
        <v>1101</v>
      </c>
      <c r="D1125" s="185" t="s">
        <v>701</v>
      </c>
      <c r="E1125" s="186" t="s">
        <v>2956</v>
      </c>
      <c r="F1125" s="186" t="s">
        <v>2957</v>
      </c>
      <c r="G1125" s="186" t="s">
        <v>2957</v>
      </c>
      <c r="H1125" s="186" t="s">
        <v>2958</v>
      </c>
      <c r="I1125" s="187" t="s">
        <v>1104</v>
      </c>
      <c r="J1125" s="187" t="s">
        <v>1105</v>
      </c>
      <c r="K1125" s="188"/>
      <c r="L1125" s="188"/>
      <c r="M1125" s="189" t="s">
        <v>847</v>
      </c>
      <c r="N1125" s="190">
        <v>180.78</v>
      </c>
      <c r="O1125" s="190">
        <f t="shared" si="139"/>
        <v>197.05</v>
      </c>
      <c r="P1125" s="191">
        <f t="shared" si="140"/>
        <v>0</v>
      </c>
      <c r="Q1125" s="192">
        <f t="shared" si="141"/>
        <v>0</v>
      </c>
      <c r="R1125" s="193"/>
      <c r="S1125" s="194"/>
      <c r="T1125" s="195">
        <f t="shared" si="142"/>
        <v>0</v>
      </c>
      <c r="U1125" s="195">
        <f t="shared" si="143"/>
        <v>0</v>
      </c>
      <c r="V1125" s="195">
        <f t="shared" si="144"/>
        <v>0</v>
      </c>
      <c r="W1125" s="196" t="e">
        <f t="shared" si="145"/>
        <v>#DIV/0!</v>
      </c>
      <c r="X1125" s="197" t="e">
        <f t="shared" si="146"/>
        <v>#DIV/0!</v>
      </c>
    </row>
    <row r="1126" ht="11.4" hidden="1" customHeight="1" spans="1:24">
      <c r="A1126" s="184" t="s">
        <v>2955</v>
      </c>
      <c r="B1126" s="184" t="s">
        <v>111</v>
      </c>
      <c r="C1126" s="184" t="s">
        <v>1101</v>
      </c>
      <c r="D1126" s="185" t="s">
        <v>701</v>
      </c>
      <c r="E1126" s="186" t="s">
        <v>2956</v>
      </c>
      <c r="F1126" s="186" t="s">
        <v>2957</v>
      </c>
      <c r="G1126" s="186" t="s">
        <v>2957</v>
      </c>
      <c r="H1126" s="186" t="s">
        <v>2958</v>
      </c>
      <c r="I1126" s="187" t="s">
        <v>1106</v>
      </c>
      <c r="J1126" s="187" t="s">
        <v>1107</v>
      </c>
      <c r="K1126" s="188"/>
      <c r="L1126" s="188"/>
      <c r="M1126" s="189" t="s">
        <v>807</v>
      </c>
      <c r="N1126" s="190">
        <v>41.36</v>
      </c>
      <c r="O1126" s="190">
        <f t="shared" si="139"/>
        <v>45.08</v>
      </c>
      <c r="P1126" s="191">
        <f t="shared" si="140"/>
        <v>0</v>
      </c>
      <c r="Q1126" s="192">
        <f t="shared" si="141"/>
        <v>0</v>
      </c>
      <c r="R1126" s="193"/>
      <c r="S1126" s="194"/>
      <c r="T1126" s="195">
        <f t="shared" si="142"/>
        <v>0</v>
      </c>
      <c r="U1126" s="195">
        <f t="shared" si="143"/>
        <v>0</v>
      </c>
      <c r="V1126" s="195">
        <f t="shared" si="144"/>
        <v>0</v>
      </c>
      <c r="W1126" s="196" t="e">
        <f t="shared" si="145"/>
        <v>#DIV/0!</v>
      </c>
      <c r="X1126" s="197" t="e">
        <f t="shared" si="146"/>
        <v>#DIV/0!</v>
      </c>
    </row>
    <row r="1127" ht="11.4" hidden="1" customHeight="1" spans="1:24">
      <c r="A1127" s="184" t="s">
        <v>2955</v>
      </c>
      <c r="B1127" s="184" t="s">
        <v>111</v>
      </c>
      <c r="C1127" s="184" t="s">
        <v>1101</v>
      </c>
      <c r="D1127" s="185" t="s">
        <v>701</v>
      </c>
      <c r="E1127" s="186" t="s">
        <v>2956</v>
      </c>
      <c r="F1127" s="186" t="s">
        <v>2957</v>
      </c>
      <c r="G1127" s="186" t="s">
        <v>2957</v>
      </c>
      <c r="H1127" s="186" t="s">
        <v>2958</v>
      </c>
      <c r="I1127" s="187" t="s">
        <v>1109</v>
      </c>
      <c r="J1127" s="187" t="s">
        <v>1110</v>
      </c>
      <c r="K1127" s="188"/>
      <c r="L1127" s="188"/>
      <c r="M1127" s="189" t="s">
        <v>847</v>
      </c>
      <c r="N1127" s="190">
        <v>160.21</v>
      </c>
      <c r="O1127" s="190">
        <f t="shared" si="139"/>
        <v>174.63</v>
      </c>
      <c r="P1127" s="191">
        <f t="shared" si="140"/>
        <v>0</v>
      </c>
      <c r="Q1127" s="192">
        <f t="shared" si="141"/>
        <v>0</v>
      </c>
      <c r="R1127" s="193"/>
      <c r="S1127" s="194"/>
      <c r="T1127" s="195">
        <f t="shared" si="142"/>
        <v>0</v>
      </c>
      <c r="U1127" s="195">
        <f t="shared" si="143"/>
        <v>0</v>
      </c>
      <c r="V1127" s="195">
        <f t="shared" si="144"/>
        <v>0</v>
      </c>
      <c r="W1127" s="196" t="e">
        <f t="shared" si="145"/>
        <v>#DIV/0!</v>
      </c>
      <c r="X1127" s="197" t="e">
        <f t="shared" si="146"/>
        <v>#DIV/0!</v>
      </c>
    </row>
    <row r="1128" ht="11.4" hidden="1" customHeight="1" spans="1:24">
      <c r="A1128" s="184" t="s">
        <v>2955</v>
      </c>
      <c r="B1128" s="184" t="s">
        <v>111</v>
      </c>
      <c r="C1128" s="184" t="s">
        <v>1101</v>
      </c>
      <c r="D1128" s="185" t="s">
        <v>701</v>
      </c>
      <c r="E1128" s="186" t="s">
        <v>2956</v>
      </c>
      <c r="F1128" s="186" t="s">
        <v>2957</v>
      </c>
      <c r="G1128" s="186" t="s">
        <v>2957</v>
      </c>
      <c r="H1128" s="186" t="s">
        <v>2958</v>
      </c>
      <c r="I1128" s="187" t="s">
        <v>1111</v>
      </c>
      <c r="J1128" s="187" t="s">
        <v>1112</v>
      </c>
      <c r="K1128" s="188"/>
      <c r="L1128" s="188"/>
      <c r="M1128" s="189" t="s">
        <v>807</v>
      </c>
      <c r="N1128" s="190">
        <v>38.94</v>
      </c>
      <c r="O1128" s="190">
        <f t="shared" si="139"/>
        <v>42.44</v>
      </c>
      <c r="P1128" s="191">
        <f t="shared" si="140"/>
        <v>0</v>
      </c>
      <c r="Q1128" s="192">
        <f t="shared" si="141"/>
        <v>0</v>
      </c>
      <c r="R1128" s="193"/>
      <c r="S1128" s="194"/>
      <c r="T1128" s="195">
        <f t="shared" si="142"/>
        <v>0</v>
      </c>
      <c r="U1128" s="195">
        <f t="shared" si="143"/>
        <v>0</v>
      </c>
      <c r="V1128" s="195">
        <f t="shared" si="144"/>
        <v>0</v>
      </c>
      <c r="W1128" s="196" t="e">
        <f t="shared" si="145"/>
        <v>#DIV/0!</v>
      </c>
      <c r="X1128" s="197" t="e">
        <f t="shared" si="146"/>
        <v>#DIV/0!</v>
      </c>
    </row>
    <row r="1129" ht="11.4" hidden="1" customHeight="1" spans="1:24">
      <c r="A1129" s="184" t="s">
        <v>2955</v>
      </c>
      <c r="B1129" s="184" t="s">
        <v>111</v>
      </c>
      <c r="C1129" s="184" t="s">
        <v>1101</v>
      </c>
      <c r="D1129" s="185" t="s">
        <v>701</v>
      </c>
      <c r="E1129" s="186" t="s">
        <v>2956</v>
      </c>
      <c r="F1129" s="186" t="s">
        <v>2957</v>
      </c>
      <c r="G1129" s="186" t="s">
        <v>2957</v>
      </c>
      <c r="H1129" s="186" t="s">
        <v>2958</v>
      </c>
      <c r="I1129" s="187" t="s">
        <v>1113</v>
      </c>
      <c r="J1129" s="187" t="s">
        <v>1114</v>
      </c>
      <c r="K1129" s="188"/>
      <c r="L1129" s="188"/>
      <c r="M1129" s="189" t="s">
        <v>847</v>
      </c>
      <c r="N1129" s="190">
        <v>181.99</v>
      </c>
      <c r="O1129" s="190">
        <f t="shared" si="139"/>
        <v>198.37</v>
      </c>
      <c r="P1129" s="191">
        <f t="shared" si="140"/>
        <v>0</v>
      </c>
      <c r="Q1129" s="192">
        <f t="shared" si="141"/>
        <v>0</v>
      </c>
      <c r="R1129" s="193"/>
      <c r="S1129" s="194"/>
      <c r="T1129" s="195">
        <f t="shared" si="142"/>
        <v>0</v>
      </c>
      <c r="U1129" s="195">
        <f t="shared" si="143"/>
        <v>0</v>
      </c>
      <c r="V1129" s="195">
        <f t="shared" si="144"/>
        <v>0</v>
      </c>
      <c r="W1129" s="196" t="e">
        <f t="shared" si="145"/>
        <v>#DIV/0!</v>
      </c>
      <c r="X1129" s="197" t="e">
        <f t="shared" si="146"/>
        <v>#DIV/0!</v>
      </c>
    </row>
    <row r="1130" ht="11.4" hidden="1" customHeight="1" spans="1:24">
      <c r="A1130" s="184" t="s">
        <v>2955</v>
      </c>
      <c r="B1130" s="184" t="s">
        <v>111</v>
      </c>
      <c r="C1130" s="184" t="s">
        <v>1101</v>
      </c>
      <c r="D1130" s="185" t="s">
        <v>701</v>
      </c>
      <c r="E1130" s="186" t="s">
        <v>2956</v>
      </c>
      <c r="F1130" s="186" t="s">
        <v>2957</v>
      </c>
      <c r="G1130" s="186" t="s">
        <v>2957</v>
      </c>
      <c r="H1130" s="186" t="s">
        <v>2958</v>
      </c>
      <c r="I1130" s="187" t="s">
        <v>1115</v>
      </c>
      <c r="J1130" s="187" t="s">
        <v>1116</v>
      </c>
      <c r="K1130" s="188"/>
      <c r="L1130" s="188"/>
      <c r="M1130" s="189" t="s">
        <v>807</v>
      </c>
      <c r="N1130" s="190">
        <v>42.57</v>
      </c>
      <c r="O1130" s="190">
        <f t="shared" si="139"/>
        <v>46.4</v>
      </c>
      <c r="P1130" s="191">
        <f t="shared" si="140"/>
        <v>0</v>
      </c>
      <c r="Q1130" s="192">
        <f t="shared" si="141"/>
        <v>0</v>
      </c>
      <c r="R1130" s="193"/>
      <c r="S1130" s="194"/>
      <c r="T1130" s="195">
        <f t="shared" si="142"/>
        <v>0</v>
      </c>
      <c r="U1130" s="195">
        <f t="shared" si="143"/>
        <v>0</v>
      </c>
      <c r="V1130" s="195">
        <f t="shared" si="144"/>
        <v>0</v>
      </c>
      <c r="W1130" s="196" t="e">
        <f t="shared" si="145"/>
        <v>#DIV/0!</v>
      </c>
      <c r="X1130" s="197" t="e">
        <f t="shared" si="146"/>
        <v>#DIV/0!</v>
      </c>
    </row>
    <row r="1131" ht="11.4" hidden="1" customHeight="1" spans="1:24">
      <c r="A1131" s="184" t="s">
        <v>2959</v>
      </c>
      <c r="B1131" s="184" t="s">
        <v>113</v>
      </c>
      <c r="C1131" s="184" t="s">
        <v>1101</v>
      </c>
      <c r="D1131" s="185" t="s">
        <v>701</v>
      </c>
      <c r="E1131" s="186" t="s">
        <v>2956</v>
      </c>
      <c r="F1131" s="186" t="s">
        <v>2957</v>
      </c>
      <c r="G1131" s="186" t="s">
        <v>2957</v>
      </c>
      <c r="H1131" s="186" t="s">
        <v>2960</v>
      </c>
      <c r="I1131" s="187" t="s">
        <v>1175</v>
      </c>
      <c r="J1131" s="187" t="s">
        <v>1176</v>
      </c>
      <c r="K1131" s="188"/>
      <c r="L1131" s="188"/>
      <c r="M1131" s="189" t="s">
        <v>847</v>
      </c>
      <c r="N1131" s="190">
        <v>114.06</v>
      </c>
      <c r="O1131" s="190">
        <f t="shared" si="139"/>
        <v>124.33</v>
      </c>
      <c r="P1131" s="191">
        <f t="shared" si="140"/>
        <v>0</v>
      </c>
      <c r="Q1131" s="192">
        <f t="shared" si="141"/>
        <v>0</v>
      </c>
      <c r="R1131" s="193"/>
      <c r="S1131" s="194"/>
      <c r="T1131" s="195">
        <f t="shared" si="142"/>
        <v>0</v>
      </c>
      <c r="U1131" s="195">
        <f t="shared" si="143"/>
        <v>0</v>
      </c>
      <c r="V1131" s="195">
        <f t="shared" si="144"/>
        <v>0</v>
      </c>
      <c r="W1131" s="196" t="e">
        <f t="shared" si="145"/>
        <v>#DIV/0!</v>
      </c>
      <c r="X1131" s="197" t="e">
        <f t="shared" si="146"/>
        <v>#DIV/0!</v>
      </c>
    </row>
    <row r="1132" ht="11.4" hidden="1" customHeight="1" spans="1:24">
      <c r="A1132" s="184" t="s">
        <v>2959</v>
      </c>
      <c r="B1132" s="184" t="s">
        <v>113</v>
      </c>
      <c r="C1132" s="184" t="s">
        <v>1101</v>
      </c>
      <c r="D1132" s="185" t="s">
        <v>701</v>
      </c>
      <c r="E1132" s="186" t="s">
        <v>2956</v>
      </c>
      <c r="F1132" s="186" t="s">
        <v>2957</v>
      </c>
      <c r="G1132" s="186" t="s">
        <v>2957</v>
      </c>
      <c r="H1132" s="186" t="s">
        <v>2960</v>
      </c>
      <c r="I1132" s="187" t="s">
        <v>1178</v>
      </c>
      <c r="J1132" s="187" t="s">
        <v>1179</v>
      </c>
      <c r="K1132" s="188"/>
      <c r="L1132" s="188"/>
      <c r="M1132" s="189" t="s">
        <v>847</v>
      </c>
      <c r="N1132" s="190">
        <v>197.83</v>
      </c>
      <c r="O1132" s="190">
        <f t="shared" si="139"/>
        <v>215.63</v>
      </c>
      <c r="P1132" s="191">
        <f t="shared" si="140"/>
        <v>0</v>
      </c>
      <c r="Q1132" s="192">
        <f t="shared" si="141"/>
        <v>0</v>
      </c>
      <c r="R1132" s="193"/>
      <c r="S1132" s="194"/>
      <c r="T1132" s="195">
        <f t="shared" si="142"/>
        <v>0</v>
      </c>
      <c r="U1132" s="195">
        <f t="shared" si="143"/>
        <v>0</v>
      </c>
      <c r="V1132" s="195">
        <f t="shared" si="144"/>
        <v>0</v>
      </c>
      <c r="W1132" s="196" t="e">
        <f t="shared" si="145"/>
        <v>#DIV/0!</v>
      </c>
      <c r="X1132" s="197" t="e">
        <f t="shared" si="146"/>
        <v>#DIV/0!</v>
      </c>
    </row>
    <row r="1133" ht="11.4" hidden="1" customHeight="1" spans="1:24">
      <c r="A1133" s="184" t="s">
        <v>2959</v>
      </c>
      <c r="B1133" s="184" t="s">
        <v>113</v>
      </c>
      <c r="C1133" s="184" t="s">
        <v>1101</v>
      </c>
      <c r="D1133" s="185" t="s">
        <v>701</v>
      </c>
      <c r="E1133" s="186" t="s">
        <v>2956</v>
      </c>
      <c r="F1133" s="186" t="s">
        <v>2957</v>
      </c>
      <c r="G1133" s="186" t="s">
        <v>2957</v>
      </c>
      <c r="H1133" s="186" t="s">
        <v>2960</v>
      </c>
      <c r="I1133" s="187" t="s">
        <v>1181</v>
      </c>
      <c r="J1133" s="187" t="s">
        <v>1182</v>
      </c>
      <c r="K1133" s="188"/>
      <c r="L1133" s="188"/>
      <c r="M1133" s="189" t="s">
        <v>847</v>
      </c>
      <c r="N1133" s="190">
        <v>182.9</v>
      </c>
      <c r="O1133" s="190">
        <f t="shared" si="139"/>
        <v>199.36</v>
      </c>
      <c r="P1133" s="191">
        <f t="shared" si="140"/>
        <v>0</v>
      </c>
      <c r="Q1133" s="192">
        <f t="shared" si="141"/>
        <v>0</v>
      </c>
      <c r="R1133" s="193"/>
      <c r="S1133" s="194"/>
      <c r="T1133" s="195">
        <f t="shared" si="142"/>
        <v>0</v>
      </c>
      <c r="U1133" s="195">
        <f t="shared" si="143"/>
        <v>0</v>
      </c>
      <c r="V1133" s="195">
        <f t="shared" si="144"/>
        <v>0</v>
      </c>
      <c r="W1133" s="196" t="e">
        <f t="shared" si="145"/>
        <v>#DIV/0!</v>
      </c>
      <c r="X1133" s="197" t="e">
        <f t="shared" si="146"/>
        <v>#DIV/0!</v>
      </c>
    </row>
    <row r="1134" ht="11.4" hidden="1" customHeight="1" spans="1:24">
      <c r="A1134" s="184" t="s">
        <v>2959</v>
      </c>
      <c r="B1134" s="184" t="s">
        <v>113</v>
      </c>
      <c r="C1134" s="184" t="s">
        <v>1101</v>
      </c>
      <c r="D1134" s="185" t="s">
        <v>701</v>
      </c>
      <c r="E1134" s="186" t="s">
        <v>2956</v>
      </c>
      <c r="F1134" s="186" t="s">
        <v>2957</v>
      </c>
      <c r="G1134" s="186" t="s">
        <v>2957</v>
      </c>
      <c r="H1134" s="186" t="s">
        <v>2960</v>
      </c>
      <c r="I1134" s="187" t="s">
        <v>1183</v>
      </c>
      <c r="J1134" s="187" t="s">
        <v>1184</v>
      </c>
      <c r="K1134" s="188"/>
      <c r="L1134" s="188"/>
      <c r="M1134" s="189" t="s">
        <v>847</v>
      </c>
      <c r="N1134" s="190">
        <v>186.66</v>
      </c>
      <c r="O1134" s="190">
        <f t="shared" si="139"/>
        <v>203.46</v>
      </c>
      <c r="P1134" s="191">
        <f t="shared" si="140"/>
        <v>0</v>
      </c>
      <c r="Q1134" s="192">
        <f t="shared" si="141"/>
        <v>0</v>
      </c>
      <c r="R1134" s="193"/>
      <c r="S1134" s="194"/>
      <c r="T1134" s="195">
        <f t="shared" si="142"/>
        <v>0</v>
      </c>
      <c r="U1134" s="195">
        <f t="shared" si="143"/>
        <v>0</v>
      </c>
      <c r="V1134" s="195">
        <f t="shared" si="144"/>
        <v>0</v>
      </c>
      <c r="W1134" s="196" t="e">
        <f t="shared" si="145"/>
        <v>#DIV/0!</v>
      </c>
      <c r="X1134" s="197" t="e">
        <f t="shared" si="146"/>
        <v>#DIV/0!</v>
      </c>
    </row>
    <row r="1135" ht="11.4" hidden="1" customHeight="1" spans="1:24">
      <c r="A1135" s="184" t="s">
        <v>2959</v>
      </c>
      <c r="B1135" s="184" t="s">
        <v>113</v>
      </c>
      <c r="C1135" s="184" t="s">
        <v>1101</v>
      </c>
      <c r="D1135" s="185" t="s">
        <v>701</v>
      </c>
      <c r="E1135" s="186" t="s">
        <v>2956</v>
      </c>
      <c r="F1135" s="186" t="s">
        <v>2957</v>
      </c>
      <c r="G1135" s="186" t="s">
        <v>2957</v>
      </c>
      <c r="H1135" s="186" t="s">
        <v>2960</v>
      </c>
      <c r="I1135" s="187" t="s">
        <v>1185</v>
      </c>
      <c r="J1135" s="187" t="s">
        <v>1186</v>
      </c>
      <c r="K1135" s="188"/>
      <c r="L1135" s="188"/>
      <c r="M1135" s="189" t="s">
        <v>847</v>
      </c>
      <c r="N1135" s="190">
        <v>174.35</v>
      </c>
      <c r="O1135" s="190">
        <f t="shared" si="139"/>
        <v>190.04</v>
      </c>
      <c r="P1135" s="191">
        <f t="shared" si="140"/>
        <v>0</v>
      </c>
      <c r="Q1135" s="192">
        <f t="shared" si="141"/>
        <v>0</v>
      </c>
      <c r="R1135" s="193"/>
      <c r="S1135" s="194"/>
      <c r="T1135" s="195">
        <f t="shared" si="142"/>
        <v>0</v>
      </c>
      <c r="U1135" s="195">
        <f t="shared" si="143"/>
        <v>0</v>
      </c>
      <c r="V1135" s="195">
        <f t="shared" si="144"/>
        <v>0</v>
      </c>
      <c r="W1135" s="196" t="e">
        <f t="shared" si="145"/>
        <v>#DIV/0!</v>
      </c>
      <c r="X1135" s="197" t="e">
        <f t="shared" si="146"/>
        <v>#DIV/0!</v>
      </c>
    </row>
    <row r="1136" ht="11.4" hidden="1" customHeight="1" spans="1:24">
      <c r="A1136" s="184" t="s">
        <v>2959</v>
      </c>
      <c r="B1136" s="184" t="s">
        <v>109</v>
      </c>
      <c r="C1136" s="184" t="s">
        <v>1101</v>
      </c>
      <c r="D1136" s="185" t="s">
        <v>701</v>
      </c>
      <c r="E1136" s="186" t="s">
        <v>2956</v>
      </c>
      <c r="F1136" s="186" t="s">
        <v>2957</v>
      </c>
      <c r="G1136" s="186" t="s">
        <v>2957</v>
      </c>
      <c r="H1136" s="186" t="s">
        <v>2960</v>
      </c>
      <c r="I1136" s="187" t="s">
        <v>1745</v>
      </c>
      <c r="J1136" s="187" t="s">
        <v>1746</v>
      </c>
      <c r="K1136" s="188"/>
      <c r="L1136" s="188"/>
      <c r="M1136" s="189" t="s">
        <v>847</v>
      </c>
      <c r="N1136" s="190">
        <v>118.11</v>
      </c>
      <c r="O1136" s="190">
        <f t="shared" si="139"/>
        <v>128.74</v>
      </c>
      <c r="P1136" s="191">
        <f t="shared" si="140"/>
        <v>0</v>
      </c>
      <c r="Q1136" s="192">
        <f t="shared" si="141"/>
        <v>0</v>
      </c>
      <c r="R1136" s="193"/>
      <c r="S1136" s="194"/>
      <c r="T1136" s="195">
        <f t="shared" si="142"/>
        <v>0</v>
      </c>
      <c r="U1136" s="195">
        <f t="shared" si="143"/>
        <v>0</v>
      </c>
      <c r="V1136" s="195">
        <f t="shared" si="144"/>
        <v>0</v>
      </c>
      <c r="W1136" s="196" t="e">
        <f t="shared" si="145"/>
        <v>#DIV/0!</v>
      </c>
      <c r="X1136" s="197" t="e">
        <f t="shared" si="146"/>
        <v>#DIV/0!</v>
      </c>
    </row>
    <row r="1137" ht="11.4" hidden="1" customHeight="1" spans="1:24">
      <c r="A1137" s="184" t="s">
        <v>2959</v>
      </c>
      <c r="B1137" s="184" t="s">
        <v>109</v>
      </c>
      <c r="C1137" s="184" t="s">
        <v>1101</v>
      </c>
      <c r="D1137" s="185" t="s">
        <v>701</v>
      </c>
      <c r="E1137" s="186" t="s">
        <v>2956</v>
      </c>
      <c r="F1137" s="186" t="s">
        <v>2957</v>
      </c>
      <c r="G1137" s="186" t="s">
        <v>2957</v>
      </c>
      <c r="H1137" s="186" t="s">
        <v>2960</v>
      </c>
      <c r="I1137" s="187" t="s">
        <v>1747</v>
      </c>
      <c r="J1137" s="187" t="s">
        <v>1748</v>
      </c>
      <c r="K1137" s="188"/>
      <c r="L1137" s="188"/>
      <c r="M1137" s="189" t="s">
        <v>847</v>
      </c>
      <c r="N1137" s="190">
        <v>113.49</v>
      </c>
      <c r="O1137" s="190">
        <f t="shared" si="139"/>
        <v>123.7</v>
      </c>
      <c r="P1137" s="191">
        <f t="shared" si="140"/>
        <v>0</v>
      </c>
      <c r="Q1137" s="192">
        <f t="shared" si="141"/>
        <v>0</v>
      </c>
      <c r="R1137" s="193"/>
      <c r="S1137" s="194"/>
      <c r="T1137" s="195">
        <f t="shared" si="142"/>
        <v>0</v>
      </c>
      <c r="U1137" s="195">
        <f t="shared" si="143"/>
        <v>0</v>
      </c>
      <c r="V1137" s="195">
        <f t="shared" si="144"/>
        <v>0</v>
      </c>
      <c r="W1137" s="196" t="e">
        <f t="shared" si="145"/>
        <v>#DIV/0!</v>
      </c>
      <c r="X1137" s="197" t="e">
        <f t="shared" si="146"/>
        <v>#DIV/0!</v>
      </c>
    </row>
    <row r="1138" ht="11.4" hidden="1" customHeight="1" spans="1:24">
      <c r="A1138" s="184" t="s">
        <v>2959</v>
      </c>
      <c r="B1138" s="184" t="s">
        <v>109</v>
      </c>
      <c r="C1138" s="184" t="s">
        <v>1101</v>
      </c>
      <c r="D1138" s="185" t="s">
        <v>701</v>
      </c>
      <c r="E1138" s="186" t="s">
        <v>2956</v>
      </c>
      <c r="F1138" s="186" t="s">
        <v>2957</v>
      </c>
      <c r="G1138" s="186" t="s">
        <v>2957</v>
      </c>
      <c r="H1138" s="186" t="s">
        <v>2960</v>
      </c>
      <c r="I1138" s="187" t="s">
        <v>1749</v>
      </c>
      <c r="J1138" s="187" t="s">
        <v>1750</v>
      </c>
      <c r="K1138" s="188"/>
      <c r="L1138" s="188"/>
      <c r="M1138" s="189" t="s">
        <v>847</v>
      </c>
      <c r="N1138" s="190">
        <v>118.11</v>
      </c>
      <c r="O1138" s="190">
        <f t="shared" si="139"/>
        <v>128.74</v>
      </c>
      <c r="P1138" s="191">
        <f t="shared" si="140"/>
        <v>0</v>
      </c>
      <c r="Q1138" s="192">
        <f t="shared" si="141"/>
        <v>0</v>
      </c>
      <c r="R1138" s="193"/>
      <c r="S1138" s="194"/>
      <c r="T1138" s="195">
        <f t="shared" si="142"/>
        <v>0</v>
      </c>
      <c r="U1138" s="195">
        <f t="shared" si="143"/>
        <v>0</v>
      </c>
      <c r="V1138" s="195">
        <f t="shared" si="144"/>
        <v>0</v>
      </c>
      <c r="W1138" s="196" t="e">
        <f t="shared" si="145"/>
        <v>#DIV/0!</v>
      </c>
      <c r="X1138" s="197" t="e">
        <f t="shared" si="146"/>
        <v>#DIV/0!</v>
      </c>
    </row>
    <row r="1139" ht="11.4" hidden="1" customHeight="1" spans="1:24">
      <c r="A1139" s="184" t="s">
        <v>2959</v>
      </c>
      <c r="B1139" s="184" t="s">
        <v>113</v>
      </c>
      <c r="C1139" s="184" t="s">
        <v>1101</v>
      </c>
      <c r="D1139" s="185" t="s">
        <v>701</v>
      </c>
      <c r="E1139" s="186" t="s">
        <v>2956</v>
      </c>
      <c r="F1139" s="186" t="s">
        <v>2957</v>
      </c>
      <c r="G1139" s="186" t="s">
        <v>2957</v>
      </c>
      <c r="H1139" s="186" t="s">
        <v>2960</v>
      </c>
      <c r="I1139" s="187" t="s">
        <v>2961</v>
      </c>
      <c r="J1139" s="187" t="s">
        <v>2962</v>
      </c>
      <c r="K1139" s="188"/>
      <c r="L1139" s="188"/>
      <c r="M1139" s="189" t="s">
        <v>847</v>
      </c>
      <c r="N1139" s="190">
        <v>192.47</v>
      </c>
      <c r="O1139" s="190">
        <f t="shared" si="139"/>
        <v>209.79</v>
      </c>
      <c r="P1139" s="191">
        <f t="shared" si="140"/>
        <v>0</v>
      </c>
      <c r="Q1139" s="192">
        <f t="shared" si="141"/>
        <v>0</v>
      </c>
      <c r="R1139" s="193"/>
      <c r="S1139" s="194"/>
      <c r="T1139" s="195">
        <f t="shared" si="142"/>
        <v>0</v>
      </c>
      <c r="U1139" s="195">
        <f t="shared" si="143"/>
        <v>0</v>
      </c>
      <c r="V1139" s="195">
        <f t="shared" si="144"/>
        <v>0</v>
      </c>
      <c r="W1139" s="196" t="e">
        <f t="shared" si="145"/>
        <v>#DIV/0!</v>
      </c>
      <c r="X1139" s="197" t="e">
        <f t="shared" si="146"/>
        <v>#DIV/0!</v>
      </c>
    </row>
    <row r="1140" ht="11.4" hidden="1" customHeight="1" spans="1:24">
      <c r="A1140" s="184" t="s">
        <v>2959</v>
      </c>
      <c r="B1140" s="184" t="s">
        <v>113</v>
      </c>
      <c r="C1140" s="184" t="s">
        <v>1101</v>
      </c>
      <c r="D1140" s="185" t="s">
        <v>701</v>
      </c>
      <c r="E1140" s="186" t="s">
        <v>2956</v>
      </c>
      <c r="F1140" s="186" t="s">
        <v>2957</v>
      </c>
      <c r="G1140" s="186" t="s">
        <v>2957</v>
      </c>
      <c r="H1140" s="186" t="s">
        <v>2960</v>
      </c>
      <c r="I1140" s="187" t="s">
        <v>2963</v>
      </c>
      <c r="J1140" s="187" t="s">
        <v>2964</v>
      </c>
      <c r="K1140" s="188"/>
      <c r="L1140" s="188"/>
      <c r="M1140" s="189" t="s">
        <v>847</v>
      </c>
      <c r="N1140" s="190">
        <v>172.83</v>
      </c>
      <c r="O1140" s="190">
        <f t="shared" si="139"/>
        <v>188.38</v>
      </c>
      <c r="P1140" s="191">
        <f t="shared" si="140"/>
        <v>0</v>
      </c>
      <c r="Q1140" s="192">
        <f t="shared" si="141"/>
        <v>0</v>
      </c>
      <c r="R1140" s="193"/>
      <c r="S1140" s="194"/>
      <c r="T1140" s="195">
        <f t="shared" si="142"/>
        <v>0</v>
      </c>
      <c r="U1140" s="195">
        <f t="shared" si="143"/>
        <v>0</v>
      </c>
      <c r="V1140" s="195">
        <f t="shared" si="144"/>
        <v>0</v>
      </c>
      <c r="W1140" s="196" t="e">
        <f t="shared" si="145"/>
        <v>#DIV/0!</v>
      </c>
      <c r="X1140" s="197" t="e">
        <f t="shared" si="146"/>
        <v>#DIV/0!</v>
      </c>
    </row>
    <row r="1141" ht="11.4" hidden="1" customHeight="1" spans="1:24">
      <c r="A1141" s="184" t="s">
        <v>2959</v>
      </c>
      <c r="B1141" s="184" t="s">
        <v>113</v>
      </c>
      <c r="C1141" s="184" t="s">
        <v>1101</v>
      </c>
      <c r="D1141" s="185" t="s">
        <v>701</v>
      </c>
      <c r="E1141" s="186" t="s">
        <v>2956</v>
      </c>
      <c r="F1141" s="186" t="s">
        <v>2957</v>
      </c>
      <c r="G1141" s="186" t="s">
        <v>2957</v>
      </c>
      <c r="H1141" s="186" t="s">
        <v>2960</v>
      </c>
      <c r="I1141" s="187" t="s">
        <v>2965</v>
      </c>
      <c r="J1141" s="187" t="s">
        <v>2966</v>
      </c>
      <c r="K1141" s="188"/>
      <c r="L1141" s="188"/>
      <c r="M1141" s="189" t="s">
        <v>847</v>
      </c>
      <c r="N1141" s="190">
        <v>192.47</v>
      </c>
      <c r="O1141" s="190">
        <f t="shared" si="139"/>
        <v>209.79</v>
      </c>
      <c r="P1141" s="191">
        <f t="shared" si="140"/>
        <v>0</v>
      </c>
      <c r="Q1141" s="192">
        <f t="shared" si="141"/>
        <v>0</v>
      </c>
      <c r="R1141" s="193"/>
      <c r="S1141" s="194"/>
      <c r="T1141" s="195">
        <f t="shared" si="142"/>
        <v>0</v>
      </c>
      <c r="U1141" s="195">
        <f t="shared" si="143"/>
        <v>0</v>
      </c>
      <c r="V1141" s="195">
        <f t="shared" si="144"/>
        <v>0</v>
      </c>
      <c r="W1141" s="196" t="e">
        <f t="shared" si="145"/>
        <v>#DIV/0!</v>
      </c>
      <c r="X1141" s="197" t="e">
        <f t="shared" si="146"/>
        <v>#DIV/0!</v>
      </c>
    </row>
    <row r="1142" ht="11.4" hidden="1" customHeight="1" spans="1:24">
      <c r="A1142" s="184" t="s">
        <v>2959</v>
      </c>
      <c r="B1142" s="184" t="s">
        <v>109</v>
      </c>
      <c r="C1142" s="184" t="s">
        <v>1101</v>
      </c>
      <c r="D1142" s="185" t="s">
        <v>701</v>
      </c>
      <c r="E1142" s="186" t="s">
        <v>2956</v>
      </c>
      <c r="F1142" s="186" t="s">
        <v>2957</v>
      </c>
      <c r="G1142" s="186" t="s">
        <v>2957</v>
      </c>
      <c r="H1142" s="186" t="s">
        <v>2960</v>
      </c>
      <c r="I1142" s="187" t="s">
        <v>1751</v>
      </c>
      <c r="J1142" s="187" t="s">
        <v>1752</v>
      </c>
      <c r="K1142" s="188"/>
      <c r="L1142" s="188"/>
      <c r="M1142" s="189" t="s">
        <v>847</v>
      </c>
      <c r="N1142" s="190">
        <v>467.36</v>
      </c>
      <c r="O1142" s="190">
        <f t="shared" si="139"/>
        <v>509.42</v>
      </c>
      <c r="P1142" s="191">
        <f t="shared" si="140"/>
        <v>0</v>
      </c>
      <c r="Q1142" s="192">
        <f t="shared" si="141"/>
        <v>0</v>
      </c>
      <c r="R1142" s="193"/>
      <c r="S1142" s="194"/>
      <c r="T1142" s="195">
        <f t="shared" si="142"/>
        <v>0</v>
      </c>
      <c r="U1142" s="195">
        <f t="shared" si="143"/>
        <v>0</v>
      </c>
      <c r="V1142" s="195">
        <f t="shared" si="144"/>
        <v>0</v>
      </c>
      <c r="W1142" s="196" t="e">
        <f t="shared" si="145"/>
        <v>#DIV/0!</v>
      </c>
      <c r="X1142" s="197" t="e">
        <f t="shared" si="146"/>
        <v>#DIV/0!</v>
      </c>
    </row>
    <row r="1143" ht="11.4" hidden="1" customHeight="1" spans="1:24">
      <c r="A1143" s="184" t="s">
        <v>2959</v>
      </c>
      <c r="B1143" s="184" t="s">
        <v>109</v>
      </c>
      <c r="C1143" s="184" t="s">
        <v>1101</v>
      </c>
      <c r="D1143" s="185" t="s">
        <v>701</v>
      </c>
      <c r="E1143" s="186" t="s">
        <v>2956</v>
      </c>
      <c r="F1143" s="186" t="s">
        <v>2957</v>
      </c>
      <c r="G1143" s="186" t="s">
        <v>2957</v>
      </c>
      <c r="H1143" s="186" t="s">
        <v>2960</v>
      </c>
      <c r="I1143" s="187" t="s">
        <v>1753</v>
      </c>
      <c r="J1143" s="187" t="s">
        <v>1754</v>
      </c>
      <c r="K1143" s="188"/>
      <c r="L1143" s="188"/>
      <c r="M1143" s="189" t="s">
        <v>1755</v>
      </c>
      <c r="N1143" s="190">
        <v>184.69</v>
      </c>
      <c r="O1143" s="190">
        <f t="shared" si="139"/>
        <v>201.31</v>
      </c>
      <c r="P1143" s="191">
        <f t="shared" si="140"/>
        <v>0</v>
      </c>
      <c r="Q1143" s="192">
        <f t="shared" si="141"/>
        <v>0</v>
      </c>
      <c r="R1143" s="193"/>
      <c r="S1143" s="194"/>
      <c r="T1143" s="195">
        <f t="shared" si="142"/>
        <v>0</v>
      </c>
      <c r="U1143" s="195">
        <f t="shared" si="143"/>
        <v>0</v>
      </c>
      <c r="V1143" s="195">
        <f t="shared" si="144"/>
        <v>0</v>
      </c>
      <c r="W1143" s="196" t="e">
        <f t="shared" si="145"/>
        <v>#DIV/0!</v>
      </c>
      <c r="X1143" s="197" t="e">
        <f t="shared" si="146"/>
        <v>#DIV/0!</v>
      </c>
    </row>
    <row r="1144" ht="11.4" hidden="1" customHeight="1" spans="1:24">
      <c r="A1144" s="184" t="s">
        <v>2959</v>
      </c>
      <c r="B1144" s="184" t="s">
        <v>109</v>
      </c>
      <c r="C1144" s="184" t="s">
        <v>1101</v>
      </c>
      <c r="D1144" s="185" t="s">
        <v>701</v>
      </c>
      <c r="E1144" s="186" t="s">
        <v>2956</v>
      </c>
      <c r="F1144" s="186" t="s">
        <v>2957</v>
      </c>
      <c r="G1144" s="186" t="s">
        <v>2957</v>
      </c>
      <c r="H1144" s="186" t="s">
        <v>2960</v>
      </c>
      <c r="I1144" s="187" t="s">
        <v>1756</v>
      </c>
      <c r="J1144" s="187" t="s">
        <v>1757</v>
      </c>
      <c r="K1144" s="188"/>
      <c r="L1144" s="188"/>
      <c r="M1144" s="189" t="s">
        <v>1755</v>
      </c>
      <c r="N1144" s="190">
        <v>374.99</v>
      </c>
      <c r="O1144" s="190">
        <f t="shared" si="139"/>
        <v>408.74</v>
      </c>
      <c r="P1144" s="191">
        <f t="shared" si="140"/>
        <v>0</v>
      </c>
      <c r="Q1144" s="192">
        <f t="shared" si="141"/>
        <v>0</v>
      </c>
      <c r="R1144" s="193"/>
      <c r="S1144" s="194"/>
      <c r="T1144" s="195">
        <f t="shared" si="142"/>
        <v>0</v>
      </c>
      <c r="U1144" s="195">
        <f t="shared" si="143"/>
        <v>0</v>
      </c>
      <c r="V1144" s="195">
        <f t="shared" si="144"/>
        <v>0</v>
      </c>
      <c r="W1144" s="196" t="e">
        <f t="shared" si="145"/>
        <v>#DIV/0!</v>
      </c>
      <c r="X1144" s="197" t="e">
        <f t="shared" si="146"/>
        <v>#DIV/0!</v>
      </c>
    </row>
    <row r="1145" ht="11.4" hidden="1" customHeight="1" spans="1:24">
      <c r="A1145" s="184" t="s">
        <v>2967</v>
      </c>
      <c r="B1145" s="184" t="s">
        <v>115</v>
      </c>
      <c r="C1145" s="184" t="s">
        <v>1101</v>
      </c>
      <c r="D1145" s="185" t="s">
        <v>701</v>
      </c>
      <c r="E1145" s="186" t="s">
        <v>2956</v>
      </c>
      <c r="F1145" s="186" t="s">
        <v>2957</v>
      </c>
      <c r="G1145" s="186" t="s">
        <v>2957</v>
      </c>
      <c r="H1145" s="186" t="s">
        <v>2968</v>
      </c>
      <c r="I1145" s="187" t="s">
        <v>1359</v>
      </c>
      <c r="J1145" s="187" t="s">
        <v>1360</v>
      </c>
      <c r="K1145" s="188"/>
      <c r="L1145" s="188"/>
      <c r="M1145" s="189" t="s">
        <v>847</v>
      </c>
      <c r="N1145" s="190">
        <v>127.36</v>
      </c>
      <c r="O1145" s="190">
        <f t="shared" si="139"/>
        <v>138.82</v>
      </c>
      <c r="P1145" s="191">
        <f t="shared" si="140"/>
        <v>0</v>
      </c>
      <c r="Q1145" s="192">
        <f t="shared" si="141"/>
        <v>0</v>
      </c>
      <c r="R1145" s="193"/>
      <c r="S1145" s="194"/>
      <c r="T1145" s="195">
        <f t="shared" si="142"/>
        <v>0</v>
      </c>
      <c r="U1145" s="195">
        <f t="shared" si="143"/>
        <v>0</v>
      </c>
      <c r="V1145" s="195">
        <f t="shared" si="144"/>
        <v>0</v>
      </c>
      <c r="W1145" s="196" t="e">
        <f t="shared" si="145"/>
        <v>#DIV/0!</v>
      </c>
      <c r="X1145" s="197" t="e">
        <f t="shared" si="146"/>
        <v>#DIV/0!</v>
      </c>
    </row>
    <row r="1146" ht="11.4" hidden="1" customHeight="1" spans="1:24">
      <c r="A1146" s="184" t="s">
        <v>2967</v>
      </c>
      <c r="B1146" s="184" t="s">
        <v>115</v>
      </c>
      <c r="C1146" s="184" t="s">
        <v>1101</v>
      </c>
      <c r="D1146" s="185" t="s">
        <v>701</v>
      </c>
      <c r="E1146" s="186" t="s">
        <v>2956</v>
      </c>
      <c r="F1146" s="186" t="s">
        <v>2957</v>
      </c>
      <c r="G1146" s="186" t="s">
        <v>2957</v>
      </c>
      <c r="H1146" s="186" t="s">
        <v>2968</v>
      </c>
      <c r="I1146" s="187" t="s">
        <v>1362</v>
      </c>
      <c r="J1146" s="187" t="s">
        <v>1363</v>
      </c>
      <c r="K1146" s="188"/>
      <c r="L1146" s="188"/>
      <c r="M1146" s="189" t="s">
        <v>847</v>
      </c>
      <c r="N1146" s="190">
        <v>138.36</v>
      </c>
      <c r="O1146" s="190">
        <f t="shared" si="139"/>
        <v>150.81</v>
      </c>
      <c r="P1146" s="191">
        <f t="shared" si="140"/>
        <v>0</v>
      </c>
      <c r="Q1146" s="192">
        <f t="shared" si="141"/>
        <v>0</v>
      </c>
      <c r="R1146" s="193"/>
      <c r="S1146" s="194"/>
      <c r="T1146" s="195">
        <f t="shared" si="142"/>
        <v>0</v>
      </c>
      <c r="U1146" s="195">
        <f t="shared" si="143"/>
        <v>0</v>
      </c>
      <c r="V1146" s="195">
        <f t="shared" si="144"/>
        <v>0</v>
      </c>
      <c r="W1146" s="196" t="e">
        <f t="shared" si="145"/>
        <v>#DIV/0!</v>
      </c>
      <c r="X1146" s="197" t="e">
        <f t="shared" si="146"/>
        <v>#DIV/0!</v>
      </c>
    </row>
    <row r="1147" ht="11.4" hidden="1" customHeight="1" spans="1:24">
      <c r="A1147" s="184" t="s">
        <v>2967</v>
      </c>
      <c r="B1147" s="184" t="s">
        <v>115</v>
      </c>
      <c r="C1147" s="184" t="s">
        <v>1101</v>
      </c>
      <c r="D1147" s="185" t="s">
        <v>701</v>
      </c>
      <c r="E1147" s="186" t="s">
        <v>2956</v>
      </c>
      <c r="F1147" s="186" t="s">
        <v>2957</v>
      </c>
      <c r="G1147" s="186" t="s">
        <v>2957</v>
      </c>
      <c r="H1147" s="186" t="s">
        <v>2968</v>
      </c>
      <c r="I1147" s="187" t="s">
        <v>1381</v>
      </c>
      <c r="J1147" s="187" t="s">
        <v>1382</v>
      </c>
      <c r="K1147" s="188"/>
      <c r="L1147" s="188"/>
      <c r="M1147" s="189" t="s">
        <v>847</v>
      </c>
      <c r="N1147" s="190">
        <v>250.08</v>
      </c>
      <c r="O1147" s="190">
        <f t="shared" si="139"/>
        <v>272.59</v>
      </c>
      <c r="P1147" s="191">
        <f t="shared" si="140"/>
        <v>0</v>
      </c>
      <c r="Q1147" s="192">
        <f t="shared" si="141"/>
        <v>0</v>
      </c>
      <c r="R1147" s="193"/>
      <c r="S1147" s="194"/>
      <c r="T1147" s="195">
        <f t="shared" si="142"/>
        <v>0</v>
      </c>
      <c r="U1147" s="195">
        <f t="shared" si="143"/>
        <v>0</v>
      </c>
      <c r="V1147" s="195">
        <f t="shared" si="144"/>
        <v>0</v>
      </c>
      <c r="W1147" s="196" t="e">
        <f t="shared" si="145"/>
        <v>#DIV/0!</v>
      </c>
      <c r="X1147" s="197" t="e">
        <f t="shared" si="146"/>
        <v>#DIV/0!</v>
      </c>
    </row>
    <row r="1148" ht="11.4" hidden="1" customHeight="1" spans="1:24">
      <c r="A1148" s="184" t="s">
        <v>2967</v>
      </c>
      <c r="B1148" s="184" t="s">
        <v>115</v>
      </c>
      <c r="C1148" s="184" t="s">
        <v>1101</v>
      </c>
      <c r="D1148" s="185" t="s">
        <v>701</v>
      </c>
      <c r="E1148" s="186" t="s">
        <v>2956</v>
      </c>
      <c r="F1148" s="186" t="s">
        <v>2957</v>
      </c>
      <c r="G1148" s="186" t="s">
        <v>2957</v>
      </c>
      <c r="H1148" s="186" t="s">
        <v>2968</v>
      </c>
      <c r="I1148" s="187" t="s">
        <v>1384</v>
      </c>
      <c r="J1148" s="187" t="s">
        <v>1385</v>
      </c>
      <c r="K1148" s="188"/>
      <c r="L1148" s="188"/>
      <c r="M1148" s="189" t="s">
        <v>847</v>
      </c>
      <c r="N1148" s="190">
        <v>139.73</v>
      </c>
      <c r="O1148" s="190">
        <f t="shared" si="139"/>
        <v>152.31</v>
      </c>
      <c r="P1148" s="191">
        <f t="shared" si="140"/>
        <v>0</v>
      </c>
      <c r="Q1148" s="192">
        <f t="shared" si="141"/>
        <v>0</v>
      </c>
      <c r="R1148" s="193"/>
      <c r="S1148" s="194"/>
      <c r="T1148" s="195">
        <f t="shared" si="142"/>
        <v>0</v>
      </c>
      <c r="U1148" s="195">
        <f t="shared" si="143"/>
        <v>0</v>
      </c>
      <c r="V1148" s="195">
        <f t="shared" si="144"/>
        <v>0</v>
      </c>
      <c r="W1148" s="196" t="e">
        <f t="shared" si="145"/>
        <v>#DIV/0!</v>
      </c>
      <c r="X1148" s="197" t="e">
        <f t="shared" si="146"/>
        <v>#DIV/0!</v>
      </c>
    </row>
    <row r="1149" ht="11.4" hidden="1" customHeight="1" spans="1:24">
      <c r="A1149" s="184" t="s">
        <v>2967</v>
      </c>
      <c r="B1149" s="184" t="s">
        <v>115</v>
      </c>
      <c r="C1149" s="184" t="s">
        <v>1101</v>
      </c>
      <c r="D1149" s="185" t="s">
        <v>701</v>
      </c>
      <c r="E1149" s="186" t="s">
        <v>2956</v>
      </c>
      <c r="F1149" s="186" t="s">
        <v>2957</v>
      </c>
      <c r="G1149" s="186" t="s">
        <v>2957</v>
      </c>
      <c r="H1149" s="186" t="s">
        <v>2968</v>
      </c>
      <c r="I1149" s="187" t="s">
        <v>1336</v>
      </c>
      <c r="J1149" s="187" t="s">
        <v>1337</v>
      </c>
      <c r="K1149" s="188"/>
      <c r="L1149" s="188"/>
      <c r="M1149" s="189" t="s">
        <v>847</v>
      </c>
      <c r="N1149" s="190">
        <v>62.19</v>
      </c>
      <c r="O1149" s="190">
        <f t="shared" si="139"/>
        <v>67.79</v>
      </c>
      <c r="P1149" s="191">
        <f t="shared" si="140"/>
        <v>0</v>
      </c>
      <c r="Q1149" s="192">
        <f t="shared" si="141"/>
        <v>0</v>
      </c>
      <c r="R1149" s="193"/>
      <c r="S1149" s="194"/>
      <c r="T1149" s="195">
        <f t="shared" si="142"/>
        <v>0</v>
      </c>
      <c r="U1149" s="195">
        <f t="shared" si="143"/>
        <v>0</v>
      </c>
      <c r="V1149" s="195">
        <f t="shared" si="144"/>
        <v>0</v>
      </c>
      <c r="W1149" s="196" t="e">
        <f t="shared" si="145"/>
        <v>#DIV/0!</v>
      </c>
      <c r="X1149" s="197" t="e">
        <f t="shared" si="146"/>
        <v>#DIV/0!</v>
      </c>
    </row>
    <row r="1150" ht="11.4" hidden="1" customHeight="1" spans="1:24">
      <c r="A1150" s="184" t="s">
        <v>2969</v>
      </c>
      <c r="B1150" s="184" t="s">
        <v>117</v>
      </c>
      <c r="C1150" s="184" t="s">
        <v>1101</v>
      </c>
      <c r="D1150" s="185" t="s">
        <v>701</v>
      </c>
      <c r="E1150" s="186" t="s">
        <v>2956</v>
      </c>
      <c r="F1150" s="186" t="s">
        <v>2957</v>
      </c>
      <c r="G1150" s="186" t="s">
        <v>2957</v>
      </c>
      <c r="H1150" s="186" t="s">
        <v>2970</v>
      </c>
      <c r="I1150" s="187" t="s">
        <v>1473</v>
      </c>
      <c r="J1150" s="187" t="s">
        <v>1474</v>
      </c>
      <c r="K1150" s="188"/>
      <c r="L1150" s="188"/>
      <c r="M1150" s="189" t="s">
        <v>847</v>
      </c>
      <c r="N1150" s="190">
        <v>167.98</v>
      </c>
      <c r="O1150" s="190">
        <f t="shared" si="139"/>
        <v>183.1</v>
      </c>
      <c r="P1150" s="191">
        <f t="shared" si="140"/>
        <v>0</v>
      </c>
      <c r="Q1150" s="192">
        <f t="shared" si="141"/>
        <v>0</v>
      </c>
      <c r="R1150" s="193"/>
      <c r="S1150" s="194"/>
      <c r="T1150" s="195">
        <f t="shared" si="142"/>
        <v>0</v>
      </c>
      <c r="U1150" s="195">
        <f t="shared" si="143"/>
        <v>0</v>
      </c>
      <c r="V1150" s="195">
        <f t="shared" si="144"/>
        <v>0</v>
      </c>
      <c r="W1150" s="196" t="e">
        <f t="shared" si="145"/>
        <v>#DIV/0!</v>
      </c>
      <c r="X1150" s="197" t="e">
        <f t="shared" si="146"/>
        <v>#DIV/0!</v>
      </c>
    </row>
    <row r="1151" ht="11.4" hidden="1" customHeight="1" spans="1:24">
      <c r="A1151" s="184" t="s">
        <v>2969</v>
      </c>
      <c r="B1151" s="184" t="s">
        <v>117</v>
      </c>
      <c r="C1151" s="184" t="s">
        <v>1101</v>
      </c>
      <c r="D1151" s="185" t="s">
        <v>701</v>
      </c>
      <c r="E1151" s="186" t="s">
        <v>2956</v>
      </c>
      <c r="F1151" s="186" t="s">
        <v>2957</v>
      </c>
      <c r="G1151" s="186" t="s">
        <v>2957</v>
      </c>
      <c r="H1151" s="186" t="s">
        <v>2970</v>
      </c>
      <c r="I1151" s="187" t="s">
        <v>1475</v>
      </c>
      <c r="J1151" s="187" t="s">
        <v>1476</v>
      </c>
      <c r="K1151" s="188"/>
      <c r="L1151" s="188"/>
      <c r="M1151" s="189" t="s">
        <v>847</v>
      </c>
      <c r="N1151" s="190">
        <v>147.41</v>
      </c>
      <c r="O1151" s="190">
        <f t="shared" si="139"/>
        <v>160.68</v>
      </c>
      <c r="P1151" s="191">
        <f t="shared" si="140"/>
        <v>0</v>
      </c>
      <c r="Q1151" s="192">
        <f t="shared" si="141"/>
        <v>0</v>
      </c>
      <c r="R1151" s="193"/>
      <c r="S1151" s="194"/>
      <c r="T1151" s="195">
        <f t="shared" si="142"/>
        <v>0</v>
      </c>
      <c r="U1151" s="195">
        <f t="shared" si="143"/>
        <v>0</v>
      </c>
      <c r="V1151" s="195">
        <f t="shared" si="144"/>
        <v>0</v>
      </c>
      <c r="W1151" s="196" t="e">
        <f t="shared" si="145"/>
        <v>#DIV/0!</v>
      </c>
      <c r="X1151" s="197" t="e">
        <f t="shared" si="146"/>
        <v>#DIV/0!</v>
      </c>
    </row>
    <row r="1152" ht="11.4" hidden="1" customHeight="1" spans="1:24">
      <c r="A1152" s="184" t="s">
        <v>2969</v>
      </c>
      <c r="B1152" s="184" t="s">
        <v>117</v>
      </c>
      <c r="C1152" s="184" t="s">
        <v>1101</v>
      </c>
      <c r="D1152" s="185" t="s">
        <v>701</v>
      </c>
      <c r="E1152" s="186" t="s">
        <v>2956</v>
      </c>
      <c r="F1152" s="186" t="s">
        <v>2957</v>
      </c>
      <c r="G1152" s="186" t="s">
        <v>2957</v>
      </c>
      <c r="H1152" s="186" t="s">
        <v>2970</v>
      </c>
      <c r="I1152" s="187" t="s">
        <v>1477</v>
      </c>
      <c r="J1152" s="187" t="s">
        <v>1478</v>
      </c>
      <c r="K1152" s="188"/>
      <c r="L1152" s="188"/>
      <c r="M1152" s="189" t="s">
        <v>847</v>
      </c>
      <c r="N1152" s="190">
        <v>169.19</v>
      </c>
      <c r="O1152" s="190">
        <f t="shared" si="139"/>
        <v>184.42</v>
      </c>
      <c r="P1152" s="191">
        <f t="shared" si="140"/>
        <v>0</v>
      </c>
      <c r="Q1152" s="192">
        <f t="shared" si="141"/>
        <v>0</v>
      </c>
      <c r="R1152" s="193"/>
      <c r="S1152" s="194"/>
      <c r="T1152" s="195">
        <f t="shared" si="142"/>
        <v>0</v>
      </c>
      <c r="U1152" s="195">
        <f t="shared" si="143"/>
        <v>0</v>
      </c>
      <c r="V1152" s="195">
        <f t="shared" si="144"/>
        <v>0</v>
      </c>
      <c r="W1152" s="196" t="e">
        <f t="shared" si="145"/>
        <v>#DIV/0!</v>
      </c>
      <c r="X1152" s="197" t="e">
        <f t="shared" si="146"/>
        <v>#DIV/0!</v>
      </c>
    </row>
    <row r="1153" ht="11.4" hidden="1" customHeight="1" spans="1:24">
      <c r="A1153" s="184" t="s">
        <v>2969</v>
      </c>
      <c r="B1153" s="184" t="s">
        <v>117</v>
      </c>
      <c r="C1153" s="184" t="s">
        <v>1101</v>
      </c>
      <c r="D1153" s="185" t="s">
        <v>701</v>
      </c>
      <c r="E1153" s="186" t="s">
        <v>2956</v>
      </c>
      <c r="F1153" s="186" t="s">
        <v>2957</v>
      </c>
      <c r="G1153" s="186" t="s">
        <v>2957</v>
      </c>
      <c r="H1153" s="186" t="s">
        <v>2970</v>
      </c>
      <c r="I1153" s="187" t="s">
        <v>1445</v>
      </c>
      <c r="J1153" s="187" t="s">
        <v>1446</v>
      </c>
      <c r="K1153" s="188"/>
      <c r="L1153" s="188"/>
      <c r="M1153" s="189" t="s">
        <v>847</v>
      </c>
      <c r="N1153" s="190">
        <v>464.59</v>
      </c>
      <c r="O1153" s="190">
        <f t="shared" si="139"/>
        <v>506.4</v>
      </c>
      <c r="P1153" s="191">
        <f t="shared" si="140"/>
        <v>0</v>
      </c>
      <c r="Q1153" s="192">
        <f t="shared" si="141"/>
        <v>0</v>
      </c>
      <c r="R1153" s="193"/>
      <c r="S1153" s="194"/>
      <c r="T1153" s="195">
        <f t="shared" si="142"/>
        <v>0</v>
      </c>
      <c r="U1153" s="195">
        <f t="shared" si="143"/>
        <v>0</v>
      </c>
      <c r="V1153" s="195">
        <f t="shared" si="144"/>
        <v>0</v>
      </c>
      <c r="W1153" s="196" t="e">
        <f t="shared" si="145"/>
        <v>#DIV/0!</v>
      </c>
      <c r="X1153" s="197" t="e">
        <f t="shared" si="146"/>
        <v>#DIV/0!</v>
      </c>
    </row>
    <row r="1154" ht="11.4" hidden="1" customHeight="1" spans="1:24">
      <c r="A1154" s="184" t="s">
        <v>2969</v>
      </c>
      <c r="B1154" s="184" t="s">
        <v>117</v>
      </c>
      <c r="C1154" s="184" t="s">
        <v>1101</v>
      </c>
      <c r="D1154" s="185" t="s">
        <v>701</v>
      </c>
      <c r="E1154" s="186" t="s">
        <v>2956</v>
      </c>
      <c r="F1154" s="186" t="s">
        <v>2957</v>
      </c>
      <c r="G1154" s="186" t="s">
        <v>2957</v>
      </c>
      <c r="H1154" s="186" t="s">
        <v>2970</v>
      </c>
      <c r="I1154" s="187" t="s">
        <v>1448</v>
      </c>
      <c r="J1154" s="187" t="s">
        <v>1449</v>
      </c>
      <c r="K1154" s="188"/>
      <c r="L1154" s="188"/>
      <c r="M1154" s="189" t="s">
        <v>847</v>
      </c>
      <c r="N1154" s="190">
        <v>460.58</v>
      </c>
      <c r="O1154" s="190">
        <f t="shared" si="139"/>
        <v>502.03</v>
      </c>
      <c r="P1154" s="191">
        <f t="shared" si="140"/>
        <v>0</v>
      </c>
      <c r="Q1154" s="192">
        <f t="shared" si="141"/>
        <v>0</v>
      </c>
      <c r="R1154" s="193"/>
      <c r="S1154" s="194"/>
      <c r="T1154" s="195">
        <f t="shared" si="142"/>
        <v>0</v>
      </c>
      <c r="U1154" s="195">
        <f t="shared" si="143"/>
        <v>0</v>
      </c>
      <c r="V1154" s="195">
        <f t="shared" si="144"/>
        <v>0</v>
      </c>
      <c r="W1154" s="196" t="e">
        <f t="shared" si="145"/>
        <v>#DIV/0!</v>
      </c>
      <c r="X1154" s="197" t="e">
        <f t="shared" si="146"/>
        <v>#DIV/0!</v>
      </c>
    </row>
    <row r="1155" ht="11.4" hidden="1" customHeight="1" spans="1:24">
      <c r="A1155" s="184" t="s">
        <v>2969</v>
      </c>
      <c r="B1155" s="184" t="s">
        <v>117</v>
      </c>
      <c r="C1155" s="184" t="s">
        <v>1101</v>
      </c>
      <c r="D1155" s="185" t="s">
        <v>701</v>
      </c>
      <c r="E1155" s="186" t="s">
        <v>2956</v>
      </c>
      <c r="F1155" s="186" t="s">
        <v>2957</v>
      </c>
      <c r="G1155" s="186" t="s">
        <v>2957</v>
      </c>
      <c r="H1155" s="186" t="s">
        <v>2970</v>
      </c>
      <c r="I1155" s="187" t="s">
        <v>1450</v>
      </c>
      <c r="J1155" s="187" t="s">
        <v>1451</v>
      </c>
      <c r="K1155" s="188"/>
      <c r="L1155" s="188"/>
      <c r="M1155" s="189" t="s">
        <v>847</v>
      </c>
      <c r="N1155" s="190">
        <v>464.64</v>
      </c>
      <c r="O1155" s="190">
        <f t="shared" si="139"/>
        <v>506.46</v>
      </c>
      <c r="P1155" s="191">
        <f t="shared" si="140"/>
        <v>0</v>
      </c>
      <c r="Q1155" s="192">
        <f t="shared" si="141"/>
        <v>0</v>
      </c>
      <c r="R1155" s="193"/>
      <c r="S1155" s="194"/>
      <c r="T1155" s="195">
        <f t="shared" si="142"/>
        <v>0</v>
      </c>
      <c r="U1155" s="195">
        <f t="shared" si="143"/>
        <v>0</v>
      </c>
      <c r="V1155" s="195">
        <f t="shared" si="144"/>
        <v>0</v>
      </c>
      <c r="W1155" s="196" t="e">
        <f t="shared" si="145"/>
        <v>#DIV/0!</v>
      </c>
      <c r="X1155" s="197" t="e">
        <f t="shared" si="146"/>
        <v>#DIV/0!</v>
      </c>
    </row>
    <row r="1156" ht="11.4" hidden="1" customHeight="1" spans="1:24">
      <c r="A1156" s="184" t="s">
        <v>2969</v>
      </c>
      <c r="B1156" s="184" t="s">
        <v>117</v>
      </c>
      <c r="C1156" s="184" t="s">
        <v>1101</v>
      </c>
      <c r="D1156" s="185" t="s">
        <v>701</v>
      </c>
      <c r="E1156" s="186" t="s">
        <v>2956</v>
      </c>
      <c r="F1156" s="186" t="s">
        <v>2957</v>
      </c>
      <c r="G1156" s="186" t="s">
        <v>2957</v>
      </c>
      <c r="H1156" s="186" t="s">
        <v>2970</v>
      </c>
      <c r="I1156" s="187" t="s">
        <v>1463</v>
      </c>
      <c r="J1156" s="187" t="s">
        <v>1464</v>
      </c>
      <c r="K1156" s="188"/>
      <c r="L1156" s="188"/>
      <c r="M1156" s="189" t="s">
        <v>847</v>
      </c>
      <c r="N1156" s="190">
        <v>727.77</v>
      </c>
      <c r="O1156" s="190">
        <f t="shared" si="139"/>
        <v>793.27</v>
      </c>
      <c r="P1156" s="191">
        <f t="shared" si="140"/>
        <v>0</v>
      </c>
      <c r="Q1156" s="192">
        <f t="shared" si="141"/>
        <v>0</v>
      </c>
      <c r="R1156" s="193"/>
      <c r="S1156" s="194"/>
      <c r="T1156" s="195">
        <f t="shared" si="142"/>
        <v>0</v>
      </c>
      <c r="U1156" s="195">
        <f t="shared" si="143"/>
        <v>0</v>
      </c>
      <c r="V1156" s="195">
        <f t="shared" si="144"/>
        <v>0</v>
      </c>
      <c r="W1156" s="196" t="e">
        <f t="shared" si="145"/>
        <v>#DIV/0!</v>
      </c>
      <c r="X1156" s="197" t="e">
        <f t="shared" si="146"/>
        <v>#DIV/0!</v>
      </c>
    </row>
    <row r="1157" ht="11.4" hidden="1" customHeight="1" spans="1:24">
      <c r="A1157" s="184" t="s">
        <v>2969</v>
      </c>
      <c r="B1157" s="184" t="s">
        <v>117</v>
      </c>
      <c r="C1157" s="184" t="s">
        <v>1101</v>
      </c>
      <c r="D1157" s="185" t="s">
        <v>701</v>
      </c>
      <c r="E1157" s="186" t="s">
        <v>2956</v>
      </c>
      <c r="F1157" s="186" t="s">
        <v>2957</v>
      </c>
      <c r="G1157" s="186" t="s">
        <v>2957</v>
      </c>
      <c r="H1157" s="186" t="s">
        <v>2970</v>
      </c>
      <c r="I1157" s="187" t="s">
        <v>2971</v>
      </c>
      <c r="J1157" s="187" t="s">
        <v>2972</v>
      </c>
      <c r="K1157" s="188"/>
      <c r="L1157" s="188"/>
      <c r="M1157" s="189" t="s">
        <v>847</v>
      </c>
      <c r="N1157" s="190">
        <v>298.96</v>
      </c>
      <c r="O1157" s="190">
        <f t="shared" si="139"/>
        <v>325.87</v>
      </c>
      <c r="P1157" s="191">
        <f t="shared" si="140"/>
        <v>0</v>
      </c>
      <c r="Q1157" s="192">
        <f t="shared" si="141"/>
        <v>0</v>
      </c>
      <c r="R1157" s="193"/>
      <c r="S1157" s="194"/>
      <c r="T1157" s="195">
        <f t="shared" si="142"/>
        <v>0</v>
      </c>
      <c r="U1157" s="195">
        <f t="shared" si="143"/>
        <v>0</v>
      </c>
      <c r="V1157" s="195">
        <f t="shared" si="144"/>
        <v>0</v>
      </c>
      <c r="W1157" s="196" t="e">
        <f t="shared" si="145"/>
        <v>#DIV/0!</v>
      </c>
      <c r="X1157" s="197" t="e">
        <f t="shared" si="146"/>
        <v>#DIV/0!</v>
      </c>
    </row>
    <row r="1158" ht="11.4" hidden="1" customHeight="1" spans="1:24">
      <c r="A1158" s="184" t="s">
        <v>2969</v>
      </c>
      <c r="B1158" s="184" t="s">
        <v>117</v>
      </c>
      <c r="C1158" s="184" t="s">
        <v>1101</v>
      </c>
      <c r="D1158" s="185" t="s">
        <v>701</v>
      </c>
      <c r="E1158" s="186" t="s">
        <v>2956</v>
      </c>
      <c r="F1158" s="186" t="s">
        <v>2957</v>
      </c>
      <c r="G1158" s="186" t="s">
        <v>2957</v>
      </c>
      <c r="H1158" s="186" t="s">
        <v>2970</v>
      </c>
      <c r="I1158" s="187" t="s">
        <v>1486</v>
      </c>
      <c r="J1158" s="187" t="s">
        <v>1487</v>
      </c>
      <c r="K1158" s="188"/>
      <c r="L1158" s="188"/>
      <c r="M1158" s="189" t="s">
        <v>847</v>
      </c>
      <c r="N1158" s="190">
        <v>660.97</v>
      </c>
      <c r="O1158" s="190">
        <f t="shared" si="139"/>
        <v>720.46</v>
      </c>
      <c r="P1158" s="191">
        <f t="shared" si="140"/>
        <v>0</v>
      </c>
      <c r="Q1158" s="192">
        <f t="shared" si="141"/>
        <v>0</v>
      </c>
      <c r="R1158" s="193"/>
      <c r="S1158" s="194"/>
      <c r="T1158" s="195">
        <f t="shared" si="142"/>
        <v>0</v>
      </c>
      <c r="U1158" s="195">
        <f t="shared" si="143"/>
        <v>0</v>
      </c>
      <c r="V1158" s="195">
        <f t="shared" si="144"/>
        <v>0</v>
      </c>
      <c r="W1158" s="196" t="e">
        <f t="shared" si="145"/>
        <v>#DIV/0!</v>
      </c>
      <c r="X1158" s="197" t="e">
        <f t="shared" si="146"/>
        <v>#DIV/0!</v>
      </c>
    </row>
    <row r="1159" ht="11.4" hidden="1" customHeight="1" spans="1:24">
      <c r="A1159" s="184" t="s">
        <v>2969</v>
      </c>
      <c r="B1159" s="184" t="s">
        <v>117</v>
      </c>
      <c r="C1159" s="184" t="s">
        <v>1101</v>
      </c>
      <c r="D1159" s="185" t="s">
        <v>701</v>
      </c>
      <c r="E1159" s="186" t="s">
        <v>2956</v>
      </c>
      <c r="F1159" s="186" t="s">
        <v>2957</v>
      </c>
      <c r="G1159" s="186" t="s">
        <v>2957</v>
      </c>
      <c r="H1159" s="186" t="s">
        <v>2970</v>
      </c>
      <c r="I1159" s="187" t="s">
        <v>2973</v>
      </c>
      <c r="J1159" s="187" t="s">
        <v>2974</v>
      </c>
      <c r="K1159" s="188"/>
      <c r="L1159" s="188"/>
      <c r="M1159" s="189" t="s">
        <v>847</v>
      </c>
      <c r="N1159" s="190">
        <v>1134.73</v>
      </c>
      <c r="O1159" s="190">
        <f t="shared" si="139"/>
        <v>1236.86</v>
      </c>
      <c r="P1159" s="191">
        <f t="shared" si="140"/>
        <v>0</v>
      </c>
      <c r="Q1159" s="192">
        <f t="shared" si="141"/>
        <v>0</v>
      </c>
      <c r="R1159" s="193"/>
      <c r="S1159" s="194"/>
      <c r="T1159" s="195">
        <f t="shared" si="142"/>
        <v>0</v>
      </c>
      <c r="U1159" s="195">
        <f t="shared" si="143"/>
        <v>0</v>
      </c>
      <c r="V1159" s="195">
        <f t="shared" si="144"/>
        <v>0</v>
      </c>
      <c r="W1159" s="196" t="e">
        <f t="shared" si="145"/>
        <v>#DIV/0!</v>
      </c>
      <c r="X1159" s="197" t="e">
        <f t="shared" si="146"/>
        <v>#DIV/0!</v>
      </c>
    </row>
    <row r="1160" ht="11.4" hidden="1" customHeight="1" spans="1:24">
      <c r="A1160" s="184" t="s">
        <v>2969</v>
      </c>
      <c r="B1160" s="184" t="s">
        <v>117</v>
      </c>
      <c r="C1160" s="184" t="s">
        <v>1101</v>
      </c>
      <c r="D1160" s="185" t="s">
        <v>701</v>
      </c>
      <c r="E1160" s="186" t="s">
        <v>2956</v>
      </c>
      <c r="F1160" s="186" t="s">
        <v>2957</v>
      </c>
      <c r="G1160" s="186" t="s">
        <v>2957</v>
      </c>
      <c r="H1160" s="186" t="s">
        <v>2970</v>
      </c>
      <c r="I1160" s="187" t="s">
        <v>1106</v>
      </c>
      <c r="J1160" s="187" t="s">
        <v>1107</v>
      </c>
      <c r="K1160" s="188"/>
      <c r="L1160" s="188"/>
      <c r="M1160" s="189" t="s">
        <v>807</v>
      </c>
      <c r="N1160" s="190">
        <v>41.36</v>
      </c>
      <c r="O1160" s="190">
        <f t="shared" si="139"/>
        <v>45.08</v>
      </c>
      <c r="P1160" s="191">
        <f t="shared" si="140"/>
        <v>0</v>
      </c>
      <c r="Q1160" s="192">
        <f t="shared" si="141"/>
        <v>0</v>
      </c>
      <c r="R1160" s="193"/>
      <c r="S1160" s="194"/>
      <c r="T1160" s="195">
        <f t="shared" si="142"/>
        <v>0</v>
      </c>
      <c r="U1160" s="195">
        <f t="shared" si="143"/>
        <v>0</v>
      </c>
      <c r="V1160" s="195">
        <f t="shared" si="144"/>
        <v>0</v>
      </c>
      <c r="W1160" s="196" t="e">
        <f t="shared" si="145"/>
        <v>#DIV/0!</v>
      </c>
      <c r="X1160" s="197" t="e">
        <f t="shared" si="146"/>
        <v>#DIV/0!</v>
      </c>
    </row>
    <row r="1161" ht="11.4" hidden="1" customHeight="1" spans="1:24">
      <c r="A1161" s="184" t="s">
        <v>2969</v>
      </c>
      <c r="B1161" s="184" t="s">
        <v>117</v>
      </c>
      <c r="C1161" s="184" t="s">
        <v>1101</v>
      </c>
      <c r="D1161" s="185" t="s">
        <v>701</v>
      </c>
      <c r="E1161" s="186" t="s">
        <v>2956</v>
      </c>
      <c r="F1161" s="186" t="s">
        <v>2957</v>
      </c>
      <c r="G1161" s="186" t="s">
        <v>2957</v>
      </c>
      <c r="H1161" s="186" t="s">
        <v>2970</v>
      </c>
      <c r="I1161" s="187" t="s">
        <v>1115</v>
      </c>
      <c r="J1161" s="187" t="s">
        <v>1116</v>
      </c>
      <c r="K1161" s="188"/>
      <c r="L1161" s="188"/>
      <c r="M1161" s="189" t="s">
        <v>807</v>
      </c>
      <c r="N1161" s="190">
        <v>42.57</v>
      </c>
      <c r="O1161" s="190">
        <f t="shared" si="139"/>
        <v>46.4</v>
      </c>
      <c r="P1161" s="191">
        <f t="shared" si="140"/>
        <v>0</v>
      </c>
      <c r="Q1161" s="192">
        <f t="shared" si="141"/>
        <v>0</v>
      </c>
      <c r="R1161" s="193"/>
      <c r="S1161" s="194"/>
      <c r="T1161" s="195">
        <f t="shared" si="142"/>
        <v>0</v>
      </c>
      <c r="U1161" s="195">
        <f t="shared" si="143"/>
        <v>0</v>
      </c>
      <c r="V1161" s="195">
        <f t="shared" si="144"/>
        <v>0</v>
      </c>
      <c r="W1161" s="196" t="e">
        <f t="shared" si="145"/>
        <v>#DIV/0!</v>
      </c>
      <c r="X1161" s="197" t="e">
        <f t="shared" si="146"/>
        <v>#DIV/0!</v>
      </c>
    </row>
    <row r="1162" ht="11.4" hidden="1" customHeight="1" spans="1:24">
      <c r="A1162" s="184" t="s">
        <v>2969</v>
      </c>
      <c r="B1162" s="184" t="s">
        <v>117</v>
      </c>
      <c r="C1162" s="184" t="s">
        <v>1101</v>
      </c>
      <c r="D1162" s="185" t="s">
        <v>701</v>
      </c>
      <c r="E1162" s="186" t="s">
        <v>2956</v>
      </c>
      <c r="F1162" s="186" t="s">
        <v>2957</v>
      </c>
      <c r="G1162" s="186" t="s">
        <v>2957</v>
      </c>
      <c r="H1162" s="186" t="s">
        <v>2970</v>
      </c>
      <c r="I1162" s="187" t="s">
        <v>1111</v>
      </c>
      <c r="J1162" s="187" t="s">
        <v>1112</v>
      </c>
      <c r="K1162" s="188"/>
      <c r="L1162" s="188"/>
      <c r="M1162" s="189" t="s">
        <v>807</v>
      </c>
      <c r="N1162" s="190">
        <v>38.94</v>
      </c>
      <c r="O1162" s="190">
        <f t="shared" si="139"/>
        <v>42.44</v>
      </c>
      <c r="P1162" s="191">
        <f t="shared" si="140"/>
        <v>0</v>
      </c>
      <c r="Q1162" s="192">
        <f t="shared" si="141"/>
        <v>0</v>
      </c>
      <c r="R1162" s="193"/>
      <c r="S1162" s="194"/>
      <c r="T1162" s="195">
        <f t="shared" si="142"/>
        <v>0</v>
      </c>
      <c r="U1162" s="195">
        <f t="shared" si="143"/>
        <v>0</v>
      </c>
      <c r="V1162" s="195">
        <f t="shared" si="144"/>
        <v>0</v>
      </c>
      <c r="W1162" s="196" t="e">
        <f t="shared" si="145"/>
        <v>#DIV/0!</v>
      </c>
      <c r="X1162" s="197" t="e">
        <f t="shared" si="146"/>
        <v>#DIV/0!</v>
      </c>
    </row>
    <row r="1163" ht="11.4" hidden="1" customHeight="1" spans="1:24">
      <c r="A1163" s="184" t="s">
        <v>2969</v>
      </c>
      <c r="B1163" s="184" t="s">
        <v>117</v>
      </c>
      <c r="C1163" s="184" t="s">
        <v>1101</v>
      </c>
      <c r="D1163" s="185" t="s">
        <v>701</v>
      </c>
      <c r="E1163" s="186" t="s">
        <v>2956</v>
      </c>
      <c r="F1163" s="186" t="s">
        <v>2957</v>
      </c>
      <c r="G1163" s="186" t="s">
        <v>2957</v>
      </c>
      <c r="H1163" s="186" t="s">
        <v>2970</v>
      </c>
      <c r="I1163" s="187" t="s">
        <v>2914</v>
      </c>
      <c r="J1163" s="187" t="s">
        <v>2915</v>
      </c>
      <c r="K1163" s="188"/>
      <c r="L1163" s="188"/>
      <c r="M1163" s="189" t="s">
        <v>807</v>
      </c>
      <c r="N1163" s="190">
        <v>112.38</v>
      </c>
      <c r="O1163" s="190">
        <f t="shared" si="139"/>
        <v>122.49</v>
      </c>
      <c r="P1163" s="191">
        <f t="shared" si="140"/>
        <v>0</v>
      </c>
      <c r="Q1163" s="192">
        <f t="shared" si="141"/>
        <v>0</v>
      </c>
      <c r="R1163" s="193"/>
      <c r="S1163" s="194"/>
      <c r="T1163" s="195">
        <f t="shared" si="142"/>
        <v>0</v>
      </c>
      <c r="U1163" s="195">
        <f t="shared" si="143"/>
        <v>0</v>
      </c>
      <c r="V1163" s="195">
        <f t="shared" si="144"/>
        <v>0</v>
      </c>
      <c r="W1163" s="196" t="e">
        <f t="shared" si="145"/>
        <v>#DIV/0!</v>
      </c>
      <c r="X1163" s="197" t="e">
        <f t="shared" si="146"/>
        <v>#DIV/0!</v>
      </c>
    </row>
    <row r="1164" ht="11.4" hidden="1" customHeight="1" spans="1:24">
      <c r="A1164" s="184" t="s">
        <v>2969</v>
      </c>
      <c r="B1164" s="184" t="s">
        <v>117</v>
      </c>
      <c r="C1164" s="184" t="s">
        <v>1101</v>
      </c>
      <c r="D1164" s="185" t="s">
        <v>701</v>
      </c>
      <c r="E1164" s="186" t="s">
        <v>2956</v>
      </c>
      <c r="F1164" s="186" t="s">
        <v>2957</v>
      </c>
      <c r="G1164" s="186" t="s">
        <v>2957</v>
      </c>
      <c r="H1164" s="186" t="s">
        <v>2970</v>
      </c>
      <c r="I1164" s="187" t="s">
        <v>2975</v>
      </c>
      <c r="J1164" s="187" t="s">
        <v>2976</v>
      </c>
      <c r="K1164" s="188"/>
      <c r="L1164" s="188"/>
      <c r="M1164" s="189" t="s">
        <v>807</v>
      </c>
      <c r="N1164" s="190">
        <v>247.93</v>
      </c>
      <c r="O1164" s="190">
        <f t="shared" si="139"/>
        <v>270.24</v>
      </c>
      <c r="P1164" s="191">
        <f t="shared" si="140"/>
        <v>0</v>
      </c>
      <c r="Q1164" s="192">
        <f t="shared" si="141"/>
        <v>0</v>
      </c>
      <c r="R1164" s="193"/>
      <c r="S1164" s="194"/>
      <c r="T1164" s="195">
        <f t="shared" si="142"/>
        <v>0</v>
      </c>
      <c r="U1164" s="195">
        <f t="shared" si="143"/>
        <v>0</v>
      </c>
      <c r="V1164" s="195">
        <f t="shared" si="144"/>
        <v>0</v>
      </c>
      <c r="W1164" s="196" t="e">
        <f t="shared" si="145"/>
        <v>#DIV/0!</v>
      </c>
      <c r="X1164" s="197" t="e">
        <f t="shared" si="146"/>
        <v>#DIV/0!</v>
      </c>
    </row>
    <row r="1165" ht="11.4" hidden="1" customHeight="1" spans="1:24">
      <c r="A1165" s="184" t="s">
        <v>2969</v>
      </c>
      <c r="B1165" s="184" t="s">
        <v>117</v>
      </c>
      <c r="C1165" s="184" t="s">
        <v>1101</v>
      </c>
      <c r="D1165" s="185" t="s">
        <v>701</v>
      </c>
      <c r="E1165" s="186" t="s">
        <v>2956</v>
      </c>
      <c r="F1165" s="186" t="s">
        <v>2957</v>
      </c>
      <c r="G1165" s="186" t="s">
        <v>2957</v>
      </c>
      <c r="H1165" s="186" t="s">
        <v>2970</v>
      </c>
      <c r="I1165" s="187" t="s">
        <v>2977</v>
      </c>
      <c r="J1165" s="187" t="s">
        <v>2978</v>
      </c>
      <c r="K1165" s="188"/>
      <c r="L1165" s="188"/>
      <c r="M1165" s="189" t="s">
        <v>963</v>
      </c>
      <c r="N1165" s="190">
        <v>2257.86</v>
      </c>
      <c r="O1165" s="190">
        <f t="shared" ref="O1165:O1228" si="147">ROUND(N1165*(1+$F$10),2)</f>
        <v>2461.07</v>
      </c>
      <c r="P1165" s="191">
        <f t="shared" ref="P1165:P1228" si="148">ROUND(K1165*N1165,2)</f>
        <v>0</v>
      </c>
      <c r="Q1165" s="192">
        <f t="shared" ref="Q1165:Q1228" si="149">ROUND(L1165*N1165,2)</f>
        <v>0</v>
      </c>
      <c r="R1165" s="193"/>
      <c r="S1165" s="194"/>
      <c r="T1165" s="195">
        <f t="shared" ref="T1165:T1228" si="150">K1165-L1165</f>
        <v>0</v>
      </c>
      <c r="U1165" s="195">
        <f t="shared" ref="U1165:U1228" si="151">P1165-Q1165</f>
        <v>0</v>
      </c>
      <c r="V1165" s="195">
        <f t="shared" ref="V1165:V1228" si="152">ABS(U1165)</f>
        <v>0</v>
      </c>
      <c r="W1165" s="196" t="e">
        <f t="shared" ref="W1165:W1228" si="153">T1165/L1165</f>
        <v>#DIV/0!</v>
      </c>
      <c r="X1165" s="197" t="e">
        <f t="shared" ref="X1165:X1228" si="154">ABS(W1165)</f>
        <v>#DIV/0!</v>
      </c>
    </row>
    <row r="1166" ht="11.4" hidden="1" customHeight="1" spans="1:24">
      <c r="A1166" s="184" t="s">
        <v>2979</v>
      </c>
      <c r="B1166" s="184" t="s">
        <v>119</v>
      </c>
      <c r="C1166" s="184" t="s">
        <v>1101</v>
      </c>
      <c r="D1166" s="185" t="s">
        <v>701</v>
      </c>
      <c r="E1166" s="186" t="s">
        <v>2956</v>
      </c>
      <c r="F1166" s="186" t="s">
        <v>2957</v>
      </c>
      <c r="G1166" s="186" t="s">
        <v>2957</v>
      </c>
      <c r="H1166" s="186" t="s">
        <v>2980</v>
      </c>
      <c r="I1166" s="187" t="s">
        <v>2981</v>
      </c>
      <c r="J1166" s="187" t="s">
        <v>2982</v>
      </c>
      <c r="K1166" s="188"/>
      <c r="L1166" s="188"/>
      <c r="M1166" s="189" t="s">
        <v>807</v>
      </c>
      <c r="N1166" s="190">
        <v>3386.65</v>
      </c>
      <c r="O1166" s="190">
        <f t="shared" si="147"/>
        <v>3691.45</v>
      </c>
      <c r="P1166" s="191">
        <f t="shared" si="148"/>
        <v>0</v>
      </c>
      <c r="Q1166" s="192">
        <f t="shared" si="149"/>
        <v>0</v>
      </c>
      <c r="R1166" s="193"/>
      <c r="S1166" s="194"/>
      <c r="T1166" s="195">
        <f t="shared" si="150"/>
        <v>0</v>
      </c>
      <c r="U1166" s="195">
        <f t="shared" si="151"/>
        <v>0</v>
      </c>
      <c r="V1166" s="195">
        <f t="shared" si="152"/>
        <v>0</v>
      </c>
      <c r="W1166" s="196" t="e">
        <f t="shared" si="153"/>
        <v>#DIV/0!</v>
      </c>
      <c r="X1166" s="197" t="e">
        <f t="shared" si="154"/>
        <v>#DIV/0!</v>
      </c>
    </row>
    <row r="1167" ht="11.4" hidden="1" customHeight="1" spans="1:24">
      <c r="A1167" s="184" t="s">
        <v>2979</v>
      </c>
      <c r="B1167" s="184" t="s">
        <v>119</v>
      </c>
      <c r="C1167" s="184" t="s">
        <v>1101</v>
      </c>
      <c r="D1167" s="185" t="s">
        <v>701</v>
      </c>
      <c r="E1167" s="186" t="s">
        <v>2956</v>
      </c>
      <c r="F1167" s="186" t="s">
        <v>2957</v>
      </c>
      <c r="G1167" s="186" t="s">
        <v>2957</v>
      </c>
      <c r="H1167" s="186" t="s">
        <v>2980</v>
      </c>
      <c r="I1167" s="187" t="s">
        <v>2983</v>
      </c>
      <c r="J1167" s="187" t="s">
        <v>2984</v>
      </c>
      <c r="K1167" s="188"/>
      <c r="L1167" s="188"/>
      <c r="M1167" s="189" t="s">
        <v>847</v>
      </c>
      <c r="N1167" s="190">
        <v>275.43</v>
      </c>
      <c r="O1167" s="190">
        <f t="shared" si="147"/>
        <v>300.22</v>
      </c>
      <c r="P1167" s="191">
        <f t="shared" si="148"/>
        <v>0</v>
      </c>
      <c r="Q1167" s="192">
        <f t="shared" si="149"/>
        <v>0</v>
      </c>
      <c r="R1167" s="193"/>
      <c r="S1167" s="194"/>
      <c r="T1167" s="195">
        <f t="shared" si="150"/>
        <v>0</v>
      </c>
      <c r="U1167" s="195">
        <f t="shared" si="151"/>
        <v>0</v>
      </c>
      <c r="V1167" s="195">
        <f t="shared" si="152"/>
        <v>0</v>
      </c>
      <c r="W1167" s="196" t="e">
        <f t="shared" si="153"/>
        <v>#DIV/0!</v>
      </c>
      <c r="X1167" s="197" t="e">
        <f t="shared" si="154"/>
        <v>#DIV/0!</v>
      </c>
    </row>
    <row r="1168" ht="11.4" hidden="1" customHeight="1" spans="1:24">
      <c r="A1168" s="184" t="s">
        <v>2985</v>
      </c>
      <c r="B1168" s="184" t="s">
        <v>127</v>
      </c>
      <c r="C1168" s="184" t="s">
        <v>1101</v>
      </c>
      <c r="D1168" s="185" t="s">
        <v>701</v>
      </c>
      <c r="E1168" s="186" t="s">
        <v>2956</v>
      </c>
      <c r="F1168" s="186" t="s">
        <v>2957</v>
      </c>
      <c r="G1168" s="186" t="s">
        <v>2957</v>
      </c>
      <c r="H1168" s="186" t="s">
        <v>2986</v>
      </c>
      <c r="I1168" s="187" t="s">
        <v>2987</v>
      </c>
      <c r="J1168" s="187" t="s">
        <v>2988</v>
      </c>
      <c r="K1168" s="188"/>
      <c r="L1168" s="188"/>
      <c r="M1168" s="189" t="s">
        <v>847</v>
      </c>
      <c r="N1168" s="190">
        <v>617.2</v>
      </c>
      <c r="O1168" s="190">
        <f t="shared" si="147"/>
        <v>672.75</v>
      </c>
      <c r="P1168" s="191">
        <f t="shared" si="148"/>
        <v>0</v>
      </c>
      <c r="Q1168" s="192">
        <f t="shared" si="149"/>
        <v>0</v>
      </c>
      <c r="R1168" s="193"/>
      <c r="S1168" s="194"/>
      <c r="T1168" s="195">
        <f t="shared" si="150"/>
        <v>0</v>
      </c>
      <c r="U1168" s="195">
        <f t="shared" si="151"/>
        <v>0</v>
      </c>
      <c r="V1168" s="195">
        <f t="shared" si="152"/>
        <v>0</v>
      </c>
      <c r="W1168" s="196" t="e">
        <f t="shared" si="153"/>
        <v>#DIV/0!</v>
      </c>
      <c r="X1168" s="197" t="e">
        <f t="shared" si="154"/>
        <v>#DIV/0!</v>
      </c>
    </row>
    <row r="1169" ht="11.4" hidden="1" customHeight="1" spans="1:24">
      <c r="A1169" s="184" t="s">
        <v>2985</v>
      </c>
      <c r="B1169" s="184" t="s">
        <v>127</v>
      </c>
      <c r="C1169" s="184" t="s">
        <v>1101</v>
      </c>
      <c r="D1169" s="185" t="s">
        <v>701</v>
      </c>
      <c r="E1169" s="186" t="s">
        <v>2956</v>
      </c>
      <c r="F1169" s="186" t="s">
        <v>2957</v>
      </c>
      <c r="G1169" s="186" t="s">
        <v>2957</v>
      </c>
      <c r="H1169" s="186" t="s">
        <v>2986</v>
      </c>
      <c r="I1169" s="187" t="s">
        <v>2989</v>
      </c>
      <c r="J1169" s="187" t="s">
        <v>2990</v>
      </c>
      <c r="K1169" s="188"/>
      <c r="L1169" s="188"/>
      <c r="M1169" s="189" t="s">
        <v>989</v>
      </c>
      <c r="N1169" s="190">
        <v>432.3</v>
      </c>
      <c r="O1169" s="190">
        <f t="shared" si="147"/>
        <v>471.21</v>
      </c>
      <c r="P1169" s="191">
        <f t="shared" si="148"/>
        <v>0</v>
      </c>
      <c r="Q1169" s="192">
        <f t="shared" si="149"/>
        <v>0</v>
      </c>
      <c r="R1169" s="193"/>
      <c r="S1169" s="194"/>
      <c r="T1169" s="195">
        <f t="shared" si="150"/>
        <v>0</v>
      </c>
      <c r="U1169" s="195">
        <f t="shared" si="151"/>
        <v>0</v>
      </c>
      <c r="V1169" s="195">
        <f t="shared" si="152"/>
        <v>0</v>
      </c>
      <c r="W1169" s="196" t="e">
        <f t="shared" si="153"/>
        <v>#DIV/0!</v>
      </c>
      <c r="X1169" s="197" t="e">
        <f t="shared" si="154"/>
        <v>#DIV/0!</v>
      </c>
    </row>
    <row r="1170" ht="11.4" hidden="1" customHeight="1" spans="1:24">
      <c r="A1170" s="184" t="s">
        <v>2985</v>
      </c>
      <c r="B1170" s="184" t="s">
        <v>127</v>
      </c>
      <c r="C1170" s="184" t="s">
        <v>1101</v>
      </c>
      <c r="D1170" s="185" t="s">
        <v>701</v>
      </c>
      <c r="E1170" s="186" t="s">
        <v>2956</v>
      </c>
      <c r="F1170" s="186" t="s">
        <v>2957</v>
      </c>
      <c r="G1170" s="186" t="s">
        <v>2957</v>
      </c>
      <c r="H1170" s="186" t="s">
        <v>2986</v>
      </c>
      <c r="I1170" s="187" t="s">
        <v>2991</v>
      </c>
      <c r="J1170" s="187" t="s">
        <v>2992</v>
      </c>
      <c r="K1170" s="188"/>
      <c r="L1170" s="188"/>
      <c r="M1170" s="189" t="s">
        <v>807</v>
      </c>
      <c r="N1170" s="190">
        <v>552.08</v>
      </c>
      <c r="O1170" s="190">
        <f t="shared" si="147"/>
        <v>601.77</v>
      </c>
      <c r="P1170" s="191">
        <f t="shared" si="148"/>
        <v>0</v>
      </c>
      <c r="Q1170" s="192">
        <f t="shared" si="149"/>
        <v>0</v>
      </c>
      <c r="R1170" s="193"/>
      <c r="S1170" s="194"/>
      <c r="T1170" s="195">
        <f t="shared" si="150"/>
        <v>0</v>
      </c>
      <c r="U1170" s="195">
        <f t="shared" si="151"/>
        <v>0</v>
      </c>
      <c r="V1170" s="195">
        <f t="shared" si="152"/>
        <v>0</v>
      </c>
      <c r="W1170" s="196" t="e">
        <f t="shared" si="153"/>
        <v>#DIV/0!</v>
      </c>
      <c r="X1170" s="197" t="e">
        <f t="shared" si="154"/>
        <v>#DIV/0!</v>
      </c>
    </row>
    <row r="1171" ht="11.4" hidden="1" customHeight="1" spans="1:24">
      <c r="A1171" s="184" t="s">
        <v>2985</v>
      </c>
      <c r="B1171" s="184" t="s">
        <v>127</v>
      </c>
      <c r="C1171" s="184" t="s">
        <v>1101</v>
      </c>
      <c r="D1171" s="185" t="s">
        <v>701</v>
      </c>
      <c r="E1171" s="186" t="s">
        <v>2956</v>
      </c>
      <c r="F1171" s="186" t="s">
        <v>2957</v>
      </c>
      <c r="G1171" s="186" t="s">
        <v>2957</v>
      </c>
      <c r="H1171" s="186" t="s">
        <v>2986</v>
      </c>
      <c r="I1171" s="187" t="s">
        <v>2993</v>
      </c>
      <c r="J1171" s="187" t="s">
        <v>2994</v>
      </c>
      <c r="K1171" s="188"/>
      <c r="L1171" s="188"/>
      <c r="M1171" s="189" t="s">
        <v>847</v>
      </c>
      <c r="N1171" s="190">
        <v>338.6</v>
      </c>
      <c r="O1171" s="190">
        <f t="shared" si="147"/>
        <v>369.07</v>
      </c>
      <c r="P1171" s="191">
        <f t="shared" si="148"/>
        <v>0</v>
      </c>
      <c r="Q1171" s="192">
        <f t="shared" si="149"/>
        <v>0</v>
      </c>
      <c r="R1171" s="193"/>
      <c r="S1171" s="194"/>
      <c r="T1171" s="195">
        <f t="shared" si="150"/>
        <v>0</v>
      </c>
      <c r="U1171" s="195">
        <f t="shared" si="151"/>
        <v>0</v>
      </c>
      <c r="V1171" s="195">
        <f t="shared" si="152"/>
        <v>0</v>
      </c>
      <c r="W1171" s="196" t="e">
        <f t="shared" si="153"/>
        <v>#DIV/0!</v>
      </c>
      <c r="X1171" s="197" t="e">
        <f t="shared" si="154"/>
        <v>#DIV/0!</v>
      </c>
    </row>
    <row r="1172" ht="11.4" hidden="1" customHeight="1" spans="1:24">
      <c r="A1172" s="184" t="s">
        <v>2985</v>
      </c>
      <c r="B1172" s="184" t="s">
        <v>127</v>
      </c>
      <c r="C1172" s="184" t="s">
        <v>1101</v>
      </c>
      <c r="D1172" s="185" t="s">
        <v>701</v>
      </c>
      <c r="E1172" s="186" t="s">
        <v>2956</v>
      </c>
      <c r="F1172" s="186" t="s">
        <v>2957</v>
      </c>
      <c r="G1172" s="186" t="s">
        <v>2957</v>
      </c>
      <c r="H1172" s="186" t="s">
        <v>2995</v>
      </c>
      <c r="I1172" s="187" t="s">
        <v>2996</v>
      </c>
      <c r="J1172" s="187" t="s">
        <v>2997</v>
      </c>
      <c r="K1172" s="188"/>
      <c r="L1172" s="188"/>
      <c r="M1172" s="189" t="s">
        <v>1500</v>
      </c>
      <c r="N1172" s="190">
        <v>755.15</v>
      </c>
      <c r="O1172" s="190">
        <f t="shared" si="147"/>
        <v>823.11</v>
      </c>
      <c r="P1172" s="191">
        <f t="shared" si="148"/>
        <v>0</v>
      </c>
      <c r="Q1172" s="192">
        <f t="shared" si="149"/>
        <v>0</v>
      </c>
      <c r="R1172" s="193"/>
      <c r="S1172" s="194"/>
      <c r="T1172" s="195">
        <f t="shared" si="150"/>
        <v>0</v>
      </c>
      <c r="U1172" s="195">
        <f t="shared" si="151"/>
        <v>0</v>
      </c>
      <c r="V1172" s="195">
        <f t="shared" si="152"/>
        <v>0</v>
      </c>
      <c r="W1172" s="196" t="e">
        <f t="shared" si="153"/>
        <v>#DIV/0!</v>
      </c>
      <c r="X1172" s="197" t="e">
        <f t="shared" si="154"/>
        <v>#DIV/0!</v>
      </c>
    </row>
    <row r="1173" ht="11.4" hidden="1" customHeight="1" spans="1:24">
      <c r="A1173" s="184" t="s">
        <v>2985</v>
      </c>
      <c r="B1173" s="184" t="s">
        <v>127</v>
      </c>
      <c r="C1173" s="184" t="s">
        <v>1101</v>
      </c>
      <c r="D1173" s="185" t="s">
        <v>701</v>
      </c>
      <c r="E1173" s="186" t="s">
        <v>2956</v>
      </c>
      <c r="F1173" s="186" t="s">
        <v>2957</v>
      </c>
      <c r="G1173" s="186" t="s">
        <v>2957</v>
      </c>
      <c r="H1173" s="186" t="s">
        <v>2995</v>
      </c>
      <c r="I1173" s="187" t="s">
        <v>1807</v>
      </c>
      <c r="J1173" s="187" t="s">
        <v>1808</v>
      </c>
      <c r="K1173" s="188"/>
      <c r="L1173" s="188"/>
      <c r="M1173" s="189" t="s">
        <v>1500</v>
      </c>
      <c r="N1173" s="190">
        <v>2585.55</v>
      </c>
      <c r="O1173" s="190">
        <f t="shared" si="147"/>
        <v>2818.25</v>
      </c>
      <c r="P1173" s="191">
        <f t="shared" si="148"/>
        <v>0</v>
      </c>
      <c r="Q1173" s="192">
        <f t="shared" si="149"/>
        <v>0</v>
      </c>
      <c r="R1173" s="193"/>
      <c r="S1173" s="194"/>
      <c r="T1173" s="195">
        <f t="shared" si="150"/>
        <v>0</v>
      </c>
      <c r="U1173" s="195">
        <f t="shared" si="151"/>
        <v>0</v>
      </c>
      <c r="V1173" s="195">
        <f t="shared" si="152"/>
        <v>0</v>
      </c>
      <c r="W1173" s="196" t="e">
        <f t="shared" si="153"/>
        <v>#DIV/0!</v>
      </c>
      <c r="X1173" s="197" t="e">
        <f t="shared" si="154"/>
        <v>#DIV/0!</v>
      </c>
    </row>
    <row r="1174" ht="11.4" hidden="1" customHeight="1" spans="1:24">
      <c r="A1174" s="184" t="s">
        <v>2985</v>
      </c>
      <c r="B1174" s="184" t="s">
        <v>127</v>
      </c>
      <c r="C1174" s="184" t="s">
        <v>1101</v>
      </c>
      <c r="D1174" s="185" t="s">
        <v>701</v>
      </c>
      <c r="E1174" s="186" t="s">
        <v>2956</v>
      </c>
      <c r="F1174" s="186" t="s">
        <v>2957</v>
      </c>
      <c r="G1174" s="186" t="s">
        <v>2957</v>
      </c>
      <c r="H1174" s="186" t="s">
        <v>2995</v>
      </c>
      <c r="I1174" s="187" t="s">
        <v>1809</v>
      </c>
      <c r="J1174" s="187" t="s">
        <v>1810</v>
      </c>
      <c r="K1174" s="188"/>
      <c r="L1174" s="188"/>
      <c r="M1174" s="189" t="s">
        <v>1500</v>
      </c>
      <c r="N1174" s="190">
        <v>2585.55</v>
      </c>
      <c r="O1174" s="190">
        <f t="shared" si="147"/>
        <v>2818.25</v>
      </c>
      <c r="P1174" s="191">
        <f t="shared" si="148"/>
        <v>0</v>
      </c>
      <c r="Q1174" s="192">
        <f t="shared" si="149"/>
        <v>0</v>
      </c>
      <c r="R1174" s="193"/>
      <c r="S1174" s="194"/>
      <c r="T1174" s="195">
        <f t="shared" si="150"/>
        <v>0</v>
      </c>
      <c r="U1174" s="195">
        <f t="shared" si="151"/>
        <v>0</v>
      </c>
      <c r="V1174" s="195">
        <f t="shared" si="152"/>
        <v>0</v>
      </c>
      <c r="W1174" s="196" t="e">
        <f t="shared" si="153"/>
        <v>#DIV/0!</v>
      </c>
      <c r="X1174" s="197" t="e">
        <f t="shared" si="154"/>
        <v>#DIV/0!</v>
      </c>
    </row>
    <row r="1175" ht="11.4" hidden="1" customHeight="1" spans="1:24">
      <c r="A1175" s="184" t="s">
        <v>2985</v>
      </c>
      <c r="B1175" s="184" t="s">
        <v>127</v>
      </c>
      <c r="C1175" s="184" t="s">
        <v>1101</v>
      </c>
      <c r="D1175" s="185" t="s">
        <v>701</v>
      </c>
      <c r="E1175" s="186" t="s">
        <v>2956</v>
      </c>
      <c r="F1175" s="186" t="s">
        <v>2957</v>
      </c>
      <c r="G1175" s="186" t="s">
        <v>2957</v>
      </c>
      <c r="H1175" s="186" t="s">
        <v>2995</v>
      </c>
      <c r="I1175" s="187" t="s">
        <v>1811</v>
      </c>
      <c r="J1175" s="187" t="s">
        <v>1812</v>
      </c>
      <c r="K1175" s="188"/>
      <c r="L1175" s="188"/>
      <c r="M1175" s="189" t="s">
        <v>1500</v>
      </c>
      <c r="N1175" s="190">
        <v>2941.14</v>
      </c>
      <c r="O1175" s="190">
        <f t="shared" si="147"/>
        <v>3205.84</v>
      </c>
      <c r="P1175" s="191">
        <f t="shared" si="148"/>
        <v>0</v>
      </c>
      <c r="Q1175" s="192">
        <f t="shared" si="149"/>
        <v>0</v>
      </c>
      <c r="R1175" s="193"/>
      <c r="S1175" s="194"/>
      <c r="T1175" s="195">
        <f t="shared" si="150"/>
        <v>0</v>
      </c>
      <c r="U1175" s="195">
        <f t="shared" si="151"/>
        <v>0</v>
      </c>
      <c r="V1175" s="195">
        <f t="shared" si="152"/>
        <v>0</v>
      </c>
      <c r="W1175" s="196" t="e">
        <f t="shared" si="153"/>
        <v>#DIV/0!</v>
      </c>
      <c r="X1175" s="197" t="e">
        <f t="shared" si="154"/>
        <v>#DIV/0!</v>
      </c>
    </row>
    <row r="1176" ht="11.4" hidden="1" customHeight="1" spans="1:24">
      <c r="A1176" s="184" t="s">
        <v>2985</v>
      </c>
      <c r="B1176" s="184" t="s">
        <v>127</v>
      </c>
      <c r="C1176" s="184" t="s">
        <v>1101</v>
      </c>
      <c r="D1176" s="185" t="s">
        <v>701</v>
      </c>
      <c r="E1176" s="186" t="s">
        <v>2956</v>
      </c>
      <c r="F1176" s="186" t="s">
        <v>2957</v>
      </c>
      <c r="G1176" s="186" t="s">
        <v>2957</v>
      </c>
      <c r="H1176" s="186" t="s">
        <v>2995</v>
      </c>
      <c r="I1176" s="187" t="s">
        <v>2998</v>
      </c>
      <c r="J1176" s="187" t="s">
        <v>2999</v>
      </c>
      <c r="K1176" s="188"/>
      <c r="L1176" s="188"/>
      <c r="M1176" s="189" t="s">
        <v>1500</v>
      </c>
      <c r="N1176" s="190">
        <v>1496.64</v>
      </c>
      <c r="O1176" s="190">
        <f t="shared" si="147"/>
        <v>1631.34</v>
      </c>
      <c r="P1176" s="191">
        <f t="shared" si="148"/>
        <v>0</v>
      </c>
      <c r="Q1176" s="192">
        <f t="shared" si="149"/>
        <v>0</v>
      </c>
      <c r="R1176" s="193"/>
      <c r="S1176" s="194"/>
      <c r="T1176" s="195">
        <f t="shared" si="150"/>
        <v>0</v>
      </c>
      <c r="U1176" s="195">
        <f t="shared" si="151"/>
        <v>0</v>
      </c>
      <c r="V1176" s="195">
        <f t="shared" si="152"/>
        <v>0</v>
      </c>
      <c r="W1176" s="196" t="e">
        <f t="shared" si="153"/>
        <v>#DIV/0!</v>
      </c>
      <c r="X1176" s="197" t="e">
        <f t="shared" si="154"/>
        <v>#DIV/0!</v>
      </c>
    </row>
    <row r="1177" ht="11.4" hidden="1" customHeight="1" spans="1:24">
      <c r="A1177" s="184" t="s">
        <v>2985</v>
      </c>
      <c r="B1177" s="184" t="s">
        <v>127</v>
      </c>
      <c r="C1177" s="184" t="s">
        <v>1101</v>
      </c>
      <c r="D1177" s="185" t="s">
        <v>701</v>
      </c>
      <c r="E1177" s="186" t="s">
        <v>2956</v>
      </c>
      <c r="F1177" s="186" t="s">
        <v>2957</v>
      </c>
      <c r="G1177" s="186" t="s">
        <v>2957</v>
      </c>
      <c r="H1177" s="186" t="s">
        <v>3000</v>
      </c>
      <c r="I1177" s="187" t="s">
        <v>2912</v>
      </c>
      <c r="J1177" s="187" t="s">
        <v>2913</v>
      </c>
      <c r="K1177" s="188"/>
      <c r="L1177" s="188"/>
      <c r="M1177" s="189" t="s">
        <v>807</v>
      </c>
      <c r="N1177" s="190">
        <v>75.86</v>
      </c>
      <c r="O1177" s="190">
        <f t="shared" si="147"/>
        <v>82.69</v>
      </c>
      <c r="P1177" s="191">
        <f t="shared" si="148"/>
        <v>0</v>
      </c>
      <c r="Q1177" s="192">
        <f t="shared" si="149"/>
        <v>0</v>
      </c>
      <c r="R1177" s="193"/>
      <c r="S1177" s="194"/>
      <c r="T1177" s="195">
        <f t="shared" si="150"/>
        <v>0</v>
      </c>
      <c r="U1177" s="195">
        <f t="shared" si="151"/>
        <v>0</v>
      </c>
      <c r="V1177" s="195">
        <f t="shared" si="152"/>
        <v>0</v>
      </c>
      <c r="W1177" s="196" t="e">
        <f t="shared" si="153"/>
        <v>#DIV/0!</v>
      </c>
      <c r="X1177" s="197" t="e">
        <f t="shared" si="154"/>
        <v>#DIV/0!</v>
      </c>
    </row>
    <row r="1178" ht="11.4" hidden="1" customHeight="1" spans="1:24">
      <c r="A1178" s="184" t="s">
        <v>2985</v>
      </c>
      <c r="B1178" s="184" t="s">
        <v>127</v>
      </c>
      <c r="C1178" s="184" t="s">
        <v>1101</v>
      </c>
      <c r="D1178" s="185" t="s">
        <v>701</v>
      </c>
      <c r="E1178" s="186" t="s">
        <v>2956</v>
      </c>
      <c r="F1178" s="186" t="s">
        <v>2957</v>
      </c>
      <c r="G1178" s="186" t="s">
        <v>2957</v>
      </c>
      <c r="H1178" s="186" t="s">
        <v>3000</v>
      </c>
      <c r="I1178" s="187" t="s">
        <v>3001</v>
      </c>
      <c r="J1178" s="187" t="s">
        <v>3002</v>
      </c>
      <c r="K1178" s="188"/>
      <c r="L1178" s="188"/>
      <c r="M1178" s="189" t="s">
        <v>847</v>
      </c>
      <c r="N1178" s="190">
        <v>88.25</v>
      </c>
      <c r="O1178" s="190">
        <f t="shared" si="147"/>
        <v>96.19</v>
      </c>
      <c r="P1178" s="191">
        <f t="shared" si="148"/>
        <v>0</v>
      </c>
      <c r="Q1178" s="192">
        <f t="shared" si="149"/>
        <v>0</v>
      </c>
      <c r="R1178" s="193"/>
      <c r="S1178" s="194"/>
      <c r="T1178" s="195">
        <f t="shared" si="150"/>
        <v>0</v>
      </c>
      <c r="U1178" s="195">
        <f t="shared" si="151"/>
        <v>0</v>
      </c>
      <c r="V1178" s="195">
        <f t="shared" si="152"/>
        <v>0</v>
      </c>
      <c r="W1178" s="196" t="e">
        <f t="shared" si="153"/>
        <v>#DIV/0!</v>
      </c>
      <c r="X1178" s="197" t="e">
        <f t="shared" si="154"/>
        <v>#DIV/0!</v>
      </c>
    </row>
    <row r="1179" ht="11.4" hidden="1" customHeight="1" spans="1:24">
      <c r="A1179" s="184" t="s">
        <v>3003</v>
      </c>
      <c r="B1179" s="184" t="s">
        <v>139</v>
      </c>
      <c r="C1179" s="184" t="s">
        <v>1880</v>
      </c>
      <c r="D1179" s="185" t="s">
        <v>701</v>
      </c>
      <c r="E1179" s="186" t="s">
        <v>2956</v>
      </c>
      <c r="F1179" s="186" t="s">
        <v>2957</v>
      </c>
      <c r="G1179" s="186" t="s">
        <v>2957</v>
      </c>
      <c r="H1179" s="186" t="s">
        <v>3004</v>
      </c>
      <c r="I1179" s="187" t="s">
        <v>3005</v>
      </c>
      <c r="J1179" s="187" t="s">
        <v>3006</v>
      </c>
      <c r="K1179" s="188"/>
      <c r="L1179" s="188"/>
      <c r="M1179" s="189" t="s">
        <v>807</v>
      </c>
      <c r="N1179" s="190">
        <v>38.5</v>
      </c>
      <c r="O1179" s="190">
        <f t="shared" si="147"/>
        <v>41.97</v>
      </c>
      <c r="P1179" s="191">
        <f t="shared" si="148"/>
        <v>0</v>
      </c>
      <c r="Q1179" s="192">
        <f t="shared" si="149"/>
        <v>0</v>
      </c>
      <c r="R1179" s="193"/>
      <c r="S1179" s="194"/>
      <c r="T1179" s="195">
        <f t="shared" si="150"/>
        <v>0</v>
      </c>
      <c r="U1179" s="195">
        <f t="shared" si="151"/>
        <v>0</v>
      </c>
      <c r="V1179" s="195">
        <f t="shared" si="152"/>
        <v>0</v>
      </c>
      <c r="W1179" s="196" t="e">
        <f t="shared" si="153"/>
        <v>#DIV/0!</v>
      </c>
      <c r="X1179" s="197" t="e">
        <f t="shared" si="154"/>
        <v>#DIV/0!</v>
      </c>
    </row>
    <row r="1180" ht="11.4" hidden="1" customHeight="1" spans="1:24">
      <c r="A1180" s="184" t="s">
        <v>3003</v>
      </c>
      <c r="B1180" s="184" t="s">
        <v>139</v>
      </c>
      <c r="C1180" s="184" t="s">
        <v>1880</v>
      </c>
      <c r="D1180" s="185" t="s">
        <v>701</v>
      </c>
      <c r="E1180" s="186" t="s">
        <v>2956</v>
      </c>
      <c r="F1180" s="186" t="s">
        <v>2957</v>
      </c>
      <c r="G1180" s="186" t="s">
        <v>2957</v>
      </c>
      <c r="H1180" s="186" t="s">
        <v>3004</v>
      </c>
      <c r="I1180" s="187" t="s">
        <v>2922</v>
      </c>
      <c r="J1180" s="187" t="s">
        <v>2923</v>
      </c>
      <c r="K1180" s="188"/>
      <c r="L1180" s="188"/>
      <c r="M1180" s="189" t="s">
        <v>793</v>
      </c>
      <c r="N1180" s="190">
        <v>1637.1</v>
      </c>
      <c r="O1180" s="190">
        <f t="shared" si="147"/>
        <v>1784.44</v>
      </c>
      <c r="P1180" s="191">
        <f t="shared" si="148"/>
        <v>0</v>
      </c>
      <c r="Q1180" s="192">
        <f t="shared" si="149"/>
        <v>0</v>
      </c>
      <c r="R1180" s="193"/>
      <c r="S1180" s="194"/>
      <c r="T1180" s="195">
        <f t="shared" si="150"/>
        <v>0</v>
      </c>
      <c r="U1180" s="195">
        <f t="shared" si="151"/>
        <v>0</v>
      </c>
      <c r="V1180" s="195">
        <f t="shared" si="152"/>
        <v>0</v>
      </c>
      <c r="W1180" s="196" t="e">
        <f t="shared" si="153"/>
        <v>#DIV/0!</v>
      </c>
      <c r="X1180" s="197" t="e">
        <f t="shared" si="154"/>
        <v>#DIV/0!</v>
      </c>
    </row>
    <row r="1181" ht="11.4" hidden="1" customHeight="1" spans="1:24">
      <c r="A1181" s="184" t="s">
        <v>3003</v>
      </c>
      <c r="B1181" s="184" t="s">
        <v>139</v>
      </c>
      <c r="C1181" s="184" t="s">
        <v>1880</v>
      </c>
      <c r="D1181" s="185" t="s">
        <v>701</v>
      </c>
      <c r="E1181" s="186" t="s">
        <v>2956</v>
      </c>
      <c r="F1181" s="186" t="s">
        <v>2957</v>
      </c>
      <c r="G1181" s="186" t="s">
        <v>2957</v>
      </c>
      <c r="H1181" s="186" t="s">
        <v>3004</v>
      </c>
      <c r="I1181" s="187" t="s">
        <v>3007</v>
      </c>
      <c r="J1181" s="187" t="s">
        <v>3008</v>
      </c>
      <c r="K1181" s="188"/>
      <c r="L1181" s="188"/>
      <c r="M1181" s="189" t="s">
        <v>793</v>
      </c>
      <c r="N1181" s="190">
        <v>699.36</v>
      </c>
      <c r="O1181" s="190">
        <f t="shared" si="147"/>
        <v>762.3</v>
      </c>
      <c r="P1181" s="191">
        <f t="shared" si="148"/>
        <v>0</v>
      </c>
      <c r="Q1181" s="192">
        <f t="shared" si="149"/>
        <v>0</v>
      </c>
      <c r="R1181" s="193"/>
      <c r="S1181" s="194"/>
      <c r="T1181" s="195">
        <f t="shared" si="150"/>
        <v>0</v>
      </c>
      <c r="U1181" s="195">
        <f t="shared" si="151"/>
        <v>0</v>
      </c>
      <c r="V1181" s="195">
        <f t="shared" si="152"/>
        <v>0</v>
      </c>
      <c r="W1181" s="196" t="e">
        <f t="shared" si="153"/>
        <v>#DIV/0!</v>
      </c>
      <c r="X1181" s="197" t="e">
        <f t="shared" si="154"/>
        <v>#DIV/0!</v>
      </c>
    </row>
    <row r="1182" ht="11.4" hidden="1" customHeight="1" spans="1:24">
      <c r="A1182" s="184" t="s">
        <v>3009</v>
      </c>
      <c r="B1182" s="184" t="s">
        <v>355</v>
      </c>
      <c r="C1182" s="184" t="s">
        <v>2743</v>
      </c>
      <c r="D1182" s="185" t="s">
        <v>701</v>
      </c>
      <c r="E1182" s="186" t="s">
        <v>3010</v>
      </c>
      <c r="F1182" s="186" t="s">
        <v>3011</v>
      </c>
      <c r="G1182" s="186" t="s">
        <v>3012</v>
      </c>
      <c r="H1182" s="186" t="s">
        <v>3013</v>
      </c>
      <c r="I1182" s="187" t="s">
        <v>3014</v>
      </c>
      <c r="J1182" s="187" t="s">
        <v>3015</v>
      </c>
      <c r="K1182" s="188"/>
      <c r="L1182" s="188"/>
      <c r="M1182" s="189" t="s">
        <v>793</v>
      </c>
      <c r="N1182" s="190">
        <v>3741.96</v>
      </c>
      <c r="O1182" s="190">
        <f t="shared" si="147"/>
        <v>4078.74</v>
      </c>
      <c r="P1182" s="191">
        <f t="shared" si="148"/>
        <v>0</v>
      </c>
      <c r="Q1182" s="192">
        <f t="shared" si="149"/>
        <v>0</v>
      </c>
      <c r="R1182" s="193"/>
      <c r="S1182" s="194"/>
      <c r="T1182" s="195">
        <f t="shared" si="150"/>
        <v>0</v>
      </c>
      <c r="U1182" s="195">
        <f t="shared" si="151"/>
        <v>0</v>
      </c>
      <c r="V1182" s="195">
        <f t="shared" si="152"/>
        <v>0</v>
      </c>
      <c r="W1182" s="196" t="e">
        <f t="shared" si="153"/>
        <v>#DIV/0!</v>
      </c>
      <c r="X1182" s="197" t="e">
        <f t="shared" si="154"/>
        <v>#DIV/0!</v>
      </c>
    </row>
    <row r="1183" ht="11.4" hidden="1" customHeight="1" spans="1:24">
      <c r="A1183" s="184" t="s">
        <v>3009</v>
      </c>
      <c r="B1183" s="184" t="s">
        <v>355</v>
      </c>
      <c r="C1183" s="184" t="s">
        <v>2743</v>
      </c>
      <c r="D1183" s="185" t="s">
        <v>701</v>
      </c>
      <c r="E1183" s="186" t="s">
        <v>3010</v>
      </c>
      <c r="F1183" s="186" t="s">
        <v>3011</v>
      </c>
      <c r="G1183" s="186" t="s">
        <v>3012</v>
      </c>
      <c r="H1183" s="186" t="s">
        <v>3013</v>
      </c>
      <c r="I1183" s="187" t="s">
        <v>3016</v>
      </c>
      <c r="J1183" s="187" t="s">
        <v>3017</v>
      </c>
      <c r="K1183" s="188"/>
      <c r="L1183" s="188"/>
      <c r="M1183" s="189" t="s">
        <v>793</v>
      </c>
      <c r="N1183" s="190">
        <v>3867.36</v>
      </c>
      <c r="O1183" s="190">
        <f t="shared" si="147"/>
        <v>4215.42</v>
      </c>
      <c r="P1183" s="191">
        <f t="shared" si="148"/>
        <v>0</v>
      </c>
      <c r="Q1183" s="192">
        <f t="shared" si="149"/>
        <v>0</v>
      </c>
      <c r="R1183" s="193"/>
      <c r="S1183" s="194"/>
      <c r="T1183" s="195">
        <f t="shared" si="150"/>
        <v>0</v>
      </c>
      <c r="U1183" s="195">
        <f t="shared" si="151"/>
        <v>0</v>
      </c>
      <c r="V1183" s="195">
        <f t="shared" si="152"/>
        <v>0</v>
      </c>
      <c r="W1183" s="196" t="e">
        <f t="shared" si="153"/>
        <v>#DIV/0!</v>
      </c>
      <c r="X1183" s="197" t="e">
        <f t="shared" si="154"/>
        <v>#DIV/0!</v>
      </c>
    </row>
    <row r="1184" ht="11.4" hidden="1" customHeight="1" spans="1:24">
      <c r="A1184" s="184" t="s">
        <v>3009</v>
      </c>
      <c r="B1184" s="184" t="s">
        <v>355</v>
      </c>
      <c r="C1184" s="184" t="s">
        <v>2743</v>
      </c>
      <c r="D1184" s="185" t="s">
        <v>701</v>
      </c>
      <c r="E1184" s="186" t="s">
        <v>3010</v>
      </c>
      <c r="F1184" s="186" t="s">
        <v>3011</v>
      </c>
      <c r="G1184" s="186" t="s">
        <v>3012</v>
      </c>
      <c r="H1184" s="186" t="s">
        <v>3013</v>
      </c>
      <c r="I1184" s="187" t="s">
        <v>3018</v>
      </c>
      <c r="J1184" s="187" t="s">
        <v>3019</v>
      </c>
      <c r="K1184" s="188"/>
      <c r="L1184" s="188"/>
      <c r="M1184" s="189" t="s">
        <v>793</v>
      </c>
      <c r="N1184" s="190">
        <v>791.76</v>
      </c>
      <c r="O1184" s="190">
        <f t="shared" si="147"/>
        <v>863.02</v>
      </c>
      <c r="P1184" s="191">
        <f t="shared" si="148"/>
        <v>0</v>
      </c>
      <c r="Q1184" s="192">
        <f t="shared" si="149"/>
        <v>0</v>
      </c>
      <c r="R1184" s="193"/>
      <c r="S1184" s="194"/>
      <c r="T1184" s="195">
        <f t="shared" si="150"/>
        <v>0</v>
      </c>
      <c r="U1184" s="195">
        <f t="shared" si="151"/>
        <v>0</v>
      </c>
      <c r="V1184" s="195">
        <f t="shared" si="152"/>
        <v>0</v>
      </c>
      <c r="W1184" s="196" t="e">
        <f t="shared" si="153"/>
        <v>#DIV/0!</v>
      </c>
      <c r="X1184" s="197" t="e">
        <f t="shared" si="154"/>
        <v>#DIV/0!</v>
      </c>
    </row>
    <row r="1185" ht="11.4" hidden="1" customHeight="1" spans="1:24">
      <c r="A1185" s="184" t="s">
        <v>3020</v>
      </c>
      <c r="B1185" s="184" t="s">
        <v>188</v>
      </c>
      <c r="C1185" s="184" t="s">
        <v>2644</v>
      </c>
      <c r="D1185" s="185" t="s">
        <v>701</v>
      </c>
      <c r="E1185" s="186" t="s">
        <v>3010</v>
      </c>
      <c r="F1185" s="186" t="s">
        <v>3021</v>
      </c>
      <c r="G1185" s="186" t="s">
        <v>3021</v>
      </c>
      <c r="H1185" s="186" t="s">
        <v>3022</v>
      </c>
      <c r="I1185" s="187" t="s">
        <v>3023</v>
      </c>
      <c r="J1185" s="187" t="s">
        <v>3024</v>
      </c>
      <c r="K1185" s="188"/>
      <c r="L1185" s="188"/>
      <c r="M1185" s="189" t="s">
        <v>793</v>
      </c>
      <c r="N1185" s="190">
        <v>674.38</v>
      </c>
      <c r="O1185" s="190">
        <f t="shared" si="147"/>
        <v>735.07</v>
      </c>
      <c r="P1185" s="191">
        <f t="shared" si="148"/>
        <v>0</v>
      </c>
      <c r="Q1185" s="192">
        <f t="shared" si="149"/>
        <v>0</v>
      </c>
      <c r="R1185" s="193"/>
      <c r="S1185" s="194"/>
      <c r="T1185" s="195">
        <f t="shared" si="150"/>
        <v>0</v>
      </c>
      <c r="U1185" s="195">
        <f t="shared" si="151"/>
        <v>0</v>
      </c>
      <c r="V1185" s="195">
        <f t="shared" si="152"/>
        <v>0</v>
      </c>
      <c r="W1185" s="196" t="e">
        <f t="shared" si="153"/>
        <v>#DIV/0!</v>
      </c>
      <c r="X1185" s="197" t="e">
        <f t="shared" si="154"/>
        <v>#DIV/0!</v>
      </c>
    </row>
    <row r="1186" ht="11.4" hidden="1" customHeight="1" spans="1:24">
      <c r="A1186" s="184" t="s">
        <v>3020</v>
      </c>
      <c r="B1186" s="184" t="s">
        <v>188</v>
      </c>
      <c r="C1186" s="184" t="s">
        <v>2644</v>
      </c>
      <c r="D1186" s="185" t="s">
        <v>701</v>
      </c>
      <c r="E1186" s="186" t="s">
        <v>3010</v>
      </c>
      <c r="F1186" s="186" t="s">
        <v>3021</v>
      </c>
      <c r="G1186" s="186" t="s">
        <v>3021</v>
      </c>
      <c r="H1186" s="186" t="s">
        <v>3025</v>
      </c>
      <c r="I1186" s="187" t="s">
        <v>3026</v>
      </c>
      <c r="J1186" s="187" t="s">
        <v>3027</v>
      </c>
      <c r="K1186" s="188"/>
      <c r="L1186" s="188"/>
      <c r="M1186" s="189" t="s">
        <v>793</v>
      </c>
      <c r="N1186" s="190">
        <v>761.5</v>
      </c>
      <c r="O1186" s="190">
        <f t="shared" si="147"/>
        <v>830.04</v>
      </c>
      <c r="P1186" s="191">
        <f t="shared" si="148"/>
        <v>0</v>
      </c>
      <c r="Q1186" s="192">
        <f t="shared" si="149"/>
        <v>0</v>
      </c>
      <c r="R1186" s="193"/>
      <c r="S1186" s="194"/>
      <c r="T1186" s="195">
        <f t="shared" si="150"/>
        <v>0</v>
      </c>
      <c r="U1186" s="195">
        <f t="shared" si="151"/>
        <v>0</v>
      </c>
      <c r="V1186" s="195">
        <f t="shared" si="152"/>
        <v>0</v>
      </c>
      <c r="W1186" s="196" t="e">
        <f t="shared" si="153"/>
        <v>#DIV/0!</v>
      </c>
      <c r="X1186" s="197" t="e">
        <f t="shared" si="154"/>
        <v>#DIV/0!</v>
      </c>
    </row>
    <row r="1187" ht="11.4" hidden="1" customHeight="1" spans="1:24">
      <c r="A1187" s="184" t="s">
        <v>3020</v>
      </c>
      <c r="B1187" s="184" t="s">
        <v>188</v>
      </c>
      <c r="C1187" s="184" t="s">
        <v>2644</v>
      </c>
      <c r="D1187" s="185" t="s">
        <v>701</v>
      </c>
      <c r="E1187" s="186" t="s">
        <v>3010</v>
      </c>
      <c r="F1187" s="186" t="s">
        <v>3021</v>
      </c>
      <c r="G1187" s="186" t="s">
        <v>3021</v>
      </c>
      <c r="H1187" s="186" t="s">
        <v>3028</v>
      </c>
      <c r="I1187" s="187" t="s">
        <v>3029</v>
      </c>
      <c r="J1187" s="187" t="s">
        <v>3030</v>
      </c>
      <c r="K1187" s="188"/>
      <c r="L1187" s="188"/>
      <c r="M1187" s="189" t="s">
        <v>793</v>
      </c>
      <c r="N1187" s="190">
        <v>137.5</v>
      </c>
      <c r="O1187" s="190">
        <f t="shared" si="147"/>
        <v>149.88</v>
      </c>
      <c r="P1187" s="191">
        <f t="shared" si="148"/>
        <v>0</v>
      </c>
      <c r="Q1187" s="192">
        <f t="shared" si="149"/>
        <v>0</v>
      </c>
      <c r="R1187" s="193"/>
      <c r="S1187" s="194"/>
      <c r="T1187" s="195">
        <f t="shared" si="150"/>
        <v>0</v>
      </c>
      <c r="U1187" s="195">
        <f t="shared" si="151"/>
        <v>0</v>
      </c>
      <c r="V1187" s="195">
        <f t="shared" si="152"/>
        <v>0</v>
      </c>
      <c r="W1187" s="196" t="e">
        <f t="shared" si="153"/>
        <v>#DIV/0!</v>
      </c>
      <c r="X1187" s="197" t="e">
        <f t="shared" si="154"/>
        <v>#DIV/0!</v>
      </c>
    </row>
    <row r="1188" ht="11.4" hidden="1" customHeight="1" spans="1:24">
      <c r="A1188" s="184" t="s">
        <v>3020</v>
      </c>
      <c r="B1188" s="184" t="s">
        <v>188</v>
      </c>
      <c r="C1188" s="184" t="s">
        <v>2644</v>
      </c>
      <c r="D1188" s="185" t="s">
        <v>701</v>
      </c>
      <c r="E1188" s="186" t="s">
        <v>3010</v>
      </c>
      <c r="F1188" s="186" t="s">
        <v>3021</v>
      </c>
      <c r="G1188" s="186" t="s">
        <v>3021</v>
      </c>
      <c r="H1188" s="186" t="s">
        <v>3028</v>
      </c>
      <c r="I1188" s="187" t="s">
        <v>3031</v>
      </c>
      <c r="J1188" s="187" t="s">
        <v>3032</v>
      </c>
      <c r="K1188" s="188"/>
      <c r="L1188" s="188"/>
      <c r="M1188" s="189" t="s">
        <v>989</v>
      </c>
      <c r="N1188" s="190">
        <v>1197.5</v>
      </c>
      <c r="O1188" s="190">
        <f t="shared" si="147"/>
        <v>1305.28</v>
      </c>
      <c r="P1188" s="191">
        <f t="shared" si="148"/>
        <v>0</v>
      </c>
      <c r="Q1188" s="192">
        <f t="shared" si="149"/>
        <v>0</v>
      </c>
      <c r="R1188" s="193"/>
      <c r="S1188" s="194"/>
      <c r="T1188" s="195">
        <f t="shared" si="150"/>
        <v>0</v>
      </c>
      <c r="U1188" s="195">
        <f t="shared" si="151"/>
        <v>0</v>
      </c>
      <c r="V1188" s="195">
        <f t="shared" si="152"/>
        <v>0</v>
      </c>
      <c r="W1188" s="196" t="e">
        <f t="shared" si="153"/>
        <v>#DIV/0!</v>
      </c>
      <c r="X1188" s="197" t="e">
        <f t="shared" si="154"/>
        <v>#DIV/0!</v>
      </c>
    </row>
    <row r="1189" ht="11.4" hidden="1" customHeight="1" spans="1:24">
      <c r="A1189" s="184" t="s">
        <v>3020</v>
      </c>
      <c r="B1189" s="184" t="s">
        <v>188</v>
      </c>
      <c r="C1189" s="184" t="s">
        <v>2644</v>
      </c>
      <c r="D1189" s="185" t="s">
        <v>701</v>
      </c>
      <c r="E1189" s="186" t="s">
        <v>3010</v>
      </c>
      <c r="F1189" s="186" t="s">
        <v>3021</v>
      </c>
      <c r="G1189" s="186" t="s">
        <v>3021</v>
      </c>
      <c r="H1189" s="186" t="s">
        <v>3028</v>
      </c>
      <c r="I1189" s="187" t="s">
        <v>3033</v>
      </c>
      <c r="J1189" s="187" t="s">
        <v>3034</v>
      </c>
      <c r="K1189" s="188"/>
      <c r="L1189" s="188"/>
      <c r="M1189" s="189" t="s">
        <v>963</v>
      </c>
      <c r="N1189" s="190">
        <v>158.95</v>
      </c>
      <c r="O1189" s="190">
        <f t="shared" si="147"/>
        <v>173.26</v>
      </c>
      <c r="P1189" s="191">
        <f t="shared" si="148"/>
        <v>0</v>
      </c>
      <c r="Q1189" s="192">
        <f t="shared" si="149"/>
        <v>0</v>
      </c>
      <c r="R1189" s="193"/>
      <c r="S1189" s="194"/>
      <c r="T1189" s="195">
        <f t="shared" si="150"/>
        <v>0</v>
      </c>
      <c r="U1189" s="195">
        <f t="shared" si="151"/>
        <v>0</v>
      </c>
      <c r="V1189" s="195">
        <f t="shared" si="152"/>
        <v>0</v>
      </c>
      <c r="W1189" s="196" t="e">
        <f t="shared" si="153"/>
        <v>#DIV/0!</v>
      </c>
      <c r="X1189" s="197" t="e">
        <f t="shared" si="154"/>
        <v>#DIV/0!</v>
      </c>
    </row>
    <row r="1190" ht="11.4" hidden="1" customHeight="1" spans="1:24">
      <c r="A1190" s="184" t="s">
        <v>3035</v>
      </c>
      <c r="B1190" s="184" t="s">
        <v>111</v>
      </c>
      <c r="C1190" s="184" t="s">
        <v>1101</v>
      </c>
      <c r="D1190" s="185" t="s">
        <v>700</v>
      </c>
      <c r="E1190" s="186" t="s">
        <v>2956</v>
      </c>
      <c r="F1190" s="186" t="s">
        <v>3036</v>
      </c>
      <c r="G1190" s="186" t="s">
        <v>3036</v>
      </c>
      <c r="H1190" s="186" t="s">
        <v>3037</v>
      </c>
      <c r="I1190" s="187" t="s">
        <v>1104</v>
      </c>
      <c r="J1190" s="187" t="s">
        <v>1105</v>
      </c>
      <c r="K1190" s="188"/>
      <c r="L1190" s="188"/>
      <c r="M1190" s="189" t="s">
        <v>847</v>
      </c>
      <c r="N1190" s="190">
        <v>180.78</v>
      </c>
      <c r="O1190" s="190">
        <f t="shared" si="147"/>
        <v>197.05</v>
      </c>
      <c r="P1190" s="191">
        <f t="shared" si="148"/>
        <v>0</v>
      </c>
      <c r="Q1190" s="192">
        <f t="shared" si="149"/>
        <v>0</v>
      </c>
      <c r="R1190" s="193"/>
      <c r="S1190" s="194"/>
      <c r="T1190" s="195">
        <f t="shared" si="150"/>
        <v>0</v>
      </c>
      <c r="U1190" s="195">
        <f t="shared" si="151"/>
        <v>0</v>
      </c>
      <c r="V1190" s="195">
        <f t="shared" si="152"/>
        <v>0</v>
      </c>
      <c r="W1190" s="196" t="e">
        <f t="shared" si="153"/>
        <v>#DIV/0!</v>
      </c>
      <c r="X1190" s="197" t="e">
        <f t="shared" si="154"/>
        <v>#DIV/0!</v>
      </c>
    </row>
    <row r="1191" ht="11.4" hidden="1" customHeight="1" spans="1:24">
      <c r="A1191" s="184" t="s">
        <v>3035</v>
      </c>
      <c r="B1191" s="184" t="s">
        <v>111</v>
      </c>
      <c r="C1191" s="184" t="s">
        <v>1101</v>
      </c>
      <c r="D1191" s="185" t="s">
        <v>700</v>
      </c>
      <c r="E1191" s="186" t="s">
        <v>2956</v>
      </c>
      <c r="F1191" s="186" t="s">
        <v>3036</v>
      </c>
      <c r="G1191" s="186" t="s">
        <v>3036</v>
      </c>
      <c r="H1191" s="186" t="s">
        <v>3037</v>
      </c>
      <c r="I1191" s="187" t="s">
        <v>1106</v>
      </c>
      <c r="J1191" s="187" t="s">
        <v>1107</v>
      </c>
      <c r="K1191" s="188"/>
      <c r="L1191" s="188"/>
      <c r="M1191" s="189" t="s">
        <v>807</v>
      </c>
      <c r="N1191" s="190">
        <v>41.36</v>
      </c>
      <c r="O1191" s="190">
        <f t="shared" si="147"/>
        <v>45.08</v>
      </c>
      <c r="P1191" s="191">
        <f t="shared" si="148"/>
        <v>0</v>
      </c>
      <c r="Q1191" s="192">
        <f t="shared" si="149"/>
        <v>0</v>
      </c>
      <c r="R1191" s="193"/>
      <c r="S1191" s="194"/>
      <c r="T1191" s="195">
        <f t="shared" si="150"/>
        <v>0</v>
      </c>
      <c r="U1191" s="195">
        <f t="shared" si="151"/>
        <v>0</v>
      </c>
      <c r="V1191" s="195">
        <f t="shared" si="152"/>
        <v>0</v>
      </c>
      <c r="W1191" s="196" t="e">
        <f t="shared" si="153"/>
        <v>#DIV/0!</v>
      </c>
      <c r="X1191" s="197" t="e">
        <f t="shared" si="154"/>
        <v>#DIV/0!</v>
      </c>
    </row>
    <row r="1192" ht="11.4" hidden="1" customHeight="1" spans="1:24">
      <c r="A1192" s="184" t="s">
        <v>3035</v>
      </c>
      <c r="B1192" s="184" t="s">
        <v>111</v>
      </c>
      <c r="C1192" s="184" t="s">
        <v>1101</v>
      </c>
      <c r="D1192" s="185" t="s">
        <v>700</v>
      </c>
      <c r="E1192" s="186" t="s">
        <v>2956</v>
      </c>
      <c r="F1192" s="186" t="s">
        <v>3036</v>
      </c>
      <c r="G1192" s="186" t="s">
        <v>3036</v>
      </c>
      <c r="H1192" s="186" t="s">
        <v>3037</v>
      </c>
      <c r="I1192" s="187" t="s">
        <v>1109</v>
      </c>
      <c r="J1192" s="187" t="s">
        <v>1110</v>
      </c>
      <c r="K1192" s="188"/>
      <c r="L1192" s="188"/>
      <c r="M1192" s="189" t="s">
        <v>847</v>
      </c>
      <c r="N1192" s="190">
        <v>160.21</v>
      </c>
      <c r="O1192" s="190">
        <f t="shared" si="147"/>
        <v>174.63</v>
      </c>
      <c r="P1192" s="191">
        <f t="shared" si="148"/>
        <v>0</v>
      </c>
      <c r="Q1192" s="192">
        <f t="shared" si="149"/>
        <v>0</v>
      </c>
      <c r="R1192" s="193"/>
      <c r="S1192" s="194"/>
      <c r="T1192" s="195">
        <f t="shared" si="150"/>
        <v>0</v>
      </c>
      <c r="U1192" s="195">
        <f t="shared" si="151"/>
        <v>0</v>
      </c>
      <c r="V1192" s="195">
        <f t="shared" si="152"/>
        <v>0</v>
      </c>
      <c r="W1192" s="196" t="e">
        <f t="shared" si="153"/>
        <v>#DIV/0!</v>
      </c>
      <c r="X1192" s="197" t="e">
        <f t="shared" si="154"/>
        <v>#DIV/0!</v>
      </c>
    </row>
    <row r="1193" ht="11.4" hidden="1" customHeight="1" spans="1:24">
      <c r="A1193" s="184" t="s">
        <v>3035</v>
      </c>
      <c r="B1193" s="184" t="s">
        <v>111</v>
      </c>
      <c r="C1193" s="184" t="s">
        <v>1101</v>
      </c>
      <c r="D1193" s="185" t="s">
        <v>700</v>
      </c>
      <c r="E1193" s="186" t="s">
        <v>2956</v>
      </c>
      <c r="F1193" s="186" t="s">
        <v>3036</v>
      </c>
      <c r="G1193" s="186" t="s">
        <v>3036</v>
      </c>
      <c r="H1193" s="186" t="s">
        <v>3037</v>
      </c>
      <c r="I1193" s="187" t="s">
        <v>1111</v>
      </c>
      <c r="J1193" s="187" t="s">
        <v>1112</v>
      </c>
      <c r="K1193" s="188"/>
      <c r="L1193" s="188"/>
      <c r="M1193" s="189" t="s">
        <v>807</v>
      </c>
      <c r="N1193" s="190">
        <v>38.94</v>
      </c>
      <c r="O1193" s="190">
        <f t="shared" si="147"/>
        <v>42.44</v>
      </c>
      <c r="P1193" s="191">
        <f t="shared" si="148"/>
        <v>0</v>
      </c>
      <c r="Q1193" s="192">
        <f t="shared" si="149"/>
        <v>0</v>
      </c>
      <c r="R1193" s="193"/>
      <c r="S1193" s="194"/>
      <c r="T1193" s="195">
        <f t="shared" si="150"/>
        <v>0</v>
      </c>
      <c r="U1193" s="195">
        <f t="shared" si="151"/>
        <v>0</v>
      </c>
      <c r="V1193" s="195">
        <f t="shared" si="152"/>
        <v>0</v>
      </c>
      <c r="W1193" s="196" t="e">
        <f t="shared" si="153"/>
        <v>#DIV/0!</v>
      </c>
      <c r="X1193" s="197" t="e">
        <f t="shared" si="154"/>
        <v>#DIV/0!</v>
      </c>
    </row>
    <row r="1194" ht="11.4" hidden="1" customHeight="1" spans="1:24">
      <c r="A1194" s="184" t="s">
        <v>3035</v>
      </c>
      <c r="B1194" s="184" t="s">
        <v>111</v>
      </c>
      <c r="C1194" s="184" t="s">
        <v>1101</v>
      </c>
      <c r="D1194" s="185" t="s">
        <v>700</v>
      </c>
      <c r="E1194" s="186" t="s">
        <v>2956</v>
      </c>
      <c r="F1194" s="186" t="s">
        <v>3036</v>
      </c>
      <c r="G1194" s="186" t="s">
        <v>3036</v>
      </c>
      <c r="H1194" s="186" t="s">
        <v>3037</v>
      </c>
      <c r="I1194" s="187" t="s">
        <v>1113</v>
      </c>
      <c r="J1194" s="187" t="s">
        <v>1114</v>
      </c>
      <c r="K1194" s="188"/>
      <c r="L1194" s="188"/>
      <c r="M1194" s="189" t="s">
        <v>847</v>
      </c>
      <c r="N1194" s="190">
        <v>181.99</v>
      </c>
      <c r="O1194" s="190">
        <f t="shared" si="147"/>
        <v>198.37</v>
      </c>
      <c r="P1194" s="191">
        <f t="shared" si="148"/>
        <v>0</v>
      </c>
      <c r="Q1194" s="192">
        <f t="shared" si="149"/>
        <v>0</v>
      </c>
      <c r="R1194" s="193"/>
      <c r="S1194" s="194"/>
      <c r="T1194" s="195">
        <f t="shared" si="150"/>
        <v>0</v>
      </c>
      <c r="U1194" s="195">
        <f t="shared" si="151"/>
        <v>0</v>
      </c>
      <c r="V1194" s="195">
        <f t="shared" si="152"/>
        <v>0</v>
      </c>
      <c r="W1194" s="196" t="e">
        <f t="shared" si="153"/>
        <v>#DIV/0!</v>
      </c>
      <c r="X1194" s="197" t="e">
        <f t="shared" si="154"/>
        <v>#DIV/0!</v>
      </c>
    </row>
    <row r="1195" ht="11.4" hidden="1" customHeight="1" spans="1:24">
      <c r="A1195" s="184" t="s">
        <v>3035</v>
      </c>
      <c r="B1195" s="184" t="s">
        <v>111</v>
      </c>
      <c r="C1195" s="184" t="s">
        <v>1101</v>
      </c>
      <c r="D1195" s="185" t="s">
        <v>700</v>
      </c>
      <c r="E1195" s="186" t="s">
        <v>2956</v>
      </c>
      <c r="F1195" s="186" t="s">
        <v>3036</v>
      </c>
      <c r="G1195" s="186" t="s">
        <v>3036</v>
      </c>
      <c r="H1195" s="186" t="s">
        <v>3037</v>
      </c>
      <c r="I1195" s="187" t="s">
        <v>1115</v>
      </c>
      <c r="J1195" s="187" t="s">
        <v>1116</v>
      </c>
      <c r="K1195" s="188"/>
      <c r="L1195" s="188"/>
      <c r="M1195" s="189" t="s">
        <v>807</v>
      </c>
      <c r="N1195" s="190">
        <v>42.57</v>
      </c>
      <c r="O1195" s="190">
        <f t="shared" si="147"/>
        <v>46.4</v>
      </c>
      <c r="P1195" s="191">
        <f t="shared" si="148"/>
        <v>0</v>
      </c>
      <c r="Q1195" s="192">
        <f t="shared" si="149"/>
        <v>0</v>
      </c>
      <c r="R1195" s="193"/>
      <c r="S1195" s="194"/>
      <c r="T1195" s="195">
        <f t="shared" si="150"/>
        <v>0</v>
      </c>
      <c r="U1195" s="195">
        <f t="shared" si="151"/>
        <v>0</v>
      </c>
      <c r="V1195" s="195">
        <f t="shared" si="152"/>
        <v>0</v>
      </c>
      <c r="W1195" s="196" t="e">
        <f t="shared" si="153"/>
        <v>#DIV/0!</v>
      </c>
      <c r="X1195" s="197" t="e">
        <f t="shared" si="154"/>
        <v>#DIV/0!</v>
      </c>
    </row>
    <row r="1196" ht="11.4" hidden="1" customHeight="1" spans="1:24">
      <c r="A1196" s="184" t="s">
        <v>3038</v>
      </c>
      <c r="B1196" s="184" t="s">
        <v>113</v>
      </c>
      <c r="C1196" s="184" t="s">
        <v>1101</v>
      </c>
      <c r="D1196" s="185" t="s">
        <v>700</v>
      </c>
      <c r="E1196" s="186" t="s">
        <v>2956</v>
      </c>
      <c r="F1196" s="186" t="s">
        <v>3036</v>
      </c>
      <c r="G1196" s="186" t="s">
        <v>3036</v>
      </c>
      <c r="H1196" s="186" t="s">
        <v>3039</v>
      </c>
      <c r="I1196" s="187" t="s">
        <v>1175</v>
      </c>
      <c r="J1196" s="187" t="s">
        <v>1176</v>
      </c>
      <c r="K1196" s="188"/>
      <c r="L1196" s="188"/>
      <c r="M1196" s="189" t="s">
        <v>847</v>
      </c>
      <c r="N1196" s="190">
        <v>114.06</v>
      </c>
      <c r="O1196" s="190">
        <f t="shared" si="147"/>
        <v>124.33</v>
      </c>
      <c r="P1196" s="191">
        <f t="shared" si="148"/>
        <v>0</v>
      </c>
      <c r="Q1196" s="192">
        <f t="shared" si="149"/>
        <v>0</v>
      </c>
      <c r="R1196" s="193"/>
      <c r="S1196" s="194"/>
      <c r="T1196" s="195">
        <f t="shared" si="150"/>
        <v>0</v>
      </c>
      <c r="U1196" s="195">
        <f t="shared" si="151"/>
        <v>0</v>
      </c>
      <c r="V1196" s="195">
        <f t="shared" si="152"/>
        <v>0</v>
      </c>
      <c r="W1196" s="196" t="e">
        <f t="shared" si="153"/>
        <v>#DIV/0!</v>
      </c>
      <c r="X1196" s="197" t="e">
        <f t="shared" si="154"/>
        <v>#DIV/0!</v>
      </c>
    </row>
    <row r="1197" ht="11.4" hidden="1" customHeight="1" spans="1:24">
      <c r="A1197" s="184" t="s">
        <v>3038</v>
      </c>
      <c r="B1197" s="184" t="s">
        <v>113</v>
      </c>
      <c r="C1197" s="184" t="s">
        <v>1101</v>
      </c>
      <c r="D1197" s="185" t="s">
        <v>700</v>
      </c>
      <c r="E1197" s="186" t="s">
        <v>2956</v>
      </c>
      <c r="F1197" s="186" t="s">
        <v>3036</v>
      </c>
      <c r="G1197" s="186" t="s">
        <v>3036</v>
      </c>
      <c r="H1197" s="186" t="s">
        <v>3039</v>
      </c>
      <c r="I1197" s="187" t="s">
        <v>1178</v>
      </c>
      <c r="J1197" s="187" t="s">
        <v>1179</v>
      </c>
      <c r="K1197" s="188"/>
      <c r="L1197" s="188"/>
      <c r="M1197" s="189" t="s">
        <v>847</v>
      </c>
      <c r="N1197" s="190">
        <v>197.83</v>
      </c>
      <c r="O1197" s="190">
        <f t="shared" si="147"/>
        <v>215.63</v>
      </c>
      <c r="P1197" s="191">
        <f t="shared" si="148"/>
        <v>0</v>
      </c>
      <c r="Q1197" s="192">
        <f t="shared" si="149"/>
        <v>0</v>
      </c>
      <c r="R1197" s="193"/>
      <c r="S1197" s="194"/>
      <c r="T1197" s="195">
        <f t="shared" si="150"/>
        <v>0</v>
      </c>
      <c r="U1197" s="195">
        <f t="shared" si="151"/>
        <v>0</v>
      </c>
      <c r="V1197" s="195">
        <f t="shared" si="152"/>
        <v>0</v>
      </c>
      <c r="W1197" s="196" t="e">
        <f t="shared" si="153"/>
        <v>#DIV/0!</v>
      </c>
      <c r="X1197" s="197" t="e">
        <f t="shared" si="154"/>
        <v>#DIV/0!</v>
      </c>
    </row>
    <row r="1198" ht="11.4" hidden="1" customHeight="1" spans="1:24">
      <c r="A1198" s="184" t="s">
        <v>3038</v>
      </c>
      <c r="B1198" s="184" t="s">
        <v>113</v>
      </c>
      <c r="C1198" s="184" t="s">
        <v>1101</v>
      </c>
      <c r="D1198" s="185" t="s">
        <v>700</v>
      </c>
      <c r="E1198" s="186" t="s">
        <v>2956</v>
      </c>
      <c r="F1198" s="186" t="s">
        <v>3036</v>
      </c>
      <c r="G1198" s="186" t="s">
        <v>3036</v>
      </c>
      <c r="H1198" s="186" t="s">
        <v>3039</v>
      </c>
      <c r="I1198" s="187" t="s">
        <v>1181</v>
      </c>
      <c r="J1198" s="187" t="s">
        <v>1182</v>
      </c>
      <c r="K1198" s="188"/>
      <c r="L1198" s="188"/>
      <c r="M1198" s="189" t="s">
        <v>847</v>
      </c>
      <c r="N1198" s="190">
        <v>182.9</v>
      </c>
      <c r="O1198" s="190">
        <f t="shared" si="147"/>
        <v>199.36</v>
      </c>
      <c r="P1198" s="191">
        <f t="shared" si="148"/>
        <v>0</v>
      </c>
      <c r="Q1198" s="192">
        <f t="shared" si="149"/>
        <v>0</v>
      </c>
      <c r="R1198" s="193"/>
      <c r="S1198" s="194"/>
      <c r="T1198" s="195">
        <f t="shared" si="150"/>
        <v>0</v>
      </c>
      <c r="U1198" s="195">
        <f t="shared" si="151"/>
        <v>0</v>
      </c>
      <c r="V1198" s="195">
        <f t="shared" si="152"/>
        <v>0</v>
      </c>
      <c r="W1198" s="196" t="e">
        <f t="shared" si="153"/>
        <v>#DIV/0!</v>
      </c>
      <c r="X1198" s="197" t="e">
        <f t="shared" si="154"/>
        <v>#DIV/0!</v>
      </c>
    </row>
    <row r="1199" ht="11.4" hidden="1" customHeight="1" spans="1:24">
      <c r="A1199" s="184" t="s">
        <v>3038</v>
      </c>
      <c r="B1199" s="184" t="s">
        <v>113</v>
      </c>
      <c r="C1199" s="184" t="s">
        <v>1101</v>
      </c>
      <c r="D1199" s="185" t="s">
        <v>700</v>
      </c>
      <c r="E1199" s="186" t="s">
        <v>2956</v>
      </c>
      <c r="F1199" s="186" t="s">
        <v>3036</v>
      </c>
      <c r="G1199" s="186" t="s">
        <v>3036</v>
      </c>
      <c r="H1199" s="186" t="s">
        <v>3039</v>
      </c>
      <c r="I1199" s="187" t="s">
        <v>1183</v>
      </c>
      <c r="J1199" s="187" t="s">
        <v>1184</v>
      </c>
      <c r="K1199" s="188"/>
      <c r="L1199" s="188"/>
      <c r="M1199" s="189" t="s">
        <v>847</v>
      </c>
      <c r="N1199" s="190">
        <v>186.66</v>
      </c>
      <c r="O1199" s="190">
        <f t="shared" si="147"/>
        <v>203.46</v>
      </c>
      <c r="P1199" s="191">
        <f t="shared" si="148"/>
        <v>0</v>
      </c>
      <c r="Q1199" s="192">
        <f t="shared" si="149"/>
        <v>0</v>
      </c>
      <c r="R1199" s="193"/>
      <c r="S1199" s="194"/>
      <c r="T1199" s="195">
        <f t="shared" si="150"/>
        <v>0</v>
      </c>
      <c r="U1199" s="195">
        <f t="shared" si="151"/>
        <v>0</v>
      </c>
      <c r="V1199" s="195">
        <f t="shared" si="152"/>
        <v>0</v>
      </c>
      <c r="W1199" s="196" t="e">
        <f t="shared" si="153"/>
        <v>#DIV/0!</v>
      </c>
      <c r="X1199" s="197" t="e">
        <f t="shared" si="154"/>
        <v>#DIV/0!</v>
      </c>
    </row>
    <row r="1200" ht="11.4" hidden="1" customHeight="1" spans="1:24">
      <c r="A1200" s="184" t="s">
        <v>3038</v>
      </c>
      <c r="B1200" s="184" t="s">
        <v>113</v>
      </c>
      <c r="C1200" s="184" t="s">
        <v>1101</v>
      </c>
      <c r="D1200" s="185" t="s">
        <v>700</v>
      </c>
      <c r="E1200" s="186" t="s">
        <v>2956</v>
      </c>
      <c r="F1200" s="186" t="s">
        <v>3036</v>
      </c>
      <c r="G1200" s="186" t="s">
        <v>3036</v>
      </c>
      <c r="H1200" s="186" t="s">
        <v>3039</v>
      </c>
      <c r="I1200" s="187" t="s">
        <v>1185</v>
      </c>
      <c r="J1200" s="187" t="s">
        <v>1186</v>
      </c>
      <c r="K1200" s="188"/>
      <c r="L1200" s="188"/>
      <c r="M1200" s="189" t="s">
        <v>847</v>
      </c>
      <c r="N1200" s="190">
        <v>174.35</v>
      </c>
      <c r="O1200" s="190">
        <f t="shared" si="147"/>
        <v>190.04</v>
      </c>
      <c r="P1200" s="191">
        <f t="shared" si="148"/>
        <v>0</v>
      </c>
      <c r="Q1200" s="192">
        <f t="shared" si="149"/>
        <v>0</v>
      </c>
      <c r="R1200" s="193"/>
      <c r="S1200" s="194"/>
      <c r="T1200" s="195">
        <f t="shared" si="150"/>
        <v>0</v>
      </c>
      <c r="U1200" s="195">
        <f t="shared" si="151"/>
        <v>0</v>
      </c>
      <c r="V1200" s="195">
        <f t="shared" si="152"/>
        <v>0</v>
      </c>
      <c r="W1200" s="196" t="e">
        <f t="shared" si="153"/>
        <v>#DIV/0!</v>
      </c>
      <c r="X1200" s="197" t="e">
        <f t="shared" si="154"/>
        <v>#DIV/0!</v>
      </c>
    </row>
    <row r="1201" ht="11.4" hidden="1" customHeight="1" spans="1:24">
      <c r="A1201" s="184" t="s">
        <v>3038</v>
      </c>
      <c r="B1201" s="184" t="s">
        <v>113</v>
      </c>
      <c r="C1201" s="184" t="s">
        <v>1101</v>
      </c>
      <c r="D1201" s="185" t="s">
        <v>700</v>
      </c>
      <c r="E1201" s="186" t="s">
        <v>2956</v>
      </c>
      <c r="F1201" s="186" t="s">
        <v>3036</v>
      </c>
      <c r="G1201" s="186" t="s">
        <v>3036</v>
      </c>
      <c r="H1201" s="186" t="s">
        <v>3039</v>
      </c>
      <c r="I1201" s="187" t="s">
        <v>1193</v>
      </c>
      <c r="J1201" s="187" t="s">
        <v>1194</v>
      </c>
      <c r="K1201" s="188"/>
      <c r="L1201" s="188"/>
      <c r="M1201" s="189" t="s">
        <v>847</v>
      </c>
      <c r="N1201" s="190">
        <v>70.85</v>
      </c>
      <c r="O1201" s="190">
        <f t="shared" si="147"/>
        <v>77.23</v>
      </c>
      <c r="P1201" s="191">
        <f t="shared" si="148"/>
        <v>0</v>
      </c>
      <c r="Q1201" s="192">
        <f t="shared" si="149"/>
        <v>0</v>
      </c>
      <c r="R1201" s="193"/>
      <c r="S1201" s="194"/>
      <c r="T1201" s="195">
        <f t="shared" si="150"/>
        <v>0</v>
      </c>
      <c r="U1201" s="195">
        <f t="shared" si="151"/>
        <v>0</v>
      </c>
      <c r="V1201" s="195">
        <f t="shared" si="152"/>
        <v>0</v>
      </c>
      <c r="W1201" s="196" t="e">
        <f t="shared" si="153"/>
        <v>#DIV/0!</v>
      </c>
      <c r="X1201" s="197" t="e">
        <f t="shared" si="154"/>
        <v>#DIV/0!</v>
      </c>
    </row>
    <row r="1202" ht="11.4" hidden="1" customHeight="1" spans="1:24">
      <c r="A1202" s="184" t="s">
        <v>3038</v>
      </c>
      <c r="B1202" s="184" t="s">
        <v>113</v>
      </c>
      <c r="C1202" s="184" t="s">
        <v>1101</v>
      </c>
      <c r="D1202" s="185" t="s">
        <v>700</v>
      </c>
      <c r="E1202" s="186" t="s">
        <v>2956</v>
      </c>
      <c r="F1202" s="186" t="s">
        <v>3036</v>
      </c>
      <c r="G1202" s="186" t="s">
        <v>3036</v>
      </c>
      <c r="H1202" s="186" t="s">
        <v>3039</v>
      </c>
      <c r="I1202" s="187" t="s">
        <v>1195</v>
      </c>
      <c r="J1202" s="187" t="s">
        <v>1196</v>
      </c>
      <c r="K1202" s="188"/>
      <c r="L1202" s="188"/>
      <c r="M1202" s="189" t="s">
        <v>847</v>
      </c>
      <c r="N1202" s="190">
        <v>307.56</v>
      </c>
      <c r="O1202" s="190">
        <f t="shared" si="147"/>
        <v>335.24</v>
      </c>
      <c r="P1202" s="191">
        <f t="shared" si="148"/>
        <v>0</v>
      </c>
      <c r="Q1202" s="192">
        <f t="shared" si="149"/>
        <v>0</v>
      </c>
      <c r="R1202" s="193"/>
      <c r="S1202" s="194"/>
      <c r="T1202" s="195">
        <f t="shared" si="150"/>
        <v>0</v>
      </c>
      <c r="U1202" s="195">
        <f t="shared" si="151"/>
        <v>0</v>
      </c>
      <c r="V1202" s="195">
        <f t="shared" si="152"/>
        <v>0</v>
      </c>
      <c r="W1202" s="196" t="e">
        <f t="shared" si="153"/>
        <v>#DIV/0!</v>
      </c>
      <c r="X1202" s="197" t="e">
        <f t="shared" si="154"/>
        <v>#DIV/0!</v>
      </c>
    </row>
    <row r="1203" ht="11.4" hidden="1" customHeight="1" spans="1:24">
      <c r="A1203" s="184" t="s">
        <v>3038</v>
      </c>
      <c r="B1203" s="184" t="s">
        <v>113</v>
      </c>
      <c r="C1203" s="184" t="s">
        <v>1101</v>
      </c>
      <c r="D1203" s="185" t="s">
        <v>700</v>
      </c>
      <c r="E1203" s="186" t="s">
        <v>2956</v>
      </c>
      <c r="F1203" s="186" t="s">
        <v>3036</v>
      </c>
      <c r="G1203" s="186" t="s">
        <v>3036</v>
      </c>
      <c r="H1203" s="186" t="s">
        <v>3039</v>
      </c>
      <c r="I1203" s="187" t="s">
        <v>1197</v>
      </c>
      <c r="J1203" s="187" t="s">
        <v>1198</v>
      </c>
      <c r="K1203" s="188"/>
      <c r="L1203" s="188"/>
      <c r="M1203" s="189" t="s">
        <v>847</v>
      </c>
      <c r="N1203" s="190">
        <v>39.59</v>
      </c>
      <c r="O1203" s="190">
        <f t="shared" si="147"/>
        <v>43.15</v>
      </c>
      <c r="P1203" s="191">
        <f t="shared" si="148"/>
        <v>0</v>
      </c>
      <c r="Q1203" s="192">
        <f t="shared" si="149"/>
        <v>0</v>
      </c>
      <c r="R1203" s="193"/>
      <c r="S1203" s="194"/>
      <c r="T1203" s="195">
        <f t="shared" si="150"/>
        <v>0</v>
      </c>
      <c r="U1203" s="195">
        <f t="shared" si="151"/>
        <v>0</v>
      </c>
      <c r="V1203" s="195">
        <f t="shared" si="152"/>
        <v>0</v>
      </c>
      <c r="W1203" s="196" t="e">
        <f t="shared" si="153"/>
        <v>#DIV/0!</v>
      </c>
      <c r="X1203" s="197" t="e">
        <f t="shared" si="154"/>
        <v>#DIV/0!</v>
      </c>
    </row>
    <row r="1204" ht="11.4" hidden="1" customHeight="1" spans="1:24">
      <c r="A1204" s="184" t="s">
        <v>3038</v>
      </c>
      <c r="B1204" s="184" t="s">
        <v>113</v>
      </c>
      <c r="C1204" s="184" t="s">
        <v>1101</v>
      </c>
      <c r="D1204" s="185" t="s">
        <v>700</v>
      </c>
      <c r="E1204" s="186" t="s">
        <v>2956</v>
      </c>
      <c r="F1204" s="186" t="s">
        <v>3036</v>
      </c>
      <c r="G1204" s="186" t="s">
        <v>3036</v>
      </c>
      <c r="H1204" s="186" t="s">
        <v>3039</v>
      </c>
      <c r="I1204" s="187" t="s">
        <v>1338</v>
      </c>
      <c r="J1204" s="187" t="s">
        <v>1339</v>
      </c>
      <c r="K1204" s="188"/>
      <c r="L1204" s="188"/>
      <c r="M1204" s="189" t="s">
        <v>847</v>
      </c>
      <c r="N1204" s="190">
        <v>205.04</v>
      </c>
      <c r="O1204" s="190">
        <f t="shared" si="147"/>
        <v>223.49</v>
      </c>
      <c r="P1204" s="191">
        <f t="shared" si="148"/>
        <v>0</v>
      </c>
      <c r="Q1204" s="192">
        <f t="shared" si="149"/>
        <v>0</v>
      </c>
      <c r="R1204" s="193"/>
      <c r="S1204" s="194"/>
      <c r="T1204" s="195">
        <f t="shared" si="150"/>
        <v>0</v>
      </c>
      <c r="U1204" s="195">
        <f t="shared" si="151"/>
        <v>0</v>
      </c>
      <c r="V1204" s="195">
        <f t="shared" si="152"/>
        <v>0</v>
      </c>
      <c r="W1204" s="196" t="e">
        <f t="shared" si="153"/>
        <v>#DIV/0!</v>
      </c>
      <c r="X1204" s="197" t="e">
        <f t="shared" si="154"/>
        <v>#DIV/0!</v>
      </c>
    </row>
    <row r="1205" ht="11.4" hidden="1" customHeight="1" spans="1:24">
      <c r="A1205" s="184" t="s">
        <v>1340</v>
      </c>
      <c r="B1205" s="184" t="s">
        <v>133</v>
      </c>
      <c r="C1205" s="184" t="s">
        <v>1341</v>
      </c>
      <c r="D1205" s="185" t="s">
        <v>700</v>
      </c>
      <c r="E1205" s="186" t="s">
        <v>2956</v>
      </c>
      <c r="F1205" s="186" t="s">
        <v>3036</v>
      </c>
      <c r="G1205" s="186" t="s">
        <v>3036</v>
      </c>
      <c r="H1205" s="186" t="s">
        <v>3040</v>
      </c>
      <c r="I1205" s="187" t="s">
        <v>1343</v>
      </c>
      <c r="J1205" s="187" t="s">
        <v>1344</v>
      </c>
      <c r="K1205" s="188"/>
      <c r="L1205" s="188"/>
      <c r="M1205" s="189" t="s">
        <v>847</v>
      </c>
      <c r="N1205" s="190"/>
      <c r="O1205" s="190">
        <f t="shared" si="147"/>
        <v>0</v>
      </c>
      <c r="P1205" s="191">
        <f t="shared" si="148"/>
        <v>0</v>
      </c>
      <c r="Q1205" s="192">
        <f t="shared" si="149"/>
        <v>0</v>
      </c>
      <c r="R1205" s="193"/>
      <c r="S1205" s="194"/>
      <c r="T1205" s="195">
        <f t="shared" si="150"/>
        <v>0</v>
      </c>
      <c r="U1205" s="195">
        <f t="shared" si="151"/>
        <v>0</v>
      </c>
      <c r="V1205" s="195">
        <f t="shared" si="152"/>
        <v>0</v>
      </c>
      <c r="W1205" s="196" t="e">
        <f t="shared" si="153"/>
        <v>#DIV/0!</v>
      </c>
      <c r="X1205" s="197" t="e">
        <f t="shared" si="154"/>
        <v>#DIV/0!</v>
      </c>
    </row>
    <row r="1206" ht="11.4" hidden="1" customHeight="1" spans="1:24">
      <c r="A1206" s="184" t="s">
        <v>1340</v>
      </c>
      <c r="B1206" s="184" t="s">
        <v>133</v>
      </c>
      <c r="C1206" s="184" t="s">
        <v>1341</v>
      </c>
      <c r="D1206" s="185" t="s">
        <v>700</v>
      </c>
      <c r="E1206" s="186" t="s">
        <v>2956</v>
      </c>
      <c r="F1206" s="186" t="s">
        <v>3036</v>
      </c>
      <c r="G1206" s="186" t="s">
        <v>3036</v>
      </c>
      <c r="H1206" s="186" t="s">
        <v>3040</v>
      </c>
      <c r="I1206" s="187" t="s">
        <v>1345</v>
      </c>
      <c r="J1206" s="187" t="s">
        <v>1346</v>
      </c>
      <c r="K1206" s="188"/>
      <c r="L1206" s="188"/>
      <c r="M1206" s="189" t="s">
        <v>847</v>
      </c>
      <c r="N1206" s="190"/>
      <c r="O1206" s="190">
        <f t="shared" si="147"/>
        <v>0</v>
      </c>
      <c r="P1206" s="191">
        <f t="shared" si="148"/>
        <v>0</v>
      </c>
      <c r="Q1206" s="192">
        <f t="shared" si="149"/>
        <v>0</v>
      </c>
      <c r="R1206" s="193"/>
      <c r="S1206" s="194"/>
      <c r="T1206" s="195">
        <f t="shared" si="150"/>
        <v>0</v>
      </c>
      <c r="U1206" s="195">
        <f t="shared" si="151"/>
        <v>0</v>
      </c>
      <c r="V1206" s="195">
        <f t="shared" si="152"/>
        <v>0</v>
      </c>
      <c r="W1206" s="196" t="e">
        <f t="shared" si="153"/>
        <v>#DIV/0!</v>
      </c>
      <c r="X1206" s="197" t="e">
        <f t="shared" si="154"/>
        <v>#DIV/0!</v>
      </c>
    </row>
    <row r="1207" ht="11.4" hidden="1" customHeight="1" spans="1:24">
      <c r="A1207" s="184" t="s">
        <v>1340</v>
      </c>
      <c r="B1207" s="184" t="s">
        <v>133</v>
      </c>
      <c r="C1207" s="184" t="s">
        <v>1341</v>
      </c>
      <c r="D1207" s="185" t="s">
        <v>700</v>
      </c>
      <c r="E1207" s="186" t="s">
        <v>2956</v>
      </c>
      <c r="F1207" s="186" t="s">
        <v>3036</v>
      </c>
      <c r="G1207" s="186" t="s">
        <v>3036</v>
      </c>
      <c r="H1207" s="186" t="s">
        <v>3040</v>
      </c>
      <c r="I1207" s="187" t="s">
        <v>1347</v>
      </c>
      <c r="J1207" s="187" t="s">
        <v>1348</v>
      </c>
      <c r="K1207" s="188"/>
      <c r="L1207" s="188"/>
      <c r="M1207" s="189" t="s">
        <v>847</v>
      </c>
      <c r="N1207" s="190"/>
      <c r="O1207" s="190">
        <f t="shared" si="147"/>
        <v>0</v>
      </c>
      <c r="P1207" s="191">
        <f t="shared" si="148"/>
        <v>0</v>
      </c>
      <c r="Q1207" s="192">
        <f t="shared" si="149"/>
        <v>0</v>
      </c>
      <c r="R1207" s="193"/>
      <c r="S1207" s="194"/>
      <c r="T1207" s="195">
        <f t="shared" si="150"/>
        <v>0</v>
      </c>
      <c r="U1207" s="195">
        <f t="shared" si="151"/>
        <v>0</v>
      </c>
      <c r="V1207" s="195">
        <f t="shared" si="152"/>
        <v>0</v>
      </c>
      <c r="W1207" s="196" t="e">
        <f t="shared" si="153"/>
        <v>#DIV/0!</v>
      </c>
      <c r="X1207" s="197" t="e">
        <f t="shared" si="154"/>
        <v>#DIV/0!</v>
      </c>
    </row>
    <row r="1208" ht="11.4" hidden="1" customHeight="1" spans="1:24">
      <c r="A1208" s="184" t="s">
        <v>1340</v>
      </c>
      <c r="B1208" s="184" t="s">
        <v>133</v>
      </c>
      <c r="C1208" s="184" t="s">
        <v>1341</v>
      </c>
      <c r="D1208" s="185" t="s">
        <v>700</v>
      </c>
      <c r="E1208" s="186" t="s">
        <v>2956</v>
      </c>
      <c r="F1208" s="186" t="s">
        <v>3036</v>
      </c>
      <c r="G1208" s="186" t="s">
        <v>3036</v>
      </c>
      <c r="H1208" s="186" t="s">
        <v>3040</v>
      </c>
      <c r="I1208" s="187" t="s">
        <v>1349</v>
      </c>
      <c r="J1208" s="187" t="s">
        <v>1350</v>
      </c>
      <c r="K1208" s="188"/>
      <c r="L1208" s="188"/>
      <c r="M1208" s="189" t="s">
        <v>847</v>
      </c>
      <c r="N1208" s="190">
        <v>58</v>
      </c>
      <c r="O1208" s="190">
        <f t="shared" si="147"/>
        <v>63.22</v>
      </c>
      <c r="P1208" s="191">
        <f t="shared" si="148"/>
        <v>0</v>
      </c>
      <c r="Q1208" s="192">
        <f t="shared" si="149"/>
        <v>0</v>
      </c>
      <c r="R1208" s="193"/>
      <c r="S1208" s="194"/>
      <c r="T1208" s="195">
        <f t="shared" si="150"/>
        <v>0</v>
      </c>
      <c r="U1208" s="195">
        <f t="shared" si="151"/>
        <v>0</v>
      </c>
      <c r="V1208" s="195">
        <f t="shared" si="152"/>
        <v>0</v>
      </c>
      <c r="W1208" s="196" t="e">
        <f t="shared" si="153"/>
        <v>#DIV/0!</v>
      </c>
      <c r="X1208" s="197" t="e">
        <f t="shared" si="154"/>
        <v>#DIV/0!</v>
      </c>
    </row>
    <row r="1209" ht="11.4" hidden="1" customHeight="1" spans="1:24">
      <c r="A1209" s="184" t="s">
        <v>3038</v>
      </c>
      <c r="B1209" s="184" t="s">
        <v>109</v>
      </c>
      <c r="C1209" s="184" t="s">
        <v>1101</v>
      </c>
      <c r="D1209" s="185" t="s">
        <v>700</v>
      </c>
      <c r="E1209" s="186" t="s">
        <v>2956</v>
      </c>
      <c r="F1209" s="186" t="s">
        <v>3036</v>
      </c>
      <c r="G1209" s="186" t="s">
        <v>3036</v>
      </c>
      <c r="H1209" s="186" t="s">
        <v>3039</v>
      </c>
      <c r="I1209" s="187" t="s">
        <v>1745</v>
      </c>
      <c r="J1209" s="187" t="s">
        <v>1746</v>
      </c>
      <c r="K1209" s="188"/>
      <c r="L1209" s="188"/>
      <c r="M1209" s="189" t="s">
        <v>847</v>
      </c>
      <c r="N1209" s="190">
        <v>118.11</v>
      </c>
      <c r="O1209" s="190">
        <f t="shared" si="147"/>
        <v>128.74</v>
      </c>
      <c r="P1209" s="191">
        <f t="shared" si="148"/>
        <v>0</v>
      </c>
      <c r="Q1209" s="192">
        <f t="shared" si="149"/>
        <v>0</v>
      </c>
      <c r="R1209" s="193"/>
      <c r="S1209" s="194"/>
      <c r="T1209" s="195">
        <f t="shared" si="150"/>
        <v>0</v>
      </c>
      <c r="U1209" s="195">
        <f t="shared" si="151"/>
        <v>0</v>
      </c>
      <c r="V1209" s="195">
        <f t="shared" si="152"/>
        <v>0</v>
      </c>
      <c r="W1209" s="196" t="e">
        <f t="shared" si="153"/>
        <v>#DIV/0!</v>
      </c>
      <c r="X1209" s="197" t="e">
        <f t="shared" si="154"/>
        <v>#DIV/0!</v>
      </c>
    </row>
    <row r="1210" ht="11.4" hidden="1" customHeight="1" spans="1:24">
      <c r="A1210" s="184" t="s">
        <v>3038</v>
      </c>
      <c r="B1210" s="184" t="s">
        <v>109</v>
      </c>
      <c r="C1210" s="184" t="s">
        <v>1101</v>
      </c>
      <c r="D1210" s="185" t="s">
        <v>700</v>
      </c>
      <c r="E1210" s="186" t="s">
        <v>2956</v>
      </c>
      <c r="F1210" s="186" t="s">
        <v>3036</v>
      </c>
      <c r="G1210" s="186" t="s">
        <v>3036</v>
      </c>
      <c r="H1210" s="186" t="s">
        <v>3039</v>
      </c>
      <c r="I1210" s="187" t="s">
        <v>1747</v>
      </c>
      <c r="J1210" s="187" t="s">
        <v>1748</v>
      </c>
      <c r="K1210" s="188"/>
      <c r="L1210" s="188"/>
      <c r="M1210" s="189" t="s">
        <v>847</v>
      </c>
      <c r="N1210" s="190">
        <v>113.49</v>
      </c>
      <c r="O1210" s="190">
        <f t="shared" si="147"/>
        <v>123.7</v>
      </c>
      <c r="P1210" s="191">
        <f t="shared" si="148"/>
        <v>0</v>
      </c>
      <c r="Q1210" s="192">
        <f t="shared" si="149"/>
        <v>0</v>
      </c>
      <c r="R1210" s="193"/>
      <c r="S1210" s="194"/>
      <c r="T1210" s="195">
        <f t="shared" si="150"/>
        <v>0</v>
      </c>
      <c r="U1210" s="195">
        <f t="shared" si="151"/>
        <v>0</v>
      </c>
      <c r="V1210" s="195">
        <f t="shared" si="152"/>
        <v>0</v>
      </c>
      <c r="W1210" s="196" t="e">
        <f t="shared" si="153"/>
        <v>#DIV/0!</v>
      </c>
      <c r="X1210" s="197" t="e">
        <f t="shared" si="154"/>
        <v>#DIV/0!</v>
      </c>
    </row>
    <row r="1211" ht="11.4" hidden="1" customHeight="1" spans="1:24">
      <c r="A1211" s="184" t="s">
        <v>3038</v>
      </c>
      <c r="B1211" s="184" t="s">
        <v>109</v>
      </c>
      <c r="C1211" s="184" t="s">
        <v>1101</v>
      </c>
      <c r="D1211" s="185" t="s">
        <v>700</v>
      </c>
      <c r="E1211" s="186" t="s">
        <v>2956</v>
      </c>
      <c r="F1211" s="186" t="s">
        <v>3036</v>
      </c>
      <c r="G1211" s="186" t="s">
        <v>3036</v>
      </c>
      <c r="H1211" s="186" t="s">
        <v>3039</v>
      </c>
      <c r="I1211" s="187" t="s">
        <v>1749</v>
      </c>
      <c r="J1211" s="187" t="s">
        <v>1750</v>
      </c>
      <c r="K1211" s="188"/>
      <c r="L1211" s="188"/>
      <c r="M1211" s="189" t="s">
        <v>847</v>
      </c>
      <c r="N1211" s="190">
        <v>118.11</v>
      </c>
      <c r="O1211" s="190">
        <f t="shared" si="147"/>
        <v>128.74</v>
      </c>
      <c r="P1211" s="191">
        <f t="shared" si="148"/>
        <v>0</v>
      </c>
      <c r="Q1211" s="192">
        <f t="shared" si="149"/>
        <v>0</v>
      </c>
      <c r="R1211" s="193"/>
      <c r="S1211" s="194"/>
      <c r="T1211" s="195">
        <f t="shared" si="150"/>
        <v>0</v>
      </c>
      <c r="U1211" s="195">
        <f t="shared" si="151"/>
        <v>0</v>
      </c>
      <c r="V1211" s="195">
        <f t="shared" si="152"/>
        <v>0</v>
      </c>
      <c r="W1211" s="196" t="e">
        <f t="shared" si="153"/>
        <v>#DIV/0!</v>
      </c>
      <c r="X1211" s="197" t="e">
        <f t="shared" si="154"/>
        <v>#DIV/0!</v>
      </c>
    </row>
    <row r="1212" ht="11.4" hidden="1" customHeight="1" spans="1:24">
      <c r="A1212" s="184" t="s">
        <v>3038</v>
      </c>
      <c r="B1212" s="184" t="s">
        <v>113</v>
      </c>
      <c r="C1212" s="184" t="s">
        <v>1101</v>
      </c>
      <c r="D1212" s="185" t="s">
        <v>700</v>
      </c>
      <c r="E1212" s="186" t="s">
        <v>2956</v>
      </c>
      <c r="F1212" s="186" t="s">
        <v>3036</v>
      </c>
      <c r="G1212" s="186" t="s">
        <v>3036</v>
      </c>
      <c r="H1212" s="186" t="s">
        <v>3039</v>
      </c>
      <c r="I1212" s="187" t="s">
        <v>2961</v>
      </c>
      <c r="J1212" s="187" t="s">
        <v>2962</v>
      </c>
      <c r="K1212" s="188"/>
      <c r="L1212" s="188"/>
      <c r="M1212" s="189" t="s">
        <v>847</v>
      </c>
      <c r="N1212" s="190">
        <v>192.47</v>
      </c>
      <c r="O1212" s="190">
        <f t="shared" si="147"/>
        <v>209.79</v>
      </c>
      <c r="P1212" s="191">
        <f t="shared" si="148"/>
        <v>0</v>
      </c>
      <c r="Q1212" s="192">
        <f t="shared" si="149"/>
        <v>0</v>
      </c>
      <c r="R1212" s="193"/>
      <c r="S1212" s="194"/>
      <c r="T1212" s="195">
        <f t="shared" si="150"/>
        <v>0</v>
      </c>
      <c r="U1212" s="195">
        <f t="shared" si="151"/>
        <v>0</v>
      </c>
      <c r="V1212" s="195">
        <f t="shared" si="152"/>
        <v>0</v>
      </c>
      <c r="W1212" s="196" t="e">
        <f t="shared" si="153"/>
        <v>#DIV/0!</v>
      </c>
      <c r="X1212" s="197" t="e">
        <f t="shared" si="154"/>
        <v>#DIV/0!</v>
      </c>
    </row>
    <row r="1213" ht="11.4" hidden="1" customHeight="1" spans="1:24">
      <c r="A1213" s="184" t="s">
        <v>3038</v>
      </c>
      <c r="B1213" s="184" t="s">
        <v>113</v>
      </c>
      <c r="C1213" s="184" t="s">
        <v>1101</v>
      </c>
      <c r="D1213" s="185" t="s">
        <v>700</v>
      </c>
      <c r="E1213" s="186" t="s">
        <v>2956</v>
      </c>
      <c r="F1213" s="186" t="s">
        <v>3036</v>
      </c>
      <c r="G1213" s="186" t="s">
        <v>3036</v>
      </c>
      <c r="H1213" s="186" t="s">
        <v>3039</v>
      </c>
      <c r="I1213" s="187" t="s">
        <v>2963</v>
      </c>
      <c r="J1213" s="187" t="s">
        <v>2964</v>
      </c>
      <c r="K1213" s="188"/>
      <c r="L1213" s="188"/>
      <c r="M1213" s="189" t="s">
        <v>847</v>
      </c>
      <c r="N1213" s="190">
        <v>172.83</v>
      </c>
      <c r="O1213" s="190">
        <f t="shared" si="147"/>
        <v>188.38</v>
      </c>
      <c r="P1213" s="191">
        <f t="shared" si="148"/>
        <v>0</v>
      </c>
      <c r="Q1213" s="192">
        <f t="shared" si="149"/>
        <v>0</v>
      </c>
      <c r="R1213" s="193"/>
      <c r="S1213" s="194"/>
      <c r="T1213" s="195">
        <f t="shared" si="150"/>
        <v>0</v>
      </c>
      <c r="U1213" s="195">
        <f t="shared" si="151"/>
        <v>0</v>
      </c>
      <c r="V1213" s="195">
        <f t="shared" si="152"/>
        <v>0</v>
      </c>
      <c r="W1213" s="196" t="e">
        <f t="shared" si="153"/>
        <v>#DIV/0!</v>
      </c>
      <c r="X1213" s="197" t="e">
        <f t="shared" si="154"/>
        <v>#DIV/0!</v>
      </c>
    </row>
    <row r="1214" ht="11.4" hidden="1" customHeight="1" spans="1:24">
      <c r="A1214" s="184" t="s">
        <v>3038</v>
      </c>
      <c r="B1214" s="184" t="s">
        <v>113</v>
      </c>
      <c r="C1214" s="184" t="s">
        <v>1101</v>
      </c>
      <c r="D1214" s="185" t="s">
        <v>700</v>
      </c>
      <c r="E1214" s="186" t="s">
        <v>2956</v>
      </c>
      <c r="F1214" s="186" t="s">
        <v>3036</v>
      </c>
      <c r="G1214" s="186" t="s">
        <v>3036</v>
      </c>
      <c r="H1214" s="186" t="s">
        <v>3039</v>
      </c>
      <c r="I1214" s="187" t="s">
        <v>2965</v>
      </c>
      <c r="J1214" s="187" t="s">
        <v>2966</v>
      </c>
      <c r="K1214" s="188"/>
      <c r="L1214" s="188"/>
      <c r="M1214" s="189" t="s">
        <v>847</v>
      </c>
      <c r="N1214" s="190">
        <v>192.47</v>
      </c>
      <c r="O1214" s="190">
        <f t="shared" si="147"/>
        <v>209.79</v>
      </c>
      <c r="P1214" s="191">
        <f t="shared" si="148"/>
        <v>0</v>
      </c>
      <c r="Q1214" s="192">
        <f t="shared" si="149"/>
        <v>0</v>
      </c>
      <c r="R1214" s="193"/>
      <c r="S1214" s="194"/>
      <c r="T1214" s="195">
        <f t="shared" si="150"/>
        <v>0</v>
      </c>
      <c r="U1214" s="195">
        <f t="shared" si="151"/>
        <v>0</v>
      </c>
      <c r="V1214" s="195">
        <f t="shared" si="152"/>
        <v>0</v>
      </c>
      <c r="W1214" s="196" t="e">
        <f t="shared" si="153"/>
        <v>#DIV/0!</v>
      </c>
      <c r="X1214" s="197" t="e">
        <f t="shared" si="154"/>
        <v>#DIV/0!</v>
      </c>
    </row>
    <row r="1215" ht="11.4" hidden="1" customHeight="1" spans="1:24">
      <c r="A1215" s="184" t="s">
        <v>3038</v>
      </c>
      <c r="B1215" s="184" t="s">
        <v>127</v>
      </c>
      <c r="C1215" s="184" t="s">
        <v>1101</v>
      </c>
      <c r="D1215" s="185" t="s">
        <v>700</v>
      </c>
      <c r="E1215" s="186" t="s">
        <v>2956</v>
      </c>
      <c r="F1215" s="186" t="s">
        <v>3036</v>
      </c>
      <c r="G1215" s="186" t="s">
        <v>3036</v>
      </c>
      <c r="H1215" s="186" t="s">
        <v>3039</v>
      </c>
      <c r="I1215" s="187" t="s">
        <v>1854</v>
      </c>
      <c r="J1215" s="187" t="s">
        <v>1855</v>
      </c>
      <c r="K1215" s="188"/>
      <c r="L1215" s="188"/>
      <c r="M1215" s="189" t="s">
        <v>1018</v>
      </c>
      <c r="N1215" s="190">
        <v>658.89</v>
      </c>
      <c r="O1215" s="190">
        <f t="shared" si="147"/>
        <v>718.19</v>
      </c>
      <c r="P1215" s="191">
        <f t="shared" si="148"/>
        <v>0</v>
      </c>
      <c r="Q1215" s="192">
        <f t="shared" si="149"/>
        <v>0</v>
      </c>
      <c r="R1215" s="193"/>
      <c r="S1215" s="194"/>
      <c r="T1215" s="195">
        <f t="shared" si="150"/>
        <v>0</v>
      </c>
      <c r="U1215" s="195">
        <f t="shared" si="151"/>
        <v>0</v>
      </c>
      <c r="V1215" s="195">
        <f t="shared" si="152"/>
        <v>0</v>
      </c>
      <c r="W1215" s="196" t="e">
        <f t="shared" si="153"/>
        <v>#DIV/0!</v>
      </c>
      <c r="X1215" s="197" t="e">
        <f t="shared" si="154"/>
        <v>#DIV/0!</v>
      </c>
    </row>
    <row r="1216" ht="11.4" hidden="1" customHeight="1" spans="1:24">
      <c r="A1216" s="184" t="s">
        <v>3038</v>
      </c>
      <c r="B1216" s="184" t="s">
        <v>109</v>
      </c>
      <c r="C1216" s="184" t="s">
        <v>1101</v>
      </c>
      <c r="D1216" s="185" t="s">
        <v>700</v>
      </c>
      <c r="E1216" s="186" t="s">
        <v>2956</v>
      </c>
      <c r="F1216" s="186" t="s">
        <v>3036</v>
      </c>
      <c r="G1216" s="186" t="s">
        <v>3036</v>
      </c>
      <c r="H1216" s="186" t="s">
        <v>3039</v>
      </c>
      <c r="I1216" s="187" t="s">
        <v>1751</v>
      </c>
      <c r="J1216" s="187" t="s">
        <v>1752</v>
      </c>
      <c r="K1216" s="188"/>
      <c r="L1216" s="188"/>
      <c r="M1216" s="189" t="s">
        <v>847</v>
      </c>
      <c r="N1216" s="190">
        <v>467.36</v>
      </c>
      <c r="O1216" s="190">
        <f t="shared" si="147"/>
        <v>509.42</v>
      </c>
      <c r="P1216" s="191">
        <f t="shared" si="148"/>
        <v>0</v>
      </c>
      <c r="Q1216" s="192">
        <f t="shared" si="149"/>
        <v>0</v>
      </c>
      <c r="R1216" s="193"/>
      <c r="S1216" s="194"/>
      <c r="T1216" s="195">
        <f t="shared" si="150"/>
        <v>0</v>
      </c>
      <c r="U1216" s="195">
        <f t="shared" si="151"/>
        <v>0</v>
      </c>
      <c r="V1216" s="195">
        <f t="shared" si="152"/>
        <v>0</v>
      </c>
      <c r="W1216" s="196" t="e">
        <f t="shared" si="153"/>
        <v>#DIV/0!</v>
      </c>
      <c r="X1216" s="197" t="e">
        <f t="shared" si="154"/>
        <v>#DIV/0!</v>
      </c>
    </row>
    <row r="1217" ht="11.4" hidden="1" customHeight="1" spans="1:24">
      <c r="A1217" s="184" t="s">
        <v>3038</v>
      </c>
      <c r="B1217" s="184" t="s">
        <v>109</v>
      </c>
      <c r="C1217" s="184" t="s">
        <v>1101</v>
      </c>
      <c r="D1217" s="185" t="s">
        <v>700</v>
      </c>
      <c r="E1217" s="186" t="s">
        <v>2956</v>
      </c>
      <c r="F1217" s="186" t="s">
        <v>3036</v>
      </c>
      <c r="G1217" s="186" t="s">
        <v>3036</v>
      </c>
      <c r="H1217" s="186" t="s">
        <v>3039</v>
      </c>
      <c r="I1217" s="187" t="s">
        <v>1753</v>
      </c>
      <c r="J1217" s="187" t="s">
        <v>1754</v>
      </c>
      <c r="K1217" s="188"/>
      <c r="L1217" s="188"/>
      <c r="M1217" s="189" t="s">
        <v>1755</v>
      </c>
      <c r="N1217" s="190">
        <v>184.69</v>
      </c>
      <c r="O1217" s="190">
        <f t="shared" si="147"/>
        <v>201.31</v>
      </c>
      <c r="P1217" s="191">
        <f t="shared" si="148"/>
        <v>0</v>
      </c>
      <c r="Q1217" s="192">
        <f t="shared" si="149"/>
        <v>0</v>
      </c>
      <c r="R1217" s="193"/>
      <c r="S1217" s="194"/>
      <c r="T1217" s="195">
        <f t="shared" si="150"/>
        <v>0</v>
      </c>
      <c r="U1217" s="195">
        <f t="shared" si="151"/>
        <v>0</v>
      </c>
      <c r="V1217" s="195">
        <f t="shared" si="152"/>
        <v>0</v>
      </c>
      <c r="W1217" s="196" t="e">
        <f t="shared" si="153"/>
        <v>#DIV/0!</v>
      </c>
      <c r="X1217" s="197" t="e">
        <f t="shared" si="154"/>
        <v>#DIV/0!</v>
      </c>
    </row>
    <row r="1218" ht="11.4" hidden="1" customHeight="1" spans="1:24">
      <c r="A1218" s="184" t="s">
        <v>3038</v>
      </c>
      <c r="B1218" s="184" t="s">
        <v>109</v>
      </c>
      <c r="C1218" s="184" t="s">
        <v>1101</v>
      </c>
      <c r="D1218" s="185" t="s">
        <v>700</v>
      </c>
      <c r="E1218" s="186" t="s">
        <v>2956</v>
      </c>
      <c r="F1218" s="186" t="s">
        <v>3036</v>
      </c>
      <c r="G1218" s="186" t="s">
        <v>3036</v>
      </c>
      <c r="H1218" s="186" t="s">
        <v>3039</v>
      </c>
      <c r="I1218" s="187" t="s">
        <v>1756</v>
      </c>
      <c r="J1218" s="187" t="s">
        <v>1757</v>
      </c>
      <c r="K1218" s="188"/>
      <c r="L1218" s="188"/>
      <c r="M1218" s="189" t="s">
        <v>1755</v>
      </c>
      <c r="N1218" s="190">
        <v>374.99</v>
      </c>
      <c r="O1218" s="190">
        <f t="shared" si="147"/>
        <v>408.74</v>
      </c>
      <c r="P1218" s="191">
        <f t="shared" si="148"/>
        <v>0</v>
      </c>
      <c r="Q1218" s="192">
        <f t="shared" si="149"/>
        <v>0</v>
      </c>
      <c r="R1218" s="193"/>
      <c r="S1218" s="194"/>
      <c r="T1218" s="195">
        <f t="shared" si="150"/>
        <v>0</v>
      </c>
      <c r="U1218" s="195">
        <f t="shared" si="151"/>
        <v>0</v>
      </c>
      <c r="V1218" s="195">
        <f t="shared" si="152"/>
        <v>0</v>
      </c>
      <c r="W1218" s="196" t="e">
        <f t="shared" si="153"/>
        <v>#DIV/0!</v>
      </c>
      <c r="X1218" s="197" t="e">
        <f t="shared" si="154"/>
        <v>#DIV/0!</v>
      </c>
    </row>
    <row r="1219" ht="11.4" hidden="1" customHeight="1" spans="1:24">
      <c r="A1219" s="184" t="s">
        <v>3041</v>
      </c>
      <c r="B1219" s="184" t="s">
        <v>115</v>
      </c>
      <c r="C1219" s="184" t="s">
        <v>1101</v>
      </c>
      <c r="D1219" s="185" t="s">
        <v>700</v>
      </c>
      <c r="E1219" s="186" t="s">
        <v>2956</v>
      </c>
      <c r="F1219" s="186" t="s">
        <v>3036</v>
      </c>
      <c r="G1219" s="186" t="s">
        <v>3036</v>
      </c>
      <c r="H1219" s="186" t="s">
        <v>3042</v>
      </c>
      <c r="I1219" s="187" t="s">
        <v>1359</v>
      </c>
      <c r="J1219" s="187" t="s">
        <v>1360</v>
      </c>
      <c r="K1219" s="188"/>
      <c r="L1219" s="188"/>
      <c r="M1219" s="189" t="s">
        <v>847</v>
      </c>
      <c r="N1219" s="190">
        <v>127.36</v>
      </c>
      <c r="O1219" s="190">
        <f t="shared" si="147"/>
        <v>138.82</v>
      </c>
      <c r="P1219" s="191">
        <f t="shared" si="148"/>
        <v>0</v>
      </c>
      <c r="Q1219" s="192">
        <f t="shared" si="149"/>
        <v>0</v>
      </c>
      <c r="R1219" s="193"/>
      <c r="S1219" s="194"/>
      <c r="T1219" s="195">
        <f t="shared" si="150"/>
        <v>0</v>
      </c>
      <c r="U1219" s="195">
        <f t="shared" si="151"/>
        <v>0</v>
      </c>
      <c r="V1219" s="195">
        <f t="shared" si="152"/>
        <v>0</v>
      </c>
      <c r="W1219" s="196" t="e">
        <f t="shared" si="153"/>
        <v>#DIV/0!</v>
      </c>
      <c r="X1219" s="197" t="e">
        <f t="shared" si="154"/>
        <v>#DIV/0!</v>
      </c>
    </row>
    <row r="1220" ht="11.4" hidden="1" customHeight="1" spans="1:24">
      <c r="A1220" s="184" t="s">
        <v>3041</v>
      </c>
      <c r="B1220" s="184" t="s">
        <v>115</v>
      </c>
      <c r="C1220" s="184" t="s">
        <v>1101</v>
      </c>
      <c r="D1220" s="185" t="s">
        <v>700</v>
      </c>
      <c r="E1220" s="186" t="s">
        <v>2956</v>
      </c>
      <c r="F1220" s="186" t="s">
        <v>3036</v>
      </c>
      <c r="G1220" s="186" t="s">
        <v>3036</v>
      </c>
      <c r="H1220" s="186" t="s">
        <v>3042</v>
      </c>
      <c r="I1220" s="187" t="s">
        <v>1362</v>
      </c>
      <c r="J1220" s="187" t="s">
        <v>1363</v>
      </c>
      <c r="K1220" s="188"/>
      <c r="L1220" s="188"/>
      <c r="M1220" s="189" t="s">
        <v>847</v>
      </c>
      <c r="N1220" s="190">
        <v>138.36</v>
      </c>
      <c r="O1220" s="190">
        <f t="shared" si="147"/>
        <v>150.81</v>
      </c>
      <c r="P1220" s="191">
        <f t="shared" si="148"/>
        <v>0</v>
      </c>
      <c r="Q1220" s="192">
        <f t="shared" si="149"/>
        <v>0</v>
      </c>
      <c r="R1220" s="193"/>
      <c r="S1220" s="194"/>
      <c r="T1220" s="195">
        <f t="shared" si="150"/>
        <v>0</v>
      </c>
      <c r="U1220" s="195">
        <f t="shared" si="151"/>
        <v>0</v>
      </c>
      <c r="V1220" s="195">
        <f t="shared" si="152"/>
        <v>0</v>
      </c>
      <c r="W1220" s="196" t="e">
        <f t="shared" si="153"/>
        <v>#DIV/0!</v>
      </c>
      <c r="X1220" s="197" t="e">
        <f t="shared" si="154"/>
        <v>#DIV/0!</v>
      </c>
    </row>
    <row r="1221" ht="11.4" hidden="1" customHeight="1" spans="1:24">
      <c r="A1221" s="184" t="s">
        <v>3041</v>
      </c>
      <c r="B1221" s="184" t="s">
        <v>115</v>
      </c>
      <c r="C1221" s="184" t="s">
        <v>1101</v>
      </c>
      <c r="D1221" s="185" t="s">
        <v>700</v>
      </c>
      <c r="E1221" s="186" t="s">
        <v>2956</v>
      </c>
      <c r="F1221" s="186" t="s">
        <v>3036</v>
      </c>
      <c r="G1221" s="186" t="s">
        <v>3036</v>
      </c>
      <c r="H1221" s="186" t="s">
        <v>3042</v>
      </c>
      <c r="I1221" s="187" t="s">
        <v>1381</v>
      </c>
      <c r="J1221" s="187" t="s">
        <v>1382</v>
      </c>
      <c r="K1221" s="188"/>
      <c r="L1221" s="188"/>
      <c r="M1221" s="189" t="s">
        <v>847</v>
      </c>
      <c r="N1221" s="190">
        <v>250.08</v>
      </c>
      <c r="O1221" s="190">
        <f t="shared" si="147"/>
        <v>272.59</v>
      </c>
      <c r="P1221" s="191">
        <f t="shared" si="148"/>
        <v>0</v>
      </c>
      <c r="Q1221" s="192">
        <f t="shared" si="149"/>
        <v>0</v>
      </c>
      <c r="R1221" s="193"/>
      <c r="S1221" s="194"/>
      <c r="T1221" s="195">
        <f t="shared" si="150"/>
        <v>0</v>
      </c>
      <c r="U1221" s="195">
        <f t="shared" si="151"/>
        <v>0</v>
      </c>
      <c r="V1221" s="195">
        <f t="shared" si="152"/>
        <v>0</v>
      </c>
      <c r="W1221" s="196" t="e">
        <f t="shared" si="153"/>
        <v>#DIV/0!</v>
      </c>
      <c r="X1221" s="197" t="e">
        <f t="shared" si="154"/>
        <v>#DIV/0!</v>
      </c>
    </row>
    <row r="1222" ht="11.4" hidden="1" customHeight="1" spans="1:24">
      <c r="A1222" s="184" t="s">
        <v>3041</v>
      </c>
      <c r="B1222" s="184" t="s">
        <v>115</v>
      </c>
      <c r="C1222" s="184" t="s">
        <v>1101</v>
      </c>
      <c r="D1222" s="185" t="s">
        <v>700</v>
      </c>
      <c r="E1222" s="186" t="s">
        <v>2956</v>
      </c>
      <c r="F1222" s="186" t="s">
        <v>3036</v>
      </c>
      <c r="G1222" s="186" t="s">
        <v>3036</v>
      </c>
      <c r="H1222" s="186" t="s">
        <v>3042</v>
      </c>
      <c r="I1222" s="187" t="s">
        <v>1384</v>
      </c>
      <c r="J1222" s="187" t="s">
        <v>1385</v>
      </c>
      <c r="K1222" s="188"/>
      <c r="L1222" s="188"/>
      <c r="M1222" s="189" t="s">
        <v>847</v>
      </c>
      <c r="N1222" s="190">
        <v>139.73</v>
      </c>
      <c r="O1222" s="190">
        <f t="shared" si="147"/>
        <v>152.31</v>
      </c>
      <c r="P1222" s="191">
        <f t="shared" si="148"/>
        <v>0</v>
      </c>
      <c r="Q1222" s="192">
        <f t="shared" si="149"/>
        <v>0</v>
      </c>
      <c r="R1222" s="193"/>
      <c r="S1222" s="194"/>
      <c r="T1222" s="195">
        <f t="shared" si="150"/>
        <v>0</v>
      </c>
      <c r="U1222" s="195">
        <f t="shared" si="151"/>
        <v>0</v>
      </c>
      <c r="V1222" s="195">
        <f t="shared" si="152"/>
        <v>0</v>
      </c>
      <c r="W1222" s="196" t="e">
        <f t="shared" si="153"/>
        <v>#DIV/0!</v>
      </c>
      <c r="X1222" s="197" t="e">
        <f t="shared" si="154"/>
        <v>#DIV/0!</v>
      </c>
    </row>
    <row r="1223" ht="11.4" hidden="1" customHeight="1" spans="1:24">
      <c r="A1223" s="184" t="s">
        <v>3041</v>
      </c>
      <c r="B1223" s="184" t="s">
        <v>115</v>
      </c>
      <c r="C1223" s="184" t="s">
        <v>1101</v>
      </c>
      <c r="D1223" s="185" t="s">
        <v>700</v>
      </c>
      <c r="E1223" s="186" t="s">
        <v>2956</v>
      </c>
      <c r="F1223" s="186" t="s">
        <v>3036</v>
      </c>
      <c r="G1223" s="186" t="s">
        <v>3036</v>
      </c>
      <c r="H1223" s="186" t="s">
        <v>3042</v>
      </c>
      <c r="I1223" s="187" t="s">
        <v>1336</v>
      </c>
      <c r="J1223" s="187" t="s">
        <v>1337</v>
      </c>
      <c r="K1223" s="188"/>
      <c r="L1223" s="188"/>
      <c r="M1223" s="189" t="s">
        <v>847</v>
      </c>
      <c r="N1223" s="190">
        <v>62.19</v>
      </c>
      <c r="O1223" s="190">
        <f t="shared" si="147"/>
        <v>67.79</v>
      </c>
      <c r="P1223" s="191">
        <f t="shared" si="148"/>
        <v>0</v>
      </c>
      <c r="Q1223" s="192">
        <f t="shared" si="149"/>
        <v>0</v>
      </c>
      <c r="R1223" s="193"/>
      <c r="S1223" s="194"/>
      <c r="T1223" s="195">
        <f t="shared" si="150"/>
        <v>0</v>
      </c>
      <c r="U1223" s="195">
        <f t="shared" si="151"/>
        <v>0</v>
      </c>
      <c r="V1223" s="195">
        <f t="shared" si="152"/>
        <v>0</v>
      </c>
      <c r="W1223" s="196" t="e">
        <f t="shared" si="153"/>
        <v>#DIV/0!</v>
      </c>
      <c r="X1223" s="197" t="e">
        <f t="shared" si="154"/>
        <v>#DIV/0!</v>
      </c>
    </row>
    <row r="1224" ht="11.4" hidden="1" customHeight="1" spans="1:24">
      <c r="A1224" s="184" t="s">
        <v>3043</v>
      </c>
      <c r="B1224" s="184" t="s">
        <v>117</v>
      </c>
      <c r="C1224" s="184" t="s">
        <v>1101</v>
      </c>
      <c r="D1224" s="185" t="s">
        <v>700</v>
      </c>
      <c r="E1224" s="186" t="s">
        <v>2956</v>
      </c>
      <c r="F1224" s="186" t="s">
        <v>3036</v>
      </c>
      <c r="G1224" s="186" t="s">
        <v>3036</v>
      </c>
      <c r="H1224" s="186" t="s">
        <v>3044</v>
      </c>
      <c r="I1224" s="187" t="s">
        <v>1426</v>
      </c>
      <c r="J1224" s="187" t="s">
        <v>1427</v>
      </c>
      <c r="K1224" s="188"/>
      <c r="L1224" s="188"/>
      <c r="M1224" s="189" t="s">
        <v>847</v>
      </c>
      <c r="N1224" s="190">
        <v>465.88</v>
      </c>
      <c r="O1224" s="190">
        <f t="shared" si="147"/>
        <v>507.81</v>
      </c>
      <c r="P1224" s="191">
        <f t="shared" si="148"/>
        <v>0</v>
      </c>
      <c r="Q1224" s="192">
        <f t="shared" si="149"/>
        <v>0</v>
      </c>
      <c r="R1224" s="193"/>
      <c r="S1224" s="194"/>
      <c r="T1224" s="195">
        <f t="shared" si="150"/>
        <v>0</v>
      </c>
      <c r="U1224" s="195">
        <f t="shared" si="151"/>
        <v>0</v>
      </c>
      <c r="V1224" s="195">
        <f t="shared" si="152"/>
        <v>0</v>
      </c>
      <c r="W1224" s="196" t="e">
        <f t="shared" si="153"/>
        <v>#DIV/0!</v>
      </c>
      <c r="X1224" s="197" t="e">
        <f t="shared" si="154"/>
        <v>#DIV/0!</v>
      </c>
    </row>
    <row r="1225" ht="11.4" hidden="1" customHeight="1" spans="1:24">
      <c r="A1225" s="184" t="s">
        <v>3043</v>
      </c>
      <c r="B1225" s="184" t="s">
        <v>117</v>
      </c>
      <c r="C1225" s="184" t="s">
        <v>1101</v>
      </c>
      <c r="D1225" s="185" t="s">
        <v>700</v>
      </c>
      <c r="E1225" s="186" t="s">
        <v>2956</v>
      </c>
      <c r="F1225" s="186" t="s">
        <v>3036</v>
      </c>
      <c r="G1225" s="186" t="s">
        <v>3036</v>
      </c>
      <c r="H1225" s="186" t="s">
        <v>3044</v>
      </c>
      <c r="I1225" s="187" t="s">
        <v>1429</v>
      </c>
      <c r="J1225" s="187" t="s">
        <v>1430</v>
      </c>
      <c r="K1225" s="188"/>
      <c r="L1225" s="188"/>
      <c r="M1225" s="189" t="s">
        <v>847</v>
      </c>
      <c r="N1225" s="190">
        <v>674.21</v>
      </c>
      <c r="O1225" s="190">
        <f t="shared" si="147"/>
        <v>734.89</v>
      </c>
      <c r="P1225" s="191">
        <f t="shared" si="148"/>
        <v>0</v>
      </c>
      <c r="Q1225" s="192">
        <f t="shared" si="149"/>
        <v>0</v>
      </c>
      <c r="R1225" s="193"/>
      <c r="S1225" s="194"/>
      <c r="T1225" s="195">
        <f t="shared" si="150"/>
        <v>0</v>
      </c>
      <c r="U1225" s="195">
        <f t="shared" si="151"/>
        <v>0</v>
      </c>
      <c r="V1225" s="195">
        <f t="shared" si="152"/>
        <v>0</v>
      </c>
      <c r="W1225" s="196" t="e">
        <f t="shared" si="153"/>
        <v>#DIV/0!</v>
      </c>
      <c r="X1225" s="197" t="e">
        <f t="shared" si="154"/>
        <v>#DIV/0!</v>
      </c>
    </row>
    <row r="1226" ht="11.4" hidden="1" customHeight="1" spans="1:24">
      <c r="A1226" s="184" t="s">
        <v>3045</v>
      </c>
      <c r="B1226" s="184" t="s">
        <v>417</v>
      </c>
      <c r="C1226" s="184" t="s">
        <v>416</v>
      </c>
      <c r="D1226" s="185" t="s">
        <v>700</v>
      </c>
      <c r="E1226" s="186" t="s">
        <v>2956</v>
      </c>
      <c r="F1226" s="186" t="s">
        <v>3036</v>
      </c>
      <c r="G1226" s="186" t="s">
        <v>3036</v>
      </c>
      <c r="H1226" s="186" t="s">
        <v>3044</v>
      </c>
      <c r="I1226" s="187" t="s">
        <v>1498</v>
      </c>
      <c r="J1226" s="187" t="s">
        <v>1499</v>
      </c>
      <c r="K1226" s="188"/>
      <c r="L1226" s="188"/>
      <c r="M1226" s="189" t="s">
        <v>1500</v>
      </c>
      <c r="N1226" s="190">
        <v>4665.2</v>
      </c>
      <c r="O1226" s="190">
        <f t="shared" si="147"/>
        <v>5085.07</v>
      </c>
      <c r="P1226" s="191">
        <f t="shared" si="148"/>
        <v>0</v>
      </c>
      <c r="Q1226" s="192">
        <f t="shared" si="149"/>
        <v>0</v>
      </c>
      <c r="R1226" s="193"/>
      <c r="S1226" s="194"/>
      <c r="T1226" s="195">
        <f t="shared" si="150"/>
        <v>0</v>
      </c>
      <c r="U1226" s="195">
        <f t="shared" si="151"/>
        <v>0</v>
      </c>
      <c r="V1226" s="195">
        <f t="shared" si="152"/>
        <v>0</v>
      </c>
      <c r="W1226" s="196" t="e">
        <f t="shared" si="153"/>
        <v>#DIV/0!</v>
      </c>
      <c r="X1226" s="197" t="e">
        <f t="shared" si="154"/>
        <v>#DIV/0!</v>
      </c>
    </row>
    <row r="1227" ht="11.4" hidden="1" customHeight="1" spans="1:24">
      <c r="A1227" s="184" t="s">
        <v>3045</v>
      </c>
      <c r="B1227" s="184" t="s">
        <v>417</v>
      </c>
      <c r="C1227" s="184" t="s">
        <v>416</v>
      </c>
      <c r="D1227" s="185" t="s">
        <v>700</v>
      </c>
      <c r="E1227" s="186" t="s">
        <v>2956</v>
      </c>
      <c r="F1227" s="186" t="s">
        <v>3036</v>
      </c>
      <c r="G1227" s="186" t="s">
        <v>3036</v>
      </c>
      <c r="H1227" s="186" t="s">
        <v>3044</v>
      </c>
      <c r="I1227" s="187" t="s">
        <v>1501</v>
      </c>
      <c r="J1227" s="187" t="s">
        <v>1502</v>
      </c>
      <c r="K1227" s="188"/>
      <c r="L1227" s="188"/>
      <c r="M1227" s="189" t="s">
        <v>1500</v>
      </c>
      <c r="N1227" s="190">
        <v>2712.45</v>
      </c>
      <c r="O1227" s="190">
        <f t="shared" si="147"/>
        <v>2956.57</v>
      </c>
      <c r="P1227" s="191">
        <f t="shared" si="148"/>
        <v>0</v>
      </c>
      <c r="Q1227" s="192">
        <f t="shared" si="149"/>
        <v>0</v>
      </c>
      <c r="R1227" s="193"/>
      <c r="S1227" s="194"/>
      <c r="T1227" s="195">
        <f t="shared" si="150"/>
        <v>0</v>
      </c>
      <c r="U1227" s="195">
        <f t="shared" si="151"/>
        <v>0</v>
      </c>
      <c r="V1227" s="195">
        <f t="shared" si="152"/>
        <v>0</v>
      </c>
      <c r="W1227" s="196" t="e">
        <f t="shared" si="153"/>
        <v>#DIV/0!</v>
      </c>
      <c r="X1227" s="197" t="e">
        <f t="shared" si="154"/>
        <v>#DIV/0!</v>
      </c>
    </row>
    <row r="1228" ht="11.4" hidden="1" customHeight="1" spans="1:24">
      <c r="A1228" s="184" t="s">
        <v>3045</v>
      </c>
      <c r="B1228" s="184" t="s">
        <v>417</v>
      </c>
      <c r="C1228" s="184" t="s">
        <v>416</v>
      </c>
      <c r="D1228" s="185" t="s">
        <v>700</v>
      </c>
      <c r="E1228" s="186" t="s">
        <v>2956</v>
      </c>
      <c r="F1228" s="186" t="s">
        <v>3036</v>
      </c>
      <c r="G1228" s="186" t="s">
        <v>3036</v>
      </c>
      <c r="H1228" s="186" t="s">
        <v>3044</v>
      </c>
      <c r="I1228" s="187" t="s">
        <v>1503</v>
      </c>
      <c r="J1228" s="187" t="s">
        <v>1504</v>
      </c>
      <c r="K1228" s="188"/>
      <c r="L1228" s="188"/>
      <c r="M1228" s="189" t="s">
        <v>1500</v>
      </c>
      <c r="N1228" s="190">
        <v>4703.72</v>
      </c>
      <c r="O1228" s="190">
        <f t="shared" si="147"/>
        <v>5127.05</v>
      </c>
      <c r="P1228" s="191">
        <f t="shared" si="148"/>
        <v>0</v>
      </c>
      <c r="Q1228" s="192">
        <f t="shared" si="149"/>
        <v>0</v>
      </c>
      <c r="R1228" s="193"/>
      <c r="S1228" s="194"/>
      <c r="T1228" s="195">
        <f t="shared" si="150"/>
        <v>0</v>
      </c>
      <c r="U1228" s="195">
        <f t="shared" si="151"/>
        <v>0</v>
      </c>
      <c r="V1228" s="195">
        <f t="shared" si="152"/>
        <v>0</v>
      </c>
      <c r="W1228" s="196" t="e">
        <f t="shared" si="153"/>
        <v>#DIV/0!</v>
      </c>
      <c r="X1228" s="197" t="e">
        <f t="shared" si="154"/>
        <v>#DIV/0!</v>
      </c>
    </row>
    <row r="1229" ht="11.4" hidden="1" customHeight="1" spans="1:24">
      <c r="A1229" s="184" t="s">
        <v>3045</v>
      </c>
      <c r="B1229" s="184" t="s">
        <v>417</v>
      </c>
      <c r="C1229" s="184" t="s">
        <v>416</v>
      </c>
      <c r="D1229" s="185" t="s">
        <v>700</v>
      </c>
      <c r="E1229" s="186" t="s">
        <v>2956</v>
      </c>
      <c r="F1229" s="186" t="s">
        <v>3036</v>
      </c>
      <c r="G1229" s="186" t="s">
        <v>3036</v>
      </c>
      <c r="H1229" s="186" t="s">
        <v>3044</v>
      </c>
      <c r="I1229" s="187" t="s">
        <v>1505</v>
      </c>
      <c r="J1229" s="187" t="s">
        <v>1506</v>
      </c>
      <c r="K1229" s="188"/>
      <c r="L1229" s="188"/>
      <c r="M1229" s="189" t="s">
        <v>1500</v>
      </c>
      <c r="N1229" s="190">
        <v>2811.96</v>
      </c>
      <c r="O1229" s="190">
        <f t="shared" ref="O1229:O1292" si="155">ROUND(N1229*(1+$F$10),2)</f>
        <v>3065.04</v>
      </c>
      <c r="P1229" s="191">
        <f t="shared" ref="P1229:P1292" si="156">ROUND(K1229*N1229,2)</f>
        <v>0</v>
      </c>
      <c r="Q1229" s="192">
        <f t="shared" ref="Q1229:Q1292" si="157">ROUND(L1229*N1229,2)</f>
        <v>0</v>
      </c>
      <c r="R1229" s="193"/>
      <c r="S1229" s="194"/>
      <c r="T1229" s="195">
        <f t="shared" ref="T1229:T1292" si="158">K1229-L1229</f>
        <v>0</v>
      </c>
      <c r="U1229" s="195">
        <f t="shared" ref="U1229:U1292" si="159">P1229-Q1229</f>
        <v>0</v>
      </c>
      <c r="V1229" s="195">
        <f t="shared" ref="V1229:V1292" si="160">ABS(U1229)</f>
        <v>0</v>
      </c>
      <c r="W1229" s="196" t="e">
        <f t="shared" ref="W1229:W1292" si="161">T1229/L1229</f>
        <v>#DIV/0!</v>
      </c>
      <c r="X1229" s="197" t="e">
        <f t="shared" ref="X1229:X1292" si="162">ABS(W1229)</f>
        <v>#DIV/0!</v>
      </c>
    </row>
    <row r="1230" ht="11.4" hidden="1" customHeight="1" spans="1:24">
      <c r="A1230" s="184" t="s">
        <v>3045</v>
      </c>
      <c r="B1230" s="184" t="s">
        <v>417</v>
      </c>
      <c r="C1230" s="184" t="s">
        <v>416</v>
      </c>
      <c r="D1230" s="185" t="s">
        <v>700</v>
      </c>
      <c r="E1230" s="186" t="s">
        <v>2956</v>
      </c>
      <c r="F1230" s="186" t="s">
        <v>3036</v>
      </c>
      <c r="G1230" s="186" t="s">
        <v>3036</v>
      </c>
      <c r="H1230" s="186" t="s">
        <v>3044</v>
      </c>
      <c r="I1230" s="187" t="s">
        <v>1507</v>
      </c>
      <c r="J1230" s="187" t="s">
        <v>1508</v>
      </c>
      <c r="K1230" s="188"/>
      <c r="L1230" s="188"/>
      <c r="M1230" s="189" t="s">
        <v>1500</v>
      </c>
      <c r="N1230" s="190">
        <v>4636.31</v>
      </c>
      <c r="O1230" s="190">
        <f t="shared" si="155"/>
        <v>5053.58</v>
      </c>
      <c r="P1230" s="191">
        <f t="shared" si="156"/>
        <v>0</v>
      </c>
      <c r="Q1230" s="192">
        <f t="shared" si="157"/>
        <v>0</v>
      </c>
      <c r="R1230" s="193"/>
      <c r="S1230" s="194"/>
      <c r="T1230" s="195">
        <f t="shared" si="158"/>
        <v>0</v>
      </c>
      <c r="U1230" s="195">
        <f t="shared" si="159"/>
        <v>0</v>
      </c>
      <c r="V1230" s="195">
        <f t="shared" si="160"/>
        <v>0</v>
      </c>
      <c r="W1230" s="196" t="e">
        <f t="shared" si="161"/>
        <v>#DIV/0!</v>
      </c>
      <c r="X1230" s="197" t="e">
        <f t="shared" si="162"/>
        <v>#DIV/0!</v>
      </c>
    </row>
    <row r="1231" ht="11.4" hidden="1" customHeight="1" spans="1:24">
      <c r="A1231" s="184" t="s">
        <v>3045</v>
      </c>
      <c r="B1231" s="184" t="s">
        <v>417</v>
      </c>
      <c r="C1231" s="184" t="s">
        <v>416</v>
      </c>
      <c r="D1231" s="185" t="s">
        <v>700</v>
      </c>
      <c r="E1231" s="186" t="s">
        <v>2956</v>
      </c>
      <c r="F1231" s="186" t="s">
        <v>3036</v>
      </c>
      <c r="G1231" s="186" t="s">
        <v>3036</v>
      </c>
      <c r="H1231" s="186" t="s">
        <v>3044</v>
      </c>
      <c r="I1231" s="187" t="s">
        <v>1509</v>
      </c>
      <c r="J1231" s="187" t="s">
        <v>1510</v>
      </c>
      <c r="K1231" s="188"/>
      <c r="L1231" s="188"/>
      <c r="M1231" s="189" t="s">
        <v>1500</v>
      </c>
      <c r="N1231" s="190">
        <v>2711.38</v>
      </c>
      <c r="O1231" s="190">
        <f t="shared" si="155"/>
        <v>2955.4</v>
      </c>
      <c r="P1231" s="191">
        <f t="shared" si="156"/>
        <v>0</v>
      </c>
      <c r="Q1231" s="192">
        <f t="shared" si="157"/>
        <v>0</v>
      </c>
      <c r="R1231" s="193"/>
      <c r="S1231" s="194"/>
      <c r="T1231" s="195">
        <f t="shared" si="158"/>
        <v>0</v>
      </c>
      <c r="U1231" s="195">
        <f t="shared" si="159"/>
        <v>0</v>
      </c>
      <c r="V1231" s="195">
        <f t="shared" si="160"/>
        <v>0</v>
      </c>
      <c r="W1231" s="196" t="e">
        <f t="shared" si="161"/>
        <v>#DIV/0!</v>
      </c>
      <c r="X1231" s="197" t="e">
        <f t="shared" si="162"/>
        <v>#DIV/0!</v>
      </c>
    </row>
    <row r="1232" ht="11.4" hidden="1" customHeight="1" spans="1:24">
      <c r="A1232" s="184" t="s">
        <v>3045</v>
      </c>
      <c r="B1232" s="184" t="s">
        <v>417</v>
      </c>
      <c r="C1232" s="184" t="s">
        <v>416</v>
      </c>
      <c r="D1232" s="185" t="s">
        <v>700</v>
      </c>
      <c r="E1232" s="186" t="s">
        <v>2956</v>
      </c>
      <c r="F1232" s="186" t="s">
        <v>3036</v>
      </c>
      <c r="G1232" s="186" t="s">
        <v>3036</v>
      </c>
      <c r="H1232" s="186" t="s">
        <v>3044</v>
      </c>
      <c r="I1232" s="187" t="s">
        <v>1511</v>
      </c>
      <c r="J1232" s="187" t="s">
        <v>1512</v>
      </c>
      <c r="K1232" s="188"/>
      <c r="L1232" s="188"/>
      <c r="M1232" s="189" t="s">
        <v>1500</v>
      </c>
      <c r="N1232" s="190">
        <v>5150.98</v>
      </c>
      <c r="O1232" s="190">
        <f t="shared" si="155"/>
        <v>5614.57</v>
      </c>
      <c r="P1232" s="191">
        <f t="shared" si="156"/>
        <v>0</v>
      </c>
      <c r="Q1232" s="192">
        <f t="shared" si="157"/>
        <v>0</v>
      </c>
      <c r="R1232" s="193"/>
      <c r="S1232" s="194"/>
      <c r="T1232" s="195">
        <f t="shared" si="158"/>
        <v>0</v>
      </c>
      <c r="U1232" s="195">
        <f t="shared" si="159"/>
        <v>0</v>
      </c>
      <c r="V1232" s="195">
        <f t="shared" si="160"/>
        <v>0</v>
      </c>
      <c r="W1232" s="196" t="e">
        <f t="shared" si="161"/>
        <v>#DIV/0!</v>
      </c>
      <c r="X1232" s="197" t="e">
        <f t="shared" si="162"/>
        <v>#DIV/0!</v>
      </c>
    </row>
    <row r="1233" ht="11.4" hidden="1" customHeight="1" spans="1:24">
      <c r="A1233" s="184" t="s">
        <v>3045</v>
      </c>
      <c r="B1233" s="184" t="s">
        <v>417</v>
      </c>
      <c r="C1233" s="184" t="s">
        <v>416</v>
      </c>
      <c r="D1233" s="185" t="s">
        <v>700</v>
      </c>
      <c r="E1233" s="186" t="s">
        <v>2956</v>
      </c>
      <c r="F1233" s="186" t="s">
        <v>3036</v>
      </c>
      <c r="G1233" s="186" t="s">
        <v>3036</v>
      </c>
      <c r="H1233" s="186" t="s">
        <v>3044</v>
      </c>
      <c r="I1233" s="187" t="s">
        <v>1513</v>
      </c>
      <c r="J1233" s="187" t="s">
        <v>1514</v>
      </c>
      <c r="K1233" s="188"/>
      <c r="L1233" s="188"/>
      <c r="M1233" s="189" t="s">
        <v>1500</v>
      </c>
      <c r="N1233" s="190">
        <v>2853.69</v>
      </c>
      <c r="O1233" s="190">
        <f t="shared" si="155"/>
        <v>3110.52</v>
      </c>
      <c r="P1233" s="191">
        <f t="shared" si="156"/>
        <v>0</v>
      </c>
      <c r="Q1233" s="192">
        <f t="shared" si="157"/>
        <v>0</v>
      </c>
      <c r="R1233" s="193"/>
      <c r="S1233" s="194"/>
      <c r="T1233" s="195">
        <f t="shared" si="158"/>
        <v>0</v>
      </c>
      <c r="U1233" s="195">
        <f t="shared" si="159"/>
        <v>0</v>
      </c>
      <c r="V1233" s="195">
        <f t="shared" si="160"/>
        <v>0</v>
      </c>
      <c r="W1233" s="196" t="e">
        <f t="shared" si="161"/>
        <v>#DIV/0!</v>
      </c>
      <c r="X1233" s="197" t="e">
        <f t="shared" si="162"/>
        <v>#DIV/0!</v>
      </c>
    </row>
    <row r="1234" ht="11.4" hidden="1" customHeight="1" spans="1:24">
      <c r="A1234" s="184" t="s">
        <v>3045</v>
      </c>
      <c r="B1234" s="184" t="s">
        <v>417</v>
      </c>
      <c r="C1234" s="184" t="s">
        <v>416</v>
      </c>
      <c r="D1234" s="185" t="s">
        <v>700</v>
      </c>
      <c r="E1234" s="186" t="s">
        <v>2956</v>
      </c>
      <c r="F1234" s="186" t="s">
        <v>3036</v>
      </c>
      <c r="G1234" s="186" t="s">
        <v>3036</v>
      </c>
      <c r="H1234" s="186" t="s">
        <v>3044</v>
      </c>
      <c r="I1234" s="187" t="s">
        <v>1519</v>
      </c>
      <c r="J1234" s="187" t="s">
        <v>1520</v>
      </c>
      <c r="K1234" s="188"/>
      <c r="L1234" s="188"/>
      <c r="M1234" s="189" t="s">
        <v>1500</v>
      </c>
      <c r="N1234" s="190">
        <v>6665.03</v>
      </c>
      <c r="O1234" s="190">
        <f t="shared" si="155"/>
        <v>7264.88</v>
      </c>
      <c r="P1234" s="191">
        <f t="shared" si="156"/>
        <v>0</v>
      </c>
      <c r="Q1234" s="192">
        <f t="shared" si="157"/>
        <v>0</v>
      </c>
      <c r="R1234" s="193"/>
      <c r="S1234" s="194"/>
      <c r="T1234" s="195">
        <f t="shared" si="158"/>
        <v>0</v>
      </c>
      <c r="U1234" s="195">
        <f t="shared" si="159"/>
        <v>0</v>
      </c>
      <c r="V1234" s="195">
        <f t="shared" si="160"/>
        <v>0</v>
      </c>
      <c r="W1234" s="196" t="e">
        <f t="shared" si="161"/>
        <v>#DIV/0!</v>
      </c>
      <c r="X1234" s="197" t="e">
        <f t="shared" si="162"/>
        <v>#DIV/0!</v>
      </c>
    </row>
    <row r="1235" ht="11.4" hidden="1" customHeight="1" spans="1:24">
      <c r="A1235" s="184" t="s">
        <v>3045</v>
      </c>
      <c r="B1235" s="184" t="s">
        <v>417</v>
      </c>
      <c r="C1235" s="184" t="s">
        <v>416</v>
      </c>
      <c r="D1235" s="185" t="s">
        <v>700</v>
      </c>
      <c r="E1235" s="186" t="s">
        <v>2956</v>
      </c>
      <c r="F1235" s="186" t="s">
        <v>3036</v>
      </c>
      <c r="G1235" s="186" t="s">
        <v>3036</v>
      </c>
      <c r="H1235" s="186" t="s">
        <v>3044</v>
      </c>
      <c r="I1235" s="187" t="s">
        <v>1521</v>
      </c>
      <c r="J1235" s="187" t="s">
        <v>1522</v>
      </c>
      <c r="K1235" s="188"/>
      <c r="L1235" s="188"/>
      <c r="M1235" s="189" t="s">
        <v>1500</v>
      </c>
      <c r="N1235" s="190">
        <v>3581.29</v>
      </c>
      <c r="O1235" s="190">
        <f t="shared" si="155"/>
        <v>3903.61</v>
      </c>
      <c r="P1235" s="191">
        <f t="shared" si="156"/>
        <v>0</v>
      </c>
      <c r="Q1235" s="192">
        <f t="shared" si="157"/>
        <v>0</v>
      </c>
      <c r="R1235" s="193"/>
      <c r="S1235" s="194"/>
      <c r="T1235" s="195">
        <f t="shared" si="158"/>
        <v>0</v>
      </c>
      <c r="U1235" s="195">
        <f t="shared" si="159"/>
        <v>0</v>
      </c>
      <c r="V1235" s="195">
        <f t="shared" si="160"/>
        <v>0</v>
      </c>
      <c r="W1235" s="196" t="e">
        <f t="shared" si="161"/>
        <v>#DIV/0!</v>
      </c>
      <c r="X1235" s="197" t="e">
        <f t="shared" si="162"/>
        <v>#DIV/0!</v>
      </c>
    </row>
    <row r="1236" ht="11.4" hidden="1" customHeight="1" spans="1:24">
      <c r="A1236" s="184" t="s">
        <v>3045</v>
      </c>
      <c r="B1236" s="184" t="s">
        <v>417</v>
      </c>
      <c r="C1236" s="184" t="s">
        <v>416</v>
      </c>
      <c r="D1236" s="185" t="s">
        <v>700</v>
      </c>
      <c r="E1236" s="186" t="s">
        <v>2956</v>
      </c>
      <c r="F1236" s="186" t="s">
        <v>3036</v>
      </c>
      <c r="G1236" s="186" t="s">
        <v>3036</v>
      </c>
      <c r="H1236" s="186" t="s">
        <v>3044</v>
      </c>
      <c r="I1236" s="187" t="s">
        <v>1523</v>
      </c>
      <c r="J1236" s="187" t="s">
        <v>1524</v>
      </c>
      <c r="K1236" s="188"/>
      <c r="L1236" s="188"/>
      <c r="M1236" s="189" t="s">
        <v>1500</v>
      </c>
      <c r="N1236" s="190">
        <v>6335.47</v>
      </c>
      <c r="O1236" s="190">
        <f t="shared" si="155"/>
        <v>6905.66</v>
      </c>
      <c r="P1236" s="191">
        <f t="shared" si="156"/>
        <v>0</v>
      </c>
      <c r="Q1236" s="192">
        <f t="shared" si="157"/>
        <v>0</v>
      </c>
      <c r="R1236" s="193"/>
      <c r="S1236" s="194"/>
      <c r="T1236" s="195">
        <f t="shared" si="158"/>
        <v>0</v>
      </c>
      <c r="U1236" s="195">
        <f t="shared" si="159"/>
        <v>0</v>
      </c>
      <c r="V1236" s="195">
        <f t="shared" si="160"/>
        <v>0</v>
      </c>
      <c r="W1236" s="196" t="e">
        <f t="shared" si="161"/>
        <v>#DIV/0!</v>
      </c>
      <c r="X1236" s="197" t="e">
        <f t="shared" si="162"/>
        <v>#DIV/0!</v>
      </c>
    </row>
    <row r="1237" ht="11.4" hidden="1" customHeight="1" spans="1:24">
      <c r="A1237" s="184" t="s">
        <v>3045</v>
      </c>
      <c r="B1237" s="184" t="s">
        <v>417</v>
      </c>
      <c r="C1237" s="184" t="s">
        <v>416</v>
      </c>
      <c r="D1237" s="185" t="s">
        <v>700</v>
      </c>
      <c r="E1237" s="186" t="s">
        <v>2956</v>
      </c>
      <c r="F1237" s="186" t="s">
        <v>3036</v>
      </c>
      <c r="G1237" s="186" t="s">
        <v>3036</v>
      </c>
      <c r="H1237" s="186" t="s">
        <v>3044</v>
      </c>
      <c r="I1237" s="187" t="s">
        <v>1525</v>
      </c>
      <c r="J1237" s="187" t="s">
        <v>1526</v>
      </c>
      <c r="K1237" s="188"/>
      <c r="L1237" s="188"/>
      <c r="M1237" s="189" t="s">
        <v>1500</v>
      </c>
      <c r="N1237" s="190">
        <v>3268.85</v>
      </c>
      <c r="O1237" s="190">
        <f t="shared" si="155"/>
        <v>3563.05</v>
      </c>
      <c r="P1237" s="191">
        <f t="shared" si="156"/>
        <v>0</v>
      </c>
      <c r="Q1237" s="192">
        <f t="shared" si="157"/>
        <v>0</v>
      </c>
      <c r="R1237" s="193"/>
      <c r="S1237" s="194"/>
      <c r="T1237" s="195">
        <f t="shared" si="158"/>
        <v>0</v>
      </c>
      <c r="U1237" s="195">
        <f t="shared" si="159"/>
        <v>0</v>
      </c>
      <c r="V1237" s="195">
        <f t="shared" si="160"/>
        <v>0</v>
      </c>
      <c r="W1237" s="196" t="e">
        <f t="shared" si="161"/>
        <v>#DIV/0!</v>
      </c>
      <c r="X1237" s="197" t="e">
        <f t="shared" si="162"/>
        <v>#DIV/0!</v>
      </c>
    </row>
    <row r="1238" ht="11.4" hidden="1" customHeight="1" spans="1:24">
      <c r="A1238" s="184" t="s">
        <v>3045</v>
      </c>
      <c r="B1238" s="184" t="s">
        <v>417</v>
      </c>
      <c r="C1238" s="184" t="s">
        <v>416</v>
      </c>
      <c r="D1238" s="185" t="s">
        <v>700</v>
      </c>
      <c r="E1238" s="186" t="s">
        <v>2956</v>
      </c>
      <c r="F1238" s="186" t="s">
        <v>3036</v>
      </c>
      <c r="G1238" s="186" t="s">
        <v>3036</v>
      </c>
      <c r="H1238" s="186" t="s">
        <v>3044</v>
      </c>
      <c r="I1238" s="187" t="s">
        <v>1527</v>
      </c>
      <c r="J1238" s="187" t="s">
        <v>1528</v>
      </c>
      <c r="K1238" s="188"/>
      <c r="L1238" s="188"/>
      <c r="M1238" s="189" t="s">
        <v>1500</v>
      </c>
      <c r="N1238" s="190">
        <v>6589.06</v>
      </c>
      <c r="O1238" s="190">
        <f t="shared" si="155"/>
        <v>7182.08</v>
      </c>
      <c r="P1238" s="191">
        <f t="shared" si="156"/>
        <v>0</v>
      </c>
      <c r="Q1238" s="192">
        <f t="shared" si="157"/>
        <v>0</v>
      </c>
      <c r="R1238" s="193"/>
      <c r="S1238" s="194"/>
      <c r="T1238" s="195">
        <f t="shared" si="158"/>
        <v>0</v>
      </c>
      <c r="U1238" s="195">
        <f t="shared" si="159"/>
        <v>0</v>
      </c>
      <c r="V1238" s="195">
        <f t="shared" si="160"/>
        <v>0</v>
      </c>
      <c r="W1238" s="196" t="e">
        <f t="shared" si="161"/>
        <v>#DIV/0!</v>
      </c>
      <c r="X1238" s="197" t="e">
        <f t="shared" si="162"/>
        <v>#DIV/0!</v>
      </c>
    </row>
    <row r="1239" ht="11.4" hidden="1" customHeight="1" spans="1:24">
      <c r="A1239" s="184" t="s">
        <v>3045</v>
      </c>
      <c r="B1239" s="184" t="s">
        <v>417</v>
      </c>
      <c r="C1239" s="184" t="s">
        <v>416</v>
      </c>
      <c r="D1239" s="185" t="s">
        <v>700</v>
      </c>
      <c r="E1239" s="186" t="s">
        <v>2956</v>
      </c>
      <c r="F1239" s="186" t="s">
        <v>3036</v>
      </c>
      <c r="G1239" s="186" t="s">
        <v>3036</v>
      </c>
      <c r="H1239" s="186" t="s">
        <v>3044</v>
      </c>
      <c r="I1239" s="187" t="s">
        <v>1529</v>
      </c>
      <c r="J1239" s="187" t="s">
        <v>1530</v>
      </c>
      <c r="K1239" s="188"/>
      <c r="L1239" s="188"/>
      <c r="M1239" s="189" t="s">
        <v>1500</v>
      </c>
      <c r="N1239" s="190">
        <v>3398.32</v>
      </c>
      <c r="O1239" s="190">
        <f t="shared" si="155"/>
        <v>3704.17</v>
      </c>
      <c r="P1239" s="191">
        <f t="shared" si="156"/>
        <v>0</v>
      </c>
      <c r="Q1239" s="192">
        <f t="shared" si="157"/>
        <v>0</v>
      </c>
      <c r="R1239" s="193"/>
      <c r="S1239" s="194"/>
      <c r="T1239" s="195">
        <f t="shared" si="158"/>
        <v>0</v>
      </c>
      <c r="U1239" s="195">
        <f t="shared" si="159"/>
        <v>0</v>
      </c>
      <c r="V1239" s="195">
        <f t="shared" si="160"/>
        <v>0</v>
      </c>
      <c r="W1239" s="196" t="e">
        <f t="shared" si="161"/>
        <v>#DIV/0!</v>
      </c>
      <c r="X1239" s="197" t="e">
        <f t="shared" si="162"/>
        <v>#DIV/0!</v>
      </c>
    </row>
    <row r="1240" ht="11.4" hidden="1" customHeight="1" spans="1:24">
      <c r="A1240" s="184" t="s">
        <v>3043</v>
      </c>
      <c r="B1240" s="184" t="s">
        <v>117</v>
      </c>
      <c r="C1240" s="184" t="s">
        <v>1101</v>
      </c>
      <c r="D1240" s="185" t="s">
        <v>700</v>
      </c>
      <c r="E1240" s="186" t="s">
        <v>2956</v>
      </c>
      <c r="F1240" s="186" t="s">
        <v>3036</v>
      </c>
      <c r="G1240" s="186" t="s">
        <v>3036</v>
      </c>
      <c r="H1240" s="186" t="s">
        <v>3044</v>
      </c>
      <c r="I1240" s="187" t="s">
        <v>1531</v>
      </c>
      <c r="J1240" s="187" t="s">
        <v>1532</v>
      </c>
      <c r="K1240" s="188"/>
      <c r="L1240" s="188"/>
      <c r="M1240" s="189" t="s">
        <v>1500</v>
      </c>
      <c r="N1240" s="190">
        <v>539.86</v>
      </c>
      <c r="O1240" s="190">
        <f t="shared" si="155"/>
        <v>588.45</v>
      </c>
      <c r="P1240" s="191">
        <f t="shared" si="156"/>
        <v>0</v>
      </c>
      <c r="Q1240" s="192">
        <f t="shared" si="157"/>
        <v>0</v>
      </c>
      <c r="R1240" s="193"/>
      <c r="S1240" s="194"/>
      <c r="T1240" s="195">
        <f t="shared" si="158"/>
        <v>0</v>
      </c>
      <c r="U1240" s="195">
        <f t="shared" si="159"/>
        <v>0</v>
      </c>
      <c r="V1240" s="195">
        <f t="shared" si="160"/>
        <v>0</v>
      </c>
      <c r="W1240" s="196" t="e">
        <f t="shared" si="161"/>
        <v>#DIV/0!</v>
      </c>
      <c r="X1240" s="197" t="e">
        <f t="shared" si="162"/>
        <v>#DIV/0!</v>
      </c>
    </row>
    <row r="1241" ht="11.4" hidden="1" customHeight="1" spans="1:24">
      <c r="A1241" s="184" t="s">
        <v>3043</v>
      </c>
      <c r="B1241" s="184" t="s">
        <v>117</v>
      </c>
      <c r="C1241" s="184" t="s">
        <v>1101</v>
      </c>
      <c r="D1241" s="185" t="s">
        <v>700</v>
      </c>
      <c r="E1241" s="186" t="s">
        <v>2956</v>
      </c>
      <c r="F1241" s="186" t="s">
        <v>3036</v>
      </c>
      <c r="G1241" s="186" t="s">
        <v>3036</v>
      </c>
      <c r="H1241" s="186" t="s">
        <v>3044</v>
      </c>
      <c r="I1241" s="187" t="s">
        <v>1533</v>
      </c>
      <c r="J1241" s="187" t="s">
        <v>1534</v>
      </c>
      <c r="K1241" s="188"/>
      <c r="L1241" s="188"/>
      <c r="M1241" s="189" t="s">
        <v>1500</v>
      </c>
      <c r="N1241" s="190">
        <v>311.29</v>
      </c>
      <c r="O1241" s="190">
        <f t="shared" si="155"/>
        <v>339.31</v>
      </c>
      <c r="P1241" s="191">
        <f t="shared" si="156"/>
        <v>0</v>
      </c>
      <c r="Q1241" s="192">
        <f t="shared" si="157"/>
        <v>0</v>
      </c>
      <c r="R1241" s="193"/>
      <c r="S1241" s="194"/>
      <c r="T1241" s="195">
        <f t="shared" si="158"/>
        <v>0</v>
      </c>
      <c r="U1241" s="195">
        <f t="shared" si="159"/>
        <v>0</v>
      </c>
      <c r="V1241" s="195">
        <f t="shared" si="160"/>
        <v>0</v>
      </c>
      <c r="W1241" s="196" t="e">
        <f t="shared" si="161"/>
        <v>#DIV/0!</v>
      </c>
      <c r="X1241" s="197" t="e">
        <f t="shared" si="162"/>
        <v>#DIV/0!</v>
      </c>
    </row>
    <row r="1242" ht="11.4" hidden="1" customHeight="1" spans="1:24">
      <c r="A1242" s="184" t="s">
        <v>3043</v>
      </c>
      <c r="B1242" s="184" t="s">
        <v>117</v>
      </c>
      <c r="C1242" s="184" t="s">
        <v>1101</v>
      </c>
      <c r="D1242" s="185" t="s">
        <v>700</v>
      </c>
      <c r="E1242" s="186" t="s">
        <v>2956</v>
      </c>
      <c r="F1242" s="186" t="s">
        <v>3036</v>
      </c>
      <c r="G1242" s="186" t="s">
        <v>3036</v>
      </c>
      <c r="H1242" s="186" t="s">
        <v>3039</v>
      </c>
      <c r="I1242" s="187" t="s">
        <v>1480</v>
      </c>
      <c r="J1242" s="187" t="s">
        <v>1481</v>
      </c>
      <c r="K1242" s="188"/>
      <c r="L1242" s="188"/>
      <c r="M1242" s="189" t="s">
        <v>847</v>
      </c>
      <c r="N1242" s="190">
        <v>209.13</v>
      </c>
      <c r="O1242" s="190">
        <f t="shared" si="155"/>
        <v>227.95</v>
      </c>
      <c r="P1242" s="191">
        <f t="shared" si="156"/>
        <v>0</v>
      </c>
      <c r="Q1242" s="192">
        <f t="shared" si="157"/>
        <v>0</v>
      </c>
      <c r="R1242" s="193"/>
      <c r="S1242" s="194"/>
      <c r="T1242" s="195">
        <f t="shared" si="158"/>
        <v>0</v>
      </c>
      <c r="U1242" s="195">
        <f t="shared" si="159"/>
        <v>0</v>
      </c>
      <c r="V1242" s="195">
        <f t="shared" si="160"/>
        <v>0</v>
      </c>
      <c r="W1242" s="196" t="e">
        <f t="shared" si="161"/>
        <v>#DIV/0!</v>
      </c>
      <c r="X1242" s="197" t="e">
        <f t="shared" si="162"/>
        <v>#DIV/0!</v>
      </c>
    </row>
    <row r="1243" ht="11.4" hidden="1" customHeight="1" spans="1:24">
      <c r="A1243" s="184" t="s">
        <v>3043</v>
      </c>
      <c r="B1243" s="184" t="s">
        <v>117</v>
      </c>
      <c r="C1243" s="184" t="s">
        <v>1101</v>
      </c>
      <c r="D1243" s="185" t="s">
        <v>700</v>
      </c>
      <c r="E1243" s="186" t="s">
        <v>2956</v>
      </c>
      <c r="F1243" s="186" t="s">
        <v>3036</v>
      </c>
      <c r="G1243" s="186" t="s">
        <v>3036</v>
      </c>
      <c r="H1243" s="186" t="s">
        <v>3039</v>
      </c>
      <c r="I1243" s="187" t="s">
        <v>1482</v>
      </c>
      <c r="J1243" s="187" t="s">
        <v>1483</v>
      </c>
      <c r="K1243" s="188"/>
      <c r="L1243" s="188"/>
      <c r="M1243" s="189" t="s">
        <v>847</v>
      </c>
      <c r="N1243" s="190">
        <v>203.08</v>
      </c>
      <c r="O1243" s="190">
        <f t="shared" si="155"/>
        <v>221.36</v>
      </c>
      <c r="P1243" s="191">
        <f t="shared" si="156"/>
        <v>0</v>
      </c>
      <c r="Q1243" s="192">
        <f t="shared" si="157"/>
        <v>0</v>
      </c>
      <c r="R1243" s="193"/>
      <c r="S1243" s="194"/>
      <c r="T1243" s="195">
        <f t="shared" si="158"/>
        <v>0</v>
      </c>
      <c r="U1243" s="195">
        <f t="shared" si="159"/>
        <v>0</v>
      </c>
      <c r="V1243" s="195">
        <f t="shared" si="160"/>
        <v>0</v>
      </c>
      <c r="W1243" s="196" t="e">
        <f t="shared" si="161"/>
        <v>#DIV/0!</v>
      </c>
      <c r="X1243" s="197" t="e">
        <f t="shared" si="162"/>
        <v>#DIV/0!</v>
      </c>
    </row>
    <row r="1244" ht="11.4" hidden="1" customHeight="1" spans="1:24">
      <c r="A1244" s="184" t="s">
        <v>3043</v>
      </c>
      <c r="B1244" s="184" t="s">
        <v>117</v>
      </c>
      <c r="C1244" s="184" t="s">
        <v>1101</v>
      </c>
      <c r="D1244" s="185" t="s">
        <v>700</v>
      </c>
      <c r="E1244" s="186" t="s">
        <v>2956</v>
      </c>
      <c r="F1244" s="186" t="s">
        <v>3036</v>
      </c>
      <c r="G1244" s="186" t="s">
        <v>3036</v>
      </c>
      <c r="H1244" s="186" t="s">
        <v>3039</v>
      </c>
      <c r="I1244" s="187" t="s">
        <v>1484</v>
      </c>
      <c r="J1244" s="187" t="s">
        <v>1485</v>
      </c>
      <c r="K1244" s="188"/>
      <c r="L1244" s="188"/>
      <c r="M1244" s="189" t="s">
        <v>847</v>
      </c>
      <c r="N1244" s="190">
        <v>209.13</v>
      </c>
      <c r="O1244" s="190">
        <f t="shared" si="155"/>
        <v>227.95</v>
      </c>
      <c r="P1244" s="191">
        <f t="shared" si="156"/>
        <v>0</v>
      </c>
      <c r="Q1244" s="192">
        <f t="shared" si="157"/>
        <v>0</v>
      </c>
      <c r="R1244" s="193"/>
      <c r="S1244" s="194"/>
      <c r="T1244" s="195">
        <f t="shared" si="158"/>
        <v>0</v>
      </c>
      <c r="U1244" s="195">
        <f t="shared" si="159"/>
        <v>0</v>
      </c>
      <c r="V1244" s="195">
        <f t="shared" si="160"/>
        <v>0</v>
      </c>
      <c r="W1244" s="196" t="e">
        <f t="shared" si="161"/>
        <v>#DIV/0!</v>
      </c>
      <c r="X1244" s="197" t="e">
        <f t="shared" si="162"/>
        <v>#DIV/0!</v>
      </c>
    </row>
    <row r="1245" ht="11.4" hidden="1" customHeight="1" spans="1:24">
      <c r="A1245" s="184" t="s">
        <v>3043</v>
      </c>
      <c r="B1245" s="184" t="s">
        <v>117</v>
      </c>
      <c r="C1245" s="184" t="s">
        <v>1101</v>
      </c>
      <c r="D1245" s="185" t="s">
        <v>700</v>
      </c>
      <c r="E1245" s="186" t="s">
        <v>2956</v>
      </c>
      <c r="F1245" s="186" t="s">
        <v>3036</v>
      </c>
      <c r="G1245" s="186" t="s">
        <v>3036</v>
      </c>
      <c r="H1245" s="186" t="s">
        <v>3044</v>
      </c>
      <c r="I1245" s="187" t="s">
        <v>1486</v>
      </c>
      <c r="J1245" s="187" t="s">
        <v>1487</v>
      </c>
      <c r="K1245" s="188"/>
      <c r="L1245" s="188"/>
      <c r="M1245" s="189" t="s">
        <v>847</v>
      </c>
      <c r="N1245" s="190">
        <v>660.97</v>
      </c>
      <c r="O1245" s="190">
        <f t="shared" si="155"/>
        <v>720.46</v>
      </c>
      <c r="P1245" s="191">
        <f t="shared" si="156"/>
        <v>0</v>
      </c>
      <c r="Q1245" s="192">
        <f t="shared" si="157"/>
        <v>0</v>
      </c>
      <c r="R1245" s="193"/>
      <c r="S1245" s="194"/>
      <c r="T1245" s="195">
        <f t="shared" si="158"/>
        <v>0</v>
      </c>
      <c r="U1245" s="195">
        <f t="shared" si="159"/>
        <v>0</v>
      </c>
      <c r="V1245" s="195">
        <f t="shared" si="160"/>
        <v>0</v>
      </c>
      <c r="W1245" s="196" t="e">
        <f t="shared" si="161"/>
        <v>#DIV/0!</v>
      </c>
      <c r="X1245" s="197" t="e">
        <f t="shared" si="162"/>
        <v>#DIV/0!</v>
      </c>
    </row>
    <row r="1246" ht="11.4" hidden="1" customHeight="1" spans="1:24">
      <c r="A1246" s="184" t="s">
        <v>3043</v>
      </c>
      <c r="B1246" s="184" t="s">
        <v>117</v>
      </c>
      <c r="C1246" s="184" t="s">
        <v>1101</v>
      </c>
      <c r="D1246" s="185" t="s">
        <v>700</v>
      </c>
      <c r="E1246" s="186" t="s">
        <v>2956</v>
      </c>
      <c r="F1246" s="186" t="s">
        <v>3036</v>
      </c>
      <c r="G1246" s="186" t="s">
        <v>3036</v>
      </c>
      <c r="H1246" s="186" t="s">
        <v>3044</v>
      </c>
      <c r="I1246" s="187" t="s">
        <v>2973</v>
      </c>
      <c r="J1246" s="187" t="s">
        <v>2974</v>
      </c>
      <c r="K1246" s="188"/>
      <c r="L1246" s="188"/>
      <c r="M1246" s="189" t="s">
        <v>847</v>
      </c>
      <c r="N1246" s="190">
        <v>1134.73</v>
      </c>
      <c r="O1246" s="190">
        <f t="shared" si="155"/>
        <v>1236.86</v>
      </c>
      <c r="P1246" s="191">
        <f t="shared" si="156"/>
        <v>0</v>
      </c>
      <c r="Q1246" s="192">
        <f t="shared" si="157"/>
        <v>0</v>
      </c>
      <c r="R1246" s="193"/>
      <c r="S1246" s="194"/>
      <c r="T1246" s="195">
        <f t="shared" si="158"/>
        <v>0</v>
      </c>
      <c r="U1246" s="195">
        <f t="shared" si="159"/>
        <v>0</v>
      </c>
      <c r="V1246" s="195">
        <f t="shared" si="160"/>
        <v>0</v>
      </c>
      <c r="W1246" s="196" t="e">
        <f t="shared" si="161"/>
        <v>#DIV/0!</v>
      </c>
      <c r="X1246" s="197" t="e">
        <f t="shared" si="162"/>
        <v>#DIV/0!</v>
      </c>
    </row>
    <row r="1247" ht="11.4" hidden="1" customHeight="1" spans="1:24">
      <c r="A1247" s="184" t="s">
        <v>3043</v>
      </c>
      <c r="B1247" s="184" t="s">
        <v>117</v>
      </c>
      <c r="C1247" s="184" t="s">
        <v>1101</v>
      </c>
      <c r="D1247" s="185" t="s">
        <v>700</v>
      </c>
      <c r="E1247" s="186" t="s">
        <v>2956</v>
      </c>
      <c r="F1247" s="186" t="s">
        <v>3036</v>
      </c>
      <c r="G1247" s="186" t="s">
        <v>3036</v>
      </c>
      <c r="H1247" s="186" t="s">
        <v>3044</v>
      </c>
      <c r="I1247" s="187" t="s">
        <v>1445</v>
      </c>
      <c r="J1247" s="187" t="s">
        <v>1446</v>
      </c>
      <c r="K1247" s="188"/>
      <c r="L1247" s="188"/>
      <c r="M1247" s="189" t="s">
        <v>847</v>
      </c>
      <c r="N1247" s="190">
        <v>464.59</v>
      </c>
      <c r="O1247" s="190">
        <f t="shared" si="155"/>
        <v>506.4</v>
      </c>
      <c r="P1247" s="191">
        <f t="shared" si="156"/>
        <v>0</v>
      </c>
      <c r="Q1247" s="192">
        <f t="shared" si="157"/>
        <v>0</v>
      </c>
      <c r="R1247" s="193"/>
      <c r="S1247" s="194"/>
      <c r="T1247" s="195">
        <f t="shared" si="158"/>
        <v>0</v>
      </c>
      <c r="U1247" s="195">
        <f t="shared" si="159"/>
        <v>0</v>
      </c>
      <c r="V1247" s="195">
        <f t="shared" si="160"/>
        <v>0</v>
      </c>
      <c r="W1247" s="196" t="e">
        <f t="shared" si="161"/>
        <v>#DIV/0!</v>
      </c>
      <c r="X1247" s="197" t="e">
        <f t="shared" si="162"/>
        <v>#DIV/0!</v>
      </c>
    </row>
    <row r="1248" ht="11.4" hidden="1" customHeight="1" spans="1:24">
      <c r="A1248" s="184" t="s">
        <v>3043</v>
      </c>
      <c r="B1248" s="184" t="s">
        <v>117</v>
      </c>
      <c r="C1248" s="184" t="s">
        <v>1101</v>
      </c>
      <c r="D1248" s="185" t="s">
        <v>700</v>
      </c>
      <c r="E1248" s="186" t="s">
        <v>2956</v>
      </c>
      <c r="F1248" s="186" t="s">
        <v>3036</v>
      </c>
      <c r="G1248" s="186" t="s">
        <v>3036</v>
      </c>
      <c r="H1248" s="186" t="s">
        <v>3044</v>
      </c>
      <c r="I1248" s="187" t="s">
        <v>1448</v>
      </c>
      <c r="J1248" s="187" t="s">
        <v>1449</v>
      </c>
      <c r="K1248" s="188"/>
      <c r="L1248" s="188"/>
      <c r="M1248" s="189" t="s">
        <v>847</v>
      </c>
      <c r="N1248" s="190">
        <v>460.58</v>
      </c>
      <c r="O1248" s="190">
        <f t="shared" si="155"/>
        <v>502.03</v>
      </c>
      <c r="P1248" s="191">
        <f t="shared" si="156"/>
        <v>0</v>
      </c>
      <c r="Q1248" s="192">
        <f t="shared" si="157"/>
        <v>0</v>
      </c>
      <c r="R1248" s="193"/>
      <c r="S1248" s="194"/>
      <c r="T1248" s="195">
        <f t="shared" si="158"/>
        <v>0</v>
      </c>
      <c r="U1248" s="195">
        <f t="shared" si="159"/>
        <v>0</v>
      </c>
      <c r="V1248" s="195">
        <f t="shared" si="160"/>
        <v>0</v>
      </c>
      <c r="W1248" s="196" t="e">
        <f t="shared" si="161"/>
        <v>#DIV/0!</v>
      </c>
      <c r="X1248" s="197" t="e">
        <f t="shared" si="162"/>
        <v>#DIV/0!</v>
      </c>
    </row>
    <row r="1249" ht="11.4" hidden="1" customHeight="1" spans="1:24">
      <c r="A1249" s="184" t="s">
        <v>3043</v>
      </c>
      <c r="B1249" s="184" t="s">
        <v>117</v>
      </c>
      <c r="C1249" s="184" t="s">
        <v>1101</v>
      </c>
      <c r="D1249" s="185" t="s">
        <v>700</v>
      </c>
      <c r="E1249" s="186" t="s">
        <v>2956</v>
      </c>
      <c r="F1249" s="186" t="s">
        <v>3036</v>
      </c>
      <c r="G1249" s="186" t="s">
        <v>3036</v>
      </c>
      <c r="H1249" s="186" t="s">
        <v>3044</v>
      </c>
      <c r="I1249" s="187" t="s">
        <v>1450</v>
      </c>
      <c r="J1249" s="187" t="s">
        <v>1451</v>
      </c>
      <c r="K1249" s="188"/>
      <c r="L1249" s="188"/>
      <c r="M1249" s="189" t="s">
        <v>847</v>
      </c>
      <c r="N1249" s="190">
        <v>464.64</v>
      </c>
      <c r="O1249" s="190">
        <f t="shared" si="155"/>
        <v>506.46</v>
      </c>
      <c r="P1249" s="191">
        <f t="shared" si="156"/>
        <v>0</v>
      </c>
      <c r="Q1249" s="192">
        <f t="shared" si="157"/>
        <v>0</v>
      </c>
      <c r="R1249" s="193"/>
      <c r="S1249" s="194"/>
      <c r="T1249" s="195">
        <f t="shared" si="158"/>
        <v>0</v>
      </c>
      <c r="U1249" s="195">
        <f t="shared" si="159"/>
        <v>0</v>
      </c>
      <c r="V1249" s="195">
        <f t="shared" si="160"/>
        <v>0</v>
      </c>
      <c r="W1249" s="196" t="e">
        <f t="shared" si="161"/>
        <v>#DIV/0!</v>
      </c>
      <c r="X1249" s="197" t="e">
        <f t="shared" si="162"/>
        <v>#DIV/0!</v>
      </c>
    </row>
    <row r="1250" ht="11.4" hidden="1" customHeight="1" spans="1:24">
      <c r="A1250" s="184" t="s">
        <v>3043</v>
      </c>
      <c r="B1250" s="184" t="s">
        <v>117</v>
      </c>
      <c r="C1250" s="184" t="s">
        <v>1101</v>
      </c>
      <c r="D1250" s="185" t="s">
        <v>700</v>
      </c>
      <c r="E1250" s="186" t="s">
        <v>2956</v>
      </c>
      <c r="F1250" s="186" t="s">
        <v>3036</v>
      </c>
      <c r="G1250" s="186" t="s">
        <v>3036</v>
      </c>
      <c r="H1250" s="186" t="s">
        <v>3044</v>
      </c>
      <c r="I1250" s="187" t="s">
        <v>1463</v>
      </c>
      <c r="J1250" s="187" t="s">
        <v>1464</v>
      </c>
      <c r="K1250" s="188"/>
      <c r="L1250" s="188"/>
      <c r="M1250" s="189" t="s">
        <v>847</v>
      </c>
      <c r="N1250" s="190">
        <v>727.77</v>
      </c>
      <c r="O1250" s="190">
        <f t="shared" si="155"/>
        <v>793.27</v>
      </c>
      <c r="P1250" s="191">
        <f t="shared" si="156"/>
        <v>0</v>
      </c>
      <c r="Q1250" s="192">
        <f t="shared" si="157"/>
        <v>0</v>
      </c>
      <c r="R1250" s="193"/>
      <c r="S1250" s="194"/>
      <c r="T1250" s="195">
        <f t="shared" si="158"/>
        <v>0</v>
      </c>
      <c r="U1250" s="195">
        <f t="shared" si="159"/>
        <v>0</v>
      </c>
      <c r="V1250" s="195">
        <f t="shared" si="160"/>
        <v>0</v>
      </c>
      <c r="W1250" s="196" t="e">
        <f t="shared" si="161"/>
        <v>#DIV/0!</v>
      </c>
      <c r="X1250" s="197" t="e">
        <f t="shared" si="162"/>
        <v>#DIV/0!</v>
      </c>
    </row>
    <row r="1251" ht="11.4" hidden="1" customHeight="1" spans="1:24">
      <c r="A1251" s="184" t="s">
        <v>3043</v>
      </c>
      <c r="B1251" s="184" t="s">
        <v>117</v>
      </c>
      <c r="C1251" s="184" t="s">
        <v>1101</v>
      </c>
      <c r="D1251" s="185" t="s">
        <v>700</v>
      </c>
      <c r="E1251" s="186" t="s">
        <v>2956</v>
      </c>
      <c r="F1251" s="186" t="s">
        <v>3036</v>
      </c>
      <c r="G1251" s="186" t="s">
        <v>3036</v>
      </c>
      <c r="H1251" s="186" t="s">
        <v>3044</v>
      </c>
      <c r="I1251" s="187" t="s">
        <v>2971</v>
      </c>
      <c r="J1251" s="187" t="s">
        <v>2972</v>
      </c>
      <c r="K1251" s="188"/>
      <c r="L1251" s="188"/>
      <c r="M1251" s="189" t="s">
        <v>847</v>
      </c>
      <c r="N1251" s="190">
        <v>298.96</v>
      </c>
      <c r="O1251" s="190">
        <f t="shared" si="155"/>
        <v>325.87</v>
      </c>
      <c r="P1251" s="191">
        <f t="shared" si="156"/>
        <v>0</v>
      </c>
      <c r="Q1251" s="192">
        <f t="shared" si="157"/>
        <v>0</v>
      </c>
      <c r="R1251" s="193"/>
      <c r="S1251" s="194"/>
      <c r="T1251" s="195">
        <f t="shared" si="158"/>
        <v>0</v>
      </c>
      <c r="U1251" s="195">
        <f t="shared" si="159"/>
        <v>0</v>
      </c>
      <c r="V1251" s="195">
        <f t="shared" si="160"/>
        <v>0</v>
      </c>
      <c r="W1251" s="196" t="e">
        <f t="shared" si="161"/>
        <v>#DIV/0!</v>
      </c>
      <c r="X1251" s="197" t="e">
        <f t="shared" si="162"/>
        <v>#DIV/0!</v>
      </c>
    </row>
    <row r="1252" ht="11.4" hidden="1" customHeight="1" spans="1:24">
      <c r="A1252" s="184" t="s">
        <v>3043</v>
      </c>
      <c r="B1252" s="184" t="s">
        <v>117</v>
      </c>
      <c r="C1252" s="184" t="s">
        <v>1101</v>
      </c>
      <c r="D1252" s="185" t="s">
        <v>700</v>
      </c>
      <c r="E1252" s="186" t="s">
        <v>2956</v>
      </c>
      <c r="F1252" s="186" t="s">
        <v>3036</v>
      </c>
      <c r="G1252" s="186" t="s">
        <v>3036</v>
      </c>
      <c r="H1252" s="186" t="s">
        <v>3044</v>
      </c>
      <c r="I1252" s="187" t="s">
        <v>1490</v>
      </c>
      <c r="J1252" s="187" t="s">
        <v>1491</v>
      </c>
      <c r="K1252" s="188"/>
      <c r="L1252" s="188"/>
      <c r="M1252" s="189" t="s">
        <v>847</v>
      </c>
      <c r="N1252" s="190">
        <v>135.83</v>
      </c>
      <c r="O1252" s="190">
        <f t="shared" si="155"/>
        <v>148.05</v>
      </c>
      <c r="P1252" s="191">
        <f t="shared" si="156"/>
        <v>0</v>
      </c>
      <c r="Q1252" s="192">
        <f t="shared" si="157"/>
        <v>0</v>
      </c>
      <c r="R1252" s="193"/>
      <c r="S1252" s="194"/>
      <c r="T1252" s="195">
        <f t="shared" si="158"/>
        <v>0</v>
      </c>
      <c r="U1252" s="195">
        <f t="shared" si="159"/>
        <v>0</v>
      </c>
      <c r="V1252" s="195">
        <f t="shared" si="160"/>
        <v>0</v>
      </c>
      <c r="W1252" s="196" t="e">
        <f t="shared" si="161"/>
        <v>#DIV/0!</v>
      </c>
      <c r="X1252" s="197" t="e">
        <f t="shared" si="162"/>
        <v>#DIV/0!</v>
      </c>
    </row>
    <row r="1253" ht="11.4" hidden="1" customHeight="1" spans="1:24">
      <c r="A1253" s="184" t="s">
        <v>3043</v>
      </c>
      <c r="B1253" s="184" t="s">
        <v>117</v>
      </c>
      <c r="C1253" s="184" t="s">
        <v>1101</v>
      </c>
      <c r="D1253" s="185" t="s">
        <v>700</v>
      </c>
      <c r="E1253" s="186" t="s">
        <v>2956</v>
      </c>
      <c r="F1253" s="186" t="s">
        <v>3036</v>
      </c>
      <c r="G1253" s="186" t="s">
        <v>3036</v>
      </c>
      <c r="H1253" s="186" t="s">
        <v>3044</v>
      </c>
      <c r="I1253" s="187" t="s">
        <v>1106</v>
      </c>
      <c r="J1253" s="187" t="s">
        <v>1107</v>
      </c>
      <c r="K1253" s="188"/>
      <c r="L1253" s="188"/>
      <c r="M1253" s="189" t="s">
        <v>807</v>
      </c>
      <c r="N1253" s="190">
        <v>41.36</v>
      </c>
      <c r="O1253" s="190">
        <f t="shared" si="155"/>
        <v>45.08</v>
      </c>
      <c r="P1253" s="191">
        <f t="shared" si="156"/>
        <v>0</v>
      </c>
      <c r="Q1253" s="192">
        <f t="shared" si="157"/>
        <v>0</v>
      </c>
      <c r="R1253" s="193"/>
      <c r="S1253" s="194"/>
      <c r="T1253" s="195">
        <f t="shared" si="158"/>
        <v>0</v>
      </c>
      <c r="U1253" s="195">
        <f t="shared" si="159"/>
        <v>0</v>
      </c>
      <c r="V1253" s="195">
        <f t="shared" si="160"/>
        <v>0</v>
      </c>
      <c r="W1253" s="196" t="e">
        <f t="shared" si="161"/>
        <v>#DIV/0!</v>
      </c>
      <c r="X1253" s="197" t="e">
        <f t="shared" si="162"/>
        <v>#DIV/0!</v>
      </c>
    </row>
    <row r="1254" ht="11.4" hidden="1" customHeight="1" spans="1:24">
      <c r="A1254" s="184" t="s">
        <v>3043</v>
      </c>
      <c r="B1254" s="184" t="s">
        <v>117</v>
      </c>
      <c r="C1254" s="184" t="s">
        <v>1101</v>
      </c>
      <c r="D1254" s="185" t="s">
        <v>700</v>
      </c>
      <c r="E1254" s="186" t="s">
        <v>2956</v>
      </c>
      <c r="F1254" s="186" t="s">
        <v>3036</v>
      </c>
      <c r="G1254" s="186" t="s">
        <v>3036</v>
      </c>
      <c r="H1254" s="186" t="s">
        <v>3044</v>
      </c>
      <c r="I1254" s="187" t="s">
        <v>1111</v>
      </c>
      <c r="J1254" s="187" t="s">
        <v>1112</v>
      </c>
      <c r="K1254" s="188"/>
      <c r="L1254" s="188"/>
      <c r="M1254" s="189" t="s">
        <v>807</v>
      </c>
      <c r="N1254" s="190">
        <v>38.94</v>
      </c>
      <c r="O1254" s="190">
        <f t="shared" si="155"/>
        <v>42.44</v>
      </c>
      <c r="P1254" s="191">
        <f t="shared" si="156"/>
        <v>0</v>
      </c>
      <c r="Q1254" s="192">
        <f t="shared" si="157"/>
        <v>0</v>
      </c>
      <c r="R1254" s="193"/>
      <c r="S1254" s="194"/>
      <c r="T1254" s="195">
        <f t="shared" si="158"/>
        <v>0</v>
      </c>
      <c r="U1254" s="195">
        <f t="shared" si="159"/>
        <v>0</v>
      </c>
      <c r="V1254" s="195">
        <f t="shared" si="160"/>
        <v>0</v>
      </c>
      <c r="W1254" s="196" t="e">
        <f t="shared" si="161"/>
        <v>#DIV/0!</v>
      </c>
      <c r="X1254" s="197" t="e">
        <f t="shared" si="162"/>
        <v>#DIV/0!</v>
      </c>
    </row>
    <row r="1255" ht="11.4" hidden="1" customHeight="1" spans="1:24">
      <c r="A1255" s="184" t="s">
        <v>3043</v>
      </c>
      <c r="B1255" s="184" t="s">
        <v>117</v>
      </c>
      <c r="C1255" s="184" t="s">
        <v>1101</v>
      </c>
      <c r="D1255" s="185" t="s">
        <v>700</v>
      </c>
      <c r="E1255" s="186" t="s">
        <v>2956</v>
      </c>
      <c r="F1255" s="186" t="s">
        <v>3036</v>
      </c>
      <c r="G1255" s="186" t="s">
        <v>3036</v>
      </c>
      <c r="H1255" s="186" t="s">
        <v>3044</v>
      </c>
      <c r="I1255" s="187" t="s">
        <v>1115</v>
      </c>
      <c r="J1255" s="187" t="s">
        <v>1116</v>
      </c>
      <c r="K1255" s="188"/>
      <c r="L1255" s="188"/>
      <c r="M1255" s="189" t="s">
        <v>807</v>
      </c>
      <c r="N1255" s="190">
        <v>42.57</v>
      </c>
      <c r="O1255" s="190">
        <f t="shared" si="155"/>
        <v>46.4</v>
      </c>
      <c r="P1255" s="191">
        <f t="shared" si="156"/>
        <v>0</v>
      </c>
      <c r="Q1255" s="192">
        <f t="shared" si="157"/>
        <v>0</v>
      </c>
      <c r="R1255" s="193"/>
      <c r="S1255" s="194"/>
      <c r="T1255" s="195">
        <f t="shared" si="158"/>
        <v>0</v>
      </c>
      <c r="U1255" s="195">
        <f t="shared" si="159"/>
        <v>0</v>
      </c>
      <c r="V1255" s="195">
        <f t="shared" si="160"/>
        <v>0</v>
      </c>
      <c r="W1255" s="196" t="e">
        <f t="shared" si="161"/>
        <v>#DIV/0!</v>
      </c>
      <c r="X1255" s="197" t="e">
        <f t="shared" si="162"/>
        <v>#DIV/0!</v>
      </c>
    </row>
    <row r="1256" ht="11.4" hidden="1" customHeight="1" spans="1:24">
      <c r="A1256" s="184" t="s">
        <v>3043</v>
      </c>
      <c r="B1256" s="184" t="s">
        <v>117</v>
      </c>
      <c r="C1256" s="184" t="s">
        <v>1101</v>
      </c>
      <c r="D1256" s="185" t="s">
        <v>700</v>
      </c>
      <c r="E1256" s="186" t="s">
        <v>2956</v>
      </c>
      <c r="F1256" s="186" t="s">
        <v>3036</v>
      </c>
      <c r="G1256" s="186" t="s">
        <v>3036</v>
      </c>
      <c r="H1256" s="186" t="s">
        <v>3044</v>
      </c>
      <c r="I1256" s="187" t="s">
        <v>1493</v>
      </c>
      <c r="J1256" s="187" t="s">
        <v>1494</v>
      </c>
      <c r="K1256" s="188"/>
      <c r="L1256" s="188"/>
      <c r="M1256" s="189" t="s">
        <v>807</v>
      </c>
      <c r="N1256" s="190">
        <v>55.41</v>
      </c>
      <c r="O1256" s="190">
        <f t="shared" si="155"/>
        <v>60.4</v>
      </c>
      <c r="P1256" s="191">
        <f t="shared" si="156"/>
        <v>0</v>
      </c>
      <c r="Q1256" s="192">
        <f t="shared" si="157"/>
        <v>0</v>
      </c>
      <c r="R1256" s="193"/>
      <c r="S1256" s="194"/>
      <c r="T1256" s="195">
        <f t="shared" si="158"/>
        <v>0</v>
      </c>
      <c r="U1256" s="195">
        <f t="shared" si="159"/>
        <v>0</v>
      </c>
      <c r="V1256" s="195">
        <f t="shared" si="160"/>
        <v>0</v>
      </c>
      <c r="W1256" s="196" t="e">
        <f t="shared" si="161"/>
        <v>#DIV/0!</v>
      </c>
      <c r="X1256" s="197" t="e">
        <f t="shared" si="162"/>
        <v>#DIV/0!</v>
      </c>
    </row>
    <row r="1257" ht="11.4" hidden="1" customHeight="1" spans="1:24">
      <c r="A1257" s="184" t="s">
        <v>3043</v>
      </c>
      <c r="B1257" s="184" t="s">
        <v>117</v>
      </c>
      <c r="C1257" s="184" t="s">
        <v>1101</v>
      </c>
      <c r="D1257" s="185" t="s">
        <v>700</v>
      </c>
      <c r="E1257" s="186" t="s">
        <v>2956</v>
      </c>
      <c r="F1257" s="186" t="s">
        <v>3036</v>
      </c>
      <c r="G1257" s="186" t="s">
        <v>3036</v>
      </c>
      <c r="H1257" s="186" t="s">
        <v>3044</v>
      </c>
      <c r="I1257" s="187" t="s">
        <v>2914</v>
      </c>
      <c r="J1257" s="187" t="s">
        <v>2915</v>
      </c>
      <c r="K1257" s="188"/>
      <c r="L1257" s="188"/>
      <c r="M1257" s="189" t="s">
        <v>807</v>
      </c>
      <c r="N1257" s="190">
        <v>112.38</v>
      </c>
      <c r="O1257" s="190">
        <f t="shared" si="155"/>
        <v>122.49</v>
      </c>
      <c r="P1257" s="191">
        <f t="shared" si="156"/>
        <v>0</v>
      </c>
      <c r="Q1257" s="192">
        <f t="shared" si="157"/>
        <v>0</v>
      </c>
      <c r="R1257" s="193"/>
      <c r="S1257" s="194"/>
      <c r="T1257" s="195">
        <f t="shared" si="158"/>
        <v>0</v>
      </c>
      <c r="U1257" s="195">
        <f t="shared" si="159"/>
        <v>0</v>
      </c>
      <c r="V1257" s="195">
        <f t="shared" si="160"/>
        <v>0</v>
      </c>
      <c r="W1257" s="196" t="e">
        <f t="shared" si="161"/>
        <v>#DIV/0!</v>
      </c>
      <c r="X1257" s="197" t="e">
        <f t="shared" si="162"/>
        <v>#DIV/0!</v>
      </c>
    </row>
    <row r="1258" ht="11.4" hidden="1" customHeight="1" spans="1:24">
      <c r="A1258" s="184" t="s">
        <v>3043</v>
      </c>
      <c r="B1258" s="184" t="s">
        <v>117</v>
      </c>
      <c r="C1258" s="184" t="s">
        <v>1101</v>
      </c>
      <c r="D1258" s="185" t="s">
        <v>700</v>
      </c>
      <c r="E1258" s="186" t="s">
        <v>2956</v>
      </c>
      <c r="F1258" s="186" t="s">
        <v>3036</v>
      </c>
      <c r="G1258" s="186" t="s">
        <v>3036</v>
      </c>
      <c r="H1258" s="186" t="s">
        <v>3044</v>
      </c>
      <c r="I1258" s="187" t="s">
        <v>2975</v>
      </c>
      <c r="J1258" s="187" t="s">
        <v>2976</v>
      </c>
      <c r="K1258" s="188"/>
      <c r="L1258" s="188"/>
      <c r="M1258" s="189" t="s">
        <v>807</v>
      </c>
      <c r="N1258" s="190">
        <v>247.93</v>
      </c>
      <c r="O1258" s="190">
        <f t="shared" si="155"/>
        <v>270.24</v>
      </c>
      <c r="P1258" s="191">
        <f t="shared" si="156"/>
        <v>0</v>
      </c>
      <c r="Q1258" s="192">
        <f t="shared" si="157"/>
        <v>0</v>
      </c>
      <c r="R1258" s="193"/>
      <c r="S1258" s="194"/>
      <c r="T1258" s="195">
        <f t="shared" si="158"/>
        <v>0</v>
      </c>
      <c r="U1258" s="195">
        <f t="shared" si="159"/>
        <v>0</v>
      </c>
      <c r="V1258" s="195">
        <f t="shared" si="160"/>
        <v>0</v>
      </c>
      <c r="W1258" s="196" t="e">
        <f t="shared" si="161"/>
        <v>#DIV/0!</v>
      </c>
      <c r="X1258" s="197" t="e">
        <f t="shared" si="162"/>
        <v>#DIV/0!</v>
      </c>
    </row>
    <row r="1259" ht="11.4" hidden="1" customHeight="1" spans="1:24">
      <c r="A1259" s="184" t="s">
        <v>3043</v>
      </c>
      <c r="B1259" s="184" t="s">
        <v>117</v>
      </c>
      <c r="C1259" s="184" t="s">
        <v>1101</v>
      </c>
      <c r="D1259" s="185" t="s">
        <v>700</v>
      </c>
      <c r="E1259" s="186" t="s">
        <v>2956</v>
      </c>
      <c r="F1259" s="186" t="s">
        <v>3036</v>
      </c>
      <c r="G1259" s="186" t="s">
        <v>3036</v>
      </c>
      <c r="H1259" s="186" t="s">
        <v>3044</v>
      </c>
      <c r="I1259" s="187" t="s">
        <v>2977</v>
      </c>
      <c r="J1259" s="187" t="s">
        <v>2978</v>
      </c>
      <c r="K1259" s="188"/>
      <c r="L1259" s="188"/>
      <c r="M1259" s="189" t="s">
        <v>963</v>
      </c>
      <c r="N1259" s="190">
        <v>2257.86</v>
      </c>
      <c r="O1259" s="190">
        <f t="shared" si="155"/>
        <v>2461.07</v>
      </c>
      <c r="P1259" s="191">
        <f t="shared" si="156"/>
        <v>0</v>
      </c>
      <c r="Q1259" s="192">
        <f t="shared" si="157"/>
        <v>0</v>
      </c>
      <c r="R1259" s="193"/>
      <c r="S1259" s="194"/>
      <c r="T1259" s="195">
        <f t="shared" si="158"/>
        <v>0</v>
      </c>
      <c r="U1259" s="195">
        <f t="shared" si="159"/>
        <v>0</v>
      </c>
      <c r="V1259" s="195">
        <f t="shared" si="160"/>
        <v>0</v>
      </c>
      <c r="W1259" s="196" t="e">
        <f t="shared" si="161"/>
        <v>#DIV/0!</v>
      </c>
      <c r="X1259" s="197" t="e">
        <f t="shared" si="162"/>
        <v>#DIV/0!</v>
      </c>
    </row>
    <row r="1260" ht="11.4" hidden="1" customHeight="1" spans="1:24">
      <c r="A1260" s="184" t="s">
        <v>3046</v>
      </c>
      <c r="B1260" s="184" t="s">
        <v>119</v>
      </c>
      <c r="C1260" s="184" t="s">
        <v>1101</v>
      </c>
      <c r="D1260" s="185" t="s">
        <v>700</v>
      </c>
      <c r="E1260" s="186" t="s">
        <v>2956</v>
      </c>
      <c r="F1260" s="186" t="s">
        <v>3036</v>
      </c>
      <c r="G1260" s="186" t="s">
        <v>3036</v>
      </c>
      <c r="H1260" s="186" t="s">
        <v>3047</v>
      </c>
      <c r="I1260" s="187" t="s">
        <v>2981</v>
      </c>
      <c r="J1260" s="187" t="s">
        <v>2982</v>
      </c>
      <c r="K1260" s="188"/>
      <c r="L1260" s="188"/>
      <c r="M1260" s="189" t="s">
        <v>807</v>
      </c>
      <c r="N1260" s="190">
        <v>3386.65</v>
      </c>
      <c r="O1260" s="190">
        <f t="shared" si="155"/>
        <v>3691.45</v>
      </c>
      <c r="P1260" s="191">
        <f t="shared" si="156"/>
        <v>0</v>
      </c>
      <c r="Q1260" s="192">
        <f t="shared" si="157"/>
        <v>0</v>
      </c>
      <c r="R1260" s="193"/>
      <c r="S1260" s="194"/>
      <c r="T1260" s="195">
        <f t="shared" si="158"/>
        <v>0</v>
      </c>
      <c r="U1260" s="195">
        <f t="shared" si="159"/>
        <v>0</v>
      </c>
      <c r="V1260" s="195">
        <f t="shared" si="160"/>
        <v>0</v>
      </c>
      <c r="W1260" s="196" t="e">
        <f t="shared" si="161"/>
        <v>#DIV/0!</v>
      </c>
      <c r="X1260" s="197" t="e">
        <f t="shared" si="162"/>
        <v>#DIV/0!</v>
      </c>
    </row>
    <row r="1261" ht="11.4" hidden="1" customHeight="1" spans="1:24">
      <c r="A1261" s="184" t="s">
        <v>3046</v>
      </c>
      <c r="B1261" s="184" t="s">
        <v>119</v>
      </c>
      <c r="C1261" s="184" t="s">
        <v>1101</v>
      </c>
      <c r="D1261" s="185" t="s">
        <v>700</v>
      </c>
      <c r="E1261" s="186" t="s">
        <v>2956</v>
      </c>
      <c r="F1261" s="186" t="s">
        <v>3036</v>
      </c>
      <c r="G1261" s="186" t="s">
        <v>3036</v>
      </c>
      <c r="H1261" s="186" t="s">
        <v>3047</v>
      </c>
      <c r="I1261" s="187" t="s">
        <v>2983</v>
      </c>
      <c r="J1261" s="187" t="s">
        <v>2984</v>
      </c>
      <c r="K1261" s="188"/>
      <c r="L1261" s="188"/>
      <c r="M1261" s="189" t="s">
        <v>847</v>
      </c>
      <c r="N1261" s="190">
        <v>275.43</v>
      </c>
      <c r="O1261" s="190">
        <f t="shared" si="155"/>
        <v>300.22</v>
      </c>
      <c r="P1261" s="191">
        <f t="shared" si="156"/>
        <v>0</v>
      </c>
      <c r="Q1261" s="192">
        <f t="shared" si="157"/>
        <v>0</v>
      </c>
      <c r="R1261" s="193"/>
      <c r="S1261" s="194"/>
      <c r="T1261" s="195">
        <f t="shared" si="158"/>
        <v>0</v>
      </c>
      <c r="U1261" s="195">
        <f t="shared" si="159"/>
        <v>0</v>
      </c>
      <c r="V1261" s="195">
        <f t="shared" si="160"/>
        <v>0</v>
      </c>
      <c r="W1261" s="196" t="e">
        <f t="shared" si="161"/>
        <v>#DIV/0!</v>
      </c>
      <c r="X1261" s="197" t="e">
        <f t="shared" si="162"/>
        <v>#DIV/0!</v>
      </c>
    </row>
    <row r="1262" ht="11.4" hidden="1" customHeight="1" spans="1:24">
      <c r="A1262" s="184" t="s">
        <v>3048</v>
      </c>
      <c r="B1262" s="184" t="s">
        <v>130</v>
      </c>
      <c r="C1262" s="184" t="s">
        <v>1782</v>
      </c>
      <c r="D1262" s="185" t="s">
        <v>700</v>
      </c>
      <c r="E1262" s="186" t="s">
        <v>2956</v>
      </c>
      <c r="F1262" s="186" t="s">
        <v>3036</v>
      </c>
      <c r="G1262" s="186" t="s">
        <v>3036</v>
      </c>
      <c r="H1262" s="186" t="s">
        <v>3049</v>
      </c>
      <c r="I1262" s="187" t="s">
        <v>1784</v>
      </c>
      <c r="J1262" s="187" t="s">
        <v>1785</v>
      </c>
      <c r="K1262" s="188"/>
      <c r="L1262" s="188"/>
      <c r="M1262" s="189" t="s">
        <v>847</v>
      </c>
      <c r="N1262" s="190">
        <v>153.82</v>
      </c>
      <c r="O1262" s="190">
        <f t="shared" si="155"/>
        <v>167.66</v>
      </c>
      <c r="P1262" s="191">
        <f t="shared" si="156"/>
        <v>0</v>
      </c>
      <c r="Q1262" s="192">
        <f t="shared" si="157"/>
        <v>0</v>
      </c>
      <c r="R1262" s="193"/>
      <c r="S1262" s="194"/>
      <c r="T1262" s="195">
        <f t="shared" si="158"/>
        <v>0</v>
      </c>
      <c r="U1262" s="195">
        <f t="shared" si="159"/>
        <v>0</v>
      </c>
      <c r="V1262" s="195">
        <f t="shared" si="160"/>
        <v>0</v>
      </c>
      <c r="W1262" s="196" t="e">
        <f t="shared" si="161"/>
        <v>#DIV/0!</v>
      </c>
      <c r="X1262" s="197" t="e">
        <f t="shared" si="162"/>
        <v>#DIV/0!</v>
      </c>
    </row>
    <row r="1263" ht="11.4" hidden="1" customHeight="1" spans="1:24">
      <c r="A1263" s="184" t="s">
        <v>3048</v>
      </c>
      <c r="B1263" s="184" t="s">
        <v>130</v>
      </c>
      <c r="C1263" s="184" t="s">
        <v>1782</v>
      </c>
      <c r="D1263" s="185" t="s">
        <v>700</v>
      </c>
      <c r="E1263" s="186" t="s">
        <v>2956</v>
      </c>
      <c r="F1263" s="186" t="s">
        <v>3036</v>
      </c>
      <c r="G1263" s="186" t="s">
        <v>3036</v>
      </c>
      <c r="H1263" s="186" t="s">
        <v>3049</v>
      </c>
      <c r="I1263" s="187" t="s">
        <v>1786</v>
      </c>
      <c r="J1263" s="187" t="s">
        <v>1787</v>
      </c>
      <c r="K1263" s="188"/>
      <c r="L1263" s="188"/>
      <c r="M1263" s="189" t="s">
        <v>847</v>
      </c>
      <c r="N1263" s="190">
        <v>121.97</v>
      </c>
      <c r="O1263" s="190">
        <f t="shared" si="155"/>
        <v>132.95</v>
      </c>
      <c r="P1263" s="191">
        <f t="shared" si="156"/>
        <v>0</v>
      </c>
      <c r="Q1263" s="192">
        <f t="shared" si="157"/>
        <v>0</v>
      </c>
      <c r="R1263" s="193"/>
      <c r="S1263" s="194"/>
      <c r="T1263" s="195">
        <f t="shared" si="158"/>
        <v>0</v>
      </c>
      <c r="U1263" s="195">
        <f t="shared" si="159"/>
        <v>0</v>
      </c>
      <c r="V1263" s="195">
        <f t="shared" si="160"/>
        <v>0</v>
      </c>
      <c r="W1263" s="196" t="e">
        <f t="shared" si="161"/>
        <v>#DIV/0!</v>
      </c>
      <c r="X1263" s="197" t="e">
        <f t="shared" si="162"/>
        <v>#DIV/0!</v>
      </c>
    </row>
    <row r="1264" ht="11.4" hidden="1" customHeight="1" spans="1:24">
      <c r="A1264" s="184" t="s">
        <v>3048</v>
      </c>
      <c r="B1264" s="184" t="s">
        <v>130</v>
      </c>
      <c r="C1264" s="184" t="s">
        <v>1782</v>
      </c>
      <c r="D1264" s="185" t="s">
        <v>700</v>
      </c>
      <c r="E1264" s="186" t="s">
        <v>2956</v>
      </c>
      <c r="F1264" s="186" t="s">
        <v>3036</v>
      </c>
      <c r="G1264" s="186" t="s">
        <v>3036</v>
      </c>
      <c r="H1264" s="186" t="s">
        <v>3049</v>
      </c>
      <c r="I1264" s="187" t="s">
        <v>1792</v>
      </c>
      <c r="J1264" s="187" t="s">
        <v>1793</v>
      </c>
      <c r="K1264" s="188"/>
      <c r="L1264" s="188"/>
      <c r="M1264" s="189" t="s">
        <v>847</v>
      </c>
      <c r="N1264" s="190">
        <v>246.52</v>
      </c>
      <c r="O1264" s="190">
        <f t="shared" si="155"/>
        <v>268.71</v>
      </c>
      <c r="P1264" s="191">
        <f t="shared" si="156"/>
        <v>0</v>
      </c>
      <c r="Q1264" s="192">
        <f t="shared" si="157"/>
        <v>0</v>
      </c>
      <c r="R1264" s="193"/>
      <c r="S1264" s="194"/>
      <c r="T1264" s="195">
        <f t="shared" si="158"/>
        <v>0</v>
      </c>
      <c r="U1264" s="195">
        <f t="shared" si="159"/>
        <v>0</v>
      </c>
      <c r="V1264" s="195">
        <f t="shared" si="160"/>
        <v>0</v>
      </c>
      <c r="W1264" s="196" t="e">
        <f t="shared" si="161"/>
        <v>#DIV/0!</v>
      </c>
      <c r="X1264" s="197" t="e">
        <f t="shared" si="162"/>
        <v>#DIV/0!</v>
      </c>
    </row>
    <row r="1265" ht="11.4" hidden="1" customHeight="1" spans="1:24">
      <c r="A1265" s="184" t="s">
        <v>3048</v>
      </c>
      <c r="B1265" s="184" t="s">
        <v>130</v>
      </c>
      <c r="C1265" s="184" t="s">
        <v>1782</v>
      </c>
      <c r="D1265" s="185" t="s">
        <v>700</v>
      </c>
      <c r="E1265" s="186" t="s">
        <v>2956</v>
      </c>
      <c r="F1265" s="186" t="s">
        <v>3036</v>
      </c>
      <c r="G1265" s="186" t="s">
        <v>3036</v>
      </c>
      <c r="H1265" s="186" t="s">
        <v>3049</v>
      </c>
      <c r="I1265" s="187" t="s">
        <v>1794</v>
      </c>
      <c r="J1265" s="187" t="s">
        <v>1795</v>
      </c>
      <c r="K1265" s="188"/>
      <c r="L1265" s="188"/>
      <c r="M1265" s="189" t="s">
        <v>847</v>
      </c>
      <c r="N1265" s="190">
        <v>142.03</v>
      </c>
      <c r="O1265" s="190">
        <f t="shared" si="155"/>
        <v>154.81</v>
      </c>
      <c r="P1265" s="191">
        <f t="shared" si="156"/>
        <v>0</v>
      </c>
      <c r="Q1265" s="192">
        <f t="shared" si="157"/>
        <v>0</v>
      </c>
      <c r="R1265" s="193"/>
      <c r="S1265" s="194"/>
      <c r="T1265" s="195">
        <f t="shared" si="158"/>
        <v>0</v>
      </c>
      <c r="U1265" s="195">
        <f t="shared" si="159"/>
        <v>0</v>
      </c>
      <c r="V1265" s="195">
        <f t="shared" si="160"/>
        <v>0</v>
      </c>
      <c r="W1265" s="196" t="e">
        <f t="shared" si="161"/>
        <v>#DIV/0!</v>
      </c>
      <c r="X1265" s="197" t="e">
        <f t="shared" si="162"/>
        <v>#DIV/0!</v>
      </c>
    </row>
    <row r="1266" ht="11.4" hidden="1" customHeight="1" spans="1:24">
      <c r="A1266" s="184" t="s">
        <v>3048</v>
      </c>
      <c r="B1266" s="184" t="s">
        <v>130</v>
      </c>
      <c r="C1266" s="184" t="s">
        <v>1782</v>
      </c>
      <c r="D1266" s="185" t="s">
        <v>700</v>
      </c>
      <c r="E1266" s="186" t="s">
        <v>2956</v>
      </c>
      <c r="F1266" s="186" t="s">
        <v>3036</v>
      </c>
      <c r="G1266" s="186" t="s">
        <v>3036</v>
      </c>
      <c r="H1266" s="186" t="s">
        <v>3049</v>
      </c>
      <c r="I1266" s="187" t="s">
        <v>1801</v>
      </c>
      <c r="J1266" s="187" t="s">
        <v>1802</v>
      </c>
      <c r="K1266" s="188"/>
      <c r="L1266" s="188"/>
      <c r="M1266" s="189" t="s">
        <v>847</v>
      </c>
      <c r="N1266" s="190">
        <v>36.37</v>
      </c>
      <c r="O1266" s="190">
        <f t="shared" si="155"/>
        <v>39.64</v>
      </c>
      <c r="P1266" s="191">
        <f t="shared" si="156"/>
        <v>0</v>
      </c>
      <c r="Q1266" s="192">
        <f t="shared" si="157"/>
        <v>0</v>
      </c>
      <c r="R1266" s="193"/>
      <c r="S1266" s="194"/>
      <c r="T1266" s="195">
        <f t="shared" si="158"/>
        <v>0</v>
      </c>
      <c r="U1266" s="195">
        <f t="shared" si="159"/>
        <v>0</v>
      </c>
      <c r="V1266" s="195">
        <f t="shared" si="160"/>
        <v>0</v>
      </c>
      <c r="W1266" s="196" t="e">
        <f t="shared" si="161"/>
        <v>#DIV/0!</v>
      </c>
      <c r="X1266" s="197" t="e">
        <f t="shared" si="162"/>
        <v>#DIV/0!</v>
      </c>
    </row>
    <row r="1267" ht="11.4" hidden="1" customHeight="1" spans="1:24">
      <c r="A1267" s="184" t="s">
        <v>3048</v>
      </c>
      <c r="B1267" s="184" t="s">
        <v>127</v>
      </c>
      <c r="C1267" s="184" t="s">
        <v>1101</v>
      </c>
      <c r="D1267" s="185" t="s">
        <v>700</v>
      </c>
      <c r="E1267" s="186" t="s">
        <v>2956</v>
      </c>
      <c r="F1267" s="186" t="s">
        <v>3036</v>
      </c>
      <c r="G1267" s="186" t="s">
        <v>3036</v>
      </c>
      <c r="H1267" s="186" t="s">
        <v>3049</v>
      </c>
      <c r="I1267" s="187" t="s">
        <v>2987</v>
      </c>
      <c r="J1267" s="187" t="s">
        <v>2988</v>
      </c>
      <c r="K1267" s="188"/>
      <c r="L1267" s="188"/>
      <c r="M1267" s="189" t="s">
        <v>847</v>
      </c>
      <c r="N1267" s="190">
        <v>617.2</v>
      </c>
      <c r="O1267" s="190">
        <f t="shared" si="155"/>
        <v>672.75</v>
      </c>
      <c r="P1267" s="191">
        <f t="shared" si="156"/>
        <v>0</v>
      </c>
      <c r="Q1267" s="192">
        <f t="shared" si="157"/>
        <v>0</v>
      </c>
      <c r="R1267" s="193"/>
      <c r="S1267" s="194"/>
      <c r="T1267" s="195">
        <f t="shared" si="158"/>
        <v>0</v>
      </c>
      <c r="U1267" s="195">
        <f t="shared" si="159"/>
        <v>0</v>
      </c>
      <c r="V1267" s="195">
        <f t="shared" si="160"/>
        <v>0</v>
      </c>
      <c r="W1267" s="196" t="e">
        <f t="shared" si="161"/>
        <v>#DIV/0!</v>
      </c>
      <c r="X1267" s="197" t="e">
        <f t="shared" si="162"/>
        <v>#DIV/0!</v>
      </c>
    </row>
    <row r="1268" ht="11.4" hidden="1" customHeight="1" spans="1:24">
      <c r="A1268" s="184" t="s">
        <v>3048</v>
      </c>
      <c r="B1268" s="184" t="s">
        <v>127</v>
      </c>
      <c r="C1268" s="184" t="s">
        <v>1101</v>
      </c>
      <c r="D1268" s="185" t="s">
        <v>700</v>
      </c>
      <c r="E1268" s="186" t="s">
        <v>2956</v>
      </c>
      <c r="F1268" s="186" t="s">
        <v>3036</v>
      </c>
      <c r="G1268" s="186" t="s">
        <v>3036</v>
      </c>
      <c r="H1268" s="186" t="s">
        <v>3049</v>
      </c>
      <c r="I1268" s="187" t="s">
        <v>2989</v>
      </c>
      <c r="J1268" s="187" t="s">
        <v>2990</v>
      </c>
      <c r="K1268" s="188"/>
      <c r="L1268" s="188"/>
      <c r="M1268" s="189" t="s">
        <v>989</v>
      </c>
      <c r="N1268" s="190">
        <v>432.3</v>
      </c>
      <c r="O1268" s="190">
        <f t="shared" si="155"/>
        <v>471.21</v>
      </c>
      <c r="P1268" s="191">
        <f t="shared" si="156"/>
        <v>0</v>
      </c>
      <c r="Q1268" s="192">
        <f t="shared" si="157"/>
        <v>0</v>
      </c>
      <c r="R1268" s="193"/>
      <c r="S1268" s="194"/>
      <c r="T1268" s="195">
        <f t="shared" si="158"/>
        <v>0</v>
      </c>
      <c r="U1268" s="195">
        <f t="shared" si="159"/>
        <v>0</v>
      </c>
      <c r="V1268" s="195">
        <f t="shared" si="160"/>
        <v>0</v>
      </c>
      <c r="W1268" s="196" t="e">
        <f t="shared" si="161"/>
        <v>#DIV/0!</v>
      </c>
      <c r="X1268" s="197" t="e">
        <f t="shared" si="162"/>
        <v>#DIV/0!</v>
      </c>
    </row>
    <row r="1269" ht="11.4" hidden="1" customHeight="1" spans="1:24">
      <c r="A1269" s="184" t="s">
        <v>3048</v>
      </c>
      <c r="B1269" s="184" t="s">
        <v>127</v>
      </c>
      <c r="C1269" s="184" t="s">
        <v>1101</v>
      </c>
      <c r="D1269" s="185" t="s">
        <v>700</v>
      </c>
      <c r="E1269" s="186" t="s">
        <v>2956</v>
      </c>
      <c r="F1269" s="186" t="s">
        <v>3036</v>
      </c>
      <c r="G1269" s="186" t="s">
        <v>3036</v>
      </c>
      <c r="H1269" s="186" t="s">
        <v>3049</v>
      </c>
      <c r="I1269" s="187" t="s">
        <v>2991</v>
      </c>
      <c r="J1269" s="187" t="s">
        <v>2992</v>
      </c>
      <c r="K1269" s="188"/>
      <c r="L1269" s="188"/>
      <c r="M1269" s="189" t="s">
        <v>807</v>
      </c>
      <c r="N1269" s="190">
        <v>552.08</v>
      </c>
      <c r="O1269" s="190">
        <f t="shared" si="155"/>
        <v>601.77</v>
      </c>
      <c r="P1269" s="191">
        <f t="shared" si="156"/>
        <v>0</v>
      </c>
      <c r="Q1269" s="192">
        <f t="shared" si="157"/>
        <v>0</v>
      </c>
      <c r="R1269" s="193"/>
      <c r="S1269" s="194"/>
      <c r="T1269" s="195">
        <f t="shared" si="158"/>
        <v>0</v>
      </c>
      <c r="U1269" s="195">
        <f t="shared" si="159"/>
        <v>0</v>
      </c>
      <c r="V1269" s="195">
        <f t="shared" si="160"/>
        <v>0</v>
      </c>
      <c r="W1269" s="196" t="e">
        <f t="shared" si="161"/>
        <v>#DIV/0!</v>
      </c>
      <c r="X1269" s="197" t="e">
        <f t="shared" si="162"/>
        <v>#DIV/0!</v>
      </c>
    </row>
    <row r="1270" ht="11.4" hidden="1" customHeight="1" spans="1:24">
      <c r="A1270" s="184" t="s">
        <v>3048</v>
      </c>
      <c r="B1270" s="184" t="s">
        <v>127</v>
      </c>
      <c r="C1270" s="184" t="s">
        <v>1101</v>
      </c>
      <c r="D1270" s="185" t="s">
        <v>700</v>
      </c>
      <c r="E1270" s="186" t="s">
        <v>2956</v>
      </c>
      <c r="F1270" s="186" t="s">
        <v>3036</v>
      </c>
      <c r="G1270" s="186" t="s">
        <v>3036</v>
      </c>
      <c r="H1270" s="186" t="s">
        <v>3049</v>
      </c>
      <c r="I1270" s="187" t="s">
        <v>2993</v>
      </c>
      <c r="J1270" s="187" t="s">
        <v>2994</v>
      </c>
      <c r="K1270" s="188"/>
      <c r="L1270" s="188"/>
      <c r="M1270" s="189" t="s">
        <v>847</v>
      </c>
      <c r="N1270" s="190">
        <v>338.6</v>
      </c>
      <c r="O1270" s="190">
        <f t="shared" si="155"/>
        <v>369.07</v>
      </c>
      <c r="P1270" s="191">
        <f t="shared" si="156"/>
        <v>0</v>
      </c>
      <c r="Q1270" s="192">
        <f t="shared" si="157"/>
        <v>0</v>
      </c>
      <c r="R1270" s="193"/>
      <c r="S1270" s="194"/>
      <c r="T1270" s="195">
        <f t="shared" si="158"/>
        <v>0</v>
      </c>
      <c r="U1270" s="195">
        <f t="shared" si="159"/>
        <v>0</v>
      </c>
      <c r="V1270" s="195">
        <f t="shared" si="160"/>
        <v>0</v>
      </c>
      <c r="W1270" s="196" t="e">
        <f t="shared" si="161"/>
        <v>#DIV/0!</v>
      </c>
      <c r="X1270" s="197" t="e">
        <f t="shared" si="162"/>
        <v>#DIV/0!</v>
      </c>
    </row>
    <row r="1271" ht="11.4" hidden="1" customHeight="1" spans="1:24">
      <c r="A1271" s="184" t="s">
        <v>3048</v>
      </c>
      <c r="B1271" s="184" t="s">
        <v>127</v>
      </c>
      <c r="C1271" s="184" t="s">
        <v>1101</v>
      </c>
      <c r="D1271" s="185" t="s">
        <v>700</v>
      </c>
      <c r="E1271" s="186" t="s">
        <v>2956</v>
      </c>
      <c r="F1271" s="186" t="s">
        <v>3036</v>
      </c>
      <c r="G1271" s="186" t="s">
        <v>3036</v>
      </c>
      <c r="H1271" s="186" t="s">
        <v>3050</v>
      </c>
      <c r="I1271" s="187" t="s">
        <v>2996</v>
      </c>
      <c r="J1271" s="187" t="s">
        <v>2997</v>
      </c>
      <c r="K1271" s="188"/>
      <c r="L1271" s="188"/>
      <c r="M1271" s="189" t="s">
        <v>1500</v>
      </c>
      <c r="N1271" s="190">
        <v>755.15</v>
      </c>
      <c r="O1271" s="190">
        <f t="shared" si="155"/>
        <v>823.11</v>
      </c>
      <c r="P1271" s="191">
        <f t="shared" si="156"/>
        <v>0</v>
      </c>
      <c r="Q1271" s="192">
        <f t="shared" si="157"/>
        <v>0</v>
      </c>
      <c r="R1271" s="193"/>
      <c r="S1271" s="194"/>
      <c r="T1271" s="195">
        <f t="shared" si="158"/>
        <v>0</v>
      </c>
      <c r="U1271" s="195">
        <f t="shared" si="159"/>
        <v>0</v>
      </c>
      <c r="V1271" s="195">
        <f t="shared" si="160"/>
        <v>0</v>
      </c>
      <c r="W1271" s="196" t="e">
        <f t="shared" si="161"/>
        <v>#DIV/0!</v>
      </c>
      <c r="X1271" s="197" t="e">
        <f t="shared" si="162"/>
        <v>#DIV/0!</v>
      </c>
    </row>
    <row r="1272" ht="11.4" hidden="1" customHeight="1" spans="1:24">
      <c r="A1272" s="184" t="s">
        <v>3048</v>
      </c>
      <c r="B1272" s="184" t="s">
        <v>127</v>
      </c>
      <c r="C1272" s="184" t="s">
        <v>1101</v>
      </c>
      <c r="D1272" s="185" t="s">
        <v>700</v>
      </c>
      <c r="E1272" s="186" t="s">
        <v>2956</v>
      </c>
      <c r="F1272" s="186" t="s">
        <v>3036</v>
      </c>
      <c r="G1272" s="186" t="s">
        <v>3036</v>
      </c>
      <c r="H1272" s="186" t="s">
        <v>3050</v>
      </c>
      <c r="I1272" s="187" t="s">
        <v>3051</v>
      </c>
      <c r="J1272" s="187" t="s">
        <v>3052</v>
      </c>
      <c r="K1272" s="188"/>
      <c r="L1272" s="188"/>
      <c r="M1272" s="189" t="s">
        <v>1500</v>
      </c>
      <c r="N1272" s="190">
        <v>1795.75</v>
      </c>
      <c r="O1272" s="190">
        <f t="shared" si="155"/>
        <v>1957.37</v>
      </c>
      <c r="P1272" s="191">
        <f t="shared" si="156"/>
        <v>0</v>
      </c>
      <c r="Q1272" s="192">
        <f t="shared" si="157"/>
        <v>0</v>
      </c>
      <c r="R1272" s="193"/>
      <c r="S1272" s="194"/>
      <c r="T1272" s="195">
        <f t="shared" si="158"/>
        <v>0</v>
      </c>
      <c r="U1272" s="195">
        <f t="shared" si="159"/>
        <v>0</v>
      </c>
      <c r="V1272" s="195">
        <f t="shared" si="160"/>
        <v>0</v>
      </c>
      <c r="W1272" s="196" t="e">
        <f t="shared" si="161"/>
        <v>#DIV/0!</v>
      </c>
      <c r="X1272" s="197" t="e">
        <f t="shared" si="162"/>
        <v>#DIV/0!</v>
      </c>
    </row>
    <row r="1273" ht="11.4" hidden="1" customHeight="1" spans="1:24">
      <c r="A1273" s="184" t="s">
        <v>3048</v>
      </c>
      <c r="B1273" s="184" t="s">
        <v>127</v>
      </c>
      <c r="C1273" s="184" t="s">
        <v>1101</v>
      </c>
      <c r="D1273" s="185" t="s">
        <v>700</v>
      </c>
      <c r="E1273" s="186" t="s">
        <v>2956</v>
      </c>
      <c r="F1273" s="186" t="s">
        <v>3036</v>
      </c>
      <c r="G1273" s="186" t="s">
        <v>3036</v>
      </c>
      <c r="H1273" s="186" t="s">
        <v>3050</v>
      </c>
      <c r="I1273" s="187" t="s">
        <v>1807</v>
      </c>
      <c r="J1273" s="187" t="s">
        <v>1808</v>
      </c>
      <c r="K1273" s="188"/>
      <c r="L1273" s="188"/>
      <c r="M1273" s="189" t="s">
        <v>1500</v>
      </c>
      <c r="N1273" s="190">
        <v>2585.55</v>
      </c>
      <c r="O1273" s="190">
        <f t="shared" si="155"/>
        <v>2818.25</v>
      </c>
      <c r="P1273" s="191">
        <f t="shared" si="156"/>
        <v>0</v>
      </c>
      <c r="Q1273" s="192">
        <f t="shared" si="157"/>
        <v>0</v>
      </c>
      <c r="R1273" s="193"/>
      <c r="S1273" s="194"/>
      <c r="T1273" s="195">
        <f t="shared" si="158"/>
        <v>0</v>
      </c>
      <c r="U1273" s="195">
        <f t="shared" si="159"/>
        <v>0</v>
      </c>
      <c r="V1273" s="195">
        <f t="shared" si="160"/>
        <v>0</v>
      </c>
      <c r="W1273" s="196" t="e">
        <f t="shared" si="161"/>
        <v>#DIV/0!</v>
      </c>
      <c r="X1273" s="197" t="e">
        <f t="shared" si="162"/>
        <v>#DIV/0!</v>
      </c>
    </row>
    <row r="1274" ht="11.4" hidden="1" customHeight="1" spans="1:24">
      <c r="A1274" s="184" t="s">
        <v>3048</v>
      </c>
      <c r="B1274" s="184" t="s">
        <v>127</v>
      </c>
      <c r="C1274" s="184" t="s">
        <v>1101</v>
      </c>
      <c r="D1274" s="185" t="s">
        <v>700</v>
      </c>
      <c r="E1274" s="186" t="s">
        <v>2956</v>
      </c>
      <c r="F1274" s="186" t="s">
        <v>3036</v>
      </c>
      <c r="G1274" s="186" t="s">
        <v>3036</v>
      </c>
      <c r="H1274" s="186" t="s">
        <v>3050</v>
      </c>
      <c r="I1274" s="187" t="s">
        <v>1809</v>
      </c>
      <c r="J1274" s="187" t="s">
        <v>1810</v>
      </c>
      <c r="K1274" s="188"/>
      <c r="L1274" s="188"/>
      <c r="M1274" s="189" t="s">
        <v>1500</v>
      </c>
      <c r="N1274" s="190">
        <v>2585.55</v>
      </c>
      <c r="O1274" s="190">
        <f t="shared" si="155"/>
        <v>2818.25</v>
      </c>
      <c r="P1274" s="191">
        <f t="shared" si="156"/>
        <v>0</v>
      </c>
      <c r="Q1274" s="192">
        <f t="shared" si="157"/>
        <v>0</v>
      </c>
      <c r="R1274" s="193"/>
      <c r="S1274" s="194"/>
      <c r="T1274" s="195">
        <f t="shared" si="158"/>
        <v>0</v>
      </c>
      <c r="U1274" s="195">
        <f t="shared" si="159"/>
        <v>0</v>
      </c>
      <c r="V1274" s="195">
        <f t="shared" si="160"/>
        <v>0</v>
      </c>
      <c r="W1274" s="196" t="e">
        <f t="shared" si="161"/>
        <v>#DIV/0!</v>
      </c>
      <c r="X1274" s="197" t="e">
        <f t="shared" si="162"/>
        <v>#DIV/0!</v>
      </c>
    </row>
    <row r="1275" ht="11.4" hidden="1" customHeight="1" spans="1:24">
      <c r="A1275" s="184" t="s">
        <v>3048</v>
      </c>
      <c r="B1275" s="184" t="s">
        <v>127</v>
      </c>
      <c r="C1275" s="184" t="s">
        <v>1101</v>
      </c>
      <c r="D1275" s="185" t="s">
        <v>700</v>
      </c>
      <c r="E1275" s="186" t="s">
        <v>2956</v>
      </c>
      <c r="F1275" s="186" t="s">
        <v>3036</v>
      </c>
      <c r="G1275" s="186" t="s">
        <v>3036</v>
      </c>
      <c r="H1275" s="186" t="s">
        <v>3050</v>
      </c>
      <c r="I1275" s="187" t="s">
        <v>1811</v>
      </c>
      <c r="J1275" s="187" t="s">
        <v>1812</v>
      </c>
      <c r="K1275" s="188"/>
      <c r="L1275" s="188"/>
      <c r="M1275" s="189" t="s">
        <v>1500</v>
      </c>
      <c r="N1275" s="190">
        <v>2941.14</v>
      </c>
      <c r="O1275" s="190">
        <f t="shared" si="155"/>
        <v>3205.84</v>
      </c>
      <c r="P1275" s="191">
        <f t="shared" si="156"/>
        <v>0</v>
      </c>
      <c r="Q1275" s="192">
        <f t="shared" si="157"/>
        <v>0</v>
      </c>
      <c r="R1275" s="193"/>
      <c r="S1275" s="194"/>
      <c r="T1275" s="195">
        <f t="shared" si="158"/>
        <v>0</v>
      </c>
      <c r="U1275" s="195">
        <f t="shared" si="159"/>
        <v>0</v>
      </c>
      <c r="V1275" s="195">
        <f t="shared" si="160"/>
        <v>0</v>
      </c>
      <c r="W1275" s="196" t="e">
        <f t="shared" si="161"/>
        <v>#DIV/0!</v>
      </c>
      <c r="X1275" s="197" t="e">
        <f t="shared" si="162"/>
        <v>#DIV/0!</v>
      </c>
    </row>
    <row r="1276" ht="11.4" hidden="1" customHeight="1" spans="1:24">
      <c r="A1276" s="184" t="s">
        <v>3048</v>
      </c>
      <c r="B1276" s="184" t="s">
        <v>127</v>
      </c>
      <c r="C1276" s="184" t="s">
        <v>1101</v>
      </c>
      <c r="D1276" s="185" t="s">
        <v>700</v>
      </c>
      <c r="E1276" s="186" t="s">
        <v>2956</v>
      </c>
      <c r="F1276" s="186" t="s">
        <v>3036</v>
      </c>
      <c r="G1276" s="186" t="s">
        <v>3036</v>
      </c>
      <c r="H1276" s="186" t="s">
        <v>3050</v>
      </c>
      <c r="I1276" s="187" t="s">
        <v>2998</v>
      </c>
      <c r="J1276" s="187" t="s">
        <v>2999</v>
      </c>
      <c r="K1276" s="188"/>
      <c r="L1276" s="188"/>
      <c r="M1276" s="189" t="s">
        <v>1500</v>
      </c>
      <c r="N1276" s="190">
        <v>1496.64</v>
      </c>
      <c r="O1276" s="190">
        <f t="shared" si="155"/>
        <v>1631.34</v>
      </c>
      <c r="P1276" s="191">
        <f t="shared" si="156"/>
        <v>0</v>
      </c>
      <c r="Q1276" s="192">
        <f t="shared" si="157"/>
        <v>0</v>
      </c>
      <c r="R1276" s="193"/>
      <c r="S1276" s="194"/>
      <c r="T1276" s="195">
        <f t="shared" si="158"/>
        <v>0</v>
      </c>
      <c r="U1276" s="195">
        <f t="shared" si="159"/>
        <v>0</v>
      </c>
      <c r="V1276" s="195">
        <f t="shared" si="160"/>
        <v>0</v>
      </c>
      <c r="W1276" s="196" t="e">
        <f t="shared" si="161"/>
        <v>#DIV/0!</v>
      </c>
      <c r="X1276" s="197" t="e">
        <f t="shared" si="162"/>
        <v>#DIV/0!</v>
      </c>
    </row>
    <row r="1277" ht="11.4" hidden="1" customHeight="1" spans="1:24">
      <c r="A1277" s="184" t="s">
        <v>3048</v>
      </c>
      <c r="B1277" s="184" t="s">
        <v>127</v>
      </c>
      <c r="C1277" s="184" t="s">
        <v>1101</v>
      </c>
      <c r="D1277" s="185" t="s">
        <v>700</v>
      </c>
      <c r="E1277" s="186" t="s">
        <v>2956</v>
      </c>
      <c r="F1277" s="186" t="s">
        <v>3036</v>
      </c>
      <c r="G1277" s="186" t="s">
        <v>3036</v>
      </c>
      <c r="H1277" s="186" t="s">
        <v>3053</v>
      </c>
      <c r="I1277" s="187" t="s">
        <v>2912</v>
      </c>
      <c r="J1277" s="187" t="s">
        <v>2913</v>
      </c>
      <c r="K1277" s="188"/>
      <c r="L1277" s="188"/>
      <c r="M1277" s="189" t="s">
        <v>807</v>
      </c>
      <c r="N1277" s="190">
        <v>75.86</v>
      </c>
      <c r="O1277" s="190">
        <f t="shared" si="155"/>
        <v>82.69</v>
      </c>
      <c r="P1277" s="191">
        <f t="shared" si="156"/>
        <v>0</v>
      </c>
      <c r="Q1277" s="192">
        <f t="shared" si="157"/>
        <v>0</v>
      </c>
      <c r="R1277" s="193"/>
      <c r="S1277" s="194"/>
      <c r="T1277" s="195">
        <f t="shared" si="158"/>
        <v>0</v>
      </c>
      <c r="U1277" s="195">
        <f t="shared" si="159"/>
        <v>0</v>
      </c>
      <c r="V1277" s="195">
        <f t="shared" si="160"/>
        <v>0</v>
      </c>
      <c r="W1277" s="196" t="e">
        <f t="shared" si="161"/>
        <v>#DIV/0!</v>
      </c>
      <c r="X1277" s="197" t="e">
        <f t="shared" si="162"/>
        <v>#DIV/0!</v>
      </c>
    </row>
    <row r="1278" ht="11.4" hidden="1" customHeight="1" spans="1:24">
      <c r="A1278" s="184" t="s">
        <v>3048</v>
      </c>
      <c r="B1278" s="184" t="s">
        <v>127</v>
      </c>
      <c r="C1278" s="184" t="s">
        <v>1101</v>
      </c>
      <c r="D1278" s="185" t="s">
        <v>700</v>
      </c>
      <c r="E1278" s="186" t="s">
        <v>2956</v>
      </c>
      <c r="F1278" s="186" t="s">
        <v>3036</v>
      </c>
      <c r="G1278" s="186" t="s">
        <v>3036</v>
      </c>
      <c r="H1278" s="186" t="s">
        <v>3053</v>
      </c>
      <c r="I1278" s="187" t="s">
        <v>3001</v>
      </c>
      <c r="J1278" s="187" t="s">
        <v>3002</v>
      </c>
      <c r="K1278" s="188"/>
      <c r="L1278" s="188"/>
      <c r="M1278" s="189" t="s">
        <v>847</v>
      </c>
      <c r="N1278" s="190">
        <v>88.25</v>
      </c>
      <c r="O1278" s="190">
        <f t="shared" si="155"/>
        <v>96.19</v>
      </c>
      <c r="P1278" s="191">
        <f t="shared" si="156"/>
        <v>0</v>
      </c>
      <c r="Q1278" s="192">
        <f t="shared" si="157"/>
        <v>0</v>
      </c>
      <c r="R1278" s="193"/>
      <c r="S1278" s="194"/>
      <c r="T1278" s="195">
        <f t="shared" si="158"/>
        <v>0</v>
      </c>
      <c r="U1278" s="195">
        <f t="shared" si="159"/>
        <v>0</v>
      </c>
      <c r="V1278" s="195">
        <f t="shared" si="160"/>
        <v>0</v>
      </c>
      <c r="W1278" s="196" t="e">
        <f t="shared" si="161"/>
        <v>#DIV/0!</v>
      </c>
      <c r="X1278" s="197" t="e">
        <f t="shared" si="162"/>
        <v>#DIV/0!</v>
      </c>
    </row>
    <row r="1279" ht="11.4" hidden="1" customHeight="1" spans="1:24">
      <c r="A1279" s="184" t="s">
        <v>3054</v>
      </c>
      <c r="B1279" s="184" t="s">
        <v>139</v>
      </c>
      <c r="C1279" s="184" t="s">
        <v>1880</v>
      </c>
      <c r="D1279" s="185" t="s">
        <v>700</v>
      </c>
      <c r="E1279" s="186" t="s">
        <v>2956</v>
      </c>
      <c r="F1279" s="186" t="s">
        <v>3036</v>
      </c>
      <c r="G1279" s="186" t="s">
        <v>3036</v>
      </c>
      <c r="H1279" s="186" t="s">
        <v>3055</v>
      </c>
      <c r="I1279" s="187" t="s">
        <v>3056</v>
      </c>
      <c r="J1279" s="187" t="s">
        <v>3057</v>
      </c>
      <c r="K1279" s="188"/>
      <c r="L1279" s="188"/>
      <c r="M1279" s="189" t="s">
        <v>807</v>
      </c>
      <c r="N1279" s="190">
        <v>152.9</v>
      </c>
      <c r="O1279" s="190">
        <f t="shared" si="155"/>
        <v>166.66</v>
      </c>
      <c r="P1279" s="191">
        <f t="shared" si="156"/>
        <v>0</v>
      </c>
      <c r="Q1279" s="192">
        <f t="shared" si="157"/>
        <v>0</v>
      </c>
      <c r="R1279" s="193"/>
      <c r="S1279" s="194"/>
      <c r="T1279" s="195">
        <f t="shared" si="158"/>
        <v>0</v>
      </c>
      <c r="U1279" s="195">
        <f t="shared" si="159"/>
        <v>0</v>
      </c>
      <c r="V1279" s="195">
        <f t="shared" si="160"/>
        <v>0</v>
      </c>
      <c r="W1279" s="196" t="e">
        <f t="shared" si="161"/>
        <v>#DIV/0!</v>
      </c>
      <c r="X1279" s="197" t="e">
        <f t="shared" si="162"/>
        <v>#DIV/0!</v>
      </c>
    </row>
    <row r="1280" ht="11.4" hidden="1" customHeight="1" spans="1:24">
      <c r="A1280" s="184" t="s">
        <v>3054</v>
      </c>
      <c r="B1280" s="184" t="s">
        <v>139</v>
      </c>
      <c r="C1280" s="184" t="s">
        <v>1880</v>
      </c>
      <c r="D1280" s="185" t="s">
        <v>700</v>
      </c>
      <c r="E1280" s="186" t="s">
        <v>2956</v>
      </c>
      <c r="F1280" s="186" t="s">
        <v>3036</v>
      </c>
      <c r="G1280" s="186" t="s">
        <v>3036</v>
      </c>
      <c r="H1280" s="186" t="s">
        <v>3055</v>
      </c>
      <c r="I1280" s="187" t="s">
        <v>2922</v>
      </c>
      <c r="J1280" s="187" t="s">
        <v>2923</v>
      </c>
      <c r="K1280" s="188"/>
      <c r="L1280" s="188"/>
      <c r="M1280" s="189" t="s">
        <v>793</v>
      </c>
      <c r="N1280" s="190">
        <v>1637.1</v>
      </c>
      <c r="O1280" s="190">
        <f t="shared" si="155"/>
        <v>1784.44</v>
      </c>
      <c r="P1280" s="191">
        <f t="shared" si="156"/>
        <v>0</v>
      </c>
      <c r="Q1280" s="192">
        <f t="shared" si="157"/>
        <v>0</v>
      </c>
      <c r="R1280" s="193"/>
      <c r="S1280" s="194"/>
      <c r="T1280" s="195">
        <f t="shared" si="158"/>
        <v>0</v>
      </c>
      <c r="U1280" s="195">
        <f t="shared" si="159"/>
        <v>0</v>
      </c>
      <c r="V1280" s="195">
        <f t="shared" si="160"/>
        <v>0</v>
      </c>
      <c r="W1280" s="196" t="e">
        <f t="shared" si="161"/>
        <v>#DIV/0!</v>
      </c>
      <c r="X1280" s="197" t="e">
        <f t="shared" si="162"/>
        <v>#DIV/0!</v>
      </c>
    </row>
    <row r="1281" ht="11.4" hidden="1" customHeight="1" spans="1:24">
      <c r="A1281" s="184" t="s">
        <v>3054</v>
      </c>
      <c r="B1281" s="184" t="s">
        <v>139</v>
      </c>
      <c r="C1281" s="184" t="s">
        <v>1880</v>
      </c>
      <c r="D1281" s="185" t="s">
        <v>700</v>
      </c>
      <c r="E1281" s="186" t="s">
        <v>2956</v>
      </c>
      <c r="F1281" s="186" t="s">
        <v>3036</v>
      </c>
      <c r="G1281" s="186" t="s">
        <v>3036</v>
      </c>
      <c r="H1281" s="186" t="s">
        <v>3055</v>
      </c>
      <c r="I1281" s="187" t="s">
        <v>3007</v>
      </c>
      <c r="J1281" s="187" t="s">
        <v>3008</v>
      </c>
      <c r="K1281" s="188"/>
      <c r="L1281" s="188"/>
      <c r="M1281" s="189" t="s">
        <v>793</v>
      </c>
      <c r="N1281" s="190">
        <v>699.36</v>
      </c>
      <c r="O1281" s="190">
        <f t="shared" si="155"/>
        <v>762.3</v>
      </c>
      <c r="P1281" s="191">
        <f t="shared" si="156"/>
        <v>0</v>
      </c>
      <c r="Q1281" s="192">
        <f t="shared" si="157"/>
        <v>0</v>
      </c>
      <c r="R1281" s="193"/>
      <c r="S1281" s="194"/>
      <c r="T1281" s="195">
        <f t="shared" si="158"/>
        <v>0</v>
      </c>
      <c r="U1281" s="195">
        <f t="shared" si="159"/>
        <v>0</v>
      </c>
      <c r="V1281" s="195">
        <f t="shared" si="160"/>
        <v>0</v>
      </c>
      <c r="W1281" s="196" t="e">
        <f t="shared" si="161"/>
        <v>#DIV/0!</v>
      </c>
      <c r="X1281" s="197" t="e">
        <f t="shared" si="162"/>
        <v>#DIV/0!</v>
      </c>
    </row>
    <row r="1282" ht="11.4" hidden="1" customHeight="1" spans="1:24">
      <c r="A1282" s="184" t="s">
        <v>3054</v>
      </c>
      <c r="B1282" s="184" t="s">
        <v>139</v>
      </c>
      <c r="C1282" s="184" t="s">
        <v>1880</v>
      </c>
      <c r="D1282" s="185" t="s">
        <v>700</v>
      </c>
      <c r="E1282" s="186" t="s">
        <v>2956</v>
      </c>
      <c r="F1282" s="186" t="s">
        <v>3036</v>
      </c>
      <c r="G1282" s="186" t="s">
        <v>3036</v>
      </c>
      <c r="H1282" s="186" t="s">
        <v>3055</v>
      </c>
      <c r="I1282" s="187" t="s">
        <v>3058</v>
      </c>
      <c r="J1282" s="187" t="s">
        <v>3059</v>
      </c>
      <c r="K1282" s="188"/>
      <c r="L1282" s="188"/>
      <c r="M1282" s="189" t="s">
        <v>1778</v>
      </c>
      <c r="N1282" s="190">
        <v>519.63</v>
      </c>
      <c r="O1282" s="190">
        <f t="shared" si="155"/>
        <v>566.4</v>
      </c>
      <c r="P1282" s="191">
        <f t="shared" si="156"/>
        <v>0</v>
      </c>
      <c r="Q1282" s="192">
        <f t="shared" si="157"/>
        <v>0</v>
      </c>
      <c r="R1282" s="193"/>
      <c r="S1282" s="194"/>
      <c r="T1282" s="195">
        <f t="shared" si="158"/>
        <v>0</v>
      </c>
      <c r="U1282" s="195">
        <f t="shared" si="159"/>
        <v>0</v>
      </c>
      <c r="V1282" s="195">
        <f t="shared" si="160"/>
        <v>0</v>
      </c>
      <c r="W1282" s="196" t="e">
        <f t="shared" si="161"/>
        <v>#DIV/0!</v>
      </c>
      <c r="X1282" s="197" t="e">
        <f t="shared" si="162"/>
        <v>#DIV/0!</v>
      </c>
    </row>
    <row r="1283" ht="11.4" hidden="1" customHeight="1" spans="1:24">
      <c r="A1283" s="184" t="s">
        <v>3054</v>
      </c>
      <c r="B1283" s="184" t="s">
        <v>139</v>
      </c>
      <c r="C1283" s="184" t="s">
        <v>1880</v>
      </c>
      <c r="D1283" s="185" t="s">
        <v>700</v>
      </c>
      <c r="E1283" s="186" t="s">
        <v>2956</v>
      </c>
      <c r="F1283" s="186" t="s">
        <v>3036</v>
      </c>
      <c r="G1283" s="186" t="s">
        <v>3036</v>
      </c>
      <c r="H1283" s="186" t="s">
        <v>3055</v>
      </c>
      <c r="I1283" s="187" t="s">
        <v>3060</v>
      </c>
      <c r="J1283" s="187" t="s">
        <v>1978</v>
      </c>
      <c r="K1283" s="188"/>
      <c r="L1283" s="188"/>
      <c r="M1283" s="189" t="s">
        <v>1018</v>
      </c>
      <c r="N1283" s="190">
        <v>136.25</v>
      </c>
      <c r="O1283" s="190">
        <f t="shared" si="155"/>
        <v>148.51</v>
      </c>
      <c r="P1283" s="191">
        <f t="shared" si="156"/>
        <v>0</v>
      </c>
      <c r="Q1283" s="192">
        <f t="shared" si="157"/>
        <v>0</v>
      </c>
      <c r="R1283" s="193"/>
      <c r="S1283" s="194"/>
      <c r="T1283" s="195">
        <f t="shared" si="158"/>
        <v>0</v>
      </c>
      <c r="U1283" s="195">
        <f t="shared" si="159"/>
        <v>0</v>
      </c>
      <c r="V1283" s="195">
        <f t="shared" si="160"/>
        <v>0</v>
      </c>
      <c r="W1283" s="196" t="e">
        <f t="shared" si="161"/>
        <v>#DIV/0!</v>
      </c>
      <c r="X1283" s="197" t="e">
        <f t="shared" si="162"/>
        <v>#DIV/0!</v>
      </c>
    </row>
    <row r="1284" ht="11.4" hidden="1" customHeight="1" spans="1:24">
      <c r="A1284" s="184" t="s">
        <v>3054</v>
      </c>
      <c r="B1284" s="184" t="s">
        <v>139</v>
      </c>
      <c r="C1284" s="184" t="s">
        <v>1880</v>
      </c>
      <c r="D1284" s="185" t="s">
        <v>700</v>
      </c>
      <c r="E1284" s="186" t="s">
        <v>2956</v>
      </c>
      <c r="F1284" s="186" t="s">
        <v>3036</v>
      </c>
      <c r="G1284" s="186" t="s">
        <v>3036</v>
      </c>
      <c r="H1284" s="186" t="s">
        <v>3055</v>
      </c>
      <c r="I1284" s="187" t="s">
        <v>3061</v>
      </c>
      <c r="J1284" s="187" t="s">
        <v>3062</v>
      </c>
      <c r="K1284" s="188"/>
      <c r="L1284" s="188"/>
      <c r="M1284" s="189" t="s">
        <v>1018</v>
      </c>
      <c r="N1284" s="190"/>
      <c r="O1284" s="190">
        <f t="shared" si="155"/>
        <v>0</v>
      </c>
      <c r="P1284" s="191">
        <f t="shared" si="156"/>
        <v>0</v>
      </c>
      <c r="Q1284" s="192">
        <f t="shared" si="157"/>
        <v>0</v>
      </c>
      <c r="R1284" s="193"/>
      <c r="S1284" s="194"/>
      <c r="T1284" s="195">
        <f t="shared" si="158"/>
        <v>0</v>
      </c>
      <c r="U1284" s="195">
        <f t="shared" si="159"/>
        <v>0</v>
      </c>
      <c r="V1284" s="195">
        <f t="shared" si="160"/>
        <v>0</v>
      </c>
      <c r="W1284" s="196" t="e">
        <f t="shared" si="161"/>
        <v>#DIV/0!</v>
      </c>
      <c r="X1284" s="197" t="e">
        <f t="shared" si="162"/>
        <v>#DIV/0!</v>
      </c>
    </row>
    <row r="1285" ht="11.4" hidden="1" customHeight="1" spans="1:24">
      <c r="A1285" s="184" t="s">
        <v>3054</v>
      </c>
      <c r="B1285" s="184" t="s">
        <v>139</v>
      </c>
      <c r="C1285" s="184" t="s">
        <v>1880</v>
      </c>
      <c r="D1285" s="185" t="s">
        <v>700</v>
      </c>
      <c r="E1285" s="186" t="s">
        <v>2956</v>
      </c>
      <c r="F1285" s="186" t="s">
        <v>3036</v>
      </c>
      <c r="G1285" s="186" t="s">
        <v>3036</v>
      </c>
      <c r="H1285" s="186" t="s">
        <v>3055</v>
      </c>
      <c r="I1285" s="187" t="s">
        <v>3063</v>
      </c>
      <c r="J1285" s="187" t="s">
        <v>3064</v>
      </c>
      <c r="K1285" s="188"/>
      <c r="L1285" s="188"/>
      <c r="M1285" s="189" t="s">
        <v>1018</v>
      </c>
      <c r="N1285" s="190"/>
      <c r="O1285" s="190">
        <f t="shared" si="155"/>
        <v>0</v>
      </c>
      <c r="P1285" s="191">
        <f t="shared" si="156"/>
        <v>0</v>
      </c>
      <c r="Q1285" s="192">
        <f t="shared" si="157"/>
        <v>0</v>
      </c>
      <c r="R1285" s="193"/>
      <c r="S1285" s="194"/>
      <c r="T1285" s="195">
        <f t="shared" si="158"/>
        <v>0</v>
      </c>
      <c r="U1285" s="195">
        <f t="shared" si="159"/>
        <v>0</v>
      </c>
      <c r="V1285" s="195">
        <f t="shared" si="160"/>
        <v>0</v>
      </c>
      <c r="W1285" s="196" t="e">
        <f t="shared" si="161"/>
        <v>#DIV/0!</v>
      </c>
      <c r="X1285" s="197" t="e">
        <f t="shared" si="162"/>
        <v>#DIV/0!</v>
      </c>
    </row>
    <row r="1286" ht="11.4" hidden="1" customHeight="1" spans="1:24">
      <c r="A1286" s="184" t="s">
        <v>3054</v>
      </c>
      <c r="B1286" s="184" t="s">
        <v>139</v>
      </c>
      <c r="C1286" s="184" t="s">
        <v>1880</v>
      </c>
      <c r="D1286" s="185" t="s">
        <v>700</v>
      </c>
      <c r="E1286" s="186" t="s">
        <v>2956</v>
      </c>
      <c r="F1286" s="186" t="s">
        <v>3036</v>
      </c>
      <c r="G1286" s="186" t="s">
        <v>3036</v>
      </c>
      <c r="H1286" s="186" t="s">
        <v>3055</v>
      </c>
      <c r="I1286" s="187" t="s">
        <v>3065</v>
      </c>
      <c r="J1286" s="187" t="s">
        <v>3066</v>
      </c>
      <c r="K1286" s="188"/>
      <c r="L1286" s="188"/>
      <c r="M1286" s="189" t="s">
        <v>1018</v>
      </c>
      <c r="N1286" s="190"/>
      <c r="O1286" s="190">
        <f t="shared" si="155"/>
        <v>0</v>
      </c>
      <c r="P1286" s="191">
        <f t="shared" si="156"/>
        <v>0</v>
      </c>
      <c r="Q1286" s="192">
        <f t="shared" si="157"/>
        <v>0</v>
      </c>
      <c r="R1286" s="193"/>
      <c r="S1286" s="194"/>
      <c r="T1286" s="195">
        <f t="shared" si="158"/>
        <v>0</v>
      </c>
      <c r="U1286" s="195">
        <f t="shared" si="159"/>
        <v>0</v>
      </c>
      <c r="V1286" s="195">
        <f t="shared" si="160"/>
        <v>0</v>
      </c>
      <c r="W1286" s="196" t="e">
        <f t="shared" si="161"/>
        <v>#DIV/0!</v>
      </c>
      <c r="X1286" s="197" t="e">
        <f t="shared" si="162"/>
        <v>#DIV/0!</v>
      </c>
    </row>
    <row r="1287" ht="11.4" hidden="1" customHeight="1" spans="1:24">
      <c r="A1287" s="184" t="s">
        <v>3054</v>
      </c>
      <c r="B1287" s="184" t="s">
        <v>139</v>
      </c>
      <c r="C1287" s="184" t="s">
        <v>1880</v>
      </c>
      <c r="D1287" s="185" t="s">
        <v>700</v>
      </c>
      <c r="E1287" s="186" t="s">
        <v>2956</v>
      </c>
      <c r="F1287" s="186" t="s">
        <v>3036</v>
      </c>
      <c r="G1287" s="186" t="s">
        <v>3036</v>
      </c>
      <c r="H1287" s="186" t="s">
        <v>3055</v>
      </c>
      <c r="I1287" s="187" t="s">
        <v>3067</v>
      </c>
      <c r="J1287" s="187" t="s">
        <v>3068</v>
      </c>
      <c r="K1287" s="188"/>
      <c r="L1287" s="188"/>
      <c r="M1287" s="189" t="s">
        <v>1018</v>
      </c>
      <c r="N1287" s="190"/>
      <c r="O1287" s="190">
        <f t="shared" si="155"/>
        <v>0</v>
      </c>
      <c r="P1287" s="191">
        <f t="shared" si="156"/>
        <v>0</v>
      </c>
      <c r="Q1287" s="192">
        <f t="shared" si="157"/>
        <v>0</v>
      </c>
      <c r="R1287" s="193"/>
      <c r="S1287" s="194"/>
      <c r="T1287" s="195">
        <f t="shared" si="158"/>
        <v>0</v>
      </c>
      <c r="U1287" s="195">
        <f t="shared" si="159"/>
        <v>0</v>
      </c>
      <c r="V1287" s="195">
        <f t="shared" si="160"/>
        <v>0</v>
      </c>
      <c r="W1287" s="196" t="e">
        <f t="shared" si="161"/>
        <v>#DIV/0!</v>
      </c>
      <c r="X1287" s="197" t="e">
        <f t="shared" si="162"/>
        <v>#DIV/0!</v>
      </c>
    </row>
    <row r="1288" ht="11.4" hidden="1" customHeight="1" spans="1:24">
      <c r="A1288" s="184" t="s">
        <v>3054</v>
      </c>
      <c r="B1288" s="184" t="s">
        <v>139</v>
      </c>
      <c r="C1288" s="184" t="s">
        <v>1880</v>
      </c>
      <c r="D1288" s="185" t="s">
        <v>700</v>
      </c>
      <c r="E1288" s="186" t="s">
        <v>2956</v>
      </c>
      <c r="F1288" s="186" t="s">
        <v>3036</v>
      </c>
      <c r="G1288" s="186" t="s">
        <v>3036</v>
      </c>
      <c r="H1288" s="186" t="s">
        <v>3055</v>
      </c>
      <c r="I1288" s="187" t="s">
        <v>3069</v>
      </c>
      <c r="J1288" s="187" t="s">
        <v>3070</v>
      </c>
      <c r="K1288" s="188"/>
      <c r="L1288" s="188"/>
      <c r="M1288" s="189" t="s">
        <v>1018</v>
      </c>
      <c r="N1288" s="190"/>
      <c r="O1288" s="190">
        <f t="shared" si="155"/>
        <v>0</v>
      </c>
      <c r="P1288" s="191">
        <f t="shared" si="156"/>
        <v>0</v>
      </c>
      <c r="Q1288" s="192">
        <f t="shared" si="157"/>
        <v>0</v>
      </c>
      <c r="R1288" s="193"/>
      <c r="S1288" s="194"/>
      <c r="T1288" s="195">
        <f t="shared" si="158"/>
        <v>0</v>
      </c>
      <c r="U1288" s="195">
        <f t="shared" si="159"/>
        <v>0</v>
      </c>
      <c r="V1288" s="195">
        <f t="shared" si="160"/>
        <v>0</v>
      </c>
      <c r="W1288" s="196" t="e">
        <f t="shared" si="161"/>
        <v>#DIV/0!</v>
      </c>
      <c r="X1288" s="197" t="e">
        <f t="shared" si="162"/>
        <v>#DIV/0!</v>
      </c>
    </row>
    <row r="1289" ht="11.4" hidden="1" customHeight="1" spans="1:24">
      <c r="A1289" s="184" t="s">
        <v>3054</v>
      </c>
      <c r="B1289" s="184" t="s">
        <v>139</v>
      </c>
      <c r="C1289" s="184" t="s">
        <v>1880</v>
      </c>
      <c r="D1289" s="185" t="s">
        <v>700</v>
      </c>
      <c r="E1289" s="186" t="s">
        <v>2956</v>
      </c>
      <c r="F1289" s="186" t="s">
        <v>3036</v>
      </c>
      <c r="G1289" s="186" t="s">
        <v>3036</v>
      </c>
      <c r="H1289" s="186" t="s">
        <v>3055</v>
      </c>
      <c r="I1289" s="187" t="s">
        <v>3071</v>
      </c>
      <c r="J1289" s="187" t="s">
        <v>3072</v>
      </c>
      <c r="K1289" s="188"/>
      <c r="L1289" s="188"/>
      <c r="M1289" s="189" t="s">
        <v>1018</v>
      </c>
      <c r="N1289" s="190"/>
      <c r="O1289" s="190">
        <f t="shared" si="155"/>
        <v>0</v>
      </c>
      <c r="P1289" s="191">
        <f t="shared" si="156"/>
        <v>0</v>
      </c>
      <c r="Q1289" s="192">
        <f t="shared" si="157"/>
        <v>0</v>
      </c>
      <c r="R1289" s="193"/>
      <c r="S1289" s="194"/>
      <c r="T1289" s="195">
        <f t="shared" si="158"/>
        <v>0</v>
      </c>
      <c r="U1289" s="195">
        <f t="shared" si="159"/>
        <v>0</v>
      </c>
      <c r="V1289" s="195">
        <f t="shared" si="160"/>
        <v>0</v>
      </c>
      <c r="W1289" s="196" t="e">
        <f t="shared" si="161"/>
        <v>#DIV/0!</v>
      </c>
      <c r="X1289" s="197" t="e">
        <f t="shared" si="162"/>
        <v>#DIV/0!</v>
      </c>
    </row>
    <row r="1290" ht="11.4" hidden="1" customHeight="1" spans="1:24">
      <c r="A1290" s="184" t="s">
        <v>3054</v>
      </c>
      <c r="B1290" s="184" t="s">
        <v>139</v>
      </c>
      <c r="C1290" s="184" t="s">
        <v>1880</v>
      </c>
      <c r="D1290" s="185" t="s">
        <v>700</v>
      </c>
      <c r="E1290" s="186" t="s">
        <v>2956</v>
      </c>
      <c r="F1290" s="186" t="s">
        <v>3036</v>
      </c>
      <c r="G1290" s="186" t="s">
        <v>3036</v>
      </c>
      <c r="H1290" s="186" t="s">
        <v>3055</v>
      </c>
      <c r="I1290" s="187" t="s">
        <v>3073</v>
      </c>
      <c r="J1290" s="187" t="s">
        <v>3074</v>
      </c>
      <c r="K1290" s="188"/>
      <c r="L1290" s="188"/>
      <c r="M1290" s="189" t="s">
        <v>1018</v>
      </c>
      <c r="N1290" s="190"/>
      <c r="O1290" s="190">
        <f t="shared" si="155"/>
        <v>0</v>
      </c>
      <c r="P1290" s="191">
        <f t="shared" si="156"/>
        <v>0</v>
      </c>
      <c r="Q1290" s="192">
        <f t="shared" si="157"/>
        <v>0</v>
      </c>
      <c r="R1290" s="193"/>
      <c r="S1290" s="194"/>
      <c r="T1290" s="195">
        <f t="shared" si="158"/>
        <v>0</v>
      </c>
      <c r="U1290" s="195">
        <f t="shared" si="159"/>
        <v>0</v>
      </c>
      <c r="V1290" s="195">
        <f t="shared" si="160"/>
        <v>0</v>
      </c>
      <c r="W1290" s="196" t="e">
        <f t="shared" si="161"/>
        <v>#DIV/0!</v>
      </c>
      <c r="X1290" s="197" t="e">
        <f t="shared" si="162"/>
        <v>#DIV/0!</v>
      </c>
    </row>
    <row r="1291" ht="11.4" hidden="1" customHeight="1" spans="1:24">
      <c r="A1291" s="184" t="s">
        <v>3054</v>
      </c>
      <c r="B1291" s="184" t="s">
        <v>139</v>
      </c>
      <c r="C1291" s="184" t="s">
        <v>1880</v>
      </c>
      <c r="D1291" s="185" t="s">
        <v>700</v>
      </c>
      <c r="E1291" s="186" t="s">
        <v>2956</v>
      </c>
      <c r="F1291" s="186" t="s">
        <v>3036</v>
      </c>
      <c r="G1291" s="186" t="s">
        <v>3036</v>
      </c>
      <c r="H1291" s="186" t="s">
        <v>3055</v>
      </c>
      <c r="I1291" s="187" t="s">
        <v>3075</v>
      </c>
      <c r="J1291" s="187" t="s">
        <v>3076</v>
      </c>
      <c r="K1291" s="188"/>
      <c r="L1291" s="188"/>
      <c r="M1291" s="189" t="s">
        <v>1018</v>
      </c>
      <c r="N1291" s="190"/>
      <c r="O1291" s="190">
        <f t="shared" si="155"/>
        <v>0</v>
      </c>
      <c r="P1291" s="191">
        <f t="shared" si="156"/>
        <v>0</v>
      </c>
      <c r="Q1291" s="192">
        <f t="shared" si="157"/>
        <v>0</v>
      </c>
      <c r="R1291" s="193"/>
      <c r="S1291" s="194"/>
      <c r="T1291" s="195">
        <f t="shared" si="158"/>
        <v>0</v>
      </c>
      <c r="U1291" s="195">
        <f t="shared" si="159"/>
        <v>0</v>
      </c>
      <c r="V1291" s="195">
        <f t="shared" si="160"/>
        <v>0</v>
      </c>
      <c r="W1291" s="196" t="e">
        <f t="shared" si="161"/>
        <v>#DIV/0!</v>
      </c>
      <c r="X1291" s="197" t="e">
        <f t="shared" si="162"/>
        <v>#DIV/0!</v>
      </c>
    </row>
    <row r="1292" ht="11.4" hidden="1" customHeight="1" spans="1:24">
      <c r="A1292" s="184" t="s">
        <v>3054</v>
      </c>
      <c r="B1292" s="184" t="s">
        <v>139</v>
      </c>
      <c r="C1292" s="184" t="s">
        <v>1880</v>
      </c>
      <c r="D1292" s="185" t="s">
        <v>700</v>
      </c>
      <c r="E1292" s="186" t="s">
        <v>2956</v>
      </c>
      <c r="F1292" s="186" t="s">
        <v>3036</v>
      </c>
      <c r="G1292" s="186" t="s">
        <v>3036</v>
      </c>
      <c r="H1292" s="186" t="s">
        <v>3055</v>
      </c>
      <c r="I1292" s="187" t="s">
        <v>3077</v>
      </c>
      <c r="J1292" s="187" t="s">
        <v>3078</v>
      </c>
      <c r="K1292" s="188"/>
      <c r="L1292" s="188"/>
      <c r="M1292" s="189" t="s">
        <v>1018</v>
      </c>
      <c r="N1292" s="190"/>
      <c r="O1292" s="190">
        <f t="shared" si="155"/>
        <v>0</v>
      </c>
      <c r="P1292" s="191">
        <f t="shared" si="156"/>
        <v>0</v>
      </c>
      <c r="Q1292" s="192">
        <f t="shared" si="157"/>
        <v>0</v>
      </c>
      <c r="R1292" s="193"/>
      <c r="S1292" s="194"/>
      <c r="T1292" s="195">
        <f t="shared" si="158"/>
        <v>0</v>
      </c>
      <c r="U1292" s="195">
        <f t="shared" si="159"/>
        <v>0</v>
      </c>
      <c r="V1292" s="195">
        <f t="shared" si="160"/>
        <v>0</v>
      </c>
      <c r="W1292" s="196" t="e">
        <f t="shared" si="161"/>
        <v>#DIV/0!</v>
      </c>
      <c r="X1292" s="197" t="e">
        <f t="shared" si="162"/>
        <v>#DIV/0!</v>
      </c>
    </row>
    <row r="1293" ht="11.4" hidden="1" customHeight="1" spans="1:24">
      <c r="A1293" s="184" t="s">
        <v>3054</v>
      </c>
      <c r="B1293" s="184" t="s">
        <v>139</v>
      </c>
      <c r="C1293" s="184" t="s">
        <v>1880</v>
      </c>
      <c r="D1293" s="185" t="s">
        <v>700</v>
      </c>
      <c r="E1293" s="186" t="s">
        <v>2956</v>
      </c>
      <c r="F1293" s="186" t="s">
        <v>3036</v>
      </c>
      <c r="G1293" s="186" t="s">
        <v>3036</v>
      </c>
      <c r="H1293" s="186" t="s">
        <v>3055</v>
      </c>
      <c r="I1293" s="187" t="s">
        <v>3079</v>
      </c>
      <c r="J1293" s="187" t="s">
        <v>3080</v>
      </c>
      <c r="K1293" s="188"/>
      <c r="L1293" s="188"/>
      <c r="M1293" s="189" t="s">
        <v>1018</v>
      </c>
      <c r="N1293" s="190"/>
      <c r="O1293" s="190">
        <f t="shared" ref="O1293:O1356" si="163">ROUND(N1293*(1+$F$10),2)</f>
        <v>0</v>
      </c>
      <c r="P1293" s="191">
        <f t="shared" ref="P1293:P1356" si="164">ROUND(K1293*N1293,2)</f>
        <v>0</v>
      </c>
      <c r="Q1293" s="192">
        <f t="shared" ref="Q1293:Q1356" si="165">ROUND(L1293*N1293,2)</f>
        <v>0</v>
      </c>
      <c r="R1293" s="193"/>
      <c r="S1293" s="194"/>
      <c r="T1293" s="195">
        <f t="shared" ref="T1293:T1356" si="166">K1293-L1293</f>
        <v>0</v>
      </c>
      <c r="U1293" s="195">
        <f t="shared" ref="U1293:U1356" si="167">P1293-Q1293</f>
        <v>0</v>
      </c>
      <c r="V1293" s="195">
        <f t="shared" ref="V1293:V1356" si="168">ABS(U1293)</f>
        <v>0</v>
      </c>
      <c r="W1293" s="196" t="e">
        <f t="shared" ref="W1293:W1356" si="169">T1293/L1293</f>
        <v>#DIV/0!</v>
      </c>
      <c r="X1293" s="197" t="e">
        <f t="shared" ref="X1293:X1356" si="170">ABS(W1293)</f>
        <v>#DIV/0!</v>
      </c>
    </row>
    <row r="1294" ht="11.4" hidden="1" customHeight="1" spans="1:24">
      <c r="A1294" s="184" t="s">
        <v>3054</v>
      </c>
      <c r="B1294" s="184" t="s">
        <v>139</v>
      </c>
      <c r="C1294" s="184" t="s">
        <v>1880</v>
      </c>
      <c r="D1294" s="185" t="s">
        <v>700</v>
      </c>
      <c r="E1294" s="186" t="s">
        <v>2956</v>
      </c>
      <c r="F1294" s="186" t="s">
        <v>3036</v>
      </c>
      <c r="G1294" s="186" t="s">
        <v>3036</v>
      </c>
      <c r="H1294" s="186" t="s">
        <v>3055</v>
      </c>
      <c r="I1294" s="187" t="s">
        <v>3081</v>
      </c>
      <c r="J1294" s="187" t="s">
        <v>3082</v>
      </c>
      <c r="K1294" s="188"/>
      <c r="L1294" s="188"/>
      <c r="M1294" s="189" t="s">
        <v>1018</v>
      </c>
      <c r="N1294" s="190"/>
      <c r="O1294" s="190">
        <f t="shared" si="163"/>
        <v>0</v>
      </c>
      <c r="P1294" s="191">
        <f t="shared" si="164"/>
        <v>0</v>
      </c>
      <c r="Q1294" s="192">
        <f t="shared" si="165"/>
        <v>0</v>
      </c>
      <c r="R1294" s="193"/>
      <c r="S1294" s="194"/>
      <c r="T1294" s="195">
        <f t="shared" si="166"/>
        <v>0</v>
      </c>
      <c r="U1294" s="195">
        <f t="shared" si="167"/>
        <v>0</v>
      </c>
      <c r="V1294" s="195">
        <f t="shared" si="168"/>
        <v>0</v>
      </c>
      <c r="W1294" s="196" t="e">
        <f t="shared" si="169"/>
        <v>#DIV/0!</v>
      </c>
      <c r="X1294" s="197" t="e">
        <f t="shared" si="170"/>
        <v>#DIV/0!</v>
      </c>
    </row>
    <row r="1295" ht="11.4" hidden="1" customHeight="1" spans="1:24">
      <c r="A1295" s="184" t="s">
        <v>3054</v>
      </c>
      <c r="B1295" s="184" t="s">
        <v>139</v>
      </c>
      <c r="C1295" s="184" t="s">
        <v>1880</v>
      </c>
      <c r="D1295" s="185" t="s">
        <v>700</v>
      </c>
      <c r="E1295" s="186" t="s">
        <v>2956</v>
      </c>
      <c r="F1295" s="186" t="s">
        <v>3036</v>
      </c>
      <c r="G1295" s="186" t="s">
        <v>3036</v>
      </c>
      <c r="H1295" s="186" t="s">
        <v>3055</v>
      </c>
      <c r="I1295" s="187" t="s">
        <v>3083</v>
      </c>
      <c r="J1295" s="187" t="s">
        <v>3084</v>
      </c>
      <c r="K1295" s="188"/>
      <c r="L1295" s="188"/>
      <c r="M1295" s="189" t="s">
        <v>1018</v>
      </c>
      <c r="N1295" s="190"/>
      <c r="O1295" s="190">
        <f t="shared" si="163"/>
        <v>0</v>
      </c>
      <c r="P1295" s="191">
        <f t="shared" si="164"/>
        <v>0</v>
      </c>
      <c r="Q1295" s="192">
        <f t="shared" si="165"/>
        <v>0</v>
      </c>
      <c r="R1295" s="193"/>
      <c r="S1295" s="194"/>
      <c r="T1295" s="195">
        <f t="shared" si="166"/>
        <v>0</v>
      </c>
      <c r="U1295" s="195">
        <f t="shared" si="167"/>
        <v>0</v>
      </c>
      <c r="V1295" s="195">
        <f t="shared" si="168"/>
        <v>0</v>
      </c>
      <c r="W1295" s="196" t="e">
        <f t="shared" si="169"/>
        <v>#DIV/0!</v>
      </c>
      <c r="X1295" s="197" t="e">
        <f t="shared" si="170"/>
        <v>#DIV/0!</v>
      </c>
    </row>
    <row r="1296" ht="11.4" hidden="1" customHeight="1" spans="1:24">
      <c r="A1296" s="184" t="s">
        <v>3054</v>
      </c>
      <c r="B1296" s="184" t="s">
        <v>139</v>
      </c>
      <c r="C1296" s="184" t="s">
        <v>1880</v>
      </c>
      <c r="D1296" s="185" t="s">
        <v>700</v>
      </c>
      <c r="E1296" s="186" t="s">
        <v>2956</v>
      </c>
      <c r="F1296" s="186" t="s">
        <v>3036</v>
      </c>
      <c r="G1296" s="186" t="s">
        <v>3036</v>
      </c>
      <c r="H1296" s="186" t="s">
        <v>3055</v>
      </c>
      <c r="I1296" s="187" t="s">
        <v>1975</v>
      </c>
      <c r="J1296" s="187" t="s">
        <v>1976</v>
      </c>
      <c r="K1296" s="188"/>
      <c r="L1296" s="188"/>
      <c r="M1296" s="189" t="s">
        <v>1018</v>
      </c>
      <c r="N1296" s="190">
        <v>136.25</v>
      </c>
      <c r="O1296" s="190">
        <f t="shared" si="163"/>
        <v>148.51</v>
      </c>
      <c r="P1296" s="191">
        <f t="shared" si="164"/>
        <v>0</v>
      </c>
      <c r="Q1296" s="192">
        <f t="shared" si="165"/>
        <v>0</v>
      </c>
      <c r="R1296" s="193"/>
      <c r="S1296" s="194"/>
      <c r="T1296" s="195">
        <f t="shared" si="166"/>
        <v>0</v>
      </c>
      <c r="U1296" s="195">
        <f t="shared" si="167"/>
        <v>0</v>
      </c>
      <c r="V1296" s="195">
        <f t="shared" si="168"/>
        <v>0</v>
      </c>
      <c r="W1296" s="196" t="e">
        <f t="shared" si="169"/>
        <v>#DIV/0!</v>
      </c>
      <c r="X1296" s="197" t="e">
        <f t="shared" si="170"/>
        <v>#DIV/0!</v>
      </c>
    </row>
    <row r="1297" ht="11.4" hidden="1" customHeight="1" spans="1:24">
      <c r="A1297" s="184" t="s">
        <v>3054</v>
      </c>
      <c r="B1297" s="184" t="s">
        <v>139</v>
      </c>
      <c r="C1297" s="184" t="s">
        <v>1880</v>
      </c>
      <c r="D1297" s="185" t="s">
        <v>700</v>
      </c>
      <c r="E1297" s="186" t="s">
        <v>2956</v>
      </c>
      <c r="F1297" s="186" t="s">
        <v>3036</v>
      </c>
      <c r="G1297" s="186" t="s">
        <v>3036</v>
      </c>
      <c r="H1297" s="186" t="s">
        <v>3055</v>
      </c>
      <c r="I1297" s="187" t="s">
        <v>1906</v>
      </c>
      <c r="J1297" s="187" t="s">
        <v>1907</v>
      </c>
      <c r="K1297" s="188"/>
      <c r="L1297" s="188"/>
      <c r="M1297" s="189" t="s">
        <v>1018</v>
      </c>
      <c r="N1297" s="190">
        <v>453.75</v>
      </c>
      <c r="O1297" s="190">
        <f t="shared" si="163"/>
        <v>494.59</v>
      </c>
      <c r="P1297" s="191">
        <f t="shared" si="164"/>
        <v>0</v>
      </c>
      <c r="Q1297" s="192">
        <f t="shared" si="165"/>
        <v>0</v>
      </c>
      <c r="R1297" s="193"/>
      <c r="S1297" s="194"/>
      <c r="T1297" s="195">
        <f t="shared" si="166"/>
        <v>0</v>
      </c>
      <c r="U1297" s="195">
        <f t="shared" si="167"/>
        <v>0</v>
      </c>
      <c r="V1297" s="195">
        <f t="shared" si="168"/>
        <v>0</v>
      </c>
      <c r="W1297" s="196" t="e">
        <f t="shared" si="169"/>
        <v>#DIV/0!</v>
      </c>
      <c r="X1297" s="197" t="e">
        <f t="shared" si="170"/>
        <v>#DIV/0!</v>
      </c>
    </row>
    <row r="1298" ht="11.4" hidden="1" customHeight="1" spans="1:24">
      <c r="A1298" s="184" t="s">
        <v>3054</v>
      </c>
      <c r="B1298" s="184" t="s">
        <v>139</v>
      </c>
      <c r="C1298" s="184" t="s">
        <v>1880</v>
      </c>
      <c r="D1298" s="185" t="s">
        <v>700</v>
      </c>
      <c r="E1298" s="186" t="s">
        <v>2956</v>
      </c>
      <c r="F1298" s="186" t="s">
        <v>3036</v>
      </c>
      <c r="G1298" s="186" t="s">
        <v>3036</v>
      </c>
      <c r="H1298" s="186" t="s">
        <v>3055</v>
      </c>
      <c r="I1298" s="187" t="s">
        <v>1908</v>
      </c>
      <c r="J1298" s="187" t="s">
        <v>1909</v>
      </c>
      <c r="K1298" s="188"/>
      <c r="L1298" s="188"/>
      <c r="M1298" s="189" t="s">
        <v>1018</v>
      </c>
      <c r="N1298" s="190">
        <v>1088.45</v>
      </c>
      <c r="O1298" s="190">
        <f t="shared" si="163"/>
        <v>1186.41</v>
      </c>
      <c r="P1298" s="191">
        <f t="shared" si="164"/>
        <v>0</v>
      </c>
      <c r="Q1298" s="192">
        <f t="shared" si="165"/>
        <v>0</v>
      </c>
      <c r="R1298" s="193"/>
      <c r="S1298" s="194"/>
      <c r="T1298" s="195">
        <f t="shared" si="166"/>
        <v>0</v>
      </c>
      <c r="U1298" s="195">
        <f t="shared" si="167"/>
        <v>0</v>
      </c>
      <c r="V1298" s="195">
        <f t="shared" si="168"/>
        <v>0</v>
      </c>
      <c r="W1298" s="196" t="e">
        <f t="shared" si="169"/>
        <v>#DIV/0!</v>
      </c>
      <c r="X1298" s="197" t="e">
        <f t="shared" si="170"/>
        <v>#DIV/0!</v>
      </c>
    </row>
    <row r="1299" ht="11.4" hidden="1" customHeight="1" spans="1:24">
      <c r="A1299" s="184" t="s">
        <v>3054</v>
      </c>
      <c r="B1299" s="184" t="s">
        <v>139</v>
      </c>
      <c r="C1299" s="184" t="s">
        <v>1880</v>
      </c>
      <c r="D1299" s="185" t="s">
        <v>700</v>
      </c>
      <c r="E1299" s="186" t="s">
        <v>2956</v>
      </c>
      <c r="F1299" s="186" t="s">
        <v>3036</v>
      </c>
      <c r="G1299" s="186" t="s">
        <v>3036</v>
      </c>
      <c r="H1299" s="186" t="s">
        <v>3055</v>
      </c>
      <c r="I1299" s="187" t="s">
        <v>2011</v>
      </c>
      <c r="J1299" s="187" t="s">
        <v>2012</v>
      </c>
      <c r="K1299" s="188"/>
      <c r="L1299" s="188"/>
      <c r="M1299" s="189" t="s">
        <v>1018</v>
      </c>
      <c r="N1299" s="190">
        <v>698.6</v>
      </c>
      <c r="O1299" s="190">
        <f t="shared" si="163"/>
        <v>761.47</v>
      </c>
      <c r="P1299" s="191">
        <f t="shared" si="164"/>
        <v>0</v>
      </c>
      <c r="Q1299" s="192">
        <f t="shared" si="165"/>
        <v>0</v>
      </c>
      <c r="R1299" s="193"/>
      <c r="S1299" s="194"/>
      <c r="T1299" s="195">
        <f t="shared" si="166"/>
        <v>0</v>
      </c>
      <c r="U1299" s="195">
        <f t="shared" si="167"/>
        <v>0</v>
      </c>
      <c r="V1299" s="195">
        <f t="shared" si="168"/>
        <v>0</v>
      </c>
      <c r="W1299" s="196" t="e">
        <f t="shared" si="169"/>
        <v>#DIV/0!</v>
      </c>
      <c r="X1299" s="197" t="e">
        <f t="shared" si="170"/>
        <v>#DIV/0!</v>
      </c>
    </row>
    <row r="1300" ht="11.4" hidden="1" customHeight="1" spans="1:24">
      <c r="A1300" s="184" t="s">
        <v>3054</v>
      </c>
      <c r="B1300" s="184" t="s">
        <v>139</v>
      </c>
      <c r="C1300" s="184" t="s">
        <v>1880</v>
      </c>
      <c r="D1300" s="185" t="s">
        <v>700</v>
      </c>
      <c r="E1300" s="186" t="s">
        <v>2956</v>
      </c>
      <c r="F1300" s="186" t="s">
        <v>3036</v>
      </c>
      <c r="G1300" s="186" t="s">
        <v>3036</v>
      </c>
      <c r="H1300" s="186" t="s">
        <v>3055</v>
      </c>
      <c r="I1300" s="187" t="s">
        <v>2015</v>
      </c>
      <c r="J1300" s="187" t="s">
        <v>2016</v>
      </c>
      <c r="K1300" s="188"/>
      <c r="L1300" s="188"/>
      <c r="M1300" s="189" t="s">
        <v>1018</v>
      </c>
      <c r="N1300" s="190">
        <v>563.75</v>
      </c>
      <c r="O1300" s="190">
        <f t="shared" si="163"/>
        <v>614.49</v>
      </c>
      <c r="P1300" s="191">
        <f t="shared" si="164"/>
        <v>0</v>
      </c>
      <c r="Q1300" s="192">
        <f t="shared" si="165"/>
        <v>0</v>
      </c>
      <c r="R1300" s="193"/>
      <c r="S1300" s="194"/>
      <c r="T1300" s="195">
        <f t="shared" si="166"/>
        <v>0</v>
      </c>
      <c r="U1300" s="195">
        <f t="shared" si="167"/>
        <v>0</v>
      </c>
      <c r="V1300" s="195">
        <f t="shared" si="168"/>
        <v>0</v>
      </c>
      <c r="W1300" s="196" t="e">
        <f t="shared" si="169"/>
        <v>#DIV/0!</v>
      </c>
      <c r="X1300" s="197" t="e">
        <f t="shared" si="170"/>
        <v>#DIV/0!</v>
      </c>
    </row>
    <row r="1301" ht="11.4" hidden="1" customHeight="1" spans="1:24">
      <c r="A1301" s="184" t="s">
        <v>3054</v>
      </c>
      <c r="B1301" s="184" t="s">
        <v>139</v>
      </c>
      <c r="C1301" s="184" t="s">
        <v>1880</v>
      </c>
      <c r="D1301" s="185" t="s">
        <v>700</v>
      </c>
      <c r="E1301" s="186" t="s">
        <v>2956</v>
      </c>
      <c r="F1301" s="186" t="s">
        <v>3036</v>
      </c>
      <c r="G1301" s="186" t="s">
        <v>3036</v>
      </c>
      <c r="H1301" s="186" t="s">
        <v>3055</v>
      </c>
      <c r="I1301" s="187" t="s">
        <v>2047</v>
      </c>
      <c r="J1301" s="187" t="s">
        <v>2048</v>
      </c>
      <c r="K1301" s="188"/>
      <c r="L1301" s="188"/>
      <c r="M1301" s="189" t="s">
        <v>1018</v>
      </c>
      <c r="N1301" s="190">
        <v>563.75</v>
      </c>
      <c r="O1301" s="190">
        <f t="shared" si="163"/>
        <v>614.49</v>
      </c>
      <c r="P1301" s="191">
        <f t="shared" si="164"/>
        <v>0</v>
      </c>
      <c r="Q1301" s="192">
        <f t="shared" si="165"/>
        <v>0</v>
      </c>
      <c r="R1301" s="193"/>
      <c r="S1301" s="194"/>
      <c r="T1301" s="195">
        <f t="shared" si="166"/>
        <v>0</v>
      </c>
      <c r="U1301" s="195">
        <f t="shared" si="167"/>
        <v>0</v>
      </c>
      <c r="V1301" s="195">
        <f t="shared" si="168"/>
        <v>0</v>
      </c>
      <c r="W1301" s="196" t="e">
        <f t="shared" si="169"/>
        <v>#DIV/0!</v>
      </c>
      <c r="X1301" s="197" t="e">
        <f t="shared" si="170"/>
        <v>#DIV/0!</v>
      </c>
    </row>
    <row r="1302" ht="11.4" hidden="1" customHeight="1" spans="1:24">
      <c r="A1302" s="184" t="s">
        <v>3054</v>
      </c>
      <c r="B1302" s="184" t="s">
        <v>139</v>
      </c>
      <c r="C1302" s="184" t="s">
        <v>1880</v>
      </c>
      <c r="D1302" s="185" t="s">
        <v>700</v>
      </c>
      <c r="E1302" s="186" t="s">
        <v>2956</v>
      </c>
      <c r="F1302" s="186" t="s">
        <v>3036</v>
      </c>
      <c r="G1302" s="186" t="s">
        <v>3036</v>
      </c>
      <c r="H1302" s="186" t="s">
        <v>3055</v>
      </c>
      <c r="I1302" s="187" t="s">
        <v>1989</v>
      </c>
      <c r="J1302" s="187" t="s">
        <v>1990</v>
      </c>
      <c r="K1302" s="188"/>
      <c r="L1302" s="188"/>
      <c r="M1302" s="189" t="s">
        <v>807</v>
      </c>
      <c r="N1302" s="190">
        <v>33.42</v>
      </c>
      <c r="O1302" s="190">
        <f t="shared" si="163"/>
        <v>36.43</v>
      </c>
      <c r="P1302" s="191">
        <f t="shared" si="164"/>
        <v>0</v>
      </c>
      <c r="Q1302" s="192">
        <f t="shared" si="165"/>
        <v>0</v>
      </c>
      <c r="R1302" s="193"/>
      <c r="S1302" s="194"/>
      <c r="T1302" s="195">
        <f t="shared" si="166"/>
        <v>0</v>
      </c>
      <c r="U1302" s="195">
        <f t="shared" si="167"/>
        <v>0</v>
      </c>
      <c r="V1302" s="195">
        <f t="shared" si="168"/>
        <v>0</v>
      </c>
      <c r="W1302" s="196" t="e">
        <f t="shared" si="169"/>
        <v>#DIV/0!</v>
      </c>
      <c r="X1302" s="197" t="e">
        <f t="shared" si="170"/>
        <v>#DIV/0!</v>
      </c>
    </row>
    <row r="1303" ht="11.4" hidden="1" customHeight="1" spans="1:24">
      <c r="A1303" s="184" t="s">
        <v>3054</v>
      </c>
      <c r="B1303" s="184" t="s">
        <v>139</v>
      </c>
      <c r="C1303" s="184" t="s">
        <v>1880</v>
      </c>
      <c r="D1303" s="185" t="s">
        <v>700</v>
      </c>
      <c r="E1303" s="186" t="s">
        <v>2956</v>
      </c>
      <c r="F1303" s="186" t="s">
        <v>3036</v>
      </c>
      <c r="G1303" s="186" t="s">
        <v>3036</v>
      </c>
      <c r="H1303" s="186" t="s">
        <v>3055</v>
      </c>
      <c r="I1303" s="187" t="s">
        <v>1995</v>
      </c>
      <c r="J1303" s="187" t="s">
        <v>3085</v>
      </c>
      <c r="K1303" s="188"/>
      <c r="L1303" s="188"/>
      <c r="M1303" s="189" t="s">
        <v>807</v>
      </c>
      <c r="N1303" s="190">
        <v>32.72</v>
      </c>
      <c r="O1303" s="190">
        <f t="shared" si="163"/>
        <v>35.66</v>
      </c>
      <c r="P1303" s="191">
        <f t="shared" si="164"/>
        <v>0</v>
      </c>
      <c r="Q1303" s="192">
        <f t="shared" si="165"/>
        <v>0</v>
      </c>
      <c r="R1303" s="193"/>
      <c r="S1303" s="194"/>
      <c r="T1303" s="195">
        <f t="shared" si="166"/>
        <v>0</v>
      </c>
      <c r="U1303" s="195">
        <f t="shared" si="167"/>
        <v>0</v>
      </c>
      <c r="V1303" s="195">
        <f t="shared" si="168"/>
        <v>0</v>
      </c>
      <c r="W1303" s="196" t="e">
        <f t="shared" si="169"/>
        <v>#DIV/0!</v>
      </c>
      <c r="X1303" s="197" t="e">
        <f t="shared" si="170"/>
        <v>#DIV/0!</v>
      </c>
    </row>
    <row r="1304" ht="11.4" hidden="1" customHeight="1" spans="1:24">
      <c r="A1304" s="184" t="s">
        <v>3054</v>
      </c>
      <c r="B1304" s="184" t="s">
        <v>139</v>
      </c>
      <c r="C1304" s="184" t="s">
        <v>1880</v>
      </c>
      <c r="D1304" s="185" t="s">
        <v>700</v>
      </c>
      <c r="E1304" s="186" t="s">
        <v>2956</v>
      </c>
      <c r="F1304" s="186" t="s">
        <v>3036</v>
      </c>
      <c r="G1304" s="186" t="s">
        <v>3036</v>
      </c>
      <c r="H1304" s="186" t="s">
        <v>3055</v>
      </c>
      <c r="I1304" s="187" t="s">
        <v>2003</v>
      </c>
      <c r="J1304" s="187" t="s">
        <v>3086</v>
      </c>
      <c r="K1304" s="188"/>
      <c r="L1304" s="188"/>
      <c r="M1304" s="189" t="s">
        <v>807</v>
      </c>
      <c r="N1304" s="190">
        <v>28.14</v>
      </c>
      <c r="O1304" s="190">
        <f t="shared" si="163"/>
        <v>30.67</v>
      </c>
      <c r="P1304" s="191">
        <f t="shared" si="164"/>
        <v>0</v>
      </c>
      <c r="Q1304" s="192">
        <f t="shared" si="165"/>
        <v>0</v>
      </c>
      <c r="R1304" s="193"/>
      <c r="S1304" s="194"/>
      <c r="T1304" s="195">
        <f t="shared" si="166"/>
        <v>0</v>
      </c>
      <c r="U1304" s="195">
        <f t="shared" si="167"/>
        <v>0</v>
      </c>
      <c r="V1304" s="195">
        <f t="shared" si="168"/>
        <v>0</v>
      </c>
      <c r="W1304" s="196" t="e">
        <f t="shared" si="169"/>
        <v>#DIV/0!</v>
      </c>
      <c r="X1304" s="197" t="e">
        <f t="shared" si="170"/>
        <v>#DIV/0!</v>
      </c>
    </row>
    <row r="1305" ht="11.4" hidden="1" customHeight="1" spans="1:24">
      <c r="A1305" s="184" t="s">
        <v>3054</v>
      </c>
      <c r="B1305" s="184" t="s">
        <v>139</v>
      </c>
      <c r="C1305" s="184" t="s">
        <v>1880</v>
      </c>
      <c r="D1305" s="185" t="s">
        <v>700</v>
      </c>
      <c r="E1305" s="186" t="s">
        <v>2956</v>
      </c>
      <c r="F1305" s="186" t="s">
        <v>3036</v>
      </c>
      <c r="G1305" s="186" t="s">
        <v>3036</v>
      </c>
      <c r="H1305" s="186" t="s">
        <v>3055</v>
      </c>
      <c r="I1305" s="187" t="s">
        <v>2005</v>
      </c>
      <c r="J1305" s="187" t="s">
        <v>3087</v>
      </c>
      <c r="K1305" s="188"/>
      <c r="L1305" s="188"/>
      <c r="M1305" s="189" t="s">
        <v>807</v>
      </c>
      <c r="N1305" s="190">
        <v>28.15</v>
      </c>
      <c r="O1305" s="190">
        <f t="shared" si="163"/>
        <v>30.68</v>
      </c>
      <c r="P1305" s="191">
        <f t="shared" si="164"/>
        <v>0</v>
      </c>
      <c r="Q1305" s="192">
        <f t="shared" si="165"/>
        <v>0</v>
      </c>
      <c r="R1305" s="193"/>
      <c r="S1305" s="194"/>
      <c r="T1305" s="195">
        <f t="shared" si="166"/>
        <v>0</v>
      </c>
      <c r="U1305" s="195">
        <f t="shared" si="167"/>
        <v>0</v>
      </c>
      <c r="V1305" s="195">
        <f t="shared" si="168"/>
        <v>0</v>
      </c>
      <c r="W1305" s="196" t="e">
        <f t="shared" si="169"/>
        <v>#DIV/0!</v>
      </c>
      <c r="X1305" s="197" t="e">
        <f t="shared" si="170"/>
        <v>#DIV/0!</v>
      </c>
    </row>
    <row r="1306" ht="11.4" hidden="1" customHeight="1" spans="1:24">
      <c r="A1306" s="184" t="s">
        <v>3054</v>
      </c>
      <c r="B1306" s="184" t="s">
        <v>139</v>
      </c>
      <c r="C1306" s="184" t="s">
        <v>1880</v>
      </c>
      <c r="D1306" s="185" t="s">
        <v>700</v>
      </c>
      <c r="E1306" s="186" t="s">
        <v>2956</v>
      </c>
      <c r="F1306" s="186" t="s">
        <v>3036</v>
      </c>
      <c r="G1306" s="186" t="s">
        <v>3036</v>
      </c>
      <c r="H1306" s="186" t="s">
        <v>3055</v>
      </c>
      <c r="I1306" s="187" t="s">
        <v>2028</v>
      </c>
      <c r="J1306" s="187" t="s">
        <v>2029</v>
      </c>
      <c r="K1306" s="188"/>
      <c r="L1306" s="188"/>
      <c r="M1306" s="189" t="s">
        <v>807</v>
      </c>
      <c r="N1306" s="190">
        <v>37.65</v>
      </c>
      <c r="O1306" s="190">
        <f t="shared" si="163"/>
        <v>41.04</v>
      </c>
      <c r="P1306" s="191">
        <f t="shared" si="164"/>
        <v>0</v>
      </c>
      <c r="Q1306" s="192">
        <f t="shared" si="165"/>
        <v>0</v>
      </c>
      <c r="R1306" s="193"/>
      <c r="S1306" s="194"/>
      <c r="T1306" s="195">
        <f t="shared" si="166"/>
        <v>0</v>
      </c>
      <c r="U1306" s="195">
        <f t="shared" si="167"/>
        <v>0</v>
      </c>
      <c r="V1306" s="195">
        <f t="shared" si="168"/>
        <v>0</v>
      </c>
      <c r="W1306" s="196" t="e">
        <f t="shared" si="169"/>
        <v>#DIV/0!</v>
      </c>
      <c r="X1306" s="197" t="e">
        <f t="shared" si="170"/>
        <v>#DIV/0!</v>
      </c>
    </row>
    <row r="1307" ht="11.4" hidden="1" customHeight="1" spans="1:24">
      <c r="A1307" s="184" t="s">
        <v>3054</v>
      </c>
      <c r="B1307" s="184" t="s">
        <v>139</v>
      </c>
      <c r="C1307" s="184" t="s">
        <v>1880</v>
      </c>
      <c r="D1307" s="185" t="s">
        <v>700</v>
      </c>
      <c r="E1307" s="186" t="s">
        <v>2956</v>
      </c>
      <c r="F1307" s="186" t="s">
        <v>3036</v>
      </c>
      <c r="G1307" s="186" t="s">
        <v>3036</v>
      </c>
      <c r="H1307" s="186" t="s">
        <v>3055</v>
      </c>
      <c r="I1307" s="187" t="s">
        <v>2926</v>
      </c>
      <c r="J1307" s="187" t="s">
        <v>2927</v>
      </c>
      <c r="K1307" s="188"/>
      <c r="L1307" s="188"/>
      <c r="M1307" s="189" t="s">
        <v>793</v>
      </c>
      <c r="N1307" s="190">
        <v>2615.56</v>
      </c>
      <c r="O1307" s="190">
        <f t="shared" si="163"/>
        <v>2850.96</v>
      </c>
      <c r="P1307" s="191">
        <f t="shared" si="164"/>
        <v>0</v>
      </c>
      <c r="Q1307" s="192">
        <f t="shared" si="165"/>
        <v>0</v>
      </c>
      <c r="R1307" s="193"/>
      <c r="S1307" s="194"/>
      <c r="T1307" s="195">
        <f t="shared" si="166"/>
        <v>0</v>
      </c>
      <c r="U1307" s="195">
        <f t="shared" si="167"/>
        <v>0</v>
      </c>
      <c r="V1307" s="195">
        <f t="shared" si="168"/>
        <v>0</v>
      </c>
      <c r="W1307" s="196" t="e">
        <f t="shared" si="169"/>
        <v>#DIV/0!</v>
      </c>
      <c r="X1307" s="197" t="e">
        <f t="shared" si="170"/>
        <v>#DIV/0!</v>
      </c>
    </row>
    <row r="1308" ht="11.4" hidden="1" customHeight="1" spans="1:24">
      <c r="A1308" s="184" t="s">
        <v>3088</v>
      </c>
      <c r="B1308" s="184" t="s">
        <v>145</v>
      </c>
      <c r="C1308" s="184" t="s">
        <v>2074</v>
      </c>
      <c r="D1308" s="185" t="s">
        <v>700</v>
      </c>
      <c r="E1308" s="186" t="s">
        <v>2956</v>
      </c>
      <c r="F1308" s="186" t="s">
        <v>3036</v>
      </c>
      <c r="G1308" s="186" t="s">
        <v>3036</v>
      </c>
      <c r="H1308" s="186" t="s">
        <v>3089</v>
      </c>
      <c r="I1308" s="187" t="s">
        <v>2089</v>
      </c>
      <c r="J1308" s="187" t="s">
        <v>2090</v>
      </c>
      <c r="K1308" s="188"/>
      <c r="L1308" s="188"/>
      <c r="M1308" s="189" t="s">
        <v>1018</v>
      </c>
      <c r="N1308" s="190">
        <v>131.25</v>
      </c>
      <c r="O1308" s="190">
        <f t="shared" si="163"/>
        <v>143.06</v>
      </c>
      <c r="P1308" s="191">
        <f t="shared" si="164"/>
        <v>0</v>
      </c>
      <c r="Q1308" s="192">
        <f t="shared" si="165"/>
        <v>0</v>
      </c>
      <c r="R1308" s="193"/>
      <c r="S1308" s="194"/>
      <c r="T1308" s="195">
        <f t="shared" si="166"/>
        <v>0</v>
      </c>
      <c r="U1308" s="195">
        <f t="shared" si="167"/>
        <v>0</v>
      </c>
      <c r="V1308" s="195">
        <f t="shared" si="168"/>
        <v>0</v>
      </c>
      <c r="W1308" s="196" t="e">
        <f t="shared" si="169"/>
        <v>#DIV/0!</v>
      </c>
      <c r="X1308" s="197" t="e">
        <f t="shared" si="170"/>
        <v>#DIV/0!</v>
      </c>
    </row>
    <row r="1309" ht="11.4" hidden="1" customHeight="1" spans="1:24">
      <c r="A1309" s="184" t="s">
        <v>3088</v>
      </c>
      <c r="B1309" s="184" t="s">
        <v>145</v>
      </c>
      <c r="C1309" s="184" t="s">
        <v>2074</v>
      </c>
      <c r="D1309" s="185" t="s">
        <v>700</v>
      </c>
      <c r="E1309" s="186" t="s">
        <v>2956</v>
      </c>
      <c r="F1309" s="186" t="s">
        <v>3036</v>
      </c>
      <c r="G1309" s="186" t="s">
        <v>3036</v>
      </c>
      <c r="H1309" s="186" t="s">
        <v>3089</v>
      </c>
      <c r="I1309" s="187" t="s">
        <v>2091</v>
      </c>
      <c r="J1309" s="187" t="s">
        <v>2092</v>
      </c>
      <c r="K1309" s="188"/>
      <c r="L1309" s="188"/>
      <c r="M1309" s="189" t="s">
        <v>1018</v>
      </c>
      <c r="N1309" s="190">
        <v>222.6</v>
      </c>
      <c r="O1309" s="190">
        <f t="shared" si="163"/>
        <v>242.63</v>
      </c>
      <c r="P1309" s="191">
        <f t="shared" si="164"/>
        <v>0</v>
      </c>
      <c r="Q1309" s="192">
        <f t="shared" si="165"/>
        <v>0</v>
      </c>
      <c r="R1309" s="193"/>
      <c r="S1309" s="194"/>
      <c r="T1309" s="195">
        <f t="shared" si="166"/>
        <v>0</v>
      </c>
      <c r="U1309" s="195">
        <f t="shared" si="167"/>
        <v>0</v>
      </c>
      <c r="V1309" s="195">
        <f t="shared" si="168"/>
        <v>0</v>
      </c>
      <c r="W1309" s="196" t="e">
        <f t="shared" si="169"/>
        <v>#DIV/0!</v>
      </c>
      <c r="X1309" s="197" t="e">
        <f t="shared" si="170"/>
        <v>#DIV/0!</v>
      </c>
    </row>
    <row r="1310" ht="11.4" hidden="1" customHeight="1" spans="1:24">
      <c r="A1310" s="184" t="s">
        <v>3088</v>
      </c>
      <c r="B1310" s="184" t="s">
        <v>145</v>
      </c>
      <c r="C1310" s="184" t="s">
        <v>2074</v>
      </c>
      <c r="D1310" s="185" t="s">
        <v>700</v>
      </c>
      <c r="E1310" s="186" t="s">
        <v>2956</v>
      </c>
      <c r="F1310" s="186" t="s">
        <v>3036</v>
      </c>
      <c r="G1310" s="186" t="s">
        <v>3036</v>
      </c>
      <c r="H1310" s="186" t="s">
        <v>3089</v>
      </c>
      <c r="I1310" s="187" t="s">
        <v>2093</v>
      </c>
      <c r="J1310" s="187" t="s">
        <v>2094</v>
      </c>
      <c r="K1310" s="188"/>
      <c r="L1310" s="188"/>
      <c r="M1310" s="189" t="s">
        <v>1018</v>
      </c>
      <c r="N1310" s="190">
        <v>176.4</v>
      </c>
      <c r="O1310" s="190">
        <f t="shared" si="163"/>
        <v>192.28</v>
      </c>
      <c r="P1310" s="191">
        <f t="shared" si="164"/>
        <v>0</v>
      </c>
      <c r="Q1310" s="192">
        <f t="shared" si="165"/>
        <v>0</v>
      </c>
      <c r="R1310" s="193"/>
      <c r="S1310" s="194"/>
      <c r="T1310" s="195">
        <f t="shared" si="166"/>
        <v>0</v>
      </c>
      <c r="U1310" s="195">
        <f t="shared" si="167"/>
        <v>0</v>
      </c>
      <c r="V1310" s="195">
        <f t="shared" si="168"/>
        <v>0</v>
      </c>
      <c r="W1310" s="196" t="e">
        <f t="shared" si="169"/>
        <v>#DIV/0!</v>
      </c>
      <c r="X1310" s="197" t="e">
        <f t="shared" si="170"/>
        <v>#DIV/0!</v>
      </c>
    </row>
    <row r="1311" ht="11.4" hidden="1" customHeight="1" spans="1:24">
      <c r="A1311" s="184" t="s">
        <v>3088</v>
      </c>
      <c r="B1311" s="184" t="s">
        <v>145</v>
      </c>
      <c r="C1311" s="184" t="s">
        <v>2074</v>
      </c>
      <c r="D1311" s="185" t="s">
        <v>700</v>
      </c>
      <c r="E1311" s="186" t="s">
        <v>2956</v>
      </c>
      <c r="F1311" s="186" t="s">
        <v>3036</v>
      </c>
      <c r="G1311" s="186" t="s">
        <v>3036</v>
      </c>
      <c r="H1311" s="186" t="s">
        <v>3089</v>
      </c>
      <c r="I1311" s="187" t="s">
        <v>2095</v>
      </c>
      <c r="J1311" s="187" t="s">
        <v>2096</v>
      </c>
      <c r="K1311" s="188"/>
      <c r="L1311" s="188"/>
      <c r="M1311" s="189" t="s">
        <v>1018</v>
      </c>
      <c r="N1311" s="190">
        <v>134.4</v>
      </c>
      <c r="O1311" s="190">
        <f t="shared" si="163"/>
        <v>146.5</v>
      </c>
      <c r="P1311" s="191">
        <f t="shared" si="164"/>
        <v>0</v>
      </c>
      <c r="Q1311" s="192">
        <f t="shared" si="165"/>
        <v>0</v>
      </c>
      <c r="R1311" s="193"/>
      <c r="S1311" s="194"/>
      <c r="T1311" s="195">
        <f t="shared" si="166"/>
        <v>0</v>
      </c>
      <c r="U1311" s="195">
        <f t="shared" si="167"/>
        <v>0</v>
      </c>
      <c r="V1311" s="195">
        <f t="shared" si="168"/>
        <v>0</v>
      </c>
      <c r="W1311" s="196" t="e">
        <f t="shared" si="169"/>
        <v>#DIV/0!</v>
      </c>
      <c r="X1311" s="197" t="e">
        <f t="shared" si="170"/>
        <v>#DIV/0!</v>
      </c>
    </row>
    <row r="1312" ht="11.4" hidden="1" customHeight="1" spans="1:24">
      <c r="A1312" s="184" t="s">
        <v>3088</v>
      </c>
      <c r="B1312" s="184" t="s">
        <v>145</v>
      </c>
      <c r="C1312" s="184" t="s">
        <v>2074</v>
      </c>
      <c r="D1312" s="185" t="s">
        <v>700</v>
      </c>
      <c r="E1312" s="186" t="s">
        <v>2956</v>
      </c>
      <c r="F1312" s="186" t="s">
        <v>3036</v>
      </c>
      <c r="G1312" s="186" t="s">
        <v>3036</v>
      </c>
      <c r="H1312" s="186" t="s">
        <v>3089</v>
      </c>
      <c r="I1312" s="187" t="s">
        <v>2097</v>
      </c>
      <c r="J1312" s="187" t="s">
        <v>2098</v>
      </c>
      <c r="K1312" s="188"/>
      <c r="L1312" s="188"/>
      <c r="M1312" s="189" t="s">
        <v>1018</v>
      </c>
      <c r="N1312" s="190">
        <v>152.56</v>
      </c>
      <c r="O1312" s="190">
        <f t="shared" si="163"/>
        <v>166.29</v>
      </c>
      <c r="P1312" s="191">
        <f t="shared" si="164"/>
        <v>0</v>
      </c>
      <c r="Q1312" s="192">
        <f t="shared" si="165"/>
        <v>0</v>
      </c>
      <c r="R1312" s="193"/>
      <c r="S1312" s="194"/>
      <c r="T1312" s="195">
        <f t="shared" si="166"/>
        <v>0</v>
      </c>
      <c r="U1312" s="195">
        <f t="shared" si="167"/>
        <v>0</v>
      </c>
      <c r="V1312" s="195">
        <f t="shared" si="168"/>
        <v>0</v>
      </c>
      <c r="W1312" s="196" t="e">
        <f t="shared" si="169"/>
        <v>#DIV/0!</v>
      </c>
      <c r="X1312" s="197" t="e">
        <f t="shared" si="170"/>
        <v>#DIV/0!</v>
      </c>
    </row>
    <row r="1313" ht="11.4" hidden="1" customHeight="1" spans="1:24">
      <c r="A1313" s="184" t="s">
        <v>3088</v>
      </c>
      <c r="B1313" s="184" t="s">
        <v>145</v>
      </c>
      <c r="C1313" s="184" t="s">
        <v>2074</v>
      </c>
      <c r="D1313" s="185" t="s">
        <v>700</v>
      </c>
      <c r="E1313" s="186" t="s">
        <v>2956</v>
      </c>
      <c r="F1313" s="186" t="s">
        <v>3036</v>
      </c>
      <c r="G1313" s="186" t="s">
        <v>3036</v>
      </c>
      <c r="H1313" s="186" t="s">
        <v>3089</v>
      </c>
      <c r="I1313" s="187" t="s">
        <v>2099</v>
      </c>
      <c r="J1313" s="187" t="s">
        <v>2100</v>
      </c>
      <c r="K1313" s="188"/>
      <c r="L1313" s="188"/>
      <c r="M1313" s="189" t="s">
        <v>1018</v>
      </c>
      <c r="N1313" s="190">
        <v>222.6</v>
      </c>
      <c r="O1313" s="190">
        <f t="shared" si="163"/>
        <v>242.63</v>
      </c>
      <c r="P1313" s="191">
        <f t="shared" si="164"/>
        <v>0</v>
      </c>
      <c r="Q1313" s="192">
        <f t="shared" si="165"/>
        <v>0</v>
      </c>
      <c r="R1313" s="193"/>
      <c r="S1313" s="194"/>
      <c r="T1313" s="195">
        <f t="shared" si="166"/>
        <v>0</v>
      </c>
      <c r="U1313" s="195">
        <f t="shared" si="167"/>
        <v>0</v>
      </c>
      <c r="V1313" s="195">
        <f t="shared" si="168"/>
        <v>0</v>
      </c>
      <c r="W1313" s="196" t="e">
        <f t="shared" si="169"/>
        <v>#DIV/0!</v>
      </c>
      <c r="X1313" s="197" t="e">
        <f t="shared" si="170"/>
        <v>#DIV/0!</v>
      </c>
    </row>
    <row r="1314" ht="11.4" hidden="1" customHeight="1" spans="1:24">
      <c r="A1314" s="184" t="s">
        <v>3088</v>
      </c>
      <c r="B1314" s="184" t="s">
        <v>145</v>
      </c>
      <c r="C1314" s="184" t="s">
        <v>2074</v>
      </c>
      <c r="D1314" s="185" t="s">
        <v>700</v>
      </c>
      <c r="E1314" s="186" t="s">
        <v>2956</v>
      </c>
      <c r="F1314" s="186" t="s">
        <v>3036</v>
      </c>
      <c r="G1314" s="186" t="s">
        <v>3036</v>
      </c>
      <c r="H1314" s="186" t="s">
        <v>3089</v>
      </c>
      <c r="I1314" s="187" t="s">
        <v>2101</v>
      </c>
      <c r="J1314" s="187" t="s">
        <v>2102</v>
      </c>
      <c r="K1314" s="188"/>
      <c r="L1314" s="188"/>
      <c r="M1314" s="189" t="s">
        <v>1018</v>
      </c>
      <c r="N1314" s="190">
        <v>86.1</v>
      </c>
      <c r="O1314" s="190">
        <f t="shared" si="163"/>
        <v>93.85</v>
      </c>
      <c r="P1314" s="191">
        <f t="shared" si="164"/>
        <v>0</v>
      </c>
      <c r="Q1314" s="192">
        <f t="shared" si="165"/>
        <v>0</v>
      </c>
      <c r="R1314" s="193"/>
      <c r="S1314" s="194"/>
      <c r="T1314" s="195">
        <f t="shared" si="166"/>
        <v>0</v>
      </c>
      <c r="U1314" s="195">
        <f t="shared" si="167"/>
        <v>0</v>
      </c>
      <c r="V1314" s="195">
        <f t="shared" si="168"/>
        <v>0</v>
      </c>
      <c r="W1314" s="196" t="e">
        <f t="shared" si="169"/>
        <v>#DIV/0!</v>
      </c>
      <c r="X1314" s="197" t="e">
        <f t="shared" si="170"/>
        <v>#DIV/0!</v>
      </c>
    </row>
    <row r="1315" ht="11.4" hidden="1" customHeight="1" spans="1:24">
      <c r="A1315" s="184" t="s">
        <v>3088</v>
      </c>
      <c r="B1315" s="184" t="s">
        <v>147</v>
      </c>
      <c r="C1315" s="184" t="s">
        <v>2074</v>
      </c>
      <c r="D1315" s="185" t="s">
        <v>700</v>
      </c>
      <c r="E1315" s="186" t="s">
        <v>2956</v>
      </c>
      <c r="F1315" s="186" t="s">
        <v>3036</v>
      </c>
      <c r="G1315" s="186" t="s">
        <v>3036</v>
      </c>
      <c r="H1315" s="186" t="s">
        <v>3089</v>
      </c>
      <c r="I1315" s="187" t="s">
        <v>2248</v>
      </c>
      <c r="J1315" s="187" t="s">
        <v>2249</v>
      </c>
      <c r="K1315" s="188"/>
      <c r="L1315" s="188"/>
      <c r="M1315" s="189" t="s">
        <v>1018</v>
      </c>
      <c r="N1315" s="190">
        <v>190.05</v>
      </c>
      <c r="O1315" s="190">
        <f t="shared" si="163"/>
        <v>207.15</v>
      </c>
      <c r="P1315" s="191">
        <f t="shared" si="164"/>
        <v>0</v>
      </c>
      <c r="Q1315" s="192">
        <f t="shared" si="165"/>
        <v>0</v>
      </c>
      <c r="R1315" s="193"/>
      <c r="S1315" s="194"/>
      <c r="T1315" s="195">
        <f t="shared" si="166"/>
        <v>0</v>
      </c>
      <c r="U1315" s="195">
        <f t="shared" si="167"/>
        <v>0</v>
      </c>
      <c r="V1315" s="195">
        <f t="shared" si="168"/>
        <v>0</v>
      </c>
      <c r="W1315" s="196" t="e">
        <f t="shared" si="169"/>
        <v>#DIV/0!</v>
      </c>
      <c r="X1315" s="197" t="e">
        <f t="shared" si="170"/>
        <v>#DIV/0!</v>
      </c>
    </row>
    <row r="1316" ht="11.4" hidden="1" customHeight="1" spans="1:24">
      <c r="A1316" s="184" t="s">
        <v>3088</v>
      </c>
      <c r="B1316" s="184" t="s">
        <v>147</v>
      </c>
      <c r="C1316" s="184" t="s">
        <v>2074</v>
      </c>
      <c r="D1316" s="185" t="s">
        <v>700</v>
      </c>
      <c r="E1316" s="186" t="s">
        <v>2956</v>
      </c>
      <c r="F1316" s="186" t="s">
        <v>3036</v>
      </c>
      <c r="G1316" s="186" t="s">
        <v>3036</v>
      </c>
      <c r="H1316" s="186" t="s">
        <v>3089</v>
      </c>
      <c r="I1316" s="187" t="s">
        <v>2250</v>
      </c>
      <c r="J1316" s="187" t="s">
        <v>2251</v>
      </c>
      <c r="K1316" s="188"/>
      <c r="L1316" s="188"/>
      <c r="M1316" s="189" t="s">
        <v>1018</v>
      </c>
      <c r="N1316" s="190">
        <v>190.05</v>
      </c>
      <c r="O1316" s="190">
        <f t="shared" si="163"/>
        <v>207.15</v>
      </c>
      <c r="P1316" s="191">
        <f t="shared" si="164"/>
        <v>0</v>
      </c>
      <c r="Q1316" s="192">
        <f t="shared" si="165"/>
        <v>0</v>
      </c>
      <c r="R1316" s="193"/>
      <c r="S1316" s="194"/>
      <c r="T1316" s="195">
        <f t="shared" si="166"/>
        <v>0</v>
      </c>
      <c r="U1316" s="195">
        <f t="shared" si="167"/>
        <v>0</v>
      </c>
      <c r="V1316" s="195">
        <f t="shared" si="168"/>
        <v>0</v>
      </c>
      <c r="W1316" s="196" t="e">
        <f t="shared" si="169"/>
        <v>#DIV/0!</v>
      </c>
      <c r="X1316" s="197" t="e">
        <f t="shared" si="170"/>
        <v>#DIV/0!</v>
      </c>
    </row>
    <row r="1317" ht="11.4" hidden="1" customHeight="1" spans="1:24">
      <c r="A1317" s="184" t="s">
        <v>3088</v>
      </c>
      <c r="B1317" s="184" t="s">
        <v>145</v>
      </c>
      <c r="C1317" s="184" t="s">
        <v>2074</v>
      </c>
      <c r="D1317" s="185" t="s">
        <v>700</v>
      </c>
      <c r="E1317" s="186" t="s">
        <v>2956</v>
      </c>
      <c r="F1317" s="186" t="s">
        <v>3036</v>
      </c>
      <c r="G1317" s="186" t="s">
        <v>3036</v>
      </c>
      <c r="H1317" s="186" t="s">
        <v>3089</v>
      </c>
      <c r="I1317" s="187" t="s">
        <v>2129</v>
      </c>
      <c r="J1317" s="187" t="s">
        <v>2130</v>
      </c>
      <c r="K1317" s="188"/>
      <c r="L1317" s="188"/>
      <c r="M1317" s="189" t="s">
        <v>1018</v>
      </c>
      <c r="N1317" s="190">
        <v>102.9</v>
      </c>
      <c r="O1317" s="190">
        <f t="shared" si="163"/>
        <v>112.16</v>
      </c>
      <c r="P1317" s="191">
        <f t="shared" si="164"/>
        <v>0</v>
      </c>
      <c r="Q1317" s="192">
        <f t="shared" si="165"/>
        <v>0</v>
      </c>
      <c r="R1317" s="193"/>
      <c r="S1317" s="194"/>
      <c r="T1317" s="195">
        <f t="shared" si="166"/>
        <v>0</v>
      </c>
      <c r="U1317" s="195">
        <f t="shared" si="167"/>
        <v>0</v>
      </c>
      <c r="V1317" s="195">
        <f t="shared" si="168"/>
        <v>0</v>
      </c>
      <c r="W1317" s="196" t="e">
        <f t="shared" si="169"/>
        <v>#DIV/0!</v>
      </c>
      <c r="X1317" s="197" t="e">
        <f t="shared" si="170"/>
        <v>#DIV/0!</v>
      </c>
    </row>
    <row r="1318" ht="11.4" hidden="1" customHeight="1" spans="1:24">
      <c r="A1318" s="184" t="s">
        <v>3088</v>
      </c>
      <c r="B1318" s="184" t="s">
        <v>145</v>
      </c>
      <c r="C1318" s="184" t="s">
        <v>2074</v>
      </c>
      <c r="D1318" s="185" t="s">
        <v>700</v>
      </c>
      <c r="E1318" s="186" t="s">
        <v>2956</v>
      </c>
      <c r="F1318" s="186" t="s">
        <v>3036</v>
      </c>
      <c r="G1318" s="186" t="s">
        <v>3036</v>
      </c>
      <c r="H1318" s="186" t="s">
        <v>3089</v>
      </c>
      <c r="I1318" s="187" t="s">
        <v>2131</v>
      </c>
      <c r="J1318" s="187" t="s">
        <v>2132</v>
      </c>
      <c r="K1318" s="188"/>
      <c r="L1318" s="188"/>
      <c r="M1318" s="189" t="s">
        <v>1018</v>
      </c>
      <c r="N1318" s="190">
        <v>176.4</v>
      </c>
      <c r="O1318" s="190">
        <f t="shared" si="163"/>
        <v>192.28</v>
      </c>
      <c r="P1318" s="191">
        <f t="shared" si="164"/>
        <v>0</v>
      </c>
      <c r="Q1318" s="192">
        <f t="shared" si="165"/>
        <v>0</v>
      </c>
      <c r="R1318" s="193"/>
      <c r="S1318" s="194"/>
      <c r="T1318" s="195">
        <f t="shared" si="166"/>
        <v>0</v>
      </c>
      <c r="U1318" s="195">
        <f t="shared" si="167"/>
        <v>0</v>
      </c>
      <c r="V1318" s="195">
        <f t="shared" si="168"/>
        <v>0</v>
      </c>
      <c r="W1318" s="196" t="e">
        <f t="shared" si="169"/>
        <v>#DIV/0!</v>
      </c>
      <c r="X1318" s="197" t="e">
        <f t="shared" si="170"/>
        <v>#DIV/0!</v>
      </c>
    </row>
    <row r="1319" ht="11.4" hidden="1" customHeight="1" spans="1:24">
      <c r="A1319" s="184" t="s">
        <v>3088</v>
      </c>
      <c r="B1319" s="184" t="s">
        <v>145</v>
      </c>
      <c r="C1319" s="184" t="s">
        <v>2074</v>
      </c>
      <c r="D1319" s="185" t="s">
        <v>700</v>
      </c>
      <c r="E1319" s="186" t="s">
        <v>2956</v>
      </c>
      <c r="F1319" s="186" t="s">
        <v>3036</v>
      </c>
      <c r="G1319" s="186" t="s">
        <v>3036</v>
      </c>
      <c r="H1319" s="186" t="s">
        <v>3089</v>
      </c>
      <c r="I1319" s="187" t="s">
        <v>2103</v>
      </c>
      <c r="J1319" s="187" t="s">
        <v>2104</v>
      </c>
      <c r="K1319" s="188"/>
      <c r="L1319" s="188"/>
      <c r="M1319" s="189" t="s">
        <v>1018</v>
      </c>
      <c r="N1319" s="190">
        <v>261.15</v>
      </c>
      <c r="O1319" s="190">
        <f t="shared" si="163"/>
        <v>284.65</v>
      </c>
      <c r="P1319" s="191">
        <f t="shared" si="164"/>
        <v>0</v>
      </c>
      <c r="Q1319" s="192">
        <f t="shared" si="165"/>
        <v>0</v>
      </c>
      <c r="R1319" s="193"/>
      <c r="S1319" s="194"/>
      <c r="T1319" s="195">
        <f t="shared" si="166"/>
        <v>0</v>
      </c>
      <c r="U1319" s="195">
        <f t="shared" si="167"/>
        <v>0</v>
      </c>
      <c r="V1319" s="195">
        <f t="shared" si="168"/>
        <v>0</v>
      </c>
      <c r="W1319" s="196" t="e">
        <f t="shared" si="169"/>
        <v>#DIV/0!</v>
      </c>
      <c r="X1319" s="197" t="e">
        <f t="shared" si="170"/>
        <v>#DIV/0!</v>
      </c>
    </row>
    <row r="1320" ht="11.4" hidden="1" customHeight="1" spans="1:24">
      <c r="A1320" s="184" t="s">
        <v>3088</v>
      </c>
      <c r="B1320" s="184" t="s">
        <v>145</v>
      </c>
      <c r="C1320" s="184" t="s">
        <v>2074</v>
      </c>
      <c r="D1320" s="185" t="s">
        <v>700</v>
      </c>
      <c r="E1320" s="186" t="s">
        <v>2956</v>
      </c>
      <c r="F1320" s="186" t="s">
        <v>3036</v>
      </c>
      <c r="G1320" s="186" t="s">
        <v>3036</v>
      </c>
      <c r="H1320" s="186" t="s">
        <v>3089</v>
      </c>
      <c r="I1320" s="187" t="s">
        <v>2087</v>
      </c>
      <c r="J1320" s="187" t="s">
        <v>2088</v>
      </c>
      <c r="K1320" s="188"/>
      <c r="L1320" s="188"/>
      <c r="M1320" s="189" t="s">
        <v>1018</v>
      </c>
      <c r="N1320" s="190">
        <v>94.5</v>
      </c>
      <c r="O1320" s="190">
        <f t="shared" si="163"/>
        <v>103.01</v>
      </c>
      <c r="P1320" s="191">
        <f t="shared" si="164"/>
        <v>0</v>
      </c>
      <c r="Q1320" s="192">
        <f t="shared" si="165"/>
        <v>0</v>
      </c>
      <c r="R1320" s="193"/>
      <c r="S1320" s="194"/>
      <c r="T1320" s="195">
        <f t="shared" si="166"/>
        <v>0</v>
      </c>
      <c r="U1320" s="195">
        <f t="shared" si="167"/>
        <v>0</v>
      </c>
      <c r="V1320" s="195">
        <f t="shared" si="168"/>
        <v>0</v>
      </c>
      <c r="W1320" s="196" t="e">
        <f t="shared" si="169"/>
        <v>#DIV/0!</v>
      </c>
      <c r="X1320" s="197" t="e">
        <f t="shared" si="170"/>
        <v>#DIV/0!</v>
      </c>
    </row>
    <row r="1321" ht="11.4" hidden="1" customHeight="1" spans="1:24">
      <c r="A1321" s="184" t="s">
        <v>3088</v>
      </c>
      <c r="B1321" s="184" t="s">
        <v>145</v>
      </c>
      <c r="C1321" s="184" t="s">
        <v>2074</v>
      </c>
      <c r="D1321" s="185" t="s">
        <v>700</v>
      </c>
      <c r="E1321" s="186" t="s">
        <v>2956</v>
      </c>
      <c r="F1321" s="186" t="s">
        <v>3036</v>
      </c>
      <c r="G1321" s="186" t="s">
        <v>3036</v>
      </c>
      <c r="H1321" s="186" t="s">
        <v>3089</v>
      </c>
      <c r="I1321" s="187" t="s">
        <v>2144</v>
      </c>
      <c r="J1321" s="187" t="s">
        <v>2145</v>
      </c>
      <c r="K1321" s="188"/>
      <c r="L1321" s="188"/>
      <c r="M1321" s="189" t="s">
        <v>1018</v>
      </c>
      <c r="N1321" s="190">
        <v>111.3</v>
      </c>
      <c r="O1321" s="190">
        <f t="shared" si="163"/>
        <v>121.32</v>
      </c>
      <c r="P1321" s="191">
        <f t="shared" si="164"/>
        <v>0</v>
      </c>
      <c r="Q1321" s="192">
        <f t="shared" si="165"/>
        <v>0</v>
      </c>
      <c r="R1321" s="193"/>
      <c r="S1321" s="194"/>
      <c r="T1321" s="195">
        <f t="shared" si="166"/>
        <v>0</v>
      </c>
      <c r="U1321" s="195">
        <f t="shared" si="167"/>
        <v>0</v>
      </c>
      <c r="V1321" s="195">
        <f t="shared" si="168"/>
        <v>0</v>
      </c>
      <c r="W1321" s="196" t="e">
        <f t="shared" si="169"/>
        <v>#DIV/0!</v>
      </c>
      <c r="X1321" s="197" t="e">
        <f t="shared" si="170"/>
        <v>#DIV/0!</v>
      </c>
    </row>
    <row r="1322" ht="11.4" hidden="1" customHeight="1" spans="1:24">
      <c r="A1322" s="184" t="s">
        <v>3088</v>
      </c>
      <c r="B1322" s="184" t="s">
        <v>145</v>
      </c>
      <c r="C1322" s="184" t="s">
        <v>2074</v>
      </c>
      <c r="D1322" s="185" t="s">
        <v>700</v>
      </c>
      <c r="E1322" s="186" t="s">
        <v>2956</v>
      </c>
      <c r="F1322" s="186" t="s">
        <v>3036</v>
      </c>
      <c r="G1322" s="186" t="s">
        <v>3036</v>
      </c>
      <c r="H1322" s="186" t="s">
        <v>3089</v>
      </c>
      <c r="I1322" s="187" t="s">
        <v>2146</v>
      </c>
      <c r="J1322" s="187" t="s">
        <v>2147</v>
      </c>
      <c r="K1322" s="188"/>
      <c r="L1322" s="188"/>
      <c r="M1322" s="189" t="s">
        <v>1018</v>
      </c>
      <c r="N1322" s="190">
        <v>181.65</v>
      </c>
      <c r="O1322" s="190">
        <f t="shared" si="163"/>
        <v>198</v>
      </c>
      <c r="P1322" s="191">
        <f t="shared" si="164"/>
        <v>0</v>
      </c>
      <c r="Q1322" s="192">
        <f t="shared" si="165"/>
        <v>0</v>
      </c>
      <c r="R1322" s="193"/>
      <c r="S1322" s="194"/>
      <c r="T1322" s="195">
        <f t="shared" si="166"/>
        <v>0</v>
      </c>
      <c r="U1322" s="195">
        <f t="shared" si="167"/>
        <v>0</v>
      </c>
      <c r="V1322" s="195">
        <f t="shared" si="168"/>
        <v>0</v>
      </c>
      <c r="W1322" s="196" t="e">
        <f t="shared" si="169"/>
        <v>#DIV/0!</v>
      </c>
      <c r="X1322" s="197" t="e">
        <f t="shared" si="170"/>
        <v>#DIV/0!</v>
      </c>
    </row>
    <row r="1323" ht="11.4" hidden="1" customHeight="1" spans="1:24">
      <c r="A1323" s="184" t="s">
        <v>3088</v>
      </c>
      <c r="B1323" s="184" t="s">
        <v>145</v>
      </c>
      <c r="C1323" s="184" t="s">
        <v>2074</v>
      </c>
      <c r="D1323" s="185" t="s">
        <v>700</v>
      </c>
      <c r="E1323" s="186" t="s">
        <v>2956</v>
      </c>
      <c r="F1323" s="186" t="s">
        <v>3036</v>
      </c>
      <c r="G1323" s="186" t="s">
        <v>3036</v>
      </c>
      <c r="H1323" s="186" t="s">
        <v>3089</v>
      </c>
      <c r="I1323" s="187" t="s">
        <v>2148</v>
      </c>
      <c r="J1323" s="187" t="s">
        <v>2149</v>
      </c>
      <c r="K1323" s="188"/>
      <c r="L1323" s="188"/>
      <c r="M1323" s="189" t="s">
        <v>1018</v>
      </c>
      <c r="N1323" s="190">
        <v>198.45</v>
      </c>
      <c r="O1323" s="190">
        <f t="shared" si="163"/>
        <v>216.31</v>
      </c>
      <c r="P1323" s="191">
        <f t="shared" si="164"/>
        <v>0</v>
      </c>
      <c r="Q1323" s="192">
        <f t="shared" si="165"/>
        <v>0</v>
      </c>
      <c r="R1323" s="193"/>
      <c r="S1323" s="194"/>
      <c r="T1323" s="195">
        <f t="shared" si="166"/>
        <v>0</v>
      </c>
      <c r="U1323" s="195">
        <f t="shared" si="167"/>
        <v>0</v>
      </c>
      <c r="V1323" s="195">
        <f t="shared" si="168"/>
        <v>0</v>
      </c>
      <c r="W1323" s="196" t="e">
        <f t="shared" si="169"/>
        <v>#DIV/0!</v>
      </c>
      <c r="X1323" s="197" t="e">
        <f t="shared" si="170"/>
        <v>#DIV/0!</v>
      </c>
    </row>
    <row r="1324" ht="11.4" hidden="1" customHeight="1" spans="1:24">
      <c r="A1324" s="184" t="s">
        <v>3088</v>
      </c>
      <c r="B1324" s="184" t="s">
        <v>145</v>
      </c>
      <c r="C1324" s="184" t="s">
        <v>2074</v>
      </c>
      <c r="D1324" s="185" t="s">
        <v>700</v>
      </c>
      <c r="E1324" s="186" t="s">
        <v>2956</v>
      </c>
      <c r="F1324" s="186" t="s">
        <v>3036</v>
      </c>
      <c r="G1324" s="186" t="s">
        <v>3036</v>
      </c>
      <c r="H1324" s="186" t="s">
        <v>3089</v>
      </c>
      <c r="I1324" s="187" t="s">
        <v>2150</v>
      </c>
      <c r="J1324" s="187" t="s">
        <v>2151</v>
      </c>
      <c r="K1324" s="188"/>
      <c r="L1324" s="188"/>
      <c r="M1324" s="189" t="s">
        <v>1018</v>
      </c>
      <c r="N1324" s="190">
        <v>113.4</v>
      </c>
      <c r="O1324" s="190">
        <f t="shared" si="163"/>
        <v>123.61</v>
      </c>
      <c r="P1324" s="191">
        <f t="shared" si="164"/>
        <v>0</v>
      </c>
      <c r="Q1324" s="192">
        <f t="shared" si="165"/>
        <v>0</v>
      </c>
      <c r="R1324" s="193"/>
      <c r="S1324" s="194"/>
      <c r="T1324" s="195">
        <f t="shared" si="166"/>
        <v>0</v>
      </c>
      <c r="U1324" s="195">
        <f t="shared" si="167"/>
        <v>0</v>
      </c>
      <c r="V1324" s="195">
        <f t="shared" si="168"/>
        <v>0</v>
      </c>
      <c r="W1324" s="196" t="e">
        <f t="shared" si="169"/>
        <v>#DIV/0!</v>
      </c>
      <c r="X1324" s="197" t="e">
        <f t="shared" si="170"/>
        <v>#DIV/0!</v>
      </c>
    </row>
    <row r="1325" ht="11.4" hidden="1" customHeight="1" spans="1:24">
      <c r="A1325" s="184" t="s">
        <v>3088</v>
      </c>
      <c r="B1325" s="184" t="s">
        <v>145</v>
      </c>
      <c r="C1325" s="184" t="s">
        <v>2074</v>
      </c>
      <c r="D1325" s="185" t="s">
        <v>700</v>
      </c>
      <c r="E1325" s="186" t="s">
        <v>2956</v>
      </c>
      <c r="F1325" s="186" t="s">
        <v>3036</v>
      </c>
      <c r="G1325" s="186" t="s">
        <v>3036</v>
      </c>
      <c r="H1325" s="186" t="s">
        <v>3089</v>
      </c>
      <c r="I1325" s="187" t="s">
        <v>2152</v>
      </c>
      <c r="J1325" s="187" t="s">
        <v>2153</v>
      </c>
      <c r="K1325" s="188"/>
      <c r="L1325" s="188"/>
      <c r="M1325" s="189" t="s">
        <v>1018</v>
      </c>
      <c r="N1325" s="190">
        <v>152.56</v>
      </c>
      <c r="O1325" s="190">
        <f t="shared" si="163"/>
        <v>166.29</v>
      </c>
      <c r="P1325" s="191">
        <f t="shared" si="164"/>
        <v>0</v>
      </c>
      <c r="Q1325" s="192">
        <f t="shared" si="165"/>
        <v>0</v>
      </c>
      <c r="R1325" s="193"/>
      <c r="S1325" s="194"/>
      <c r="T1325" s="195">
        <f t="shared" si="166"/>
        <v>0</v>
      </c>
      <c r="U1325" s="195">
        <f t="shared" si="167"/>
        <v>0</v>
      </c>
      <c r="V1325" s="195">
        <f t="shared" si="168"/>
        <v>0</v>
      </c>
      <c r="W1325" s="196" t="e">
        <f t="shared" si="169"/>
        <v>#DIV/0!</v>
      </c>
      <c r="X1325" s="197" t="e">
        <f t="shared" si="170"/>
        <v>#DIV/0!</v>
      </c>
    </row>
    <row r="1326" ht="11.4" hidden="1" customHeight="1" spans="1:24">
      <c r="A1326" s="184" t="s">
        <v>3088</v>
      </c>
      <c r="B1326" s="184" t="s">
        <v>145</v>
      </c>
      <c r="C1326" s="184" t="s">
        <v>2074</v>
      </c>
      <c r="D1326" s="185" t="s">
        <v>700</v>
      </c>
      <c r="E1326" s="186" t="s">
        <v>2956</v>
      </c>
      <c r="F1326" s="186" t="s">
        <v>3036</v>
      </c>
      <c r="G1326" s="186" t="s">
        <v>3036</v>
      </c>
      <c r="H1326" s="186" t="s">
        <v>3089</v>
      </c>
      <c r="I1326" s="187" t="s">
        <v>2154</v>
      </c>
      <c r="J1326" s="187" t="s">
        <v>2155</v>
      </c>
      <c r="K1326" s="188"/>
      <c r="L1326" s="188"/>
      <c r="M1326" s="189" t="s">
        <v>1018</v>
      </c>
      <c r="N1326" s="190">
        <v>184.8</v>
      </c>
      <c r="O1326" s="190">
        <f t="shared" si="163"/>
        <v>201.43</v>
      </c>
      <c r="P1326" s="191">
        <f t="shared" si="164"/>
        <v>0</v>
      </c>
      <c r="Q1326" s="192">
        <f t="shared" si="165"/>
        <v>0</v>
      </c>
      <c r="R1326" s="193"/>
      <c r="S1326" s="194"/>
      <c r="T1326" s="195">
        <f t="shared" si="166"/>
        <v>0</v>
      </c>
      <c r="U1326" s="195">
        <f t="shared" si="167"/>
        <v>0</v>
      </c>
      <c r="V1326" s="195">
        <f t="shared" si="168"/>
        <v>0</v>
      </c>
      <c r="W1326" s="196" t="e">
        <f t="shared" si="169"/>
        <v>#DIV/0!</v>
      </c>
      <c r="X1326" s="197" t="e">
        <f t="shared" si="170"/>
        <v>#DIV/0!</v>
      </c>
    </row>
    <row r="1327" ht="11.4" hidden="1" customHeight="1" spans="1:24">
      <c r="A1327" s="184" t="s">
        <v>3088</v>
      </c>
      <c r="B1327" s="184" t="s">
        <v>145</v>
      </c>
      <c r="C1327" s="184" t="s">
        <v>2074</v>
      </c>
      <c r="D1327" s="185" t="s">
        <v>700</v>
      </c>
      <c r="E1327" s="186" t="s">
        <v>2956</v>
      </c>
      <c r="F1327" s="186" t="s">
        <v>3036</v>
      </c>
      <c r="G1327" s="186" t="s">
        <v>3036</v>
      </c>
      <c r="H1327" s="186" t="s">
        <v>3089</v>
      </c>
      <c r="I1327" s="187" t="s">
        <v>2156</v>
      </c>
      <c r="J1327" s="187" t="s">
        <v>2157</v>
      </c>
      <c r="K1327" s="188"/>
      <c r="L1327" s="188"/>
      <c r="M1327" s="189" t="s">
        <v>1018</v>
      </c>
      <c r="N1327" s="190">
        <v>89.25</v>
      </c>
      <c r="O1327" s="190">
        <f t="shared" si="163"/>
        <v>97.28</v>
      </c>
      <c r="P1327" s="191">
        <f t="shared" si="164"/>
        <v>0</v>
      </c>
      <c r="Q1327" s="192">
        <f t="shared" si="165"/>
        <v>0</v>
      </c>
      <c r="R1327" s="193"/>
      <c r="S1327" s="194"/>
      <c r="T1327" s="195">
        <f t="shared" si="166"/>
        <v>0</v>
      </c>
      <c r="U1327" s="195">
        <f t="shared" si="167"/>
        <v>0</v>
      </c>
      <c r="V1327" s="195">
        <f t="shared" si="168"/>
        <v>0</v>
      </c>
      <c r="W1327" s="196" t="e">
        <f t="shared" si="169"/>
        <v>#DIV/0!</v>
      </c>
      <c r="X1327" s="197" t="e">
        <f t="shared" si="170"/>
        <v>#DIV/0!</v>
      </c>
    </row>
    <row r="1328" ht="11.4" hidden="1" customHeight="1" spans="1:24">
      <c r="A1328" s="184" t="s">
        <v>3088</v>
      </c>
      <c r="B1328" s="184" t="s">
        <v>145</v>
      </c>
      <c r="C1328" s="184" t="s">
        <v>2074</v>
      </c>
      <c r="D1328" s="185" t="s">
        <v>700</v>
      </c>
      <c r="E1328" s="186" t="s">
        <v>2956</v>
      </c>
      <c r="F1328" s="186" t="s">
        <v>3036</v>
      </c>
      <c r="G1328" s="186" t="s">
        <v>3036</v>
      </c>
      <c r="H1328" s="186" t="s">
        <v>3089</v>
      </c>
      <c r="I1328" s="187" t="s">
        <v>2184</v>
      </c>
      <c r="J1328" s="187" t="s">
        <v>2185</v>
      </c>
      <c r="K1328" s="188"/>
      <c r="L1328" s="188"/>
      <c r="M1328" s="189" t="s">
        <v>1018</v>
      </c>
      <c r="N1328" s="190">
        <v>105</v>
      </c>
      <c r="O1328" s="190">
        <f t="shared" si="163"/>
        <v>114.45</v>
      </c>
      <c r="P1328" s="191">
        <f t="shared" si="164"/>
        <v>0</v>
      </c>
      <c r="Q1328" s="192">
        <f t="shared" si="165"/>
        <v>0</v>
      </c>
      <c r="R1328" s="193"/>
      <c r="S1328" s="194"/>
      <c r="T1328" s="195">
        <f t="shared" si="166"/>
        <v>0</v>
      </c>
      <c r="U1328" s="195">
        <f t="shared" si="167"/>
        <v>0</v>
      </c>
      <c r="V1328" s="195">
        <f t="shared" si="168"/>
        <v>0</v>
      </c>
      <c r="W1328" s="196" t="e">
        <f t="shared" si="169"/>
        <v>#DIV/0!</v>
      </c>
      <c r="X1328" s="197" t="e">
        <f t="shared" si="170"/>
        <v>#DIV/0!</v>
      </c>
    </row>
    <row r="1329" ht="11.4" hidden="1" customHeight="1" spans="1:24">
      <c r="A1329" s="184" t="s">
        <v>3088</v>
      </c>
      <c r="B1329" s="184" t="s">
        <v>145</v>
      </c>
      <c r="C1329" s="184" t="s">
        <v>2074</v>
      </c>
      <c r="D1329" s="185" t="s">
        <v>700</v>
      </c>
      <c r="E1329" s="186" t="s">
        <v>2956</v>
      </c>
      <c r="F1329" s="186" t="s">
        <v>3036</v>
      </c>
      <c r="G1329" s="186" t="s">
        <v>3036</v>
      </c>
      <c r="H1329" s="186" t="s">
        <v>3089</v>
      </c>
      <c r="I1329" s="187" t="s">
        <v>2186</v>
      </c>
      <c r="J1329" s="187" t="s">
        <v>2187</v>
      </c>
      <c r="K1329" s="188"/>
      <c r="L1329" s="188"/>
      <c r="M1329" s="189" t="s">
        <v>1018</v>
      </c>
      <c r="N1329" s="190">
        <v>141.75</v>
      </c>
      <c r="O1329" s="190">
        <f t="shared" si="163"/>
        <v>154.51</v>
      </c>
      <c r="P1329" s="191">
        <f t="shared" si="164"/>
        <v>0</v>
      </c>
      <c r="Q1329" s="192">
        <f t="shared" si="165"/>
        <v>0</v>
      </c>
      <c r="R1329" s="193"/>
      <c r="S1329" s="194"/>
      <c r="T1329" s="195">
        <f t="shared" si="166"/>
        <v>0</v>
      </c>
      <c r="U1329" s="195">
        <f t="shared" si="167"/>
        <v>0</v>
      </c>
      <c r="V1329" s="195">
        <f t="shared" si="168"/>
        <v>0</v>
      </c>
      <c r="W1329" s="196" t="e">
        <f t="shared" si="169"/>
        <v>#DIV/0!</v>
      </c>
      <c r="X1329" s="197" t="e">
        <f t="shared" si="170"/>
        <v>#DIV/0!</v>
      </c>
    </row>
    <row r="1330" ht="11.4" hidden="1" customHeight="1" spans="1:24">
      <c r="A1330" s="184" t="s">
        <v>3088</v>
      </c>
      <c r="B1330" s="184" t="s">
        <v>145</v>
      </c>
      <c r="C1330" s="184" t="s">
        <v>2074</v>
      </c>
      <c r="D1330" s="185" t="s">
        <v>700</v>
      </c>
      <c r="E1330" s="186" t="s">
        <v>2956</v>
      </c>
      <c r="F1330" s="186" t="s">
        <v>3036</v>
      </c>
      <c r="G1330" s="186" t="s">
        <v>3036</v>
      </c>
      <c r="H1330" s="186" t="s">
        <v>3089</v>
      </c>
      <c r="I1330" s="187" t="s">
        <v>2158</v>
      </c>
      <c r="J1330" s="187" t="s">
        <v>2159</v>
      </c>
      <c r="K1330" s="188"/>
      <c r="L1330" s="188"/>
      <c r="M1330" s="189" t="s">
        <v>1018</v>
      </c>
      <c r="N1330" s="190">
        <v>159.74</v>
      </c>
      <c r="O1330" s="190">
        <f t="shared" si="163"/>
        <v>174.12</v>
      </c>
      <c r="P1330" s="191">
        <f t="shared" si="164"/>
        <v>0</v>
      </c>
      <c r="Q1330" s="192">
        <f t="shared" si="165"/>
        <v>0</v>
      </c>
      <c r="R1330" s="193"/>
      <c r="S1330" s="194"/>
      <c r="T1330" s="195">
        <f t="shared" si="166"/>
        <v>0</v>
      </c>
      <c r="U1330" s="195">
        <f t="shared" si="167"/>
        <v>0</v>
      </c>
      <c r="V1330" s="195">
        <f t="shared" si="168"/>
        <v>0</v>
      </c>
      <c r="W1330" s="196" t="e">
        <f t="shared" si="169"/>
        <v>#DIV/0!</v>
      </c>
      <c r="X1330" s="197" t="e">
        <f t="shared" si="170"/>
        <v>#DIV/0!</v>
      </c>
    </row>
    <row r="1331" ht="11.4" hidden="1" customHeight="1" spans="1:24">
      <c r="A1331" s="184" t="s">
        <v>3088</v>
      </c>
      <c r="B1331" s="184" t="s">
        <v>145</v>
      </c>
      <c r="C1331" s="184" t="s">
        <v>2074</v>
      </c>
      <c r="D1331" s="185" t="s">
        <v>700</v>
      </c>
      <c r="E1331" s="186" t="s">
        <v>2956</v>
      </c>
      <c r="F1331" s="186" t="s">
        <v>3036</v>
      </c>
      <c r="G1331" s="186" t="s">
        <v>3036</v>
      </c>
      <c r="H1331" s="186" t="s">
        <v>3089</v>
      </c>
      <c r="I1331" s="187" t="s">
        <v>2142</v>
      </c>
      <c r="J1331" s="187" t="s">
        <v>2143</v>
      </c>
      <c r="K1331" s="188"/>
      <c r="L1331" s="188"/>
      <c r="M1331" s="189" t="s">
        <v>1018</v>
      </c>
      <c r="N1331" s="190">
        <v>92.4</v>
      </c>
      <c r="O1331" s="190">
        <f t="shared" si="163"/>
        <v>100.72</v>
      </c>
      <c r="P1331" s="191">
        <f t="shared" si="164"/>
        <v>0</v>
      </c>
      <c r="Q1331" s="192">
        <f t="shared" si="165"/>
        <v>0</v>
      </c>
      <c r="R1331" s="193"/>
      <c r="S1331" s="194"/>
      <c r="T1331" s="195">
        <f t="shared" si="166"/>
        <v>0</v>
      </c>
      <c r="U1331" s="195">
        <f t="shared" si="167"/>
        <v>0</v>
      </c>
      <c r="V1331" s="195">
        <f t="shared" si="168"/>
        <v>0</v>
      </c>
      <c r="W1331" s="196" t="e">
        <f t="shared" si="169"/>
        <v>#DIV/0!</v>
      </c>
      <c r="X1331" s="197" t="e">
        <f t="shared" si="170"/>
        <v>#DIV/0!</v>
      </c>
    </row>
    <row r="1332" ht="11.4" hidden="1" customHeight="1" spans="1:24">
      <c r="A1332" s="184" t="s">
        <v>3088</v>
      </c>
      <c r="B1332" s="184" t="s">
        <v>145</v>
      </c>
      <c r="C1332" s="184" t="s">
        <v>2074</v>
      </c>
      <c r="D1332" s="185" t="s">
        <v>700</v>
      </c>
      <c r="E1332" s="186" t="s">
        <v>2956</v>
      </c>
      <c r="F1332" s="186" t="s">
        <v>3036</v>
      </c>
      <c r="G1332" s="186" t="s">
        <v>3036</v>
      </c>
      <c r="H1332" s="186" t="s">
        <v>3089</v>
      </c>
      <c r="I1332" s="187" t="s">
        <v>2198</v>
      </c>
      <c r="J1332" s="187" t="s">
        <v>2199</v>
      </c>
      <c r="K1332" s="188"/>
      <c r="L1332" s="188"/>
      <c r="M1332" s="189" t="s">
        <v>1018</v>
      </c>
      <c r="N1332" s="190">
        <v>110.25</v>
      </c>
      <c r="O1332" s="190">
        <f t="shared" si="163"/>
        <v>120.17</v>
      </c>
      <c r="P1332" s="191">
        <f t="shared" si="164"/>
        <v>0</v>
      </c>
      <c r="Q1332" s="192">
        <f t="shared" si="165"/>
        <v>0</v>
      </c>
      <c r="R1332" s="193"/>
      <c r="S1332" s="194"/>
      <c r="T1332" s="195">
        <f t="shared" si="166"/>
        <v>0</v>
      </c>
      <c r="U1332" s="195">
        <f t="shared" si="167"/>
        <v>0</v>
      </c>
      <c r="V1332" s="195">
        <f t="shared" si="168"/>
        <v>0</v>
      </c>
      <c r="W1332" s="196" t="e">
        <f t="shared" si="169"/>
        <v>#DIV/0!</v>
      </c>
      <c r="X1332" s="197" t="e">
        <f t="shared" si="170"/>
        <v>#DIV/0!</v>
      </c>
    </row>
    <row r="1333" ht="11.4" hidden="1" customHeight="1" spans="1:24">
      <c r="A1333" s="184" t="s">
        <v>3088</v>
      </c>
      <c r="B1333" s="184" t="s">
        <v>145</v>
      </c>
      <c r="C1333" s="184" t="s">
        <v>2074</v>
      </c>
      <c r="D1333" s="185" t="s">
        <v>700</v>
      </c>
      <c r="E1333" s="186" t="s">
        <v>2956</v>
      </c>
      <c r="F1333" s="186" t="s">
        <v>3036</v>
      </c>
      <c r="G1333" s="186" t="s">
        <v>3036</v>
      </c>
      <c r="H1333" s="186" t="s">
        <v>3089</v>
      </c>
      <c r="I1333" s="187" t="s">
        <v>2200</v>
      </c>
      <c r="J1333" s="187" t="s">
        <v>2201</v>
      </c>
      <c r="K1333" s="188"/>
      <c r="L1333" s="188"/>
      <c r="M1333" s="189" t="s">
        <v>1018</v>
      </c>
      <c r="N1333" s="190">
        <v>178.5</v>
      </c>
      <c r="O1333" s="190">
        <f t="shared" si="163"/>
        <v>194.57</v>
      </c>
      <c r="P1333" s="191">
        <f t="shared" si="164"/>
        <v>0</v>
      </c>
      <c r="Q1333" s="192">
        <f t="shared" si="165"/>
        <v>0</v>
      </c>
      <c r="R1333" s="193"/>
      <c r="S1333" s="194"/>
      <c r="T1333" s="195">
        <f t="shared" si="166"/>
        <v>0</v>
      </c>
      <c r="U1333" s="195">
        <f t="shared" si="167"/>
        <v>0</v>
      </c>
      <c r="V1333" s="195">
        <f t="shared" si="168"/>
        <v>0</v>
      </c>
      <c r="W1333" s="196" t="e">
        <f t="shared" si="169"/>
        <v>#DIV/0!</v>
      </c>
      <c r="X1333" s="197" t="e">
        <f t="shared" si="170"/>
        <v>#DIV/0!</v>
      </c>
    </row>
    <row r="1334" ht="11.4" hidden="1" customHeight="1" spans="1:24">
      <c r="A1334" s="184" t="s">
        <v>3088</v>
      </c>
      <c r="B1334" s="184" t="s">
        <v>145</v>
      </c>
      <c r="C1334" s="184" t="s">
        <v>2074</v>
      </c>
      <c r="D1334" s="185" t="s">
        <v>700</v>
      </c>
      <c r="E1334" s="186" t="s">
        <v>2956</v>
      </c>
      <c r="F1334" s="186" t="s">
        <v>3036</v>
      </c>
      <c r="G1334" s="186" t="s">
        <v>3036</v>
      </c>
      <c r="H1334" s="186" t="s">
        <v>3089</v>
      </c>
      <c r="I1334" s="187" t="s">
        <v>2202</v>
      </c>
      <c r="J1334" s="187" t="s">
        <v>2203</v>
      </c>
      <c r="K1334" s="188"/>
      <c r="L1334" s="188"/>
      <c r="M1334" s="189" t="s">
        <v>1018</v>
      </c>
      <c r="N1334" s="190">
        <v>147</v>
      </c>
      <c r="O1334" s="190">
        <f t="shared" si="163"/>
        <v>160.23</v>
      </c>
      <c r="P1334" s="191">
        <f t="shared" si="164"/>
        <v>0</v>
      </c>
      <c r="Q1334" s="192">
        <f t="shared" si="165"/>
        <v>0</v>
      </c>
      <c r="R1334" s="193"/>
      <c r="S1334" s="194"/>
      <c r="T1334" s="195">
        <f t="shared" si="166"/>
        <v>0</v>
      </c>
      <c r="U1334" s="195">
        <f t="shared" si="167"/>
        <v>0</v>
      </c>
      <c r="V1334" s="195">
        <f t="shared" si="168"/>
        <v>0</v>
      </c>
      <c r="W1334" s="196" t="e">
        <f t="shared" si="169"/>
        <v>#DIV/0!</v>
      </c>
      <c r="X1334" s="197" t="e">
        <f t="shared" si="170"/>
        <v>#DIV/0!</v>
      </c>
    </row>
    <row r="1335" ht="11.4" hidden="1" customHeight="1" spans="1:24">
      <c r="A1335" s="184" t="s">
        <v>3088</v>
      </c>
      <c r="B1335" s="184" t="s">
        <v>145</v>
      </c>
      <c r="C1335" s="184" t="s">
        <v>2074</v>
      </c>
      <c r="D1335" s="185" t="s">
        <v>700</v>
      </c>
      <c r="E1335" s="186" t="s">
        <v>2956</v>
      </c>
      <c r="F1335" s="186" t="s">
        <v>3036</v>
      </c>
      <c r="G1335" s="186" t="s">
        <v>3036</v>
      </c>
      <c r="H1335" s="186" t="s">
        <v>3089</v>
      </c>
      <c r="I1335" s="187" t="s">
        <v>2204</v>
      </c>
      <c r="J1335" s="187" t="s">
        <v>2205</v>
      </c>
      <c r="K1335" s="188"/>
      <c r="L1335" s="188"/>
      <c r="M1335" s="189" t="s">
        <v>1018</v>
      </c>
      <c r="N1335" s="190">
        <v>105</v>
      </c>
      <c r="O1335" s="190">
        <f t="shared" si="163"/>
        <v>114.45</v>
      </c>
      <c r="P1335" s="191">
        <f t="shared" si="164"/>
        <v>0</v>
      </c>
      <c r="Q1335" s="192">
        <f t="shared" si="165"/>
        <v>0</v>
      </c>
      <c r="R1335" s="193"/>
      <c r="S1335" s="194"/>
      <c r="T1335" s="195">
        <f t="shared" si="166"/>
        <v>0</v>
      </c>
      <c r="U1335" s="195">
        <f t="shared" si="167"/>
        <v>0</v>
      </c>
      <c r="V1335" s="195">
        <f t="shared" si="168"/>
        <v>0</v>
      </c>
      <c r="W1335" s="196" t="e">
        <f t="shared" si="169"/>
        <v>#DIV/0!</v>
      </c>
      <c r="X1335" s="197" t="e">
        <f t="shared" si="170"/>
        <v>#DIV/0!</v>
      </c>
    </row>
    <row r="1336" ht="11.4" hidden="1" customHeight="1" spans="1:24">
      <c r="A1336" s="184" t="s">
        <v>3088</v>
      </c>
      <c r="B1336" s="184" t="s">
        <v>145</v>
      </c>
      <c r="C1336" s="184" t="s">
        <v>2074</v>
      </c>
      <c r="D1336" s="185" t="s">
        <v>700</v>
      </c>
      <c r="E1336" s="186" t="s">
        <v>2956</v>
      </c>
      <c r="F1336" s="186" t="s">
        <v>3036</v>
      </c>
      <c r="G1336" s="186" t="s">
        <v>3036</v>
      </c>
      <c r="H1336" s="186" t="s">
        <v>3089</v>
      </c>
      <c r="I1336" s="187" t="s">
        <v>2206</v>
      </c>
      <c r="J1336" s="187" t="s">
        <v>2207</v>
      </c>
      <c r="K1336" s="188"/>
      <c r="L1336" s="188"/>
      <c r="M1336" s="189" t="s">
        <v>1018</v>
      </c>
      <c r="N1336" s="190">
        <v>126</v>
      </c>
      <c r="O1336" s="190">
        <f t="shared" si="163"/>
        <v>137.34</v>
      </c>
      <c r="P1336" s="191">
        <f t="shared" si="164"/>
        <v>0</v>
      </c>
      <c r="Q1336" s="192">
        <f t="shared" si="165"/>
        <v>0</v>
      </c>
      <c r="R1336" s="193"/>
      <c r="S1336" s="194"/>
      <c r="T1336" s="195">
        <f t="shared" si="166"/>
        <v>0</v>
      </c>
      <c r="U1336" s="195">
        <f t="shared" si="167"/>
        <v>0</v>
      </c>
      <c r="V1336" s="195">
        <f t="shared" si="168"/>
        <v>0</v>
      </c>
      <c r="W1336" s="196" t="e">
        <f t="shared" si="169"/>
        <v>#DIV/0!</v>
      </c>
      <c r="X1336" s="197" t="e">
        <f t="shared" si="170"/>
        <v>#DIV/0!</v>
      </c>
    </row>
    <row r="1337" ht="11.4" hidden="1" customHeight="1" spans="1:24">
      <c r="A1337" s="184" t="s">
        <v>3088</v>
      </c>
      <c r="B1337" s="184" t="s">
        <v>145</v>
      </c>
      <c r="C1337" s="184" t="s">
        <v>2074</v>
      </c>
      <c r="D1337" s="185" t="s">
        <v>700</v>
      </c>
      <c r="E1337" s="186" t="s">
        <v>2956</v>
      </c>
      <c r="F1337" s="186" t="s">
        <v>3036</v>
      </c>
      <c r="G1337" s="186" t="s">
        <v>3036</v>
      </c>
      <c r="H1337" s="186" t="s">
        <v>3089</v>
      </c>
      <c r="I1337" s="187" t="s">
        <v>2208</v>
      </c>
      <c r="J1337" s="187" t="s">
        <v>2209</v>
      </c>
      <c r="K1337" s="188"/>
      <c r="L1337" s="188"/>
      <c r="M1337" s="189" t="s">
        <v>1018</v>
      </c>
      <c r="N1337" s="190">
        <v>204.75</v>
      </c>
      <c r="O1337" s="190">
        <f t="shared" si="163"/>
        <v>223.18</v>
      </c>
      <c r="P1337" s="191">
        <f t="shared" si="164"/>
        <v>0</v>
      </c>
      <c r="Q1337" s="192">
        <f t="shared" si="165"/>
        <v>0</v>
      </c>
      <c r="R1337" s="193"/>
      <c r="S1337" s="194"/>
      <c r="T1337" s="195">
        <f t="shared" si="166"/>
        <v>0</v>
      </c>
      <c r="U1337" s="195">
        <f t="shared" si="167"/>
        <v>0</v>
      </c>
      <c r="V1337" s="195">
        <f t="shared" si="168"/>
        <v>0</v>
      </c>
      <c r="W1337" s="196" t="e">
        <f t="shared" si="169"/>
        <v>#DIV/0!</v>
      </c>
      <c r="X1337" s="197" t="e">
        <f t="shared" si="170"/>
        <v>#DIV/0!</v>
      </c>
    </row>
    <row r="1338" ht="11.4" hidden="1" customHeight="1" spans="1:24">
      <c r="A1338" s="184" t="s">
        <v>3088</v>
      </c>
      <c r="B1338" s="184" t="s">
        <v>145</v>
      </c>
      <c r="C1338" s="184" t="s">
        <v>2074</v>
      </c>
      <c r="D1338" s="185" t="s">
        <v>700</v>
      </c>
      <c r="E1338" s="186" t="s">
        <v>2956</v>
      </c>
      <c r="F1338" s="186" t="s">
        <v>3036</v>
      </c>
      <c r="G1338" s="186" t="s">
        <v>3036</v>
      </c>
      <c r="H1338" s="186" t="s">
        <v>3089</v>
      </c>
      <c r="I1338" s="187" t="s">
        <v>2234</v>
      </c>
      <c r="J1338" s="187" t="s">
        <v>2235</v>
      </c>
      <c r="K1338" s="188"/>
      <c r="L1338" s="188"/>
      <c r="M1338" s="189" t="s">
        <v>1018</v>
      </c>
      <c r="N1338" s="190">
        <v>131.25</v>
      </c>
      <c r="O1338" s="190">
        <f t="shared" si="163"/>
        <v>143.06</v>
      </c>
      <c r="P1338" s="191">
        <f t="shared" si="164"/>
        <v>0</v>
      </c>
      <c r="Q1338" s="192">
        <f t="shared" si="165"/>
        <v>0</v>
      </c>
      <c r="R1338" s="193"/>
      <c r="S1338" s="194"/>
      <c r="T1338" s="195">
        <f t="shared" si="166"/>
        <v>0</v>
      </c>
      <c r="U1338" s="195">
        <f t="shared" si="167"/>
        <v>0</v>
      </c>
      <c r="V1338" s="195">
        <f t="shared" si="168"/>
        <v>0</v>
      </c>
      <c r="W1338" s="196" t="e">
        <f t="shared" si="169"/>
        <v>#DIV/0!</v>
      </c>
      <c r="X1338" s="197" t="e">
        <f t="shared" si="170"/>
        <v>#DIV/0!</v>
      </c>
    </row>
    <row r="1339" ht="11.4" hidden="1" customHeight="1" spans="1:24">
      <c r="A1339" s="184" t="s">
        <v>3088</v>
      </c>
      <c r="B1339" s="184" t="s">
        <v>145</v>
      </c>
      <c r="C1339" s="184" t="s">
        <v>2074</v>
      </c>
      <c r="D1339" s="185" t="s">
        <v>700</v>
      </c>
      <c r="E1339" s="186" t="s">
        <v>2956</v>
      </c>
      <c r="F1339" s="186" t="s">
        <v>3036</v>
      </c>
      <c r="G1339" s="186" t="s">
        <v>3036</v>
      </c>
      <c r="H1339" s="186" t="s">
        <v>3089</v>
      </c>
      <c r="I1339" s="187" t="s">
        <v>2236</v>
      </c>
      <c r="J1339" s="187" t="s">
        <v>2237</v>
      </c>
      <c r="K1339" s="188"/>
      <c r="L1339" s="188"/>
      <c r="M1339" s="189" t="s">
        <v>1018</v>
      </c>
      <c r="N1339" s="190">
        <v>120.75</v>
      </c>
      <c r="O1339" s="190">
        <f t="shared" si="163"/>
        <v>131.62</v>
      </c>
      <c r="P1339" s="191">
        <f t="shared" si="164"/>
        <v>0</v>
      </c>
      <c r="Q1339" s="192">
        <f t="shared" si="165"/>
        <v>0</v>
      </c>
      <c r="R1339" s="193"/>
      <c r="S1339" s="194"/>
      <c r="T1339" s="195">
        <f t="shared" si="166"/>
        <v>0</v>
      </c>
      <c r="U1339" s="195">
        <f t="shared" si="167"/>
        <v>0</v>
      </c>
      <c r="V1339" s="195">
        <f t="shared" si="168"/>
        <v>0</v>
      </c>
      <c r="W1339" s="196" t="e">
        <f t="shared" si="169"/>
        <v>#DIV/0!</v>
      </c>
      <c r="X1339" s="197" t="e">
        <f t="shared" si="170"/>
        <v>#DIV/0!</v>
      </c>
    </row>
    <row r="1340" ht="11.4" hidden="1" customHeight="1" spans="1:24">
      <c r="A1340" s="184" t="s">
        <v>3088</v>
      </c>
      <c r="B1340" s="184" t="s">
        <v>145</v>
      </c>
      <c r="C1340" s="184" t="s">
        <v>2074</v>
      </c>
      <c r="D1340" s="185" t="s">
        <v>700</v>
      </c>
      <c r="E1340" s="186" t="s">
        <v>2956</v>
      </c>
      <c r="F1340" s="186" t="s">
        <v>3036</v>
      </c>
      <c r="G1340" s="186" t="s">
        <v>3036</v>
      </c>
      <c r="H1340" s="186" t="s">
        <v>3089</v>
      </c>
      <c r="I1340" s="187" t="s">
        <v>2196</v>
      </c>
      <c r="J1340" s="187" t="s">
        <v>2197</v>
      </c>
      <c r="K1340" s="188"/>
      <c r="L1340" s="188"/>
      <c r="M1340" s="189" t="s">
        <v>1018</v>
      </c>
      <c r="N1340" s="190">
        <v>68.25</v>
      </c>
      <c r="O1340" s="190">
        <f t="shared" si="163"/>
        <v>74.39</v>
      </c>
      <c r="P1340" s="191">
        <f t="shared" si="164"/>
        <v>0</v>
      </c>
      <c r="Q1340" s="192">
        <f t="shared" si="165"/>
        <v>0</v>
      </c>
      <c r="R1340" s="193"/>
      <c r="S1340" s="194"/>
      <c r="T1340" s="195">
        <f t="shared" si="166"/>
        <v>0</v>
      </c>
      <c r="U1340" s="195">
        <f t="shared" si="167"/>
        <v>0</v>
      </c>
      <c r="V1340" s="195">
        <f t="shared" si="168"/>
        <v>0</v>
      </c>
      <c r="W1340" s="196" t="e">
        <f t="shared" si="169"/>
        <v>#DIV/0!</v>
      </c>
      <c r="X1340" s="197" t="e">
        <f t="shared" si="170"/>
        <v>#DIV/0!</v>
      </c>
    </row>
    <row r="1341" ht="11.4" hidden="1" customHeight="1" spans="1:24">
      <c r="A1341" s="184" t="s">
        <v>3088</v>
      </c>
      <c r="B1341" s="184" t="s">
        <v>145</v>
      </c>
      <c r="C1341" s="184" t="s">
        <v>2074</v>
      </c>
      <c r="D1341" s="185" t="s">
        <v>700</v>
      </c>
      <c r="E1341" s="186" t="s">
        <v>2956</v>
      </c>
      <c r="F1341" s="186" t="s">
        <v>3036</v>
      </c>
      <c r="G1341" s="186" t="s">
        <v>3036</v>
      </c>
      <c r="H1341" s="186" t="s">
        <v>3089</v>
      </c>
      <c r="I1341" s="187" t="s">
        <v>2079</v>
      </c>
      <c r="J1341" s="187" t="s">
        <v>2080</v>
      </c>
      <c r="K1341" s="188"/>
      <c r="L1341" s="188"/>
      <c r="M1341" s="189" t="s">
        <v>1018</v>
      </c>
      <c r="N1341" s="190">
        <v>63</v>
      </c>
      <c r="O1341" s="190">
        <f t="shared" si="163"/>
        <v>68.67</v>
      </c>
      <c r="P1341" s="191">
        <f t="shared" si="164"/>
        <v>0</v>
      </c>
      <c r="Q1341" s="192">
        <f t="shared" si="165"/>
        <v>0</v>
      </c>
      <c r="R1341" s="193"/>
      <c r="S1341" s="194"/>
      <c r="T1341" s="195">
        <f t="shared" si="166"/>
        <v>0</v>
      </c>
      <c r="U1341" s="195">
        <f t="shared" si="167"/>
        <v>0</v>
      </c>
      <c r="V1341" s="195">
        <f t="shared" si="168"/>
        <v>0</v>
      </c>
      <c r="W1341" s="196" t="e">
        <f t="shared" si="169"/>
        <v>#DIV/0!</v>
      </c>
      <c r="X1341" s="197" t="e">
        <f t="shared" si="170"/>
        <v>#DIV/0!</v>
      </c>
    </row>
    <row r="1342" ht="11.4" hidden="1" customHeight="1" spans="1:24">
      <c r="A1342" s="184" t="s">
        <v>3090</v>
      </c>
      <c r="B1342" s="184" t="s">
        <v>149</v>
      </c>
      <c r="C1342" s="184" t="s">
        <v>2263</v>
      </c>
      <c r="D1342" s="185" t="s">
        <v>700</v>
      </c>
      <c r="E1342" s="186" t="s">
        <v>2956</v>
      </c>
      <c r="F1342" s="186" t="s">
        <v>3036</v>
      </c>
      <c r="G1342" s="186" t="s">
        <v>3036</v>
      </c>
      <c r="H1342" s="186" t="s">
        <v>3091</v>
      </c>
      <c r="I1342" s="187" t="s">
        <v>2274</v>
      </c>
      <c r="J1342" s="187" t="s">
        <v>2275</v>
      </c>
      <c r="K1342" s="188"/>
      <c r="L1342" s="188"/>
      <c r="M1342" s="189" t="s">
        <v>807</v>
      </c>
      <c r="N1342" s="190">
        <v>52.58</v>
      </c>
      <c r="O1342" s="190">
        <f t="shared" si="163"/>
        <v>57.31</v>
      </c>
      <c r="P1342" s="191">
        <f t="shared" si="164"/>
        <v>0</v>
      </c>
      <c r="Q1342" s="192">
        <f t="shared" si="165"/>
        <v>0</v>
      </c>
      <c r="R1342" s="193"/>
      <c r="S1342" s="194"/>
      <c r="T1342" s="195">
        <f t="shared" si="166"/>
        <v>0</v>
      </c>
      <c r="U1342" s="195">
        <f t="shared" si="167"/>
        <v>0</v>
      </c>
      <c r="V1342" s="195">
        <f t="shared" si="168"/>
        <v>0</v>
      </c>
      <c r="W1342" s="196" t="e">
        <f t="shared" si="169"/>
        <v>#DIV/0!</v>
      </c>
      <c r="X1342" s="197" t="e">
        <f t="shared" si="170"/>
        <v>#DIV/0!</v>
      </c>
    </row>
    <row r="1343" ht="11.4" hidden="1" customHeight="1" spans="1:24">
      <c r="A1343" s="184" t="s">
        <v>3090</v>
      </c>
      <c r="B1343" s="184" t="s">
        <v>149</v>
      </c>
      <c r="C1343" s="184" t="s">
        <v>2263</v>
      </c>
      <c r="D1343" s="185" t="s">
        <v>700</v>
      </c>
      <c r="E1343" s="186" t="s">
        <v>2956</v>
      </c>
      <c r="F1343" s="186" t="s">
        <v>3036</v>
      </c>
      <c r="G1343" s="186" t="s">
        <v>3036</v>
      </c>
      <c r="H1343" s="186" t="s">
        <v>3091</v>
      </c>
      <c r="I1343" s="187" t="s">
        <v>2276</v>
      </c>
      <c r="J1343" s="187" t="s">
        <v>2277</v>
      </c>
      <c r="K1343" s="188"/>
      <c r="L1343" s="188"/>
      <c r="M1343" s="189" t="s">
        <v>807</v>
      </c>
      <c r="N1343" s="190">
        <v>43.34</v>
      </c>
      <c r="O1343" s="190">
        <f t="shared" si="163"/>
        <v>47.24</v>
      </c>
      <c r="P1343" s="191">
        <f t="shared" si="164"/>
        <v>0</v>
      </c>
      <c r="Q1343" s="192">
        <f t="shared" si="165"/>
        <v>0</v>
      </c>
      <c r="R1343" s="193"/>
      <c r="S1343" s="194"/>
      <c r="T1343" s="195">
        <f t="shared" si="166"/>
        <v>0</v>
      </c>
      <c r="U1343" s="195">
        <f t="shared" si="167"/>
        <v>0</v>
      </c>
      <c r="V1343" s="195">
        <f t="shared" si="168"/>
        <v>0</v>
      </c>
      <c r="W1343" s="196" t="e">
        <f t="shared" si="169"/>
        <v>#DIV/0!</v>
      </c>
      <c r="X1343" s="197" t="e">
        <f t="shared" si="170"/>
        <v>#DIV/0!</v>
      </c>
    </row>
    <row r="1344" ht="11.4" hidden="1" customHeight="1" spans="1:24">
      <c r="A1344" s="184" t="s">
        <v>3090</v>
      </c>
      <c r="B1344" s="184" t="s">
        <v>149</v>
      </c>
      <c r="C1344" s="184" t="s">
        <v>2263</v>
      </c>
      <c r="D1344" s="185" t="s">
        <v>700</v>
      </c>
      <c r="E1344" s="186" t="s">
        <v>2956</v>
      </c>
      <c r="F1344" s="186" t="s">
        <v>3036</v>
      </c>
      <c r="G1344" s="186" t="s">
        <v>3036</v>
      </c>
      <c r="H1344" s="186" t="s">
        <v>3091</v>
      </c>
      <c r="I1344" s="187" t="s">
        <v>2278</v>
      </c>
      <c r="J1344" s="187" t="s">
        <v>2279</v>
      </c>
      <c r="K1344" s="188"/>
      <c r="L1344" s="188"/>
      <c r="M1344" s="189" t="s">
        <v>807</v>
      </c>
      <c r="N1344" s="190">
        <v>39.71</v>
      </c>
      <c r="O1344" s="190">
        <f t="shared" si="163"/>
        <v>43.28</v>
      </c>
      <c r="P1344" s="191">
        <f t="shared" si="164"/>
        <v>0</v>
      </c>
      <c r="Q1344" s="192">
        <f t="shared" si="165"/>
        <v>0</v>
      </c>
      <c r="R1344" s="193"/>
      <c r="S1344" s="194"/>
      <c r="T1344" s="195">
        <f t="shared" si="166"/>
        <v>0</v>
      </c>
      <c r="U1344" s="195">
        <f t="shared" si="167"/>
        <v>0</v>
      </c>
      <c r="V1344" s="195">
        <f t="shared" si="168"/>
        <v>0</v>
      </c>
      <c r="W1344" s="196" t="e">
        <f t="shared" si="169"/>
        <v>#DIV/0!</v>
      </c>
      <c r="X1344" s="197" t="e">
        <f t="shared" si="170"/>
        <v>#DIV/0!</v>
      </c>
    </row>
    <row r="1345" ht="11.4" hidden="1" customHeight="1" spans="1:24">
      <c r="A1345" s="184" t="s">
        <v>3090</v>
      </c>
      <c r="B1345" s="184" t="s">
        <v>149</v>
      </c>
      <c r="C1345" s="184" t="s">
        <v>2263</v>
      </c>
      <c r="D1345" s="185" t="s">
        <v>700</v>
      </c>
      <c r="E1345" s="186" t="s">
        <v>2956</v>
      </c>
      <c r="F1345" s="186" t="s">
        <v>3036</v>
      </c>
      <c r="G1345" s="186" t="s">
        <v>3036</v>
      </c>
      <c r="H1345" s="186" t="s">
        <v>3091</v>
      </c>
      <c r="I1345" s="187" t="s">
        <v>2284</v>
      </c>
      <c r="J1345" s="187" t="s">
        <v>2285</v>
      </c>
      <c r="K1345" s="188"/>
      <c r="L1345" s="188"/>
      <c r="M1345" s="189" t="s">
        <v>963</v>
      </c>
      <c r="N1345" s="190">
        <v>103.5</v>
      </c>
      <c r="O1345" s="190">
        <f t="shared" si="163"/>
        <v>112.82</v>
      </c>
      <c r="P1345" s="191">
        <f t="shared" si="164"/>
        <v>0</v>
      </c>
      <c r="Q1345" s="192">
        <f t="shared" si="165"/>
        <v>0</v>
      </c>
      <c r="R1345" s="193"/>
      <c r="S1345" s="194"/>
      <c r="T1345" s="195">
        <f t="shared" si="166"/>
        <v>0</v>
      </c>
      <c r="U1345" s="195">
        <f t="shared" si="167"/>
        <v>0</v>
      </c>
      <c r="V1345" s="195">
        <f t="shared" si="168"/>
        <v>0</v>
      </c>
      <c r="W1345" s="196" t="e">
        <f t="shared" si="169"/>
        <v>#DIV/0!</v>
      </c>
      <c r="X1345" s="197" t="e">
        <f t="shared" si="170"/>
        <v>#DIV/0!</v>
      </c>
    </row>
    <row r="1346" ht="11.4" hidden="1" customHeight="1" spans="1:24">
      <c r="A1346" s="184" t="s">
        <v>3090</v>
      </c>
      <c r="B1346" s="184" t="s">
        <v>149</v>
      </c>
      <c r="C1346" s="184" t="s">
        <v>2263</v>
      </c>
      <c r="D1346" s="185" t="s">
        <v>700</v>
      </c>
      <c r="E1346" s="186" t="s">
        <v>2956</v>
      </c>
      <c r="F1346" s="186" t="s">
        <v>3036</v>
      </c>
      <c r="G1346" s="186" t="s">
        <v>3036</v>
      </c>
      <c r="H1346" s="186" t="s">
        <v>3091</v>
      </c>
      <c r="I1346" s="187" t="s">
        <v>2286</v>
      </c>
      <c r="J1346" s="187" t="s">
        <v>2287</v>
      </c>
      <c r="K1346" s="188"/>
      <c r="L1346" s="188"/>
      <c r="M1346" s="189" t="s">
        <v>963</v>
      </c>
      <c r="N1346" s="190">
        <v>76.44</v>
      </c>
      <c r="O1346" s="190">
        <f t="shared" si="163"/>
        <v>83.32</v>
      </c>
      <c r="P1346" s="191">
        <f t="shared" si="164"/>
        <v>0</v>
      </c>
      <c r="Q1346" s="192">
        <f t="shared" si="165"/>
        <v>0</v>
      </c>
      <c r="R1346" s="193"/>
      <c r="S1346" s="194"/>
      <c r="T1346" s="195">
        <f t="shared" si="166"/>
        <v>0</v>
      </c>
      <c r="U1346" s="195">
        <f t="shared" si="167"/>
        <v>0</v>
      </c>
      <c r="V1346" s="195">
        <f t="shared" si="168"/>
        <v>0</v>
      </c>
      <c r="W1346" s="196" t="e">
        <f t="shared" si="169"/>
        <v>#DIV/0!</v>
      </c>
      <c r="X1346" s="197" t="e">
        <f t="shared" si="170"/>
        <v>#DIV/0!</v>
      </c>
    </row>
    <row r="1347" ht="11.4" hidden="1" customHeight="1" spans="1:24">
      <c r="A1347" s="184" t="s">
        <v>3090</v>
      </c>
      <c r="B1347" s="184" t="s">
        <v>149</v>
      </c>
      <c r="C1347" s="184" t="s">
        <v>2263</v>
      </c>
      <c r="D1347" s="185" t="s">
        <v>700</v>
      </c>
      <c r="E1347" s="186" t="s">
        <v>2956</v>
      </c>
      <c r="F1347" s="186" t="s">
        <v>3036</v>
      </c>
      <c r="G1347" s="186" t="s">
        <v>3036</v>
      </c>
      <c r="H1347" s="186" t="s">
        <v>3091</v>
      </c>
      <c r="I1347" s="187" t="s">
        <v>2288</v>
      </c>
      <c r="J1347" s="187" t="s">
        <v>2289</v>
      </c>
      <c r="K1347" s="188"/>
      <c r="L1347" s="188"/>
      <c r="M1347" s="189" t="s">
        <v>963</v>
      </c>
      <c r="N1347" s="190">
        <v>73.14</v>
      </c>
      <c r="O1347" s="190">
        <f t="shared" si="163"/>
        <v>79.72</v>
      </c>
      <c r="P1347" s="191">
        <f t="shared" si="164"/>
        <v>0</v>
      </c>
      <c r="Q1347" s="192">
        <f t="shared" si="165"/>
        <v>0</v>
      </c>
      <c r="R1347" s="193"/>
      <c r="S1347" s="194"/>
      <c r="T1347" s="195">
        <f t="shared" si="166"/>
        <v>0</v>
      </c>
      <c r="U1347" s="195">
        <f t="shared" si="167"/>
        <v>0</v>
      </c>
      <c r="V1347" s="195">
        <f t="shared" si="168"/>
        <v>0</v>
      </c>
      <c r="W1347" s="196" t="e">
        <f t="shared" si="169"/>
        <v>#DIV/0!</v>
      </c>
      <c r="X1347" s="197" t="e">
        <f t="shared" si="170"/>
        <v>#DIV/0!</v>
      </c>
    </row>
    <row r="1348" ht="11.4" hidden="1" customHeight="1" spans="1:24">
      <c r="A1348" s="184" t="s">
        <v>3090</v>
      </c>
      <c r="B1348" s="184" t="s">
        <v>149</v>
      </c>
      <c r="C1348" s="184" t="s">
        <v>2263</v>
      </c>
      <c r="D1348" s="185" t="s">
        <v>700</v>
      </c>
      <c r="E1348" s="186" t="s">
        <v>2956</v>
      </c>
      <c r="F1348" s="186" t="s">
        <v>3036</v>
      </c>
      <c r="G1348" s="186" t="s">
        <v>3036</v>
      </c>
      <c r="H1348" s="186" t="s">
        <v>3091</v>
      </c>
      <c r="I1348" s="187" t="s">
        <v>2290</v>
      </c>
      <c r="J1348" s="187" t="s">
        <v>2291</v>
      </c>
      <c r="K1348" s="188"/>
      <c r="L1348" s="188"/>
      <c r="M1348" s="189" t="s">
        <v>935</v>
      </c>
      <c r="N1348" s="190">
        <v>3308.85</v>
      </c>
      <c r="O1348" s="190">
        <f t="shared" si="163"/>
        <v>3606.65</v>
      </c>
      <c r="P1348" s="191">
        <f t="shared" si="164"/>
        <v>0</v>
      </c>
      <c r="Q1348" s="192">
        <f t="shared" si="165"/>
        <v>0</v>
      </c>
      <c r="R1348" s="193"/>
      <c r="S1348" s="194"/>
      <c r="T1348" s="195">
        <f t="shared" si="166"/>
        <v>0</v>
      </c>
      <c r="U1348" s="195">
        <f t="shared" si="167"/>
        <v>0</v>
      </c>
      <c r="V1348" s="195">
        <f t="shared" si="168"/>
        <v>0</v>
      </c>
      <c r="W1348" s="196" t="e">
        <f t="shared" si="169"/>
        <v>#DIV/0!</v>
      </c>
      <c r="X1348" s="197" t="e">
        <f t="shared" si="170"/>
        <v>#DIV/0!</v>
      </c>
    </row>
    <row r="1349" ht="11.4" hidden="1" customHeight="1" spans="1:24">
      <c r="A1349" s="184" t="s">
        <v>3090</v>
      </c>
      <c r="B1349" s="184" t="s">
        <v>149</v>
      </c>
      <c r="C1349" s="184" t="s">
        <v>2263</v>
      </c>
      <c r="D1349" s="185" t="s">
        <v>700</v>
      </c>
      <c r="E1349" s="186" t="s">
        <v>2956</v>
      </c>
      <c r="F1349" s="186" t="s">
        <v>3036</v>
      </c>
      <c r="G1349" s="186" t="s">
        <v>3036</v>
      </c>
      <c r="H1349" s="186" t="s">
        <v>3091</v>
      </c>
      <c r="I1349" s="187" t="s">
        <v>2292</v>
      </c>
      <c r="J1349" s="187" t="s">
        <v>2293</v>
      </c>
      <c r="K1349" s="188"/>
      <c r="L1349" s="188"/>
      <c r="M1349" s="189" t="s">
        <v>963</v>
      </c>
      <c r="N1349" s="190">
        <v>35.7</v>
      </c>
      <c r="O1349" s="190">
        <f t="shared" si="163"/>
        <v>38.91</v>
      </c>
      <c r="P1349" s="191">
        <f t="shared" si="164"/>
        <v>0</v>
      </c>
      <c r="Q1349" s="192">
        <f t="shared" si="165"/>
        <v>0</v>
      </c>
      <c r="R1349" s="193"/>
      <c r="S1349" s="194"/>
      <c r="T1349" s="195">
        <f t="shared" si="166"/>
        <v>0</v>
      </c>
      <c r="U1349" s="195">
        <f t="shared" si="167"/>
        <v>0</v>
      </c>
      <c r="V1349" s="195">
        <f t="shared" si="168"/>
        <v>0</v>
      </c>
      <c r="W1349" s="196" t="e">
        <f t="shared" si="169"/>
        <v>#DIV/0!</v>
      </c>
      <c r="X1349" s="197" t="e">
        <f t="shared" si="170"/>
        <v>#DIV/0!</v>
      </c>
    </row>
    <row r="1350" ht="11.4" hidden="1" customHeight="1" spans="1:24">
      <c r="A1350" s="184" t="s">
        <v>3090</v>
      </c>
      <c r="B1350" s="184" t="s">
        <v>149</v>
      </c>
      <c r="C1350" s="184" t="s">
        <v>2263</v>
      </c>
      <c r="D1350" s="185" t="s">
        <v>700</v>
      </c>
      <c r="E1350" s="186" t="s">
        <v>2956</v>
      </c>
      <c r="F1350" s="186" t="s">
        <v>3036</v>
      </c>
      <c r="G1350" s="186" t="s">
        <v>3036</v>
      </c>
      <c r="H1350" s="186" t="s">
        <v>3091</v>
      </c>
      <c r="I1350" s="187" t="s">
        <v>2294</v>
      </c>
      <c r="J1350" s="187" t="s">
        <v>2295</v>
      </c>
      <c r="K1350" s="188"/>
      <c r="L1350" s="188"/>
      <c r="M1350" s="189" t="s">
        <v>963</v>
      </c>
      <c r="N1350" s="190">
        <v>748.98</v>
      </c>
      <c r="O1350" s="190">
        <f t="shared" si="163"/>
        <v>816.39</v>
      </c>
      <c r="P1350" s="191">
        <f t="shared" si="164"/>
        <v>0</v>
      </c>
      <c r="Q1350" s="192">
        <f t="shared" si="165"/>
        <v>0</v>
      </c>
      <c r="R1350" s="193"/>
      <c r="S1350" s="194"/>
      <c r="T1350" s="195">
        <f t="shared" si="166"/>
        <v>0</v>
      </c>
      <c r="U1350" s="195">
        <f t="shared" si="167"/>
        <v>0</v>
      </c>
      <c r="V1350" s="195">
        <f t="shared" si="168"/>
        <v>0</v>
      </c>
      <c r="W1350" s="196" t="e">
        <f t="shared" si="169"/>
        <v>#DIV/0!</v>
      </c>
      <c r="X1350" s="197" t="e">
        <f t="shared" si="170"/>
        <v>#DIV/0!</v>
      </c>
    </row>
    <row r="1351" ht="11.4" hidden="1" customHeight="1" spans="1:24">
      <c r="A1351" s="184" t="s">
        <v>3090</v>
      </c>
      <c r="B1351" s="184" t="s">
        <v>149</v>
      </c>
      <c r="C1351" s="184" t="s">
        <v>2263</v>
      </c>
      <c r="D1351" s="185" t="s">
        <v>700</v>
      </c>
      <c r="E1351" s="186" t="s">
        <v>2956</v>
      </c>
      <c r="F1351" s="186" t="s">
        <v>3036</v>
      </c>
      <c r="G1351" s="186" t="s">
        <v>3036</v>
      </c>
      <c r="H1351" s="186" t="s">
        <v>3091</v>
      </c>
      <c r="I1351" s="187" t="s">
        <v>2296</v>
      </c>
      <c r="J1351" s="187" t="s">
        <v>2297</v>
      </c>
      <c r="K1351" s="188"/>
      <c r="L1351" s="188"/>
      <c r="M1351" s="189" t="s">
        <v>963</v>
      </c>
      <c r="N1351" s="190">
        <v>156.3</v>
      </c>
      <c r="O1351" s="190">
        <f t="shared" si="163"/>
        <v>170.37</v>
      </c>
      <c r="P1351" s="191">
        <f t="shared" si="164"/>
        <v>0</v>
      </c>
      <c r="Q1351" s="192">
        <f t="shared" si="165"/>
        <v>0</v>
      </c>
      <c r="R1351" s="193"/>
      <c r="S1351" s="194"/>
      <c r="T1351" s="195">
        <f t="shared" si="166"/>
        <v>0</v>
      </c>
      <c r="U1351" s="195">
        <f t="shared" si="167"/>
        <v>0</v>
      </c>
      <c r="V1351" s="195">
        <f t="shared" si="168"/>
        <v>0</v>
      </c>
      <c r="W1351" s="196" t="e">
        <f t="shared" si="169"/>
        <v>#DIV/0!</v>
      </c>
      <c r="X1351" s="197" t="e">
        <f t="shared" si="170"/>
        <v>#DIV/0!</v>
      </c>
    </row>
    <row r="1352" ht="11.4" hidden="1" customHeight="1" spans="1:24">
      <c r="A1352" s="184" t="s">
        <v>3090</v>
      </c>
      <c r="B1352" s="184" t="s">
        <v>149</v>
      </c>
      <c r="C1352" s="184" t="s">
        <v>2263</v>
      </c>
      <c r="D1352" s="185" t="s">
        <v>700</v>
      </c>
      <c r="E1352" s="186" t="s">
        <v>2956</v>
      </c>
      <c r="F1352" s="186" t="s">
        <v>3036</v>
      </c>
      <c r="G1352" s="186" t="s">
        <v>3036</v>
      </c>
      <c r="H1352" s="186" t="s">
        <v>3091</v>
      </c>
      <c r="I1352" s="187" t="s">
        <v>2341</v>
      </c>
      <c r="J1352" s="187" t="s">
        <v>2342</v>
      </c>
      <c r="K1352" s="188"/>
      <c r="L1352" s="188"/>
      <c r="M1352" s="189" t="s">
        <v>963</v>
      </c>
      <c r="N1352" s="190">
        <v>134.85</v>
      </c>
      <c r="O1352" s="190">
        <f t="shared" si="163"/>
        <v>146.99</v>
      </c>
      <c r="P1352" s="191">
        <f t="shared" si="164"/>
        <v>0</v>
      </c>
      <c r="Q1352" s="192">
        <f t="shared" si="165"/>
        <v>0</v>
      </c>
      <c r="R1352" s="193"/>
      <c r="S1352" s="194"/>
      <c r="T1352" s="195">
        <f t="shared" si="166"/>
        <v>0</v>
      </c>
      <c r="U1352" s="195">
        <f t="shared" si="167"/>
        <v>0</v>
      </c>
      <c r="V1352" s="195">
        <f t="shared" si="168"/>
        <v>0</v>
      </c>
      <c r="W1352" s="196" t="e">
        <f t="shared" si="169"/>
        <v>#DIV/0!</v>
      </c>
      <c r="X1352" s="197" t="e">
        <f t="shared" si="170"/>
        <v>#DIV/0!</v>
      </c>
    </row>
    <row r="1353" ht="11.4" hidden="1" customHeight="1" spans="1:24">
      <c r="A1353" s="184" t="s">
        <v>3090</v>
      </c>
      <c r="B1353" s="184" t="s">
        <v>149</v>
      </c>
      <c r="C1353" s="184" t="s">
        <v>2263</v>
      </c>
      <c r="D1353" s="185" t="s">
        <v>700</v>
      </c>
      <c r="E1353" s="186" t="s">
        <v>2956</v>
      </c>
      <c r="F1353" s="186" t="s">
        <v>3036</v>
      </c>
      <c r="G1353" s="186" t="s">
        <v>3036</v>
      </c>
      <c r="H1353" s="186" t="s">
        <v>3091</v>
      </c>
      <c r="I1353" s="187" t="s">
        <v>2343</v>
      </c>
      <c r="J1353" s="187" t="s">
        <v>2344</v>
      </c>
      <c r="K1353" s="188"/>
      <c r="L1353" s="188"/>
      <c r="M1353" s="189" t="s">
        <v>963</v>
      </c>
      <c r="N1353" s="190">
        <v>416.64</v>
      </c>
      <c r="O1353" s="190">
        <f t="shared" si="163"/>
        <v>454.14</v>
      </c>
      <c r="P1353" s="191">
        <f t="shared" si="164"/>
        <v>0</v>
      </c>
      <c r="Q1353" s="192">
        <f t="shared" si="165"/>
        <v>0</v>
      </c>
      <c r="R1353" s="193"/>
      <c r="S1353" s="194"/>
      <c r="T1353" s="195">
        <f t="shared" si="166"/>
        <v>0</v>
      </c>
      <c r="U1353" s="195">
        <f t="shared" si="167"/>
        <v>0</v>
      </c>
      <c r="V1353" s="195">
        <f t="shared" si="168"/>
        <v>0</v>
      </c>
      <c r="W1353" s="196" t="e">
        <f t="shared" si="169"/>
        <v>#DIV/0!</v>
      </c>
      <c r="X1353" s="197" t="e">
        <f t="shared" si="170"/>
        <v>#DIV/0!</v>
      </c>
    </row>
    <row r="1354" ht="11.4" hidden="1" customHeight="1" spans="1:24">
      <c r="A1354" s="184" t="s">
        <v>3090</v>
      </c>
      <c r="B1354" s="184" t="s">
        <v>149</v>
      </c>
      <c r="C1354" s="184" t="s">
        <v>2263</v>
      </c>
      <c r="D1354" s="185" t="s">
        <v>700</v>
      </c>
      <c r="E1354" s="186" t="s">
        <v>2956</v>
      </c>
      <c r="F1354" s="186" t="s">
        <v>3036</v>
      </c>
      <c r="G1354" s="186" t="s">
        <v>3036</v>
      </c>
      <c r="H1354" s="186" t="s">
        <v>3091</v>
      </c>
      <c r="I1354" s="187" t="s">
        <v>2345</v>
      </c>
      <c r="J1354" s="187" t="s">
        <v>2346</v>
      </c>
      <c r="K1354" s="188"/>
      <c r="L1354" s="188"/>
      <c r="M1354" s="189" t="s">
        <v>963</v>
      </c>
      <c r="N1354" s="190">
        <v>454.51</v>
      </c>
      <c r="O1354" s="190">
        <f t="shared" si="163"/>
        <v>495.42</v>
      </c>
      <c r="P1354" s="191">
        <f t="shared" si="164"/>
        <v>0</v>
      </c>
      <c r="Q1354" s="192">
        <f t="shared" si="165"/>
        <v>0</v>
      </c>
      <c r="R1354" s="193"/>
      <c r="S1354" s="194"/>
      <c r="T1354" s="195">
        <f t="shared" si="166"/>
        <v>0</v>
      </c>
      <c r="U1354" s="195">
        <f t="shared" si="167"/>
        <v>0</v>
      </c>
      <c r="V1354" s="195">
        <f t="shared" si="168"/>
        <v>0</v>
      </c>
      <c r="W1354" s="196" t="e">
        <f t="shared" si="169"/>
        <v>#DIV/0!</v>
      </c>
      <c r="X1354" s="197" t="e">
        <f t="shared" si="170"/>
        <v>#DIV/0!</v>
      </c>
    </row>
    <row r="1355" ht="11.4" hidden="1" customHeight="1" spans="1:24">
      <c r="A1355" s="184" t="s">
        <v>3090</v>
      </c>
      <c r="B1355" s="184" t="s">
        <v>149</v>
      </c>
      <c r="C1355" s="184" t="s">
        <v>2263</v>
      </c>
      <c r="D1355" s="185" t="s">
        <v>700</v>
      </c>
      <c r="E1355" s="186" t="s">
        <v>2956</v>
      </c>
      <c r="F1355" s="186" t="s">
        <v>3036</v>
      </c>
      <c r="G1355" s="186" t="s">
        <v>3036</v>
      </c>
      <c r="H1355" s="186" t="s">
        <v>3091</v>
      </c>
      <c r="I1355" s="187" t="s">
        <v>2347</v>
      </c>
      <c r="J1355" s="187" t="s">
        <v>2348</v>
      </c>
      <c r="K1355" s="188"/>
      <c r="L1355" s="188"/>
      <c r="M1355" s="189" t="s">
        <v>963</v>
      </c>
      <c r="N1355" s="190">
        <v>236.73</v>
      </c>
      <c r="O1355" s="190">
        <f t="shared" si="163"/>
        <v>258.04</v>
      </c>
      <c r="P1355" s="191">
        <f t="shared" si="164"/>
        <v>0</v>
      </c>
      <c r="Q1355" s="192">
        <f t="shared" si="165"/>
        <v>0</v>
      </c>
      <c r="R1355" s="193"/>
      <c r="S1355" s="194"/>
      <c r="T1355" s="195">
        <f t="shared" si="166"/>
        <v>0</v>
      </c>
      <c r="U1355" s="195">
        <f t="shared" si="167"/>
        <v>0</v>
      </c>
      <c r="V1355" s="195">
        <f t="shared" si="168"/>
        <v>0</v>
      </c>
      <c r="W1355" s="196" t="e">
        <f t="shared" si="169"/>
        <v>#DIV/0!</v>
      </c>
      <c r="X1355" s="197" t="e">
        <f t="shared" si="170"/>
        <v>#DIV/0!</v>
      </c>
    </row>
    <row r="1356" ht="11.4" hidden="1" customHeight="1" spans="1:24">
      <c r="A1356" s="184" t="s">
        <v>3090</v>
      </c>
      <c r="B1356" s="184" t="s">
        <v>149</v>
      </c>
      <c r="C1356" s="184" t="s">
        <v>2263</v>
      </c>
      <c r="D1356" s="185" t="s">
        <v>700</v>
      </c>
      <c r="E1356" s="186" t="s">
        <v>2956</v>
      </c>
      <c r="F1356" s="186" t="s">
        <v>3036</v>
      </c>
      <c r="G1356" s="186" t="s">
        <v>3036</v>
      </c>
      <c r="H1356" s="186" t="s">
        <v>3091</v>
      </c>
      <c r="I1356" s="187" t="s">
        <v>2298</v>
      </c>
      <c r="J1356" s="187" t="s">
        <v>2299</v>
      </c>
      <c r="K1356" s="188"/>
      <c r="L1356" s="188"/>
      <c r="M1356" s="189" t="s">
        <v>963</v>
      </c>
      <c r="N1356" s="190">
        <v>661.31</v>
      </c>
      <c r="O1356" s="190">
        <f t="shared" si="163"/>
        <v>720.83</v>
      </c>
      <c r="P1356" s="191">
        <f t="shared" si="164"/>
        <v>0</v>
      </c>
      <c r="Q1356" s="192">
        <f t="shared" si="165"/>
        <v>0</v>
      </c>
      <c r="R1356" s="193"/>
      <c r="S1356" s="194"/>
      <c r="T1356" s="195">
        <f t="shared" si="166"/>
        <v>0</v>
      </c>
      <c r="U1356" s="195">
        <f t="shared" si="167"/>
        <v>0</v>
      </c>
      <c r="V1356" s="195">
        <f t="shared" si="168"/>
        <v>0</v>
      </c>
      <c r="W1356" s="196" t="e">
        <f t="shared" si="169"/>
        <v>#DIV/0!</v>
      </c>
      <c r="X1356" s="197" t="e">
        <f t="shared" si="170"/>
        <v>#DIV/0!</v>
      </c>
    </row>
    <row r="1357" ht="11.4" hidden="1" customHeight="1" spans="1:24">
      <c r="A1357" s="184" t="s">
        <v>3090</v>
      </c>
      <c r="B1357" s="184" t="s">
        <v>149</v>
      </c>
      <c r="C1357" s="184" t="s">
        <v>2263</v>
      </c>
      <c r="D1357" s="185" t="s">
        <v>700</v>
      </c>
      <c r="E1357" s="186" t="s">
        <v>2956</v>
      </c>
      <c r="F1357" s="186" t="s">
        <v>3036</v>
      </c>
      <c r="G1357" s="186" t="s">
        <v>3036</v>
      </c>
      <c r="H1357" s="186" t="s">
        <v>3091</v>
      </c>
      <c r="I1357" s="187" t="s">
        <v>2304</v>
      </c>
      <c r="J1357" s="187" t="s">
        <v>2305</v>
      </c>
      <c r="K1357" s="188"/>
      <c r="L1357" s="188"/>
      <c r="M1357" s="189" t="s">
        <v>989</v>
      </c>
      <c r="N1357" s="190">
        <v>2295.03</v>
      </c>
      <c r="O1357" s="190">
        <f t="shared" ref="O1357:O1420" si="171">ROUND(N1357*(1+$F$10),2)</f>
        <v>2501.58</v>
      </c>
      <c r="P1357" s="191">
        <f t="shared" ref="P1357:P1420" si="172">ROUND(K1357*N1357,2)</f>
        <v>0</v>
      </c>
      <c r="Q1357" s="192">
        <f t="shared" ref="Q1357:Q1420" si="173">ROUND(L1357*N1357,2)</f>
        <v>0</v>
      </c>
      <c r="R1357" s="193"/>
      <c r="S1357" s="194"/>
      <c r="T1357" s="195">
        <f t="shared" ref="T1357:T1420" si="174">K1357-L1357</f>
        <v>0</v>
      </c>
      <c r="U1357" s="195">
        <f t="shared" ref="U1357:U1420" si="175">P1357-Q1357</f>
        <v>0</v>
      </c>
      <c r="V1357" s="195">
        <f t="shared" ref="V1357:V1420" si="176">ABS(U1357)</f>
        <v>0</v>
      </c>
      <c r="W1357" s="196" t="e">
        <f t="shared" ref="W1357:W1420" si="177">T1357/L1357</f>
        <v>#DIV/0!</v>
      </c>
      <c r="X1357" s="197" t="e">
        <f t="shared" ref="X1357:X1420" si="178">ABS(W1357)</f>
        <v>#DIV/0!</v>
      </c>
    </row>
    <row r="1358" ht="11.4" hidden="1" customHeight="1" spans="1:24">
      <c r="A1358" s="184" t="s">
        <v>3090</v>
      </c>
      <c r="B1358" s="184" t="s">
        <v>149</v>
      </c>
      <c r="C1358" s="184" t="s">
        <v>2263</v>
      </c>
      <c r="D1358" s="185" t="s">
        <v>700</v>
      </c>
      <c r="E1358" s="186" t="s">
        <v>2956</v>
      </c>
      <c r="F1358" s="186" t="s">
        <v>3036</v>
      </c>
      <c r="G1358" s="186" t="s">
        <v>3036</v>
      </c>
      <c r="H1358" s="186" t="s">
        <v>3091</v>
      </c>
      <c r="I1358" s="187" t="s">
        <v>3092</v>
      </c>
      <c r="J1358" s="187" t="s">
        <v>3093</v>
      </c>
      <c r="K1358" s="188"/>
      <c r="L1358" s="188"/>
      <c r="M1358" s="189" t="s">
        <v>793</v>
      </c>
      <c r="N1358" s="190">
        <v>1057.53</v>
      </c>
      <c r="O1358" s="190">
        <f t="shared" si="171"/>
        <v>1152.71</v>
      </c>
      <c r="P1358" s="191">
        <f t="shared" si="172"/>
        <v>0</v>
      </c>
      <c r="Q1358" s="192">
        <f t="shared" si="173"/>
        <v>0</v>
      </c>
      <c r="R1358" s="193"/>
      <c r="S1358" s="194"/>
      <c r="T1358" s="195">
        <f t="shared" si="174"/>
        <v>0</v>
      </c>
      <c r="U1358" s="195">
        <f t="shared" si="175"/>
        <v>0</v>
      </c>
      <c r="V1358" s="195">
        <f t="shared" si="176"/>
        <v>0</v>
      </c>
      <c r="W1358" s="196" t="e">
        <f t="shared" si="177"/>
        <v>#DIV/0!</v>
      </c>
      <c r="X1358" s="197" t="e">
        <f t="shared" si="178"/>
        <v>#DIV/0!</v>
      </c>
    </row>
    <row r="1359" ht="11.4" hidden="1" customHeight="1" spans="1:24">
      <c r="A1359" s="184" t="s">
        <v>3090</v>
      </c>
      <c r="B1359" s="184" t="s">
        <v>149</v>
      </c>
      <c r="C1359" s="184" t="s">
        <v>2263</v>
      </c>
      <c r="D1359" s="185" t="s">
        <v>700</v>
      </c>
      <c r="E1359" s="186" t="s">
        <v>2956</v>
      </c>
      <c r="F1359" s="186" t="s">
        <v>3036</v>
      </c>
      <c r="G1359" s="186" t="s">
        <v>3036</v>
      </c>
      <c r="H1359" s="186" t="s">
        <v>3091</v>
      </c>
      <c r="I1359" s="187" t="s">
        <v>2323</v>
      </c>
      <c r="J1359" s="187" t="s">
        <v>2324</v>
      </c>
      <c r="K1359" s="188"/>
      <c r="L1359" s="188"/>
      <c r="M1359" s="189" t="s">
        <v>807</v>
      </c>
      <c r="N1359" s="190">
        <v>56.91</v>
      </c>
      <c r="O1359" s="190">
        <f t="shared" si="171"/>
        <v>62.03</v>
      </c>
      <c r="P1359" s="191">
        <f t="shared" si="172"/>
        <v>0</v>
      </c>
      <c r="Q1359" s="192">
        <f t="shared" si="173"/>
        <v>0</v>
      </c>
      <c r="R1359" s="193"/>
      <c r="S1359" s="194"/>
      <c r="T1359" s="195">
        <f t="shared" si="174"/>
        <v>0</v>
      </c>
      <c r="U1359" s="195">
        <f t="shared" si="175"/>
        <v>0</v>
      </c>
      <c r="V1359" s="195">
        <f t="shared" si="176"/>
        <v>0</v>
      </c>
      <c r="W1359" s="196" t="e">
        <f t="shared" si="177"/>
        <v>#DIV/0!</v>
      </c>
      <c r="X1359" s="197" t="e">
        <f t="shared" si="178"/>
        <v>#DIV/0!</v>
      </c>
    </row>
    <row r="1360" ht="11.4" hidden="1" customHeight="1" spans="1:24">
      <c r="A1360" s="184" t="s">
        <v>3090</v>
      </c>
      <c r="B1360" s="184" t="s">
        <v>149</v>
      </c>
      <c r="C1360" s="184" t="s">
        <v>2263</v>
      </c>
      <c r="D1360" s="185" t="s">
        <v>700</v>
      </c>
      <c r="E1360" s="186" t="s">
        <v>2956</v>
      </c>
      <c r="F1360" s="186" t="s">
        <v>3036</v>
      </c>
      <c r="G1360" s="186" t="s">
        <v>3036</v>
      </c>
      <c r="H1360" s="186" t="s">
        <v>3091</v>
      </c>
      <c r="I1360" s="187" t="s">
        <v>2325</v>
      </c>
      <c r="J1360" s="187" t="s">
        <v>2326</v>
      </c>
      <c r="K1360" s="188"/>
      <c r="L1360" s="188"/>
      <c r="M1360" s="189" t="s">
        <v>807</v>
      </c>
      <c r="N1360" s="190">
        <v>39.03</v>
      </c>
      <c r="O1360" s="190">
        <f t="shared" si="171"/>
        <v>42.54</v>
      </c>
      <c r="P1360" s="191">
        <f t="shared" si="172"/>
        <v>0</v>
      </c>
      <c r="Q1360" s="192">
        <f t="shared" si="173"/>
        <v>0</v>
      </c>
      <c r="R1360" s="193"/>
      <c r="S1360" s="194"/>
      <c r="T1360" s="195">
        <f t="shared" si="174"/>
        <v>0</v>
      </c>
      <c r="U1360" s="195">
        <f t="shared" si="175"/>
        <v>0</v>
      </c>
      <c r="V1360" s="195">
        <f t="shared" si="176"/>
        <v>0</v>
      </c>
      <c r="W1360" s="196" t="e">
        <f t="shared" si="177"/>
        <v>#DIV/0!</v>
      </c>
      <c r="X1360" s="197" t="e">
        <f t="shared" si="178"/>
        <v>#DIV/0!</v>
      </c>
    </row>
    <row r="1361" ht="11.4" hidden="1" customHeight="1" spans="1:24">
      <c r="A1361" s="184" t="s">
        <v>3090</v>
      </c>
      <c r="B1361" s="184" t="s">
        <v>149</v>
      </c>
      <c r="C1361" s="184" t="s">
        <v>2263</v>
      </c>
      <c r="D1361" s="185" t="s">
        <v>700</v>
      </c>
      <c r="E1361" s="186" t="s">
        <v>2956</v>
      </c>
      <c r="F1361" s="186" t="s">
        <v>3036</v>
      </c>
      <c r="G1361" s="186" t="s">
        <v>3036</v>
      </c>
      <c r="H1361" s="186" t="s">
        <v>3091</v>
      </c>
      <c r="I1361" s="187" t="s">
        <v>3094</v>
      </c>
      <c r="J1361" s="187" t="s">
        <v>3095</v>
      </c>
      <c r="K1361" s="188"/>
      <c r="L1361" s="188"/>
      <c r="M1361" s="189" t="s">
        <v>807</v>
      </c>
      <c r="N1361" s="190">
        <v>22.86</v>
      </c>
      <c r="O1361" s="190">
        <f t="shared" si="171"/>
        <v>24.92</v>
      </c>
      <c r="P1361" s="191">
        <f t="shared" si="172"/>
        <v>0</v>
      </c>
      <c r="Q1361" s="192">
        <f t="shared" si="173"/>
        <v>0</v>
      </c>
      <c r="R1361" s="193"/>
      <c r="S1361" s="194"/>
      <c r="T1361" s="195">
        <f t="shared" si="174"/>
        <v>0</v>
      </c>
      <c r="U1361" s="195">
        <f t="shared" si="175"/>
        <v>0</v>
      </c>
      <c r="V1361" s="195">
        <f t="shared" si="176"/>
        <v>0</v>
      </c>
      <c r="W1361" s="196" t="e">
        <f t="shared" si="177"/>
        <v>#DIV/0!</v>
      </c>
      <c r="X1361" s="197" t="e">
        <f t="shared" si="178"/>
        <v>#DIV/0!</v>
      </c>
    </row>
    <row r="1362" ht="11.4" hidden="1" customHeight="1" spans="1:24">
      <c r="A1362" s="184" t="s">
        <v>3090</v>
      </c>
      <c r="B1362" s="184" t="s">
        <v>149</v>
      </c>
      <c r="C1362" s="184" t="s">
        <v>2263</v>
      </c>
      <c r="D1362" s="185" t="s">
        <v>700</v>
      </c>
      <c r="E1362" s="186" t="s">
        <v>2956</v>
      </c>
      <c r="F1362" s="186" t="s">
        <v>3036</v>
      </c>
      <c r="G1362" s="186" t="s">
        <v>3036</v>
      </c>
      <c r="H1362" s="186" t="s">
        <v>3091</v>
      </c>
      <c r="I1362" s="187" t="s">
        <v>2333</v>
      </c>
      <c r="J1362" s="187" t="s">
        <v>2334</v>
      </c>
      <c r="K1362" s="188"/>
      <c r="L1362" s="188"/>
      <c r="M1362" s="189" t="s">
        <v>963</v>
      </c>
      <c r="N1362" s="190">
        <v>196.45</v>
      </c>
      <c r="O1362" s="190">
        <f t="shared" si="171"/>
        <v>214.13</v>
      </c>
      <c r="P1362" s="191">
        <f t="shared" si="172"/>
        <v>0</v>
      </c>
      <c r="Q1362" s="192">
        <f t="shared" si="173"/>
        <v>0</v>
      </c>
      <c r="R1362" s="193"/>
      <c r="S1362" s="194"/>
      <c r="T1362" s="195">
        <f t="shared" si="174"/>
        <v>0</v>
      </c>
      <c r="U1362" s="195">
        <f t="shared" si="175"/>
        <v>0</v>
      </c>
      <c r="V1362" s="195">
        <f t="shared" si="176"/>
        <v>0</v>
      </c>
      <c r="W1362" s="196" t="e">
        <f t="shared" si="177"/>
        <v>#DIV/0!</v>
      </c>
      <c r="X1362" s="197" t="e">
        <f t="shared" si="178"/>
        <v>#DIV/0!</v>
      </c>
    </row>
    <row r="1363" ht="11.4" hidden="1" customHeight="1" spans="1:24">
      <c r="A1363" s="184" t="s">
        <v>3090</v>
      </c>
      <c r="B1363" s="184" t="s">
        <v>149</v>
      </c>
      <c r="C1363" s="184" t="s">
        <v>2263</v>
      </c>
      <c r="D1363" s="185" t="s">
        <v>700</v>
      </c>
      <c r="E1363" s="186" t="s">
        <v>2956</v>
      </c>
      <c r="F1363" s="186" t="s">
        <v>3036</v>
      </c>
      <c r="G1363" s="186" t="s">
        <v>3036</v>
      </c>
      <c r="H1363" s="186" t="s">
        <v>3091</v>
      </c>
      <c r="I1363" s="187" t="s">
        <v>2335</v>
      </c>
      <c r="J1363" s="187" t="s">
        <v>2336</v>
      </c>
      <c r="K1363" s="188"/>
      <c r="L1363" s="188"/>
      <c r="M1363" s="189" t="s">
        <v>963</v>
      </c>
      <c r="N1363" s="190">
        <v>245.17</v>
      </c>
      <c r="O1363" s="190">
        <f t="shared" si="171"/>
        <v>267.24</v>
      </c>
      <c r="P1363" s="191">
        <f t="shared" si="172"/>
        <v>0</v>
      </c>
      <c r="Q1363" s="192">
        <f t="shared" si="173"/>
        <v>0</v>
      </c>
      <c r="R1363" s="193"/>
      <c r="S1363" s="194"/>
      <c r="T1363" s="195">
        <f t="shared" si="174"/>
        <v>0</v>
      </c>
      <c r="U1363" s="195">
        <f t="shared" si="175"/>
        <v>0</v>
      </c>
      <c r="V1363" s="195">
        <f t="shared" si="176"/>
        <v>0</v>
      </c>
      <c r="W1363" s="196" t="e">
        <f t="shared" si="177"/>
        <v>#DIV/0!</v>
      </c>
      <c r="X1363" s="197" t="e">
        <f t="shared" si="178"/>
        <v>#DIV/0!</v>
      </c>
    </row>
    <row r="1364" ht="11.4" hidden="1" customHeight="1" spans="1:24">
      <c r="A1364" s="184" t="s">
        <v>3090</v>
      </c>
      <c r="B1364" s="184" t="s">
        <v>149</v>
      </c>
      <c r="C1364" s="184" t="s">
        <v>2263</v>
      </c>
      <c r="D1364" s="185" t="s">
        <v>700</v>
      </c>
      <c r="E1364" s="186" t="s">
        <v>2956</v>
      </c>
      <c r="F1364" s="186" t="s">
        <v>3036</v>
      </c>
      <c r="G1364" s="186" t="s">
        <v>3036</v>
      </c>
      <c r="H1364" s="186" t="s">
        <v>3091</v>
      </c>
      <c r="I1364" s="187" t="s">
        <v>2337</v>
      </c>
      <c r="J1364" s="187" t="s">
        <v>2338</v>
      </c>
      <c r="K1364" s="188"/>
      <c r="L1364" s="188"/>
      <c r="M1364" s="189" t="s">
        <v>963</v>
      </c>
      <c r="N1364" s="190">
        <v>29.9</v>
      </c>
      <c r="O1364" s="190">
        <f t="shared" si="171"/>
        <v>32.59</v>
      </c>
      <c r="P1364" s="191">
        <f t="shared" si="172"/>
        <v>0</v>
      </c>
      <c r="Q1364" s="192">
        <f t="shared" si="173"/>
        <v>0</v>
      </c>
      <c r="R1364" s="193"/>
      <c r="S1364" s="194"/>
      <c r="T1364" s="195">
        <f t="shared" si="174"/>
        <v>0</v>
      </c>
      <c r="U1364" s="195">
        <f t="shared" si="175"/>
        <v>0</v>
      </c>
      <c r="V1364" s="195">
        <f t="shared" si="176"/>
        <v>0</v>
      </c>
      <c r="W1364" s="196" t="e">
        <f t="shared" si="177"/>
        <v>#DIV/0!</v>
      </c>
      <c r="X1364" s="197" t="e">
        <f t="shared" si="178"/>
        <v>#DIV/0!</v>
      </c>
    </row>
    <row r="1365" ht="11.4" hidden="1" customHeight="1" spans="1:24">
      <c r="A1365" s="184" t="s">
        <v>3090</v>
      </c>
      <c r="B1365" s="184" t="s">
        <v>149</v>
      </c>
      <c r="C1365" s="184" t="s">
        <v>2263</v>
      </c>
      <c r="D1365" s="185" t="s">
        <v>700</v>
      </c>
      <c r="E1365" s="186" t="s">
        <v>2956</v>
      </c>
      <c r="F1365" s="186" t="s">
        <v>3036</v>
      </c>
      <c r="G1365" s="186" t="s">
        <v>3036</v>
      </c>
      <c r="H1365" s="186" t="s">
        <v>3091</v>
      </c>
      <c r="I1365" s="187" t="s">
        <v>3096</v>
      </c>
      <c r="J1365" s="187" t="s">
        <v>3097</v>
      </c>
      <c r="K1365" s="188"/>
      <c r="L1365" s="188"/>
      <c r="M1365" s="189" t="s">
        <v>963</v>
      </c>
      <c r="N1365" s="190">
        <v>380</v>
      </c>
      <c r="O1365" s="190">
        <f t="shared" si="171"/>
        <v>414.2</v>
      </c>
      <c r="P1365" s="191">
        <f t="shared" si="172"/>
        <v>0</v>
      </c>
      <c r="Q1365" s="192">
        <f t="shared" si="173"/>
        <v>0</v>
      </c>
      <c r="R1365" s="193"/>
      <c r="S1365" s="194"/>
      <c r="T1365" s="195">
        <f t="shared" si="174"/>
        <v>0</v>
      </c>
      <c r="U1365" s="195">
        <f t="shared" si="175"/>
        <v>0</v>
      </c>
      <c r="V1365" s="195">
        <f t="shared" si="176"/>
        <v>0</v>
      </c>
      <c r="W1365" s="196" t="e">
        <f t="shared" si="177"/>
        <v>#DIV/0!</v>
      </c>
      <c r="X1365" s="197" t="e">
        <f t="shared" si="178"/>
        <v>#DIV/0!</v>
      </c>
    </row>
    <row r="1366" ht="11.4" hidden="1" customHeight="1" spans="1:24">
      <c r="A1366" s="184" t="s">
        <v>3098</v>
      </c>
      <c r="B1366" s="184" t="s">
        <v>401</v>
      </c>
      <c r="C1366" s="184" t="s">
        <v>400</v>
      </c>
      <c r="D1366" s="185" t="s">
        <v>700</v>
      </c>
      <c r="E1366" s="186" t="s">
        <v>2956</v>
      </c>
      <c r="F1366" s="186" t="s">
        <v>3036</v>
      </c>
      <c r="G1366" s="186" t="s">
        <v>3036</v>
      </c>
      <c r="H1366" s="186" t="s">
        <v>3099</v>
      </c>
      <c r="I1366" s="187" t="s">
        <v>3100</v>
      </c>
      <c r="J1366" s="187" t="s">
        <v>3101</v>
      </c>
      <c r="K1366" s="188"/>
      <c r="L1366" s="188"/>
      <c r="M1366" s="189" t="s">
        <v>989</v>
      </c>
      <c r="N1366" s="190">
        <v>2311.09</v>
      </c>
      <c r="O1366" s="190">
        <f t="shared" si="171"/>
        <v>2519.09</v>
      </c>
      <c r="P1366" s="191">
        <f t="shared" si="172"/>
        <v>0</v>
      </c>
      <c r="Q1366" s="192">
        <f t="shared" si="173"/>
        <v>0</v>
      </c>
      <c r="R1366" s="193"/>
      <c r="S1366" s="194"/>
      <c r="T1366" s="195">
        <f t="shared" si="174"/>
        <v>0</v>
      </c>
      <c r="U1366" s="195">
        <f t="shared" si="175"/>
        <v>0</v>
      </c>
      <c r="V1366" s="195">
        <f t="shared" si="176"/>
        <v>0</v>
      </c>
      <c r="W1366" s="196" t="e">
        <f t="shared" si="177"/>
        <v>#DIV/0!</v>
      </c>
      <c r="X1366" s="197" t="e">
        <f t="shared" si="178"/>
        <v>#DIV/0!</v>
      </c>
    </row>
    <row r="1367" ht="11.4" hidden="1" customHeight="1" spans="1:24">
      <c r="A1367" s="184" t="s">
        <v>3102</v>
      </c>
      <c r="B1367" s="184" t="s">
        <v>153</v>
      </c>
      <c r="C1367" s="184" t="s">
        <v>905</v>
      </c>
      <c r="D1367" s="185" t="s">
        <v>700</v>
      </c>
      <c r="E1367" s="186" t="s">
        <v>2956</v>
      </c>
      <c r="F1367" s="186" t="s">
        <v>3036</v>
      </c>
      <c r="G1367" s="186" t="s">
        <v>3036</v>
      </c>
      <c r="H1367" s="186" t="s">
        <v>3099</v>
      </c>
      <c r="I1367" s="187" t="s">
        <v>3103</v>
      </c>
      <c r="J1367" s="187" t="s">
        <v>3104</v>
      </c>
      <c r="K1367" s="188"/>
      <c r="L1367" s="188"/>
      <c r="M1367" s="189" t="s">
        <v>989</v>
      </c>
      <c r="N1367" s="190">
        <v>1027.39</v>
      </c>
      <c r="O1367" s="190">
        <f t="shared" si="171"/>
        <v>1119.86</v>
      </c>
      <c r="P1367" s="191">
        <f t="shared" si="172"/>
        <v>0</v>
      </c>
      <c r="Q1367" s="192">
        <f t="shared" si="173"/>
        <v>0</v>
      </c>
      <c r="R1367" s="193"/>
      <c r="S1367" s="194"/>
      <c r="T1367" s="195">
        <f t="shared" si="174"/>
        <v>0</v>
      </c>
      <c r="U1367" s="195">
        <f t="shared" si="175"/>
        <v>0</v>
      </c>
      <c r="V1367" s="195">
        <f t="shared" si="176"/>
        <v>0</v>
      </c>
      <c r="W1367" s="196" t="e">
        <f t="shared" si="177"/>
        <v>#DIV/0!</v>
      </c>
      <c r="X1367" s="197" t="e">
        <f t="shared" si="178"/>
        <v>#DIV/0!</v>
      </c>
    </row>
    <row r="1368" ht="11.4" hidden="1" customHeight="1" spans="1:24">
      <c r="A1368" s="184" t="s">
        <v>3102</v>
      </c>
      <c r="B1368" s="184" t="s">
        <v>153</v>
      </c>
      <c r="C1368" s="184" t="s">
        <v>905</v>
      </c>
      <c r="D1368" s="185" t="s">
        <v>700</v>
      </c>
      <c r="E1368" s="186" t="s">
        <v>2956</v>
      </c>
      <c r="F1368" s="186" t="s">
        <v>3036</v>
      </c>
      <c r="G1368" s="186" t="s">
        <v>3036</v>
      </c>
      <c r="H1368" s="186" t="s">
        <v>3099</v>
      </c>
      <c r="I1368" s="187" t="s">
        <v>3105</v>
      </c>
      <c r="J1368" s="187" t="s">
        <v>3106</v>
      </c>
      <c r="K1368" s="188"/>
      <c r="L1368" s="188"/>
      <c r="M1368" s="189" t="s">
        <v>2308</v>
      </c>
      <c r="N1368" s="190">
        <v>1379.39</v>
      </c>
      <c r="O1368" s="190">
        <f t="shared" si="171"/>
        <v>1503.54</v>
      </c>
      <c r="P1368" s="191">
        <f t="shared" si="172"/>
        <v>0</v>
      </c>
      <c r="Q1368" s="192">
        <f t="shared" si="173"/>
        <v>0</v>
      </c>
      <c r="R1368" s="193"/>
      <c r="S1368" s="194"/>
      <c r="T1368" s="195">
        <f t="shared" si="174"/>
        <v>0</v>
      </c>
      <c r="U1368" s="195">
        <f t="shared" si="175"/>
        <v>0</v>
      </c>
      <c r="V1368" s="195">
        <f t="shared" si="176"/>
        <v>0</v>
      </c>
      <c r="W1368" s="196" t="e">
        <f t="shared" si="177"/>
        <v>#DIV/0!</v>
      </c>
      <c r="X1368" s="197" t="e">
        <f t="shared" si="178"/>
        <v>#DIV/0!</v>
      </c>
    </row>
    <row r="1369" ht="11.4" hidden="1" customHeight="1" spans="1:24">
      <c r="A1369" s="184" t="s">
        <v>3102</v>
      </c>
      <c r="B1369" s="184" t="s">
        <v>153</v>
      </c>
      <c r="C1369" s="184" t="s">
        <v>905</v>
      </c>
      <c r="D1369" s="185" t="s">
        <v>700</v>
      </c>
      <c r="E1369" s="186" t="s">
        <v>2956</v>
      </c>
      <c r="F1369" s="186" t="s">
        <v>3036</v>
      </c>
      <c r="G1369" s="186" t="s">
        <v>3036</v>
      </c>
      <c r="H1369" s="186" t="s">
        <v>3099</v>
      </c>
      <c r="I1369" s="187" t="s">
        <v>2386</v>
      </c>
      <c r="J1369" s="187" t="s">
        <v>2387</v>
      </c>
      <c r="K1369" s="188"/>
      <c r="L1369" s="188"/>
      <c r="M1369" s="189" t="s">
        <v>2308</v>
      </c>
      <c r="N1369" s="190">
        <v>243.65</v>
      </c>
      <c r="O1369" s="190">
        <f t="shared" si="171"/>
        <v>265.58</v>
      </c>
      <c r="P1369" s="191">
        <f t="shared" si="172"/>
        <v>0</v>
      </c>
      <c r="Q1369" s="192">
        <f t="shared" si="173"/>
        <v>0</v>
      </c>
      <c r="R1369" s="193"/>
      <c r="S1369" s="194"/>
      <c r="T1369" s="195">
        <f t="shared" si="174"/>
        <v>0</v>
      </c>
      <c r="U1369" s="195">
        <f t="shared" si="175"/>
        <v>0</v>
      </c>
      <c r="V1369" s="195">
        <f t="shared" si="176"/>
        <v>0</v>
      </c>
      <c r="W1369" s="196" t="e">
        <f t="shared" si="177"/>
        <v>#DIV/0!</v>
      </c>
      <c r="X1369" s="197" t="e">
        <f t="shared" si="178"/>
        <v>#DIV/0!</v>
      </c>
    </row>
    <row r="1370" ht="11.4" hidden="1" customHeight="1" spans="1:24">
      <c r="A1370" s="184" t="s">
        <v>3102</v>
      </c>
      <c r="B1370" s="184" t="s">
        <v>153</v>
      </c>
      <c r="C1370" s="184" t="s">
        <v>905</v>
      </c>
      <c r="D1370" s="185" t="s">
        <v>700</v>
      </c>
      <c r="E1370" s="186" t="s">
        <v>2956</v>
      </c>
      <c r="F1370" s="186" t="s">
        <v>3036</v>
      </c>
      <c r="G1370" s="186" t="s">
        <v>3036</v>
      </c>
      <c r="H1370" s="186" t="s">
        <v>3099</v>
      </c>
      <c r="I1370" s="187" t="s">
        <v>3107</v>
      </c>
      <c r="J1370" s="187" t="s">
        <v>3108</v>
      </c>
      <c r="K1370" s="188"/>
      <c r="L1370" s="188"/>
      <c r="M1370" s="189" t="s">
        <v>2308</v>
      </c>
      <c r="N1370" s="190">
        <v>314.05</v>
      </c>
      <c r="O1370" s="190">
        <f t="shared" si="171"/>
        <v>342.31</v>
      </c>
      <c r="P1370" s="191">
        <f t="shared" si="172"/>
        <v>0</v>
      </c>
      <c r="Q1370" s="192">
        <f t="shared" si="173"/>
        <v>0</v>
      </c>
      <c r="R1370" s="193"/>
      <c r="S1370" s="194"/>
      <c r="T1370" s="195">
        <f t="shared" si="174"/>
        <v>0</v>
      </c>
      <c r="U1370" s="195">
        <f t="shared" si="175"/>
        <v>0</v>
      </c>
      <c r="V1370" s="195">
        <f t="shared" si="176"/>
        <v>0</v>
      </c>
      <c r="W1370" s="196" t="e">
        <f t="shared" si="177"/>
        <v>#DIV/0!</v>
      </c>
      <c r="X1370" s="197" t="e">
        <f t="shared" si="178"/>
        <v>#DIV/0!</v>
      </c>
    </row>
    <row r="1371" ht="11.4" hidden="1" customHeight="1" spans="1:24">
      <c r="A1371" s="184" t="s">
        <v>3102</v>
      </c>
      <c r="B1371" s="184" t="s">
        <v>153</v>
      </c>
      <c r="C1371" s="184" t="s">
        <v>905</v>
      </c>
      <c r="D1371" s="185" t="s">
        <v>700</v>
      </c>
      <c r="E1371" s="186" t="s">
        <v>2956</v>
      </c>
      <c r="F1371" s="186" t="s">
        <v>3036</v>
      </c>
      <c r="G1371" s="186" t="s">
        <v>3036</v>
      </c>
      <c r="H1371" s="186" t="s">
        <v>3099</v>
      </c>
      <c r="I1371" s="187" t="s">
        <v>3109</v>
      </c>
      <c r="J1371" s="187" t="s">
        <v>3110</v>
      </c>
      <c r="K1371" s="188"/>
      <c r="L1371" s="188"/>
      <c r="M1371" s="189" t="s">
        <v>2308</v>
      </c>
      <c r="N1371" s="190">
        <v>152.75</v>
      </c>
      <c r="O1371" s="190">
        <f t="shared" si="171"/>
        <v>166.5</v>
      </c>
      <c r="P1371" s="191">
        <f t="shared" si="172"/>
        <v>0</v>
      </c>
      <c r="Q1371" s="192">
        <f t="shared" si="173"/>
        <v>0</v>
      </c>
      <c r="R1371" s="193"/>
      <c r="S1371" s="194"/>
      <c r="T1371" s="195">
        <f t="shared" si="174"/>
        <v>0</v>
      </c>
      <c r="U1371" s="195">
        <f t="shared" si="175"/>
        <v>0</v>
      </c>
      <c r="V1371" s="195">
        <f t="shared" si="176"/>
        <v>0</v>
      </c>
      <c r="W1371" s="196" t="e">
        <f t="shared" si="177"/>
        <v>#DIV/0!</v>
      </c>
      <c r="X1371" s="197" t="e">
        <f t="shared" si="178"/>
        <v>#DIV/0!</v>
      </c>
    </row>
    <row r="1372" ht="11.4" hidden="1" customHeight="1" spans="1:24">
      <c r="A1372" s="184" t="s">
        <v>3102</v>
      </c>
      <c r="B1372" s="184" t="s">
        <v>153</v>
      </c>
      <c r="C1372" s="184" t="s">
        <v>905</v>
      </c>
      <c r="D1372" s="185" t="s">
        <v>700</v>
      </c>
      <c r="E1372" s="186" t="s">
        <v>2956</v>
      </c>
      <c r="F1372" s="186" t="s">
        <v>3036</v>
      </c>
      <c r="G1372" s="186" t="s">
        <v>3036</v>
      </c>
      <c r="H1372" s="186" t="s">
        <v>3099</v>
      </c>
      <c r="I1372" s="187" t="s">
        <v>2396</v>
      </c>
      <c r="J1372" s="187" t="s">
        <v>2397</v>
      </c>
      <c r="K1372" s="188"/>
      <c r="L1372" s="188"/>
      <c r="M1372" s="189" t="s">
        <v>807</v>
      </c>
      <c r="N1372" s="190">
        <v>27.67</v>
      </c>
      <c r="O1372" s="190">
        <f t="shared" si="171"/>
        <v>30.16</v>
      </c>
      <c r="P1372" s="191">
        <f t="shared" si="172"/>
        <v>0</v>
      </c>
      <c r="Q1372" s="192">
        <f t="shared" si="173"/>
        <v>0</v>
      </c>
      <c r="R1372" s="193"/>
      <c r="S1372" s="194"/>
      <c r="T1372" s="195">
        <f t="shared" si="174"/>
        <v>0</v>
      </c>
      <c r="U1372" s="195">
        <f t="shared" si="175"/>
        <v>0</v>
      </c>
      <c r="V1372" s="195">
        <f t="shared" si="176"/>
        <v>0</v>
      </c>
      <c r="W1372" s="196" t="e">
        <f t="shared" si="177"/>
        <v>#DIV/0!</v>
      </c>
      <c r="X1372" s="197" t="e">
        <f t="shared" si="178"/>
        <v>#DIV/0!</v>
      </c>
    </row>
    <row r="1373" ht="11.4" hidden="1" customHeight="1" spans="1:24">
      <c r="A1373" s="184" t="s">
        <v>3102</v>
      </c>
      <c r="B1373" s="184" t="s">
        <v>153</v>
      </c>
      <c r="C1373" s="184" t="s">
        <v>905</v>
      </c>
      <c r="D1373" s="185" t="s">
        <v>700</v>
      </c>
      <c r="E1373" s="186" t="s">
        <v>2956</v>
      </c>
      <c r="F1373" s="186" t="s">
        <v>3036</v>
      </c>
      <c r="G1373" s="186" t="s">
        <v>3036</v>
      </c>
      <c r="H1373" s="186" t="s">
        <v>3099</v>
      </c>
      <c r="I1373" s="187" t="s">
        <v>2415</v>
      </c>
      <c r="J1373" s="187" t="s">
        <v>2416</v>
      </c>
      <c r="K1373" s="188"/>
      <c r="L1373" s="188"/>
      <c r="M1373" s="189" t="s">
        <v>847</v>
      </c>
      <c r="N1373" s="190">
        <v>179.04</v>
      </c>
      <c r="O1373" s="190">
        <f t="shared" si="171"/>
        <v>195.15</v>
      </c>
      <c r="P1373" s="191">
        <f t="shared" si="172"/>
        <v>0</v>
      </c>
      <c r="Q1373" s="192">
        <f t="shared" si="173"/>
        <v>0</v>
      </c>
      <c r="R1373" s="193"/>
      <c r="S1373" s="194"/>
      <c r="T1373" s="195">
        <f t="shared" si="174"/>
        <v>0</v>
      </c>
      <c r="U1373" s="195">
        <f t="shared" si="175"/>
        <v>0</v>
      </c>
      <c r="V1373" s="195">
        <f t="shared" si="176"/>
        <v>0</v>
      </c>
      <c r="W1373" s="196" t="e">
        <f t="shared" si="177"/>
        <v>#DIV/0!</v>
      </c>
      <c r="X1373" s="197" t="e">
        <f t="shared" si="178"/>
        <v>#DIV/0!</v>
      </c>
    </row>
    <row r="1374" ht="11.4" hidden="1" customHeight="1" spans="1:24">
      <c r="A1374" s="184" t="s">
        <v>3102</v>
      </c>
      <c r="B1374" s="184" t="s">
        <v>153</v>
      </c>
      <c r="C1374" s="184" t="s">
        <v>905</v>
      </c>
      <c r="D1374" s="185" t="s">
        <v>700</v>
      </c>
      <c r="E1374" s="186" t="s">
        <v>2956</v>
      </c>
      <c r="F1374" s="186" t="s">
        <v>3036</v>
      </c>
      <c r="G1374" s="186" t="s">
        <v>3036</v>
      </c>
      <c r="H1374" s="186" t="s">
        <v>3099</v>
      </c>
      <c r="I1374" s="187" t="s">
        <v>2418</v>
      </c>
      <c r="J1374" s="187" t="s">
        <v>2419</v>
      </c>
      <c r="K1374" s="188"/>
      <c r="L1374" s="188"/>
      <c r="M1374" s="189" t="s">
        <v>847</v>
      </c>
      <c r="N1374" s="190">
        <v>205.44</v>
      </c>
      <c r="O1374" s="190">
        <f t="shared" si="171"/>
        <v>223.93</v>
      </c>
      <c r="P1374" s="191">
        <f t="shared" si="172"/>
        <v>0</v>
      </c>
      <c r="Q1374" s="192">
        <f t="shared" si="173"/>
        <v>0</v>
      </c>
      <c r="R1374" s="193"/>
      <c r="S1374" s="194"/>
      <c r="T1374" s="195">
        <f t="shared" si="174"/>
        <v>0</v>
      </c>
      <c r="U1374" s="195">
        <f t="shared" si="175"/>
        <v>0</v>
      </c>
      <c r="V1374" s="195">
        <f t="shared" si="176"/>
        <v>0</v>
      </c>
      <c r="W1374" s="196" t="e">
        <f t="shared" si="177"/>
        <v>#DIV/0!</v>
      </c>
      <c r="X1374" s="197" t="e">
        <f t="shared" si="178"/>
        <v>#DIV/0!</v>
      </c>
    </row>
    <row r="1375" ht="11.4" hidden="1" customHeight="1" spans="1:24">
      <c r="A1375" s="184" t="s">
        <v>3102</v>
      </c>
      <c r="B1375" s="184" t="s">
        <v>153</v>
      </c>
      <c r="C1375" s="184" t="s">
        <v>905</v>
      </c>
      <c r="D1375" s="185" t="s">
        <v>700</v>
      </c>
      <c r="E1375" s="186" t="s">
        <v>2956</v>
      </c>
      <c r="F1375" s="186" t="s">
        <v>3036</v>
      </c>
      <c r="G1375" s="186" t="s">
        <v>3036</v>
      </c>
      <c r="H1375" s="186" t="s">
        <v>3099</v>
      </c>
      <c r="I1375" s="187" t="s">
        <v>2422</v>
      </c>
      <c r="J1375" s="187" t="s">
        <v>2423</v>
      </c>
      <c r="K1375" s="188"/>
      <c r="L1375" s="188"/>
      <c r="M1375" s="189" t="s">
        <v>847</v>
      </c>
      <c r="N1375" s="190">
        <v>179.04</v>
      </c>
      <c r="O1375" s="190">
        <f t="shared" si="171"/>
        <v>195.15</v>
      </c>
      <c r="P1375" s="191">
        <f t="shared" si="172"/>
        <v>0</v>
      </c>
      <c r="Q1375" s="192">
        <f t="shared" si="173"/>
        <v>0</v>
      </c>
      <c r="R1375" s="193"/>
      <c r="S1375" s="194"/>
      <c r="T1375" s="195">
        <f t="shared" si="174"/>
        <v>0</v>
      </c>
      <c r="U1375" s="195">
        <f t="shared" si="175"/>
        <v>0</v>
      </c>
      <c r="V1375" s="195">
        <f t="shared" si="176"/>
        <v>0</v>
      </c>
      <c r="W1375" s="196" t="e">
        <f t="shared" si="177"/>
        <v>#DIV/0!</v>
      </c>
      <c r="X1375" s="197" t="e">
        <f t="shared" si="178"/>
        <v>#DIV/0!</v>
      </c>
    </row>
    <row r="1376" ht="11.4" hidden="1" customHeight="1" spans="1:24">
      <c r="A1376" s="184" t="s">
        <v>3102</v>
      </c>
      <c r="B1376" s="184" t="s">
        <v>153</v>
      </c>
      <c r="C1376" s="184" t="s">
        <v>905</v>
      </c>
      <c r="D1376" s="185" t="s">
        <v>700</v>
      </c>
      <c r="E1376" s="186" t="s">
        <v>2956</v>
      </c>
      <c r="F1376" s="186" t="s">
        <v>3036</v>
      </c>
      <c r="G1376" s="186" t="s">
        <v>3036</v>
      </c>
      <c r="H1376" s="186" t="s">
        <v>3099</v>
      </c>
      <c r="I1376" s="187" t="s">
        <v>2424</v>
      </c>
      <c r="J1376" s="187" t="s">
        <v>2425</v>
      </c>
      <c r="K1376" s="188"/>
      <c r="L1376" s="188"/>
      <c r="M1376" s="189" t="s">
        <v>847</v>
      </c>
      <c r="N1376" s="190">
        <v>205.44</v>
      </c>
      <c r="O1376" s="190">
        <f t="shared" si="171"/>
        <v>223.93</v>
      </c>
      <c r="P1376" s="191">
        <f t="shared" si="172"/>
        <v>0</v>
      </c>
      <c r="Q1376" s="192">
        <f t="shared" si="173"/>
        <v>0</v>
      </c>
      <c r="R1376" s="193"/>
      <c r="S1376" s="194"/>
      <c r="T1376" s="195">
        <f t="shared" si="174"/>
        <v>0</v>
      </c>
      <c r="U1376" s="195">
        <f t="shared" si="175"/>
        <v>0</v>
      </c>
      <c r="V1376" s="195">
        <f t="shared" si="176"/>
        <v>0</v>
      </c>
      <c r="W1376" s="196" t="e">
        <f t="shared" si="177"/>
        <v>#DIV/0!</v>
      </c>
      <c r="X1376" s="197" t="e">
        <f t="shared" si="178"/>
        <v>#DIV/0!</v>
      </c>
    </row>
    <row r="1377" ht="11.4" hidden="1" customHeight="1" spans="1:24">
      <c r="A1377" s="184" t="s">
        <v>3102</v>
      </c>
      <c r="B1377" s="184" t="s">
        <v>153</v>
      </c>
      <c r="C1377" s="184" t="s">
        <v>905</v>
      </c>
      <c r="D1377" s="185" t="s">
        <v>700</v>
      </c>
      <c r="E1377" s="186" t="s">
        <v>2956</v>
      </c>
      <c r="F1377" s="186" t="s">
        <v>3036</v>
      </c>
      <c r="G1377" s="186" t="s">
        <v>3036</v>
      </c>
      <c r="H1377" s="186" t="s">
        <v>3099</v>
      </c>
      <c r="I1377" s="187" t="s">
        <v>2426</v>
      </c>
      <c r="J1377" s="187" t="s">
        <v>2427</v>
      </c>
      <c r="K1377" s="188"/>
      <c r="L1377" s="188"/>
      <c r="M1377" s="189" t="s">
        <v>847</v>
      </c>
      <c r="N1377" s="190">
        <v>156.31</v>
      </c>
      <c r="O1377" s="190">
        <f t="shared" si="171"/>
        <v>170.38</v>
      </c>
      <c r="P1377" s="191">
        <f t="shared" si="172"/>
        <v>0</v>
      </c>
      <c r="Q1377" s="192">
        <f t="shared" si="173"/>
        <v>0</v>
      </c>
      <c r="R1377" s="193"/>
      <c r="S1377" s="194"/>
      <c r="T1377" s="195">
        <f t="shared" si="174"/>
        <v>0</v>
      </c>
      <c r="U1377" s="195">
        <f t="shared" si="175"/>
        <v>0</v>
      </c>
      <c r="V1377" s="195">
        <f t="shared" si="176"/>
        <v>0</v>
      </c>
      <c r="W1377" s="196" t="e">
        <f t="shared" si="177"/>
        <v>#DIV/0!</v>
      </c>
      <c r="X1377" s="197" t="e">
        <f t="shared" si="178"/>
        <v>#DIV/0!</v>
      </c>
    </row>
    <row r="1378" ht="11.4" hidden="1" customHeight="1" spans="1:24">
      <c r="A1378" s="184" t="s">
        <v>3102</v>
      </c>
      <c r="B1378" s="184" t="s">
        <v>153</v>
      </c>
      <c r="C1378" s="184" t="s">
        <v>905</v>
      </c>
      <c r="D1378" s="185" t="s">
        <v>700</v>
      </c>
      <c r="E1378" s="186" t="s">
        <v>2956</v>
      </c>
      <c r="F1378" s="186" t="s">
        <v>3036</v>
      </c>
      <c r="G1378" s="186" t="s">
        <v>3036</v>
      </c>
      <c r="H1378" s="186" t="s">
        <v>3099</v>
      </c>
      <c r="I1378" s="187" t="s">
        <v>2440</v>
      </c>
      <c r="J1378" s="187" t="s">
        <v>2441</v>
      </c>
      <c r="K1378" s="188"/>
      <c r="L1378" s="188"/>
      <c r="M1378" s="189" t="s">
        <v>963</v>
      </c>
      <c r="N1378" s="190">
        <v>1315.9</v>
      </c>
      <c r="O1378" s="190">
        <f t="shared" si="171"/>
        <v>1434.33</v>
      </c>
      <c r="P1378" s="191">
        <f t="shared" si="172"/>
        <v>0</v>
      </c>
      <c r="Q1378" s="192">
        <f t="shared" si="173"/>
        <v>0</v>
      </c>
      <c r="R1378" s="193"/>
      <c r="S1378" s="194"/>
      <c r="T1378" s="195">
        <f t="shared" si="174"/>
        <v>0</v>
      </c>
      <c r="U1378" s="195">
        <f t="shared" si="175"/>
        <v>0</v>
      </c>
      <c r="V1378" s="195">
        <f t="shared" si="176"/>
        <v>0</v>
      </c>
      <c r="W1378" s="196" t="e">
        <f t="shared" si="177"/>
        <v>#DIV/0!</v>
      </c>
      <c r="X1378" s="197" t="e">
        <f t="shared" si="178"/>
        <v>#DIV/0!</v>
      </c>
    </row>
    <row r="1379" ht="11.4" hidden="1" customHeight="1" spans="1:24">
      <c r="A1379" s="184" t="s">
        <v>3102</v>
      </c>
      <c r="B1379" s="184" t="s">
        <v>153</v>
      </c>
      <c r="C1379" s="184" t="s">
        <v>905</v>
      </c>
      <c r="D1379" s="185" t="s">
        <v>700</v>
      </c>
      <c r="E1379" s="186" t="s">
        <v>2956</v>
      </c>
      <c r="F1379" s="186" t="s">
        <v>3036</v>
      </c>
      <c r="G1379" s="186" t="s">
        <v>3036</v>
      </c>
      <c r="H1379" s="186" t="s">
        <v>3099</v>
      </c>
      <c r="I1379" s="187" t="s">
        <v>2480</v>
      </c>
      <c r="J1379" s="187" t="s">
        <v>2481</v>
      </c>
      <c r="K1379" s="188"/>
      <c r="L1379" s="188"/>
      <c r="M1379" s="189" t="s">
        <v>963</v>
      </c>
      <c r="N1379" s="190">
        <v>418.43</v>
      </c>
      <c r="O1379" s="190">
        <f t="shared" si="171"/>
        <v>456.09</v>
      </c>
      <c r="P1379" s="191">
        <f t="shared" si="172"/>
        <v>0</v>
      </c>
      <c r="Q1379" s="192">
        <f t="shared" si="173"/>
        <v>0</v>
      </c>
      <c r="R1379" s="193"/>
      <c r="S1379" s="194"/>
      <c r="T1379" s="195">
        <f t="shared" si="174"/>
        <v>0</v>
      </c>
      <c r="U1379" s="195">
        <f t="shared" si="175"/>
        <v>0</v>
      </c>
      <c r="V1379" s="195">
        <f t="shared" si="176"/>
        <v>0</v>
      </c>
      <c r="W1379" s="196" t="e">
        <f t="shared" si="177"/>
        <v>#DIV/0!</v>
      </c>
      <c r="X1379" s="197" t="e">
        <f t="shared" si="178"/>
        <v>#DIV/0!</v>
      </c>
    </row>
    <row r="1380" ht="11.4" hidden="1" customHeight="1" spans="1:24">
      <c r="A1380" s="184" t="s">
        <v>3102</v>
      </c>
      <c r="B1380" s="184" t="s">
        <v>153</v>
      </c>
      <c r="C1380" s="184" t="s">
        <v>905</v>
      </c>
      <c r="D1380" s="185" t="s">
        <v>700</v>
      </c>
      <c r="E1380" s="186" t="s">
        <v>2956</v>
      </c>
      <c r="F1380" s="186" t="s">
        <v>3036</v>
      </c>
      <c r="G1380" s="186" t="s">
        <v>3036</v>
      </c>
      <c r="H1380" s="186" t="s">
        <v>3099</v>
      </c>
      <c r="I1380" s="187" t="s">
        <v>2482</v>
      </c>
      <c r="J1380" s="187" t="s">
        <v>2483</v>
      </c>
      <c r="K1380" s="188"/>
      <c r="L1380" s="188"/>
      <c r="M1380" s="189" t="s">
        <v>963</v>
      </c>
      <c r="N1380" s="190">
        <v>360.13</v>
      </c>
      <c r="O1380" s="190">
        <f t="shared" si="171"/>
        <v>392.54</v>
      </c>
      <c r="P1380" s="191">
        <f t="shared" si="172"/>
        <v>0</v>
      </c>
      <c r="Q1380" s="192">
        <f t="shared" si="173"/>
        <v>0</v>
      </c>
      <c r="R1380" s="193"/>
      <c r="S1380" s="194"/>
      <c r="T1380" s="195">
        <f t="shared" si="174"/>
        <v>0</v>
      </c>
      <c r="U1380" s="195">
        <f t="shared" si="175"/>
        <v>0</v>
      </c>
      <c r="V1380" s="195">
        <f t="shared" si="176"/>
        <v>0</v>
      </c>
      <c r="W1380" s="196" t="e">
        <f t="shared" si="177"/>
        <v>#DIV/0!</v>
      </c>
      <c r="X1380" s="197" t="e">
        <f t="shared" si="178"/>
        <v>#DIV/0!</v>
      </c>
    </row>
    <row r="1381" ht="11.4" hidden="1" customHeight="1" spans="1:24">
      <c r="A1381" s="184" t="s">
        <v>3102</v>
      </c>
      <c r="B1381" s="184" t="s">
        <v>153</v>
      </c>
      <c r="C1381" s="184" t="s">
        <v>905</v>
      </c>
      <c r="D1381" s="185" t="s">
        <v>700</v>
      </c>
      <c r="E1381" s="186" t="s">
        <v>2956</v>
      </c>
      <c r="F1381" s="186" t="s">
        <v>3036</v>
      </c>
      <c r="G1381" s="186" t="s">
        <v>3036</v>
      </c>
      <c r="H1381" s="186" t="s">
        <v>3099</v>
      </c>
      <c r="I1381" s="187" t="s">
        <v>2484</v>
      </c>
      <c r="J1381" s="187" t="s">
        <v>2485</v>
      </c>
      <c r="K1381" s="188"/>
      <c r="L1381" s="188"/>
      <c r="M1381" s="189" t="s">
        <v>963</v>
      </c>
      <c r="N1381" s="190">
        <v>297.43</v>
      </c>
      <c r="O1381" s="190">
        <f t="shared" si="171"/>
        <v>324.2</v>
      </c>
      <c r="P1381" s="191">
        <f t="shared" si="172"/>
        <v>0</v>
      </c>
      <c r="Q1381" s="192">
        <f t="shared" si="173"/>
        <v>0</v>
      </c>
      <c r="R1381" s="193"/>
      <c r="S1381" s="194"/>
      <c r="T1381" s="195">
        <f t="shared" si="174"/>
        <v>0</v>
      </c>
      <c r="U1381" s="195">
        <f t="shared" si="175"/>
        <v>0</v>
      </c>
      <c r="V1381" s="195">
        <f t="shared" si="176"/>
        <v>0</v>
      </c>
      <c r="W1381" s="196" t="e">
        <f t="shared" si="177"/>
        <v>#DIV/0!</v>
      </c>
      <c r="X1381" s="197" t="e">
        <f t="shared" si="178"/>
        <v>#DIV/0!</v>
      </c>
    </row>
    <row r="1382" ht="11.4" hidden="1" customHeight="1" spans="1:24">
      <c r="A1382" s="184" t="s">
        <v>3102</v>
      </c>
      <c r="B1382" s="184" t="s">
        <v>153</v>
      </c>
      <c r="C1382" s="184" t="s">
        <v>905</v>
      </c>
      <c r="D1382" s="185" t="s">
        <v>700</v>
      </c>
      <c r="E1382" s="186" t="s">
        <v>2956</v>
      </c>
      <c r="F1382" s="186" t="s">
        <v>3036</v>
      </c>
      <c r="G1382" s="186" t="s">
        <v>3036</v>
      </c>
      <c r="H1382" s="186" t="s">
        <v>3099</v>
      </c>
      <c r="I1382" s="187" t="s">
        <v>2492</v>
      </c>
      <c r="J1382" s="187" t="s">
        <v>2493</v>
      </c>
      <c r="K1382" s="188"/>
      <c r="L1382" s="188"/>
      <c r="M1382" s="189" t="s">
        <v>807</v>
      </c>
      <c r="N1382" s="190">
        <v>212.29</v>
      </c>
      <c r="O1382" s="190">
        <f t="shared" si="171"/>
        <v>231.4</v>
      </c>
      <c r="P1382" s="191">
        <f t="shared" si="172"/>
        <v>0</v>
      </c>
      <c r="Q1382" s="192">
        <f t="shared" si="173"/>
        <v>0</v>
      </c>
      <c r="R1382" s="193"/>
      <c r="S1382" s="194"/>
      <c r="T1382" s="195">
        <f t="shared" si="174"/>
        <v>0</v>
      </c>
      <c r="U1382" s="195">
        <f t="shared" si="175"/>
        <v>0</v>
      </c>
      <c r="V1382" s="195">
        <f t="shared" si="176"/>
        <v>0</v>
      </c>
      <c r="W1382" s="196" t="e">
        <f t="shared" si="177"/>
        <v>#DIV/0!</v>
      </c>
      <c r="X1382" s="197" t="e">
        <f t="shared" si="178"/>
        <v>#DIV/0!</v>
      </c>
    </row>
    <row r="1383" ht="11.4" hidden="1" customHeight="1" spans="1:24">
      <c r="A1383" s="184" t="s">
        <v>3102</v>
      </c>
      <c r="B1383" s="184" t="s">
        <v>153</v>
      </c>
      <c r="C1383" s="184" t="s">
        <v>905</v>
      </c>
      <c r="D1383" s="185" t="s">
        <v>700</v>
      </c>
      <c r="E1383" s="186" t="s">
        <v>2956</v>
      </c>
      <c r="F1383" s="186" t="s">
        <v>3036</v>
      </c>
      <c r="G1383" s="186" t="s">
        <v>3036</v>
      </c>
      <c r="H1383" s="186" t="s">
        <v>3099</v>
      </c>
      <c r="I1383" s="187" t="s">
        <v>2499</v>
      </c>
      <c r="J1383" s="187" t="s">
        <v>2500</v>
      </c>
      <c r="K1383" s="188"/>
      <c r="L1383" s="188"/>
      <c r="M1383" s="189" t="s">
        <v>963</v>
      </c>
      <c r="N1383" s="190">
        <v>430.53</v>
      </c>
      <c r="O1383" s="190">
        <f t="shared" si="171"/>
        <v>469.28</v>
      </c>
      <c r="P1383" s="191">
        <f t="shared" si="172"/>
        <v>0</v>
      </c>
      <c r="Q1383" s="192">
        <f t="shared" si="173"/>
        <v>0</v>
      </c>
      <c r="R1383" s="193"/>
      <c r="S1383" s="194"/>
      <c r="T1383" s="195">
        <f t="shared" si="174"/>
        <v>0</v>
      </c>
      <c r="U1383" s="195">
        <f t="shared" si="175"/>
        <v>0</v>
      </c>
      <c r="V1383" s="195">
        <f t="shared" si="176"/>
        <v>0</v>
      </c>
      <c r="W1383" s="196" t="e">
        <f t="shared" si="177"/>
        <v>#DIV/0!</v>
      </c>
      <c r="X1383" s="197" t="e">
        <f t="shared" si="178"/>
        <v>#DIV/0!</v>
      </c>
    </row>
    <row r="1384" ht="11.4" hidden="1" customHeight="1" spans="1:24">
      <c r="A1384" s="184" t="s">
        <v>3102</v>
      </c>
      <c r="B1384" s="184" t="s">
        <v>153</v>
      </c>
      <c r="C1384" s="184" t="s">
        <v>905</v>
      </c>
      <c r="D1384" s="185" t="s">
        <v>700</v>
      </c>
      <c r="E1384" s="186" t="s">
        <v>2956</v>
      </c>
      <c r="F1384" s="186" t="s">
        <v>3036</v>
      </c>
      <c r="G1384" s="186" t="s">
        <v>3036</v>
      </c>
      <c r="H1384" s="186" t="s">
        <v>3099</v>
      </c>
      <c r="I1384" s="187" t="s">
        <v>2503</v>
      </c>
      <c r="J1384" s="187" t="s">
        <v>2504</v>
      </c>
      <c r="K1384" s="188"/>
      <c r="L1384" s="188"/>
      <c r="M1384" s="189" t="s">
        <v>963</v>
      </c>
      <c r="N1384" s="190">
        <v>358.38</v>
      </c>
      <c r="O1384" s="190">
        <f t="shared" si="171"/>
        <v>390.63</v>
      </c>
      <c r="P1384" s="191">
        <f t="shared" si="172"/>
        <v>0</v>
      </c>
      <c r="Q1384" s="192">
        <f t="shared" si="173"/>
        <v>0</v>
      </c>
      <c r="R1384" s="193"/>
      <c r="S1384" s="194"/>
      <c r="T1384" s="195">
        <f t="shared" si="174"/>
        <v>0</v>
      </c>
      <c r="U1384" s="195">
        <f t="shared" si="175"/>
        <v>0</v>
      </c>
      <c r="V1384" s="195">
        <f t="shared" si="176"/>
        <v>0</v>
      </c>
      <c r="W1384" s="196" t="e">
        <f t="shared" si="177"/>
        <v>#DIV/0!</v>
      </c>
      <c r="X1384" s="197" t="e">
        <f t="shared" si="178"/>
        <v>#DIV/0!</v>
      </c>
    </row>
    <row r="1385" ht="11.4" hidden="1" customHeight="1" spans="1:24">
      <c r="A1385" s="184" t="s">
        <v>3102</v>
      </c>
      <c r="B1385" s="184" t="s">
        <v>153</v>
      </c>
      <c r="C1385" s="184" t="s">
        <v>905</v>
      </c>
      <c r="D1385" s="185" t="s">
        <v>700</v>
      </c>
      <c r="E1385" s="186" t="s">
        <v>2956</v>
      </c>
      <c r="F1385" s="186" t="s">
        <v>3036</v>
      </c>
      <c r="G1385" s="186" t="s">
        <v>3036</v>
      </c>
      <c r="H1385" s="186" t="s">
        <v>3099</v>
      </c>
      <c r="I1385" s="187" t="s">
        <v>2508</v>
      </c>
      <c r="J1385" s="187" t="s">
        <v>2509</v>
      </c>
      <c r="K1385" s="188"/>
      <c r="L1385" s="188"/>
      <c r="M1385" s="189" t="s">
        <v>963</v>
      </c>
      <c r="N1385" s="190">
        <v>368.83</v>
      </c>
      <c r="O1385" s="190">
        <f t="shared" si="171"/>
        <v>402.02</v>
      </c>
      <c r="P1385" s="191">
        <f t="shared" si="172"/>
        <v>0</v>
      </c>
      <c r="Q1385" s="192">
        <f t="shared" si="173"/>
        <v>0</v>
      </c>
      <c r="R1385" s="193"/>
      <c r="S1385" s="194"/>
      <c r="T1385" s="195">
        <f t="shared" si="174"/>
        <v>0</v>
      </c>
      <c r="U1385" s="195">
        <f t="shared" si="175"/>
        <v>0</v>
      </c>
      <c r="V1385" s="195">
        <f t="shared" si="176"/>
        <v>0</v>
      </c>
      <c r="W1385" s="196" t="e">
        <f t="shared" si="177"/>
        <v>#DIV/0!</v>
      </c>
      <c r="X1385" s="197" t="e">
        <f t="shared" si="178"/>
        <v>#DIV/0!</v>
      </c>
    </row>
    <row r="1386" ht="11.4" hidden="1" customHeight="1" spans="1:24">
      <c r="A1386" s="184" t="s">
        <v>3102</v>
      </c>
      <c r="B1386" s="184" t="s">
        <v>153</v>
      </c>
      <c r="C1386" s="184" t="s">
        <v>905</v>
      </c>
      <c r="D1386" s="185" t="s">
        <v>700</v>
      </c>
      <c r="E1386" s="186" t="s">
        <v>2956</v>
      </c>
      <c r="F1386" s="186" t="s">
        <v>3036</v>
      </c>
      <c r="G1386" s="186" t="s">
        <v>3036</v>
      </c>
      <c r="H1386" s="186" t="s">
        <v>3099</v>
      </c>
      <c r="I1386" s="187" t="s">
        <v>2516</v>
      </c>
      <c r="J1386" s="187" t="s">
        <v>2517</v>
      </c>
      <c r="K1386" s="188"/>
      <c r="L1386" s="188"/>
      <c r="M1386" s="189" t="s">
        <v>963</v>
      </c>
      <c r="N1386" s="190">
        <v>232.43</v>
      </c>
      <c r="O1386" s="190">
        <f t="shared" si="171"/>
        <v>253.35</v>
      </c>
      <c r="P1386" s="191">
        <f t="shared" si="172"/>
        <v>0</v>
      </c>
      <c r="Q1386" s="192">
        <f t="shared" si="173"/>
        <v>0</v>
      </c>
      <c r="R1386" s="193"/>
      <c r="S1386" s="194"/>
      <c r="T1386" s="195">
        <f t="shared" si="174"/>
        <v>0</v>
      </c>
      <c r="U1386" s="195">
        <f t="shared" si="175"/>
        <v>0</v>
      </c>
      <c r="V1386" s="195">
        <f t="shared" si="176"/>
        <v>0</v>
      </c>
      <c r="W1386" s="196" t="e">
        <f t="shared" si="177"/>
        <v>#DIV/0!</v>
      </c>
      <c r="X1386" s="197" t="e">
        <f t="shared" si="178"/>
        <v>#DIV/0!</v>
      </c>
    </row>
    <row r="1387" ht="11.4" hidden="1" customHeight="1" spans="1:24">
      <c r="A1387" s="184" t="s">
        <v>3102</v>
      </c>
      <c r="B1387" s="184" t="s">
        <v>153</v>
      </c>
      <c r="C1387" s="184" t="s">
        <v>905</v>
      </c>
      <c r="D1387" s="185" t="s">
        <v>700</v>
      </c>
      <c r="E1387" s="186" t="s">
        <v>2956</v>
      </c>
      <c r="F1387" s="186" t="s">
        <v>3036</v>
      </c>
      <c r="G1387" s="186" t="s">
        <v>3036</v>
      </c>
      <c r="H1387" s="186" t="s">
        <v>3099</v>
      </c>
      <c r="I1387" s="187" t="s">
        <v>2459</v>
      </c>
      <c r="J1387" s="187" t="s">
        <v>2460</v>
      </c>
      <c r="K1387" s="188"/>
      <c r="L1387" s="188"/>
      <c r="M1387" s="189" t="s">
        <v>807</v>
      </c>
      <c r="N1387" s="190">
        <v>122.2</v>
      </c>
      <c r="O1387" s="190">
        <f t="shared" si="171"/>
        <v>133.2</v>
      </c>
      <c r="P1387" s="191">
        <f t="shared" si="172"/>
        <v>0</v>
      </c>
      <c r="Q1387" s="192">
        <f t="shared" si="173"/>
        <v>0</v>
      </c>
      <c r="R1387" s="193"/>
      <c r="S1387" s="194"/>
      <c r="T1387" s="195">
        <f t="shared" si="174"/>
        <v>0</v>
      </c>
      <c r="U1387" s="195">
        <f t="shared" si="175"/>
        <v>0</v>
      </c>
      <c r="V1387" s="195">
        <f t="shared" si="176"/>
        <v>0</v>
      </c>
      <c r="W1387" s="196" t="e">
        <f t="shared" si="177"/>
        <v>#DIV/0!</v>
      </c>
      <c r="X1387" s="197" t="e">
        <f t="shared" si="178"/>
        <v>#DIV/0!</v>
      </c>
    </row>
    <row r="1388" ht="11.4" hidden="1" customHeight="1" spans="1:24">
      <c r="A1388" s="184" t="s">
        <v>3111</v>
      </c>
      <c r="B1388" s="184" t="s">
        <v>188</v>
      </c>
      <c r="C1388" s="184" t="s">
        <v>2644</v>
      </c>
      <c r="D1388" s="185" t="s">
        <v>700</v>
      </c>
      <c r="E1388" s="186" t="s">
        <v>3010</v>
      </c>
      <c r="F1388" s="186" t="s">
        <v>3112</v>
      </c>
      <c r="G1388" s="186" t="s">
        <v>3113</v>
      </c>
      <c r="H1388" s="186" t="s">
        <v>3114</v>
      </c>
      <c r="I1388" s="187" t="s">
        <v>2652</v>
      </c>
      <c r="J1388" s="187" t="s">
        <v>2653</v>
      </c>
      <c r="K1388" s="188"/>
      <c r="L1388" s="188"/>
      <c r="M1388" s="189" t="s">
        <v>847</v>
      </c>
      <c r="N1388" s="190">
        <v>438.66</v>
      </c>
      <c r="O1388" s="190">
        <f t="shared" si="171"/>
        <v>478.14</v>
      </c>
      <c r="P1388" s="191">
        <f t="shared" si="172"/>
        <v>0</v>
      </c>
      <c r="Q1388" s="192">
        <f t="shared" si="173"/>
        <v>0</v>
      </c>
      <c r="R1388" s="193"/>
      <c r="S1388" s="194"/>
      <c r="T1388" s="195">
        <f t="shared" si="174"/>
        <v>0</v>
      </c>
      <c r="U1388" s="195">
        <f t="shared" si="175"/>
        <v>0</v>
      </c>
      <c r="V1388" s="195">
        <f t="shared" si="176"/>
        <v>0</v>
      </c>
      <c r="W1388" s="196" t="e">
        <f t="shared" si="177"/>
        <v>#DIV/0!</v>
      </c>
      <c r="X1388" s="197" t="e">
        <f t="shared" si="178"/>
        <v>#DIV/0!</v>
      </c>
    </row>
    <row r="1389" ht="11.4" hidden="1" customHeight="1" spans="1:24">
      <c r="A1389" s="184" t="s">
        <v>3111</v>
      </c>
      <c r="B1389" s="184" t="s">
        <v>188</v>
      </c>
      <c r="C1389" s="184" t="s">
        <v>2644</v>
      </c>
      <c r="D1389" s="185" t="s">
        <v>700</v>
      </c>
      <c r="E1389" s="186" t="s">
        <v>3010</v>
      </c>
      <c r="F1389" s="186" t="s">
        <v>3112</v>
      </c>
      <c r="G1389" s="186" t="s">
        <v>3113</v>
      </c>
      <c r="H1389" s="186" t="s">
        <v>3114</v>
      </c>
      <c r="I1389" s="187" t="s">
        <v>3023</v>
      </c>
      <c r="J1389" s="187" t="s">
        <v>3024</v>
      </c>
      <c r="K1389" s="188"/>
      <c r="L1389" s="188"/>
      <c r="M1389" s="189" t="s">
        <v>793</v>
      </c>
      <c r="N1389" s="190">
        <v>674.38</v>
      </c>
      <c r="O1389" s="190">
        <f t="shared" si="171"/>
        <v>735.07</v>
      </c>
      <c r="P1389" s="191">
        <f t="shared" si="172"/>
        <v>0</v>
      </c>
      <c r="Q1389" s="192">
        <f t="shared" si="173"/>
        <v>0</v>
      </c>
      <c r="R1389" s="193"/>
      <c r="S1389" s="194"/>
      <c r="T1389" s="195">
        <f t="shared" si="174"/>
        <v>0</v>
      </c>
      <c r="U1389" s="195">
        <f t="shared" si="175"/>
        <v>0</v>
      </c>
      <c r="V1389" s="195">
        <f t="shared" si="176"/>
        <v>0</v>
      </c>
      <c r="W1389" s="196" t="e">
        <f t="shared" si="177"/>
        <v>#DIV/0!</v>
      </c>
      <c r="X1389" s="197" t="e">
        <f t="shared" si="178"/>
        <v>#DIV/0!</v>
      </c>
    </row>
    <row r="1390" ht="11.4" hidden="1" customHeight="1" spans="1:24">
      <c r="A1390" s="184" t="s">
        <v>3111</v>
      </c>
      <c r="B1390" s="184" t="s">
        <v>188</v>
      </c>
      <c r="C1390" s="184" t="s">
        <v>2644</v>
      </c>
      <c r="D1390" s="185" t="s">
        <v>700</v>
      </c>
      <c r="E1390" s="186" t="s">
        <v>3010</v>
      </c>
      <c r="F1390" s="186" t="s">
        <v>3112</v>
      </c>
      <c r="G1390" s="186" t="s">
        <v>3113</v>
      </c>
      <c r="H1390" s="186" t="s">
        <v>3115</v>
      </c>
      <c r="I1390" s="187" t="s">
        <v>3026</v>
      </c>
      <c r="J1390" s="187" t="s">
        <v>3027</v>
      </c>
      <c r="K1390" s="188"/>
      <c r="L1390" s="188"/>
      <c r="M1390" s="189" t="s">
        <v>793</v>
      </c>
      <c r="N1390" s="190">
        <v>761.5</v>
      </c>
      <c r="O1390" s="190">
        <f t="shared" si="171"/>
        <v>830.04</v>
      </c>
      <c r="P1390" s="191">
        <f t="shared" si="172"/>
        <v>0</v>
      </c>
      <c r="Q1390" s="192">
        <f t="shared" si="173"/>
        <v>0</v>
      </c>
      <c r="R1390" s="193"/>
      <c r="S1390" s="194"/>
      <c r="T1390" s="195">
        <f t="shared" si="174"/>
        <v>0</v>
      </c>
      <c r="U1390" s="195">
        <f t="shared" si="175"/>
        <v>0</v>
      </c>
      <c r="V1390" s="195">
        <f t="shared" si="176"/>
        <v>0</v>
      </c>
      <c r="W1390" s="196" t="e">
        <f t="shared" si="177"/>
        <v>#DIV/0!</v>
      </c>
      <c r="X1390" s="197" t="e">
        <f t="shared" si="178"/>
        <v>#DIV/0!</v>
      </c>
    </row>
    <row r="1391" ht="11.4" hidden="1" customHeight="1" spans="1:24">
      <c r="A1391" s="184" t="s">
        <v>3111</v>
      </c>
      <c r="B1391" s="184" t="s">
        <v>188</v>
      </c>
      <c r="C1391" s="184" t="s">
        <v>2644</v>
      </c>
      <c r="D1391" s="185" t="s">
        <v>700</v>
      </c>
      <c r="E1391" s="186" t="s">
        <v>3010</v>
      </c>
      <c r="F1391" s="186" t="s">
        <v>3112</v>
      </c>
      <c r="G1391" s="186" t="s">
        <v>3113</v>
      </c>
      <c r="H1391" s="186" t="s">
        <v>3116</v>
      </c>
      <c r="I1391" s="187" t="s">
        <v>3029</v>
      </c>
      <c r="J1391" s="187" t="s">
        <v>3030</v>
      </c>
      <c r="K1391" s="188"/>
      <c r="L1391" s="188"/>
      <c r="M1391" s="189" t="s">
        <v>793</v>
      </c>
      <c r="N1391" s="190">
        <v>137.5</v>
      </c>
      <c r="O1391" s="190">
        <f t="shared" si="171"/>
        <v>149.88</v>
      </c>
      <c r="P1391" s="191">
        <f t="shared" si="172"/>
        <v>0</v>
      </c>
      <c r="Q1391" s="192">
        <f t="shared" si="173"/>
        <v>0</v>
      </c>
      <c r="R1391" s="193"/>
      <c r="S1391" s="194"/>
      <c r="T1391" s="195">
        <f t="shared" si="174"/>
        <v>0</v>
      </c>
      <c r="U1391" s="195">
        <f t="shared" si="175"/>
        <v>0</v>
      </c>
      <c r="V1391" s="195">
        <f t="shared" si="176"/>
        <v>0</v>
      </c>
      <c r="W1391" s="196" t="e">
        <f t="shared" si="177"/>
        <v>#DIV/0!</v>
      </c>
      <c r="X1391" s="197" t="e">
        <f t="shared" si="178"/>
        <v>#DIV/0!</v>
      </c>
    </row>
    <row r="1392" ht="11.4" hidden="1" customHeight="1" spans="1:24">
      <c r="A1392" s="184" t="s">
        <v>3111</v>
      </c>
      <c r="B1392" s="184" t="s">
        <v>188</v>
      </c>
      <c r="C1392" s="184" t="s">
        <v>2644</v>
      </c>
      <c r="D1392" s="185" t="s">
        <v>700</v>
      </c>
      <c r="E1392" s="186" t="s">
        <v>3010</v>
      </c>
      <c r="F1392" s="186" t="s">
        <v>3112</v>
      </c>
      <c r="G1392" s="186" t="s">
        <v>3113</v>
      </c>
      <c r="H1392" s="186" t="s">
        <v>3116</v>
      </c>
      <c r="I1392" s="187" t="s">
        <v>3033</v>
      </c>
      <c r="J1392" s="187" t="s">
        <v>3034</v>
      </c>
      <c r="K1392" s="188"/>
      <c r="L1392" s="188"/>
      <c r="M1392" s="189" t="s">
        <v>963</v>
      </c>
      <c r="N1392" s="190">
        <v>158.95</v>
      </c>
      <c r="O1392" s="190">
        <f t="shared" si="171"/>
        <v>173.26</v>
      </c>
      <c r="P1392" s="191">
        <f t="shared" si="172"/>
        <v>0</v>
      </c>
      <c r="Q1392" s="192">
        <f t="shared" si="173"/>
        <v>0</v>
      </c>
      <c r="R1392" s="193"/>
      <c r="S1392" s="194"/>
      <c r="T1392" s="195">
        <f t="shared" si="174"/>
        <v>0</v>
      </c>
      <c r="U1392" s="195">
        <f t="shared" si="175"/>
        <v>0</v>
      </c>
      <c r="V1392" s="195">
        <f t="shared" si="176"/>
        <v>0</v>
      </c>
      <c r="W1392" s="196" t="e">
        <f t="shared" si="177"/>
        <v>#DIV/0!</v>
      </c>
      <c r="X1392" s="197" t="e">
        <f t="shared" si="178"/>
        <v>#DIV/0!</v>
      </c>
    </row>
    <row r="1393" ht="11.4" hidden="1" customHeight="1" spans="1:24">
      <c r="A1393" s="184" t="s">
        <v>3111</v>
      </c>
      <c r="B1393" s="184" t="s">
        <v>188</v>
      </c>
      <c r="C1393" s="184" t="s">
        <v>2644</v>
      </c>
      <c r="D1393" s="185" t="s">
        <v>700</v>
      </c>
      <c r="E1393" s="186" t="s">
        <v>3010</v>
      </c>
      <c r="F1393" s="186" t="s">
        <v>3112</v>
      </c>
      <c r="G1393" s="186" t="s">
        <v>3113</v>
      </c>
      <c r="H1393" s="186" t="s">
        <v>3116</v>
      </c>
      <c r="I1393" s="187" t="s">
        <v>3031</v>
      </c>
      <c r="J1393" s="187" t="s">
        <v>3032</v>
      </c>
      <c r="K1393" s="188"/>
      <c r="L1393" s="188"/>
      <c r="M1393" s="189" t="s">
        <v>989</v>
      </c>
      <c r="N1393" s="190">
        <v>1197.5</v>
      </c>
      <c r="O1393" s="190">
        <f t="shared" si="171"/>
        <v>1305.28</v>
      </c>
      <c r="P1393" s="191">
        <f t="shared" si="172"/>
        <v>0</v>
      </c>
      <c r="Q1393" s="192">
        <f t="shared" si="173"/>
        <v>0</v>
      </c>
      <c r="R1393" s="193"/>
      <c r="S1393" s="194"/>
      <c r="T1393" s="195">
        <f t="shared" si="174"/>
        <v>0</v>
      </c>
      <c r="U1393" s="195">
        <f t="shared" si="175"/>
        <v>0</v>
      </c>
      <c r="V1393" s="195">
        <f t="shared" si="176"/>
        <v>0</v>
      </c>
      <c r="W1393" s="196" t="e">
        <f t="shared" si="177"/>
        <v>#DIV/0!</v>
      </c>
      <c r="X1393" s="197" t="e">
        <f t="shared" si="178"/>
        <v>#DIV/0!</v>
      </c>
    </row>
    <row r="1394" ht="11.4" hidden="1" customHeight="1" spans="1:24">
      <c r="A1394" s="184" t="s">
        <v>3117</v>
      </c>
      <c r="B1394" s="184" t="s">
        <v>355</v>
      </c>
      <c r="C1394" s="184" t="s">
        <v>2743</v>
      </c>
      <c r="D1394" s="185" t="s">
        <v>700</v>
      </c>
      <c r="E1394" s="186" t="s">
        <v>3010</v>
      </c>
      <c r="F1394" s="186" t="s">
        <v>3112</v>
      </c>
      <c r="G1394" s="186" t="s">
        <v>3118</v>
      </c>
      <c r="H1394" s="186" t="s">
        <v>3119</v>
      </c>
      <c r="I1394" s="187" t="s">
        <v>3014</v>
      </c>
      <c r="J1394" s="187" t="s">
        <v>3015</v>
      </c>
      <c r="K1394" s="188"/>
      <c r="L1394" s="188"/>
      <c r="M1394" s="189" t="s">
        <v>793</v>
      </c>
      <c r="N1394" s="190">
        <v>3741.96</v>
      </c>
      <c r="O1394" s="190">
        <f t="shared" si="171"/>
        <v>4078.74</v>
      </c>
      <c r="P1394" s="191">
        <f t="shared" si="172"/>
        <v>0</v>
      </c>
      <c r="Q1394" s="192">
        <f t="shared" si="173"/>
        <v>0</v>
      </c>
      <c r="R1394" s="193"/>
      <c r="S1394" s="194"/>
      <c r="T1394" s="195">
        <f t="shared" si="174"/>
        <v>0</v>
      </c>
      <c r="U1394" s="195">
        <f t="shared" si="175"/>
        <v>0</v>
      </c>
      <c r="V1394" s="195">
        <f t="shared" si="176"/>
        <v>0</v>
      </c>
      <c r="W1394" s="196" t="e">
        <f t="shared" si="177"/>
        <v>#DIV/0!</v>
      </c>
      <c r="X1394" s="197" t="e">
        <f t="shared" si="178"/>
        <v>#DIV/0!</v>
      </c>
    </row>
    <row r="1395" ht="11.4" hidden="1" customHeight="1" spans="1:24">
      <c r="A1395" s="184" t="s">
        <v>3117</v>
      </c>
      <c r="B1395" s="184" t="s">
        <v>355</v>
      </c>
      <c r="C1395" s="184" t="s">
        <v>2743</v>
      </c>
      <c r="D1395" s="185" t="s">
        <v>700</v>
      </c>
      <c r="E1395" s="186" t="s">
        <v>3010</v>
      </c>
      <c r="F1395" s="186" t="s">
        <v>3112</v>
      </c>
      <c r="G1395" s="186" t="s">
        <v>3118</v>
      </c>
      <c r="H1395" s="186" t="s">
        <v>3119</v>
      </c>
      <c r="I1395" s="187" t="s">
        <v>3016</v>
      </c>
      <c r="J1395" s="187" t="s">
        <v>3017</v>
      </c>
      <c r="K1395" s="188"/>
      <c r="L1395" s="188"/>
      <c r="M1395" s="189" t="s">
        <v>793</v>
      </c>
      <c r="N1395" s="190">
        <v>3867.36</v>
      </c>
      <c r="O1395" s="190">
        <f t="shared" si="171"/>
        <v>4215.42</v>
      </c>
      <c r="P1395" s="191">
        <f t="shared" si="172"/>
        <v>0</v>
      </c>
      <c r="Q1395" s="192">
        <f t="shared" si="173"/>
        <v>0</v>
      </c>
      <c r="R1395" s="193"/>
      <c r="S1395" s="194"/>
      <c r="T1395" s="195">
        <f t="shared" si="174"/>
        <v>0</v>
      </c>
      <c r="U1395" s="195">
        <f t="shared" si="175"/>
        <v>0</v>
      </c>
      <c r="V1395" s="195">
        <f t="shared" si="176"/>
        <v>0</v>
      </c>
      <c r="W1395" s="196" t="e">
        <f t="shared" si="177"/>
        <v>#DIV/0!</v>
      </c>
      <c r="X1395" s="197" t="e">
        <f t="shared" si="178"/>
        <v>#DIV/0!</v>
      </c>
    </row>
    <row r="1396" ht="11.4" hidden="1" customHeight="1" spans="1:24">
      <c r="A1396" s="184" t="s">
        <v>3117</v>
      </c>
      <c r="B1396" s="184" t="s">
        <v>355</v>
      </c>
      <c r="C1396" s="184" t="s">
        <v>2743</v>
      </c>
      <c r="D1396" s="185" t="s">
        <v>700</v>
      </c>
      <c r="E1396" s="186" t="s">
        <v>3010</v>
      </c>
      <c r="F1396" s="186" t="s">
        <v>3011</v>
      </c>
      <c r="G1396" s="186" t="s">
        <v>3012</v>
      </c>
      <c r="H1396" s="186" t="s">
        <v>3013</v>
      </c>
      <c r="I1396" s="187" t="s">
        <v>3018</v>
      </c>
      <c r="J1396" s="187" t="s">
        <v>3019</v>
      </c>
      <c r="K1396" s="188"/>
      <c r="L1396" s="188"/>
      <c r="M1396" s="189" t="s">
        <v>793</v>
      </c>
      <c r="N1396" s="190">
        <v>791.76</v>
      </c>
      <c r="O1396" s="190">
        <f t="shared" si="171"/>
        <v>863.02</v>
      </c>
      <c r="P1396" s="191">
        <f t="shared" si="172"/>
        <v>0</v>
      </c>
      <c r="Q1396" s="192">
        <f t="shared" si="173"/>
        <v>0</v>
      </c>
      <c r="R1396" s="193"/>
      <c r="S1396" s="194"/>
      <c r="T1396" s="195">
        <f t="shared" si="174"/>
        <v>0</v>
      </c>
      <c r="U1396" s="195">
        <f t="shared" si="175"/>
        <v>0</v>
      </c>
      <c r="V1396" s="195">
        <f t="shared" si="176"/>
        <v>0</v>
      </c>
      <c r="W1396" s="196" t="e">
        <f t="shared" si="177"/>
        <v>#DIV/0!</v>
      </c>
      <c r="X1396" s="197" t="e">
        <f t="shared" si="178"/>
        <v>#DIV/0!</v>
      </c>
    </row>
    <row r="1397" ht="11.4" hidden="1" customHeight="1" spans="1:24">
      <c r="A1397" s="184" t="s">
        <v>3120</v>
      </c>
      <c r="B1397" s="184" t="s">
        <v>359</v>
      </c>
      <c r="C1397" s="184" t="s">
        <v>358</v>
      </c>
      <c r="D1397" s="185" t="s">
        <v>700</v>
      </c>
      <c r="E1397" s="186" t="s">
        <v>3010</v>
      </c>
      <c r="F1397" s="186" t="s">
        <v>3112</v>
      </c>
      <c r="G1397" s="186" t="s">
        <v>3118</v>
      </c>
      <c r="H1397" s="186" t="s">
        <v>3121</v>
      </c>
      <c r="I1397" s="187" t="s">
        <v>3122</v>
      </c>
      <c r="J1397" s="187" t="s">
        <v>3123</v>
      </c>
      <c r="K1397" s="188"/>
      <c r="L1397" s="188"/>
      <c r="M1397" s="189" t="s">
        <v>793</v>
      </c>
      <c r="N1397" s="190">
        <v>6070.89</v>
      </c>
      <c r="O1397" s="190">
        <f t="shared" si="171"/>
        <v>6617.27</v>
      </c>
      <c r="P1397" s="191">
        <f t="shared" si="172"/>
        <v>0</v>
      </c>
      <c r="Q1397" s="192">
        <f t="shared" si="173"/>
        <v>0</v>
      </c>
      <c r="R1397" s="193"/>
      <c r="S1397" s="194"/>
      <c r="T1397" s="195">
        <f t="shared" si="174"/>
        <v>0</v>
      </c>
      <c r="U1397" s="195">
        <f t="shared" si="175"/>
        <v>0</v>
      </c>
      <c r="V1397" s="195">
        <f t="shared" si="176"/>
        <v>0</v>
      </c>
      <c r="W1397" s="196" t="e">
        <f t="shared" si="177"/>
        <v>#DIV/0!</v>
      </c>
      <c r="X1397" s="197" t="e">
        <f t="shared" si="178"/>
        <v>#DIV/0!</v>
      </c>
    </row>
    <row r="1398" ht="11.4" hidden="1" customHeight="1" spans="1:24">
      <c r="A1398" s="184" t="s">
        <v>3120</v>
      </c>
      <c r="B1398" s="184" t="s">
        <v>359</v>
      </c>
      <c r="C1398" s="184" t="s">
        <v>358</v>
      </c>
      <c r="D1398" s="185" t="s">
        <v>700</v>
      </c>
      <c r="E1398" s="186" t="s">
        <v>3010</v>
      </c>
      <c r="F1398" s="186" t="s">
        <v>3112</v>
      </c>
      <c r="G1398" s="186" t="s">
        <v>3118</v>
      </c>
      <c r="H1398" s="186" t="s">
        <v>3124</v>
      </c>
      <c r="I1398" s="187" t="s">
        <v>3125</v>
      </c>
      <c r="J1398" s="187" t="s">
        <v>3126</v>
      </c>
      <c r="K1398" s="188"/>
      <c r="L1398" s="188"/>
      <c r="M1398" s="189" t="s">
        <v>793</v>
      </c>
      <c r="N1398" s="190"/>
      <c r="O1398" s="190">
        <f t="shared" si="171"/>
        <v>0</v>
      </c>
      <c r="P1398" s="191">
        <f t="shared" si="172"/>
        <v>0</v>
      </c>
      <c r="Q1398" s="192">
        <f t="shared" si="173"/>
        <v>0</v>
      </c>
      <c r="R1398" s="193"/>
      <c r="S1398" s="194"/>
      <c r="T1398" s="195">
        <f t="shared" si="174"/>
        <v>0</v>
      </c>
      <c r="U1398" s="195">
        <f t="shared" si="175"/>
        <v>0</v>
      </c>
      <c r="V1398" s="195">
        <f t="shared" si="176"/>
        <v>0</v>
      </c>
      <c r="W1398" s="196" t="e">
        <f t="shared" si="177"/>
        <v>#DIV/0!</v>
      </c>
      <c r="X1398" s="197" t="e">
        <f t="shared" si="178"/>
        <v>#DIV/0!</v>
      </c>
    </row>
    <row r="1399" ht="11.4" hidden="1" customHeight="1" spans="1:24">
      <c r="A1399" s="184" t="s">
        <v>3098</v>
      </c>
      <c r="B1399" s="184" t="s">
        <v>401</v>
      </c>
      <c r="C1399" s="184" t="s">
        <v>400</v>
      </c>
      <c r="D1399" s="185" t="s">
        <v>700</v>
      </c>
      <c r="E1399" s="186" t="s">
        <v>3010</v>
      </c>
      <c r="F1399" s="186" t="s">
        <v>3112</v>
      </c>
      <c r="G1399" s="186" t="s">
        <v>3127</v>
      </c>
      <c r="H1399" s="186" t="s">
        <v>3128</v>
      </c>
      <c r="I1399" s="187" t="s">
        <v>3129</v>
      </c>
      <c r="J1399" s="187" t="s">
        <v>3130</v>
      </c>
      <c r="K1399" s="188"/>
      <c r="L1399" s="188"/>
      <c r="M1399" s="189" t="s">
        <v>2308</v>
      </c>
      <c r="N1399" s="190">
        <v>670.89</v>
      </c>
      <c r="O1399" s="190">
        <f t="shared" si="171"/>
        <v>731.27</v>
      </c>
      <c r="P1399" s="191">
        <f t="shared" si="172"/>
        <v>0</v>
      </c>
      <c r="Q1399" s="192">
        <f t="shared" si="173"/>
        <v>0</v>
      </c>
      <c r="R1399" s="193"/>
      <c r="S1399" s="194"/>
      <c r="T1399" s="195">
        <f t="shared" si="174"/>
        <v>0</v>
      </c>
      <c r="U1399" s="195">
        <f t="shared" si="175"/>
        <v>0</v>
      </c>
      <c r="V1399" s="195">
        <f t="shared" si="176"/>
        <v>0</v>
      </c>
      <c r="W1399" s="196" t="e">
        <f t="shared" si="177"/>
        <v>#DIV/0!</v>
      </c>
      <c r="X1399" s="197" t="e">
        <f t="shared" si="178"/>
        <v>#DIV/0!</v>
      </c>
    </row>
    <row r="1400" ht="11.4" hidden="1" customHeight="1" spans="1:24">
      <c r="A1400" s="184" t="s">
        <v>3098</v>
      </c>
      <c r="B1400" s="184" t="s">
        <v>401</v>
      </c>
      <c r="C1400" s="184" t="s">
        <v>400</v>
      </c>
      <c r="D1400" s="185" t="s">
        <v>700</v>
      </c>
      <c r="E1400" s="186" t="s">
        <v>3010</v>
      </c>
      <c r="F1400" s="186" t="s">
        <v>3112</v>
      </c>
      <c r="G1400" s="186" t="s">
        <v>3127</v>
      </c>
      <c r="H1400" s="186" t="s">
        <v>3128</v>
      </c>
      <c r="I1400" s="187" t="s">
        <v>2774</v>
      </c>
      <c r="J1400" s="187" t="s">
        <v>2775</v>
      </c>
      <c r="K1400" s="188"/>
      <c r="L1400" s="188"/>
      <c r="M1400" s="189" t="s">
        <v>2308</v>
      </c>
      <c r="N1400" s="190">
        <v>1413.32</v>
      </c>
      <c r="O1400" s="190">
        <f t="shared" si="171"/>
        <v>1540.52</v>
      </c>
      <c r="P1400" s="191">
        <f t="shared" si="172"/>
        <v>0</v>
      </c>
      <c r="Q1400" s="192">
        <f t="shared" si="173"/>
        <v>0</v>
      </c>
      <c r="R1400" s="193"/>
      <c r="S1400" s="194"/>
      <c r="T1400" s="195">
        <f t="shared" si="174"/>
        <v>0</v>
      </c>
      <c r="U1400" s="195">
        <f t="shared" si="175"/>
        <v>0</v>
      </c>
      <c r="V1400" s="195">
        <f t="shared" si="176"/>
        <v>0</v>
      </c>
      <c r="W1400" s="196" t="e">
        <f t="shared" si="177"/>
        <v>#DIV/0!</v>
      </c>
      <c r="X1400" s="197" t="e">
        <f t="shared" si="178"/>
        <v>#DIV/0!</v>
      </c>
    </row>
    <row r="1401" ht="11.4" hidden="1" customHeight="1" spans="1:24">
      <c r="A1401" s="184" t="s">
        <v>3098</v>
      </c>
      <c r="B1401" s="184" t="s">
        <v>401</v>
      </c>
      <c r="C1401" s="184" t="s">
        <v>400</v>
      </c>
      <c r="D1401" s="185" t="s">
        <v>700</v>
      </c>
      <c r="E1401" s="186" t="s">
        <v>3010</v>
      </c>
      <c r="F1401" s="186" t="s">
        <v>3112</v>
      </c>
      <c r="G1401" s="186" t="s">
        <v>3127</v>
      </c>
      <c r="H1401" s="186" t="s">
        <v>3128</v>
      </c>
      <c r="I1401" s="187" t="s">
        <v>2780</v>
      </c>
      <c r="J1401" s="187" t="s">
        <v>2781</v>
      </c>
      <c r="K1401" s="188"/>
      <c r="L1401" s="188"/>
      <c r="M1401" s="189" t="s">
        <v>963</v>
      </c>
      <c r="N1401" s="190">
        <v>2295.13</v>
      </c>
      <c r="O1401" s="190">
        <f t="shared" si="171"/>
        <v>2501.69</v>
      </c>
      <c r="P1401" s="191">
        <f t="shared" si="172"/>
        <v>0</v>
      </c>
      <c r="Q1401" s="192">
        <f t="shared" si="173"/>
        <v>0</v>
      </c>
      <c r="R1401" s="193"/>
      <c r="S1401" s="194"/>
      <c r="T1401" s="195">
        <f t="shared" si="174"/>
        <v>0</v>
      </c>
      <c r="U1401" s="195">
        <f t="shared" si="175"/>
        <v>0</v>
      </c>
      <c r="V1401" s="195">
        <f t="shared" si="176"/>
        <v>0</v>
      </c>
      <c r="W1401" s="196" t="e">
        <f t="shared" si="177"/>
        <v>#DIV/0!</v>
      </c>
      <c r="X1401" s="197" t="e">
        <f t="shared" si="178"/>
        <v>#DIV/0!</v>
      </c>
    </row>
    <row r="1402" ht="11.4" hidden="1" customHeight="1" spans="1:24">
      <c r="A1402" s="184" t="s">
        <v>3131</v>
      </c>
      <c r="B1402" s="184" t="s">
        <v>405</v>
      </c>
      <c r="C1402" s="184" t="s">
        <v>404</v>
      </c>
      <c r="D1402" s="185" t="s">
        <v>700</v>
      </c>
      <c r="E1402" s="186" t="s">
        <v>3010</v>
      </c>
      <c r="F1402" s="186" t="s">
        <v>3112</v>
      </c>
      <c r="G1402" s="186" t="s">
        <v>3127</v>
      </c>
      <c r="H1402" s="186" t="s">
        <v>3132</v>
      </c>
      <c r="I1402" s="187" t="s">
        <v>2797</v>
      </c>
      <c r="J1402" s="187" t="s">
        <v>2798</v>
      </c>
      <c r="K1402" s="188"/>
      <c r="L1402" s="188"/>
      <c r="M1402" s="189" t="s">
        <v>2308</v>
      </c>
      <c r="N1402" s="190">
        <v>1399.38</v>
      </c>
      <c r="O1402" s="190">
        <f t="shared" si="171"/>
        <v>1525.32</v>
      </c>
      <c r="P1402" s="191">
        <f t="shared" si="172"/>
        <v>0</v>
      </c>
      <c r="Q1402" s="192">
        <f t="shared" si="173"/>
        <v>0</v>
      </c>
      <c r="R1402" s="193"/>
      <c r="S1402" s="194"/>
      <c r="T1402" s="195">
        <f t="shared" si="174"/>
        <v>0</v>
      </c>
      <c r="U1402" s="195">
        <f t="shared" si="175"/>
        <v>0</v>
      </c>
      <c r="V1402" s="195">
        <f t="shared" si="176"/>
        <v>0</v>
      </c>
      <c r="W1402" s="196" t="e">
        <f t="shared" si="177"/>
        <v>#DIV/0!</v>
      </c>
      <c r="X1402" s="197" t="e">
        <f t="shared" si="178"/>
        <v>#DIV/0!</v>
      </c>
    </row>
    <row r="1403" ht="11.4" hidden="1" customHeight="1" spans="1:24">
      <c r="A1403" s="184" t="s">
        <v>3131</v>
      </c>
      <c r="B1403" s="184" t="s">
        <v>405</v>
      </c>
      <c r="C1403" s="184" t="s">
        <v>404</v>
      </c>
      <c r="D1403" s="185" t="s">
        <v>700</v>
      </c>
      <c r="E1403" s="186" t="s">
        <v>3010</v>
      </c>
      <c r="F1403" s="186" t="s">
        <v>3112</v>
      </c>
      <c r="G1403" s="186" t="s">
        <v>3127</v>
      </c>
      <c r="H1403" s="186" t="s">
        <v>3132</v>
      </c>
      <c r="I1403" s="187" t="s">
        <v>2803</v>
      </c>
      <c r="J1403" s="187" t="s">
        <v>2804</v>
      </c>
      <c r="K1403" s="188"/>
      <c r="L1403" s="188"/>
      <c r="M1403" s="189" t="s">
        <v>2308</v>
      </c>
      <c r="N1403" s="190">
        <v>1400</v>
      </c>
      <c r="O1403" s="190">
        <f t="shared" si="171"/>
        <v>1526</v>
      </c>
      <c r="P1403" s="191">
        <f t="shared" si="172"/>
        <v>0</v>
      </c>
      <c r="Q1403" s="192">
        <f t="shared" si="173"/>
        <v>0</v>
      </c>
      <c r="R1403" s="193"/>
      <c r="S1403" s="194"/>
      <c r="T1403" s="195">
        <f t="shared" si="174"/>
        <v>0</v>
      </c>
      <c r="U1403" s="195">
        <f t="shared" si="175"/>
        <v>0</v>
      </c>
      <c r="V1403" s="195">
        <f t="shared" si="176"/>
        <v>0</v>
      </c>
      <c r="W1403" s="196" t="e">
        <f t="shared" si="177"/>
        <v>#DIV/0!</v>
      </c>
      <c r="X1403" s="197" t="e">
        <f t="shared" si="178"/>
        <v>#DIV/0!</v>
      </c>
    </row>
    <row r="1404" ht="11.4" hidden="1" customHeight="1" spans="1:24">
      <c r="A1404" s="184" t="s">
        <v>3133</v>
      </c>
      <c r="B1404" s="184" t="s">
        <v>378</v>
      </c>
      <c r="C1404" s="184" t="s">
        <v>2763</v>
      </c>
      <c r="D1404" s="185" t="s">
        <v>700</v>
      </c>
      <c r="E1404" s="186" t="s">
        <v>3010</v>
      </c>
      <c r="F1404" s="186" t="s">
        <v>3112</v>
      </c>
      <c r="G1404" s="186" t="s">
        <v>3127</v>
      </c>
      <c r="H1404" s="186" t="s">
        <v>570</v>
      </c>
      <c r="I1404" s="187" t="s">
        <v>2764</v>
      </c>
      <c r="J1404" s="187" t="s">
        <v>2765</v>
      </c>
      <c r="K1404" s="188"/>
      <c r="L1404" s="188"/>
      <c r="M1404" s="189" t="s">
        <v>1018</v>
      </c>
      <c r="N1404" s="190">
        <v>262.5</v>
      </c>
      <c r="O1404" s="190">
        <f t="shared" si="171"/>
        <v>286.13</v>
      </c>
      <c r="P1404" s="191">
        <f t="shared" si="172"/>
        <v>0</v>
      </c>
      <c r="Q1404" s="192">
        <f t="shared" si="173"/>
        <v>0</v>
      </c>
      <c r="R1404" s="193"/>
      <c r="S1404" s="194"/>
      <c r="T1404" s="195">
        <f t="shared" si="174"/>
        <v>0</v>
      </c>
      <c r="U1404" s="195">
        <f t="shared" si="175"/>
        <v>0</v>
      </c>
      <c r="V1404" s="195">
        <f t="shared" si="176"/>
        <v>0</v>
      </c>
      <c r="W1404" s="196" t="e">
        <f t="shared" si="177"/>
        <v>#DIV/0!</v>
      </c>
      <c r="X1404" s="197" t="e">
        <f t="shared" si="178"/>
        <v>#DIV/0!</v>
      </c>
    </row>
    <row r="1405" ht="11.4" hidden="1" customHeight="1" spans="1:24">
      <c r="A1405" s="184" t="s">
        <v>3133</v>
      </c>
      <c r="B1405" s="184" t="s">
        <v>378</v>
      </c>
      <c r="C1405" s="184" t="s">
        <v>2763</v>
      </c>
      <c r="D1405" s="185" t="s">
        <v>700</v>
      </c>
      <c r="E1405" s="186" t="s">
        <v>3010</v>
      </c>
      <c r="F1405" s="186" t="s">
        <v>3112</v>
      </c>
      <c r="G1405" s="186" t="s">
        <v>3127</v>
      </c>
      <c r="H1405" s="186" t="s">
        <v>570</v>
      </c>
      <c r="I1405" s="187" t="s">
        <v>2766</v>
      </c>
      <c r="J1405" s="187" t="s">
        <v>2767</v>
      </c>
      <c r="K1405" s="188"/>
      <c r="L1405" s="188"/>
      <c r="M1405" s="189" t="s">
        <v>1018</v>
      </c>
      <c r="N1405" s="190">
        <v>220.5</v>
      </c>
      <c r="O1405" s="190">
        <f t="shared" si="171"/>
        <v>240.35</v>
      </c>
      <c r="P1405" s="191">
        <f t="shared" si="172"/>
        <v>0</v>
      </c>
      <c r="Q1405" s="192">
        <f t="shared" si="173"/>
        <v>0</v>
      </c>
      <c r="R1405" s="193"/>
      <c r="S1405" s="194"/>
      <c r="T1405" s="195">
        <f t="shared" si="174"/>
        <v>0</v>
      </c>
      <c r="U1405" s="195">
        <f t="shared" si="175"/>
        <v>0</v>
      </c>
      <c r="V1405" s="195">
        <f t="shared" si="176"/>
        <v>0</v>
      </c>
      <c r="W1405" s="196" t="e">
        <f t="shared" si="177"/>
        <v>#DIV/0!</v>
      </c>
      <c r="X1405" s="197" t="e">
        <f t="shared" si="178"/>
        <v>#DIV/0!</v>
      </c>
    </row>
    <row r="1406" ht="11.4" hidden="1" customHeight="1" spans="1:24">
      <c r="A1406" s="184" t="s">
        <v>3133</v>
      </c>
      <c r="B1406" s="184" t="s">
        <v>378</v>
      </c>
      <c r="C1406" s="184" t="s">
        <v>573</v>
      </c>
      <c r="D1406" s="185" t="s">
        <v>700</v>
      </c>
      <c r="E1406" s="186" t="s">
        <v>3010</v>
      </c>
      <c r="F1406" s="186" t="s">
        <v>3112</v>
      </c>
      <c r="G1406" s="186" t="s">
        <v>3127</v>
      </c>
      <c r="H1406" s="186" t="s">
        <v>570</v>
      </c>
      <c r="I1406" s="187" t="s">
        <v>2760</v>
      </c>
      <c r="J1406" s="187" t="s">
        <v>2761</v>
      </c>
      <c r="K1406" s="188"/>
      <c r="L1406" s="188"/>
      <c r="M1406" s="189" t="s">
        <v>2308</v>
      </c>
      <c r="N1406" s="190">
        <v>1133.63</v>
      </c>
      <c r="O1406" s="190">
        <f t="shared" si="171"/>
        <v>1235.66</v>
      </c>
      <c r="P1406" s="191">
        <f t="shared" si="172"/>
        <v>0</v>
      </c>
      <c r="Q1406" s="192">
        <f t="shared" si="173"/>
        <v>0</v>
      </c>
      <c r="R1406" s="193"/>
      <c r="S1406" s="194"/>
      <c r="T1406" s="195">
        <f t="shared" si="174"/>
        <v>0</v>
      </c>
      <c r="U1406" s="195">
        <f t="shared" si="175"/>
        <v>0</v>
      </c>
      <c r="V1406" s="195">
        <f t="shared" si="176"/>
        <v>0</v>
      </c>
      <c r="W1406" s="196" t="e">
        <f t="shared" si="177"/>
        <v>#DIV/0!</v>
      </c>
      <c r="X1406" s="197" t="e">
        <f t="shared" si="178"/>
        <v>#DIV/0!</v>
      </c>
    </row>
    <row r="1407" ht="11.4" hidden="1" customHeight="1" spans="1:24">
      <c r="A1407" s="184" t="s">
        <v>212</v>
      </c>
      <c r="B1407" s="184" t="s">
        <v>425</v>
      </c>
      <c r="C1407" s="184" t="s">
        <v>424</v>
      </c>
      <c r="D1407" s="185" t="s">
        <v>700</v>
      </c>
      <c r="E1407" s="186" t="s">
        <v>3010</v>
      </c>
      <c r="F1407" s="186" t="s">
        <v>3112</v>
      </c>
      <c r="G1407" s="186" t="s">
        <v>3127</v>
      </c>
      <c r="H1407" s="186" t="s">
        <v>2813</v>
      </c>
      <c r="I1407" s="187" t="s">
        <v>2814</v>
      </c>
      <c r="J1407" s="187" t="s">
        <v>2815</v>
      </c>
      <c r="K1407" s="188"/>
      <c r="L1407" s="188"/>
      <c r="M1407" s="189" t="s">
        <v>847</v>
      </c>
      <c r="N1407" s="190">
        <v>298</v>
      </c>
      <c r="O1407" s="190">
        <f t="shared" si="171"/>
        <v>324.82</v>
      </c>
      <c r="P1407" s="191">
        <f t="shared" si="172"/>
        <v>0</v>
      </c>
      <c r="Q1407" s="192">
        <f t="shared" si="173"/>
        <v>0</v>
      </c>
      <c r="R1407" s="193"/>
      <c r="S1407" s="194"/>
      <c r="T1407" s="195">
        <f t="shared" si="174"/>
        <v>0</v>
      </c>
      <c r="U1407" s="195">
        <f t="shared" si="175"/>
        <v>0</v>
      </c>
      <c r="V1407" s="195">
        <f t="shared" si="176"/>
        <v>0</v>
      </c>
      <c r="W1407" s="196" t="e">
        <f t="shared" si="177"/>
        <v>#DIV/0!</v>
      </c>
      <c r="X1407" s="197" t="e">
        <f t="shared" si="178"/>
        <v>#DIV/0!</v>
      </c>
    </row>
    <row r="1408" ht="11.4" hidden="1" customHeight="1" spans="1:24">
      <c r="A1408" s="184" t="s">
        <v>212</v>
      </c>
      <c r="B1408" s="184" t="s">
        <v>425</v>
      </c>
      <c r="C1408" s="184" t="s">
        <v>424</v>
      </c>
      <c r="D1408" s="185" t="s">
        <v>700</v>
      </c>
      <c r="E1408" s="186" t="s">
        <v>3010</v>
      </c>
      <c r="F1408" s="186" t="s">
        <v>3112</v>
      </c>
      <c r="G1408" s="186" t="s">
        <v>3127</v>
      </c>
      <c r="H1408" s="186" t="s">
        <v>2813</v>
      </c>
      <c r="I1408" s="187" t="s">
        <v>2816</v>
      </c>
      <c r="J1408" s="187" t="s">
        <v>2817</v>
      </c>
      <c r="K1408" s="188"/>
      <c r="L1408" s="188"/>
      <c r="M1408" s="189" t="s">
        <v>2308</v>
      </c>
      <c r="N1408" s="190">
        <v>2330</v>
      </c>
      <c r="O1408" s="190">
        <f t="shared" si="171"/>
        <v>2539.7</v>
      </c>
      <c r="P1408" s="191">
        <f t="shared" si="172"/>
        <v>0</v>
      </c>
      <c r="Q1408" s="192">
        <f t="shared" si="173"/>
        <v>0</v>
      </c>
      <c r="R1408" s="193"/>
      <c r="S1408" s="194"/>
      <c r="T1408" s="195">
        <f t="shared" si="174"/>
        <v>0</v>
      </c>
      <c r="U1408" s="195">
        <f t="shared" si="175"/>
        <v>0</v>
      </c>
      <c r="V1408" s="195">
        <f t="shared" si="176"/>
        <v>0</v>
      </c>
      <c r="W1408" s="196" t="e">
        <f t="shared" si="177"/>
        <v>#DIV/0!</v>
      </c>
      <c r="X1408" s="197" t="e">
        <f t="shared" si="178"/>
        <v>#DIV/0!</v>
      </c>
    </row>
    <row r="1409" ht="11.4" hidden="1" customHeight="1" spans="1:24">
      <c r="A1409" s="184" t="s">
        <v>3134</v>
      </c>
      <c r="B1409" s="184" t="s">
        <v>113</v>
      </c>
      <c r="C1409" s="184" t="s">
        <v>1101</v>
      </c>
      <c r="D1409" s="185" t="s">
        <v>703</v>
      </c>
      <c r="E1409" s="186" t="s">
        <v>24</v>
      </c>
      <c r="F1409" s="186" t="s">
        <v>24</v>
      </c>
      <c r="G1409" s="186" t="s">
        <v>3135</v>
      </c>
      <c r="H1409" s="186" t="s">
        <v>3135</v>
      </c>
      <c r="I1409" s="187" t="s">
        <v>3136</v>
      </c>
      <c r="J1409" s="187" t="s">
        <v>3137</v>
      </c>
      <c r="K1409" s="188"/>
      <c r="L1409" s="188"/>
      <c r="M1409" s="189" t="s">
        <v>1018</v>
      </c>
      <c r="N1409" s="190">
        <v>626.33</v>
      </c>
      <c r="O1409" s="190">
        <f t="shared" si="171"/>
        <v>682.7</v>
      </c>
      <c r="P1409" s="191">
        <f t="shared" si="172"/>
        <v>0</v>
      </c>
      <c r="Q1409" s="192">
        <f t="shared" si="173"/>
        <v>0</v>
      </c>
      <c r="R1409" s="193"/>
      <c r="S1409" s="194"/>
      <c r="T1409" s="195">
        <f t="shared" si="174"/>
        <v>0</v>
      </c>
      <c r="U1409" s="195">
        <f t="shared" si="175"/>
        <v>0</v>
      </c>
      <c r="V1409" s="195">
        <f t="shared" si="176"/>
        <v>0</v>
      </c>
      <c r="W1409" s="196" t="e">
        <f t="shared" si="177"/>
        <v>#DIV/0!</v>
      </c>
      <c r="X1409" s="197" t="e">
        <f t="shared" si="178"/>
        <v>#DIV/0!</v>
      </c>
    </row>
    <row r="1410" ht="11.4" hidden="1" customHeight="1" spans="1:24">
      <c r="A1410" s="184" t="s">
        <v>3134</v>
      </c>
      <c r="B1410" s="184" t="s">
        <v>113</v>
      </c>
      <c r="C1410" s="184" t="s">
        <v>1101</v>
      </c>
      <c r="D1410" s="185" t="s">
        <v>703</v>
      </c>
      <c r="E1410" s="186" t="s">
        <v>24</v>
      </c>
      <c r="F1410" s="186" t="s">
        <v>24</v>
      </c>
      <c r="G1410" s="186" t="s">
        <v>3135</v>
      </c>
      <c r="H1410" s="186" t="s">
        <v>3135</v>
      </c>
      <c r="I1410" s="187" t="s">
        <v>3138</v>
      </c>
      <c r="J1410" s="187" t="s">
        <v>3139</v>
      </c>
      <c r="K1410" s="188"/>
      <c r="L1410" s="188"/>
      <c r="M1410" s="189" t="s">
        <v>1778</v>
      </c>
      <c r="N1410" s="190">
        <v>4984.35</v>
      </c>
      <c r="O1410" s="190">
        <f t="shared" si="171"/>
        <v>5432.94</v>
      </c>
      <c r="P1410" s="191">
        <f t="shared" si="172"/>
        <v>0</v>
      </c>
      <c r="Q1410" s="192">
        <f t="shared" si="173"/>
        <v>0</v>
      </c>
      <c r="R1410" s="193"/>
      <c r="S1410" s="194"/>
      <c r="T1410" s="195">
        <f t="shared" si="174"/>
        <v>0</v>
      </c>
      <c r="U1410" s="195">
        <f t="shared" si="175"/>
        <v>0</v>
      </c>
      <c r="V1410" s="195">
        <f t="shared" si="176"/>
        <v>0</v>
      </c>
      <c r="W1410" s="196" t="e">
        <f t="shared" si="177"/>
        <v>#DIV/0!</v>
      </c>
      <c r="X1410" s="197" t="e">
        <f t="shared" si="178"/>
        <v>#DIV/0!</v>
      </c>
    </row>
    <row r="1411" ht="11.4" hidden="1" customHeight="1" spans="1:24">
      <c r="A1411" s="184" t="s">
        <v>3134</v>
      </c>
      <c r="B1411" s="184" t="s">
        <v>113</v>
      </c>
      <c r="C1411" s="184" t="s">
        <v>1101</v>
      </c>
      <c r="D1411" s="185" t="s">
        <v>703</v>
      </c>
      <c r="E1411" s="186" t="s">
        <v>24</v>
      </c>
      <c r="F1411" s="186" t="s">
        <v>24</v>
      </c>
      <c r="G1411" s="186" t="s">
        <v>3135</v>
      </c>
      <c r="H1411" s="186" t="s">
        <v>3135</v>
      </c>
      <c r="I1411" s="187" t="s">
        <v>3140</v>
      </c>
      <c r="J1411" s="187" t="s">
        <v>3141</v>
      </c>
      <c r="K1411" s="188"/>
      <c r="L1411" s="188"/>
      <c r="M1411" s="189" t="s">
        <v>793</v>
      </c>
      <c r="N1411" s="190">
        <v>291.62</v>
      </c>
      <c r="O1411" s="190">
        <f t="shared" si="171"/>
        <v>317.87</v>
      </c>
      <c r="P1411" s="191">
        <f t="shared" si="172"/>
        <v>0</v>
      </c>
      <c r="Q1411" s="192">
        <f t="shared" si="173"/>
        <v>0</v>
      </c>
      <c r="R1411" s="193"/>
      <c r="S1411" s="194"/>
      <c r="T1411" s="195">
        <f t="shared" si="174"/>
        <v>0</v>
      </c>
      <c r="U1411" s="195">
        <f t="shared" si="175"/>
        <v>0</v>
      </c>
      <c r="V1411" s="195">
        <f t="shared" si="176"/>
        <v>0</v>
      </c>
      <c r="W1411" s="196" t="e">
        <f t="shared" si="177"/>
        <v>#DIV/0!</v>
      </c>
      <c r="X1411" s="197" t="e">
        <f t="shared" si="178"/>
        <v>#DIV/0!</v>
      </c>
    </row>
    <row r="1412" ht="11.4" hidden="1" customHeight="1" spans="1:24">
      <c r="A1412" s="184" t="s">
        <v>3134</v>
      </c>
      <c r="B1412" s="184" t="s">
        <v>113</v>
      </c>
      <c r="C1412" s="184" t="s">
        <v>1101</v>
      </c>
      <c r="D1412" s="185" t="s">
        <v>703</v>
      </c>
      <c r="E1412" s="186" t="s">
        <v>24</v>
      </c>
      <c r="F1412" s="186" t="s">
        <v>24</v>
      </c>
      <c r="G1412" s="186" t="s">
        <v>3135</v>
      </c>
      <c r="H1412" s="186" t="s">
        <v>3135</v>
      </c>
      <c r="I1412" s="187" t="s">
        <v>3142</v>
      </c>
      <c r="J1412" s="187" t="s">
        <v>3143</v>
      </c>
      <c r="K1412" s="188">
        <v>1</v>
      </c>
      <c r="L1412" s="188">
        <v>1</v>
      </c>
      <c r="M1412" s="189" t="s">
        <v>793</v>
      </c>
      <c r="N1412" s="190">
        <v>1193.65</v>
      </c>
      <c r="O1412" s="190">
        <f t="shared" si="171"/>
        <v>1301.08</v>
      </c>
      <c r="P1412" s="191">
        <f t="shared" si="172"/>
        <v>1193.65</v>
      </c>
      <c r="Q1412" s="192">
        <f t="shared" si="173"/>
        <v>1193.65</v>
      </c>
      <c r="R1412" s="193"/>
      <c r="S1412" s="194"/>
      <c r="T1412" s="195">
        <f t="shared" si="174"/>
        <v>0</v>
      </c>
      <c r="U1412" s="195">
        <f t="shared" si="175"/>
        <v>0</v>
      </c>
      <c r="V1412" s="195">
        <f t="shared" si="176"/>
        <v>0</v>
      </c>
      <c r="W1412" s="196">
        <f t="shared" si="177"/>
        <v>0</v>
      </c>
      <c r="X1412" s="197">
        <f t="shared" si="178"/>
        <v>0</v>
      </c>
    </row>
    <row r="1413" ht="11.4" hidden="1" customHeight="1" spans="1:24">
      <c r="A1413" s="184" t="s">
        <v>3144</v>
      </c>
      <c r="B1413" s="184" t="s">
        <v>115</v>
      </c>
      <c r="C1413" s="184" t="s">
        <v>1101</v>
      </c>
      <c r="D1413" s="185" t="s">
        <v>703</v>
      </c>
      <c r="E1413" s="186" t="s">
        <v>24</v>
      </c>
      <c r="F1413" s="186" t="s">
        <v>24</v>
      </c>
      <c r="G1413" s="186" t="s">
        <v>3135</v>
      </c>
      <c r="H1413" s="186" t="s">
        <v>3135</v>
      </c>
      <c r="I1413" s="187" t="s">
        <v>1381</v>
      </c>
      <c r="J1413" s="187" t="s">
        <v>1382</v>
      </c>
      <c r="K1413" s="188"/>
      <c r="L1413" s="188"/>
      <c r="M1413" s="189" t="s">
        <v>847</v>
      </c>
      <c r="N1413" s="190">
        <v>250.08</v>
      </c>
      <c r="O1413" s="190">
        <f t="shared" si="171"/>
        <v>272.59</v>
      </c>
      <c r="P1413" s="191">
        <f t="shared" si="172"/>
        <v>0</v>
      </c>
      <c r="Q1413" s="192">
        <f t="shared" si="173"/>
        <v>0</v>
      </c>
      <c r="R1413" s="193"/>
      <c r="S1413" s="194"/>
      <c r="T1413" s="195">
        <f t="shared" si="174"/>
        <v>0</v>
      </c>
      <c r="U1413" s="195">
        <f t="shared" si="175"/>
        <v>0</v>
      </c>
      <c r="V1413" s="195">
        <f t="shared" si="176"/>
        <v>0</v>
      </c>
      <c r="W1413" s="196" t="e">
        <f t="shared" si="177"/>
        <v>#DIV/0!</v>
      </c>
      <c r="X1413" s="197" t="e">
        <f t="shared" si="178"/>
        <v>#DIV/0!</v>
      </c>
    </row>
    <row r="1414" ht="11.4" hidden="1" customHeight="1" spans="1:24">
      <c r="A1414" s="184" t="s">
        <v>3144</v>
      </c>
      <c r="B1414" s="184" t="s">
        <v>115</v>
      </c>
      <c r="C1414" s="184" t="s">
        <v>1101</v>
      </c>
      <c r="D1414" s="185" t="s">
        <v>703</v>
      </c>
      <c r="E1414" s="186" t="s">
        <v>24</v>
      </c>
      <c r="F1414" s="186" t="s">
        <v>24</v>
      </c>
      <c r="G1414" s="186" t="s">
        <v>3135</v>
      </c>
      <c r="H1414" s="186" t="s">
        <v>3135</v>
      </c>
      <c r="I1414" s="187" t="s">
        <v>1384</v>
      </c>
      <c r="J1414" s="187" t="s">
        <v>1385</v>
      </c>
      <c r="K1414" s="188"/>
      <c r="L1414" s="188"/>
      <c r="M1414" s="189" t="s">
        <v>847</v>
      </c>
      <c r="N1414" s="190">
        <v>139.73</v>
      </c>
      <c r="O1414" s="190">
        <f t="shared" si="171"/>
        <v>152.31</v>
      </c>
      <c r="P1414" s="191">
        <f t="shared" si="172"/>
        <v>0</v>
      </c>
      <c r="Q1414" s="192">
        <f t="shared" si="173"/>
        <v>0</v>
      </c>
      <c r="R1414" s="193"/>
      <c r="S1414" s="194"/>
      <c r="T1414" s="195">
        <f t="shared" si="174"/>
        <v>0</v>
      </c>
      <c r="U1414" s="195">
        <f t="shared" si="175"/>
        <v>0</v>
      </c>
      <c r="V1414" s="195">
        <f t="shared" si="176"/>
        <v>0</v>
      </c>
      <c r="W1414" s="196" t="e">
        <f t="shared" si="177"/>
        <v>#DIV/0!</v>
      </c>
      <c r="X1414" s="197" t="e">
        <f t="shared" si="178"/>
        <v>#DIV/0!</v>
      </c>
    </row>
    <row r="1415" ht="11.4" hidden="1" customHeight="1" spans="1:24">
      <c r="A1415" s="184" t="s">
        <v>3144</v>
      </c>
      <c r="B1415" s="184" t="s">
        <v>115</v>
      </c>
      <c r="C1415" s="184" t="s">
        <v>1101</v>
      </c>
      <c r="D1415" s="185" t="s">
        <v>703</v>
      </c>
      <c r="E1415" s="186" t="s">
        <v>24</v>
      </c>
      <c r="F1415" s="186" t="s">
        <v>24</v>
      </c>
      <c r="G1415" s="186" t="s">
        <v>3135</v>
      </c>
      <c r="H1415" s="186" t="s">
        <v>3135</v>
      </c>
      <c r="I1415" s="187" t="s">
        <v>1336</v>
      </c>
      <c r="J1415" s="187" t="s">
        <v>1337</v>
      </c>
      <c r="K1415" s="188"/>
      <c r="L1415" s="188"/>
      <c r="M1415" s="189" t="s">
        <v>847</v>
      </c>
      <c r="N1415" s="190">
        <v>62.19</v>
      </c>
      <c r="O1415" s="190">
        <f t="shared" si="171"/>
        <v>67.79</v>
      </c>
      <c r="P1415" s="191">
        <f t="shared" si="172"/>
        <v>0</v>
      </c>
      <c r="Q1415" s="192">
        <f t="shared" si="173"/>
        <v>0</v>
      </c>
      <c r="R1415" s="193"/>
      <c r="S1415" s="194"/>
      <c r="T1415" s="195">
        <f t="shared" si="174"/>
        <v>0</v>
      </c>
      <c r="U1415" s="195">
        <f t="shared" si="175"/>
        <v>0</v>
      </c>
      <c r="V1415" s="195">
        <f t="shared" si="176"/>
        <v>0</v>
      </c>
      <c r="W1415" s="196" t="e">
        <f t="shared" si="177"/>
        <v>#DIV/0!</v>
      </c>
      <c r="X1415" s="197" t="e">
        <f t="shared" si="178"/>
        <v>#DIV/0!</v>
      </c>
    </row>
    <row r="1416" ht="11.4" hidden="1" customHeight="1" spans="1:24">
      <c r="A1416" s="184" t="s">
        <v>3145</v>
      </c>
      <c r="B1416" s="184" t="s">
        <v>111</v>
      </c>
      <c r="C1416" s="184" t="s">
        <v>1101</v>
      </c>
      <c r="D1416" s="185" t="s">
        <v>703</v>
      </c>
      <c r="E1416" s="186" t="s">
        <v>24</v>
      </c>
      <c r="F1416" s="186" t="s">
        <v>24</v>
      </c>
      <c r="G1416" s="186" t="s">
        <v>3135</v>
      </c>
      <c r="H1416" s="186" t="s">
        <v>3135</v>
      </c>
      <c r="I1416" s="187" t="s">
        <v>1104</v>
      </c>
      <c r="J1416" s="187" t="s">
        <v>1105</v>
      </c>
      <c r="K1416" s="188"/>
      <c r="L1416" s="188"/>
      <c r="M1416" s="189" t="s">
        <v>847</v>
      </c>
      <c r="N1416" s="190">
        <v>180.78</v>
      </c>
      <c r="O1416" s="190">
        <f t="shared" si="171"/>
        <v>197.05</v>
      </c>
      <c r="P1416" s="191">
        <f t="shared" si="172"/>
        <v>0</v>
      </c>
      <c r="Q1416" s="192">
        <f t="shared" si="173"/>
        <v>0</v>
      </c>
      <c r="R1416" s="193"/>
      <c r="S1416" s="194"/>
      <c r="T1416" s="195">
        <f t="shared" si="174"/>
        <v>0</v>
      </c>
      <c r="U1416" s="195">
        <f t="shared" si="175"/>
        <v>0</v>
      </c>
      <c r="V1416" s="195">
        <f t="shared" si="176"/>
        <v>0</v>
      </c>
      <c r="W1416" s="196" t="e">
        <f t="shared" si="177"/>
        <v>#DIV/0!</v>
      </c>
      <c r="X1416" s="197" t="e">
        <f t="shared" si="178"/>
        <v>#DIV/0!</v>
      </c>
    </row>
    <row r="1417" ht="11.4" hidden="1" customHeight="1" spans="1:24">
      <c r="A1417" s="184" t="s">
        <v>3145</v>
      </c>
      <c r="B1417" s="184" t="s">
        <v>111</v>
      </c>
      <c r="C1417" s="184" t="s">
        <v>1101</v>
      </c>
      <c r="D1417" s="185" t="s">
        <v>703</v>
      </c>
      <c r="E1417" s="186" t="s">
        <v>24</v>
      </c>
      <c r="F1417" s="186" t="s">
        <v>24</v>
      </c>
      <c r="G1417" s="186" t="s">
        <v>3135</v>
      </c>
      <c r="H1417" s="186" t="s">
        <v>3135</v>
      </c>
      <c r="I1417" s="187" t="s">
        <v>1106</v>
      </c>
      <c r="J1417" s="187" t="s">
        <v>1107</v>
      </c>
      <c r="K1417" s="188"/>
      <c r="L1417" s="188"/>
      <c r="M1417" s="189" t="s">
        <v>807</v>
      </c>
      <c r="N1417" s="190">
        <v>41.36</v>
      </c>
      <c r="O1417" s="190">
        <f t="shared" si="171"/>
        <v>45.08</v>
      </c>
      <c r="P1417" s="191">
        <f t="shared" si="172"/>
        <v>0</v>
      </c>
      <c r="Q1417" s="192">
        <f t="shared" si="173"/>
        <v>0</v>
      </c>
      <c r="R1417" s="193"/>
      <c r="S1417" s="194"/>
      <c r="T1417" s="195">
        <f t="shared" si="174"/>
        <v>0</v>
      </c>
      <c r="U1417" s="195">
        <f t="shared" si="175"/>
        <v>0</v>
      </c>
      <c r="V1417" s="195">
        <f t="shared" si="176"/>
        <v>0</v>
      </c>
      <c r="W1417" s="196" t="e">
        <f t="shared" si="177"/>
        <v>#DIV/0!</v>
      </c>
      <c r="X1417" s="197" t="e">
        <f t="shared" si="178"/>
        <v>#DIV/0!</v>
      </c>
    </row>
    <row r="1418" ht="11.4" hidden="1" customHeight="1" spans="1:24">
      <c r="A1418" s="184" t="s">
        <v>3145</v>
      </c>
      <c r="B1418" s="184" t="s">
        <v>111</v>
      </c>
      <c r="C1418" s="184" t="s">
        <v>1101</v>
      </c>
      <c r="D1418" s="185" t="s">
        <v>703</v>
      </c>
      <c r="E1418" s="186" t="s">
        <v>24</v>
      </c>
      <c r="F1418" s="186" t="s">
        <v>24</v>
      </c>
      <c r="G1418" s="186" t="s">
        <v>3135</v>
      </c>
      <c r="H1418" s="186" t="s">
        <v>3135</v>
      </c>
      <c r="I1418" s="187" t="s">
        <v>1109</v>
      </c>
      <c r="J1418" s="187" t="s">
        <v>1110</v>
      </c>
      <c r="K1418" s="188"/>
      <c r="L1418" s="188"/>
      <c r="M1418" s="189" t="s">
        <v>847</v>
      </c>
      <c r="N1418" s="190">
        <v>160.21</v>
      </c>
      <c r="O1418" s="190">
        <f t="shared" si="171"/>
        <v>174.63</v>
      </c>
      <c r="P1418" s="191">
        <f t="shared" si="172"/>
        <v>0</v>
      </c>
      <c r="Q1418" s="192">
        <f t="shared" si="173"/>
        <v>0</v>
      </c>
      <c r="R1418" s="193"/>
      <c r="S1418" s="194"/>
      <c r="T1418" s="195">
        <f t="shared" si="174"/>
        <v>0</v>
      </c>
      <c r="U1418" s="195">
        <f t="shared" si="175"/>
        <v>0</v>
      </c>
      <c r="V1418" s="195">
        <f t="shared" si="176"/>
        <v>0</v>
      </c>
      <c r="W1418" s="196" t="e">
        <f t="shared" si="177"/>
        <v>#DIV/0!</v>
      </c>
      <c r="X1418" s="197" t="e">
        <f t="shared" si="178"/>
        <v>#DIV/0!</v>
      </c>
    </row>
    <row r="1419" ht="11.4" hidden="1" customHeight="1" spans="1:24">
      <c r="A1419" s="184" t="s">
        <v>3145</v>
      </c>
      <c r="B1419" s="184" t="s">
        <v>111</v>
      </c>
      <c r="C1419" s="184" t="s">
        <v>1101</v>
      </c>
      <c r="D1419" s="185" t="s">
        <v>703</v>
      </c>
      <c r="E1419" s="186" t="s">
        <v>24</v>
      </c>
      <c r="F1419" s="186" t="s">
        <v>24</v>
      </c>
      <c r="G1419" s="186" t="s">
        <v>3135</v>
      </c>
      <c r="H1419" s="186" t="s">
        <v>3135</v>
      </c>
      <c r="I1419" s="187" t="s">
        <v>1111</v>
      </c>
      <c r="J1419" s="187" t="s">
        <v>1112</v>
      </c>
      <c r="K1419" s="188"/>
      <c r="L1419" s="188"/>
      <c r="M1419" s="189" t="s">
        <v>807</v>
      </c>
      <c r="N1419" s="190">
        <v>38.94</v>
      </c>
      <c r="O1419" s="190">
        <f t="shared" si="171"/>
        <v>42.44</v>
      </c>
      <c r="P1419" s="191">
        <f t="shared" si="172"/>
        <v>0</v>
      </c>
      <c r="Q1419" s="192">
        <f t="shared" si="173"/>
        <v>0</v>
      </c>
      <c r="R1419" s="193"/>
      <c r="S1419" s="194"/>
      <c r="T1419" s="195">
        <f t="shared" si="174"/>
        <v>0</v>
      </c>
      <c r="U1419" s="195">
        <f t="shared" si="175"/>
        <v>0</v>
      </c>
      <c r="V1419" s="195">
        <f t="shared" si="176"/>
        <v>0</v>
      </c>
      <c r="W1419" s="196" t="e">
        <f t="shared" si="177"/>
        <v>#DIV/0!</v>
      </c>
      <c r="X1419" s="197" t="e">
        <f t="shared" si="178"/>
        <v>#DIV/0!</v>
      </c>
    </row>
    <row r="1420" ht="11.4" hidden="1" customHeight="1" spans="1:24">
      <c r="A1420" s="184" t="s">
        <v>3145</v>
      </c>
      <c r="B1420" s="184" t="s">
        <v>111</v>
      </c>
      <c r="C1420" s="184" t="s">
        <v>1101</v>
      </c>
      <c r="D1420" s="185" t="s">
        <v>703</v>
      </c>
      <c r="E1420" s="186" t="s">
        <v>24</v>
      </c>
      <c r="F1420" s="186" t="s">
        <v>24</v>
      </c>
      <c r="G1420" s="186" t="s">
        <v>3135</v>
      </c>
      <c r="H1420" s="186" t="s">
        <v>3135</v>
      </c>
      <c r="I1420" s="187" t="s">
        <v>1113</v>
      </c>
      <c r="J1420" s="187" t="s">
        <v>1114</v>
      </c>
      <c r="K1420" s="188"/>
      <c r="L1420" s="188"/>
      <c r="M1420" s="189" t="s">
        <v>847</v>
      </c>
      <c r="N1420" s="190">
        <v>181.99</v>
      </c>
      <c r="O1420" s="190">
        <f t="shared" si="171"/>
        <v>198.37</v>
      </c>
      <c r="P1420" s="191">
        <f t="shared" si="172"/>
        <v>0</v>
      </c>
      <c r="Q1420" s="192">
        <f t="shared" si="173"/>
        <v>0</v>
      </c>
      <c r="R1420" s="193"/>
      <c r="S1420" s="194"/>
      <c r="T1420" s="195">
        <f t="shared" si="174"/>
        <v>0</v>
      </c>
      <c r="U1420" s="195">
        <f t="shared" si="175"/>
        <v>0</v>
      </c>
      <c r="V1420" s="195">
        <f t="shared" si="176"/>
        <v>0</v>
      </c>
      <c r="W1420" s="196" t="e">
        <f t="shared" si="177"/>
        <v>#DIV/0!</v>
      </c>
      <c r="X1420" s="197" t="e">
        <f t="shared" si="178"/>
        <v>#DIV/0!</v>
      </c>
    </row>
    <row r="1421" ht="11.4" hidden="1" customHeight="1" spans="1:24">
      <c r="A1421" s="184" t="s">
        <v>3145</v>
      </c>
      <c r="B1421" s="184" t="s">
        <v>111</v>
      </c>
      <c r="C1421" s="184" t="s">
        <v>1101</v>
      </c>
      <c r="D1421" s="185" t="s">
        <v>703</v>
      </c>
      <c r="E1421" s="186" t="s">
        <v>24</v>
      </c>
      <c r="F1421" s="186" t="s">
        <v>24</v>
      </c>
      <c r="G1421" s="186" t="s">
        <v>3135</v>
      </c>
      <c r="H1421" s="186" t="s">
        <v>3135</v>
      </c>
      <c r="I1421" s="187" t="s">
        <v>1115</v>
      </c>
      <c r="J1421" s="187" t="s">
        <v>1116</v>
      </c>
      <c r="K1421" s="188"/>
      <c r="L1421" s="188"/>
      <c r="M1421" s="189" t="s">
        <v>807</v>
      </c>
      <c r="N1421" s="190">
        <v>42.57</v>
      </c>
      <c r="O1421" s="190">
        <f t="shared" ref="O1421:O1484" si="179">ROUND(N1421*(1+$F$10),2)</f>
        <v>46.4</v>
      </c>
      <c r="P1421" s="191">
        <f t="shared" ref="P1421:P1484" si="180">ROUND(K1421*N1421,2)</f>
        <v>0</v>
      </c>
      <c r="Q1421" s="192">
        <f t="shared" ref="Q1421:Q1484" si="181">ROUND(L1421*N1421,2)</f>
        <v>0</v>
      </c>
      <c r="R1421" s="193"/>
      <c r="S1421" s="194"/>
      <c r="T1421" s="195">
        <f t="shared" ref="T1421:T1484" si="182">K1421-L1421</f>
        <v>0</v>
      </c>
      <c r="U1421" s="195">
        <f t="shared" ref="U1421:U1484" si="183">P1421-Q1421</f>
        <v>0</v>
      </c>
      <c r="V1421" s="195">
        <f t="shared" ref="V1421:V1484" si="184">ABS(U1421)</f>
        <v>0</v>
      </c>
      <c r="W1421" s="196" t="e">
        <f t="shared" ref="W1421:W1484" si="185">T1421/L1421</f>
        <v>#DIV/0!</v>
      </c>
      <c r="X1421" s="197" t="e">
        <f t="shared" ref="X1421:X1484" si="186">ABS(W1421)</f>
        <v>#DIV/0!</v>
      </c>
    </row>
    <row r="1422" ht="11.4" hidden="1" customHeight="1" spans="1:24">
      <c r="A1422" s="184" t="s">
        <v>3145</v>
      </c>
      <c r="B1422" s="184" t="s">
        <v>111</v>
      </c>
      <c r="C1422" s="184" t="s">
        <v>1101</v>
      </c>
      <c r="D1422" s="185" t="s">
        <v>703</v>
      </c>
      <c r="E1422" s="186" t="s">
        <v>24</v>
      </c>
      <c r="F1422" s="186" t="s">
        <v>24</v>
      </c>
      <c r="G1422" s="186" t="s">
        <v>3135</v>
      </c>
      <c r="H1422" s="186" t="s">
        <v>3135</v>
      </c>
      <c r="I1422" s="187" t="s">
        <v>1117</v>
      </c>
      <c r="J1422" s="187" t="s">
        <v>1118</v>
      </c>
      <c r="K1422" s="188"/>
      <c r="L1422" s="188"/>
      <c r="M1422" s="189" t="s">
        <v>847</v>
      </c>
      <c r="N1422" s="190">
        <v>187.98</v>
      </c>
      <c r="O1422" s="190">
        <f t="shared" si="179"/>
        <v>204.9</v>
      </c>
      <c r="P1422" s="191">
        <f t="shared" si="180"/>
        <v>0</v>
      </c>
      <c r="Q1422" s="192">
        <f t="shared" si="181"/>
        <v>0</v>
      </c>
      <c r="R1422" s="193"/>
      <c r="S1422" s="194"/>
      <c r="T1422" s="195">
        <f t="shared" si="182"/>
        <v>0</v>
      </c>
      <c r="U1422" s="195">
        <f t="shared" si="183"/>
        <v>0</v>
      </c>
      <c r="V1422" s="195">
        <f t="shared" si="184"/>
        <v>0</v>
      </c>
      <c r="W1422" s="196" t="e">
        <f t="shared" si="185"/>
        <v>#DIV/0!</v>
      </c>
      <c r="X1422" s="197" t="e">
        <f t="shared" si="186"/>
        <v>#DIV/0!</v>
      </c>
    </row>
    <row r="1423" ht="11.4" hidden="1" customHeight="1" spans="1:24">
      <c r="A1423" s="184" t="s">
        <v>3145</v>
      </c>
      <c r="B1423" s="184" t="s">
        <v>111</v>
      </c>
      <c r="C1423" s="184" t="s">
        <v>1101</v>
      </c>
      <c r="D1423" s="185" t="s">
        <v>703</v>
      </c>
      <c r="E1423" s="186" t="s">
        <v>24</v>
      </c>
      <c r="F1423" s="186" t="s">
        <v>24</v>
      </c>
      <c r="G1423" s="186" t="s">
        <v>3135</v>
      </c>
      <c r="H1423" s="186" t="s">
        <v>3135</v>
      </c>
      <c r="I1423" s="187" t="s">
        <v>1119</v>
      </c>
      <c r="J1423" s="187" t="s">
        <v>1120</v>
      </c>
      <c r="K1423" s="188"/>
      <c r="L1423" s="188"/>
      <c r="M1423" s="189" t="s">
        <v>847</v>
      </c>
      <c r="N1423" s="190">
        <v>171.66</v>
      </c>
      <c r="O1423" s="190">
        <f t="shared" si="179"/>
        <v>187.11</v>
      </c>
      <c r="P1423" s="191">
        <f t="shared" si="180"/>
        <v>0</v>
      </c>
      <c r="Q1423" s="192">
        <f t="shared" si="181"/>
        <v>0</v>
      </c>
      <c r="R1423" s="193"/>
      <c r="S1423" s="194"/>
      <c r="T1423" s="195">
        <f t="shared" si="182"/>
        <v>0</v>
      </c>
      <c r="U1423" s="195">
        <f t="shared" si="183"/>
        <v>0</v>
      </c>
      <c r="V1423" s="195">
        <f t="shared" si="184"/>
        <v>0</v>
      </c>
      <c r="W1423" s="196" t="e">
        <f t="shared" si="185"/>
        <v>#DIV/0!</v>
      </c>
      <c r="X1423" s="197" t="e">
        <f t="shared" si="186"/>
        <v>#DIV/0!</v>
      </c>
    </row>
    <row r="1424" ht="11.4" hidden="1" customHeight="1" spans="1:24">
      <c r="A1424" s="184" t="s">
        <v>3145</v>
      </c>
      <c r="B1424" s="184" t="s">
        <v>111</v>
      </c>
      <c r="C1424" s="184" t="s">
        <v>1101</v>
      </c>
      <c r="D1424" s="185" t="s">
        <v>703</v>
      </c>
      <c r="E1424" s="186" t="s">
        <v>24</v>
      </c>
      <c r="F1424" s="186" t="s">
        <v>24</v>
      </c>
      <c r="G1424" s="186" t="s">
        <v>3135</v>
      </c>
      <c r="H1424" s="186" t="s">
        <v>3135</v>
      </c>
      <c r="I1424" s="187" t="s">
        <v>1121</v>
      </c>
      <c r="J1424" s="187" t="s">
        <v>1122</v>
      </c>
      <c r="K1424" s="188"/>
      <c r="L1424" s="188"/>
      <c r="M1424" s="189" t="s">
        <v>847</v>
      </c>
      <c r="N1424" s="190">
        <v>189.15</v>
      </c>
      <c r="O1424" s="190">
        <f t="shared" si="179"/>
        <v>206.17</v>
      </c>
      <c r="P1424" s="191">
        <f t="shared" si="180"/>
        <v>0</v>
      </c>
      <c r="Q1424" s="192">
        <f t="shared" si="181"/>
        <v>0</v>
      </c>
      <c r="R1424" s="193"/>
      <c r="S1424" s="194"/>
      <c r="T1424" s="195">
        <f t="shared" si="182"/>
        <v>0</v>
      </c>
      <c r="U1424" s="195">
        <f t="shared" si="183"/>
        <v>0</v>
      </c>
      <c r="V1424" s="195">
        <f t="shared" si="184"/>
        <v>0</v>
      </c>
      <c r="W1424" s="196" t="e">
        <f t="shared" si="185"/>
        <v>#DIV/0!</v>
      </c>
      <c r="X1424" s="197" t="e">
        <f t="shared" si="186"/>
        <v>#DIV/0!</v>
      </c>
    </row>
    <row r="1425" ht="11.4" hidden="1" customHeight="1" spans="1:24">
      <c r="A1425" s="184" t="s">
        <v>3145</v>
      </c>
      <c r="B1425" s="184" t="s">
        <v>111</v>
      </c>
      <c r="C1425" s="184" t="s">
        <v>1101</v>
      </c>
      <c r="D1425" s="185" t="s">
        <v>703</v>
      </c>
      <c r="E1425" s="186" t="s">
        <v>24</v>
      </c>
      <c r="F1425" s="186" t="s">
        <v>24</v>
      </c>
      <c r="G1425" s="186" t="s">
        <v>3135</v>
      </c>
      <c r="H1425" s="186" t="s">
        <v>3135</v>
      </c>
      <c r="I1425" s="187" t="s">
        <v>1123</v>
      </c>
      <c r="J1425" s="187" t="s">
        <v>1124</v>
      </c>
      <c r="K1425" s="188"/>
      <c r="L1425" s="188"/>
      <c r="M1425" s="189" t="s">
        <v>807</v>
      </c>
      <c r="N1425" s="190">
        <v>41.36</v>
      </c>
      <c r="O1425" s="190">
        <f t="shared" si="179"/>
        <v>45.08</v>
      </c>
      <c r="P1425" s="191">
        <f t="shared" si="180"/>
        <v>0</v>
      </c>
      <c r="Q1425" s="192">
        <f t="shared" si="181"/>
        <v>0</v>
      </c>
      <c r="R1425" s="193"/>
      <c r="S1425" s="194"/>
      <c r="T1425" s="195">
        <f t="shared" si="182"/>
        <v>0</v>
      </c>
      <c r="U1425" s="195">
        <f t="shared" si="183"/>
        <v>0</v>
      </c>
      <c r="V1425" s="195">
        <f t="shared" si="184"/>
        <v>0</v>
      </c>
      <c r="W1425" s="196" t="e">
        <f t="shared" si="185"/>
        <v>#DIV/0!</v>
      </c>
      <c r="X1425" s="197" t="e">
        <f t="shared" si="186"/>
        <v>#DIV/0!</v>
      </c>
    </row>
    <row r="1426" ht="11.4" hidden="1" customHeight="1" spans="1:24">
      <c r="A1426" s="184" t="s">
        <v>3145</v>
      </c>
      <c r="B1426" s="184" t="s">
        <v>111</v>
      </c>
      <c r="C1426" s="184" t="s">
        <v>1101</v>
      </c>
      <c r="D1426" s="185" t="s">
        <v>703</v>
      </c>
      <c r="E1426" s="186" t="s">
        <v>24</v>
      </c>
      <c r="F1426" s="186" t="s">
        <v>24</v>
      </c>
      <c r="G1426" s="186" t="s">
        <v>3135</v>
      </c>
      <c r="H1426" s="186" t="s">
        <v>3135</v>
      </c>
      <c r="I1426" s="187" t="s">
        <v>1125</v>
      </c>
      <c r="J1426" s="187" t="s">
        <v>1126</v>
      </c>
      <c r="K1426" s="188"/>
      <c r="L1426" s="188"/>
      <c r="M1426" s="189" t="s">
        <v>807</v>
      </c>
      <c r="N1426" s="190">
        <v>38.94</v>
      </c>
      <c r="O1426" s="190">
        <f t="shared" si="179"/>
        <v>42.44</v>
      </c>
      <c r="P1426" s="191">
        <f t="shared" si="180"/>
        <v>0</v>
      </c>
      <c r="Q1426" s="192">
        <f t="shared" si="181"/>
        <v>0</v>
      </c>
      <c r="R1426" s="193"/>
      <c r="S1426" s="194"/>
      <c r="T1426" s="195">
        <f t="shared" si="182"/>
        <v>0</v>
      </c>
      <c r="U1426" s="195">
        <f t="shared" si="183"/>
        <v>0</v>
      </c>
      <c r="V1426" s="195">
        <f t="shared" si="184"/>
        <v>0</v>
      </c>
      <c r="W1426" s="196" t="e">
        <f t="shared" si="185"/>
        <v>#DIV/0!</v>
      </c>
      <c r="X1426" s="197" t="e">
        <f t="shared" si="186"/>
        <v>#DIV/0!</v>
      </c>
    </row>
    <row r="1427" ht="11.4" hidden="1" customHeight="1" spans="1:24">
      <c r="A1427" s="184" t="s">
        <v>3145</v>
      </c>
      <c r="B1427" s="184" t="s">
        <v>111</v>
      </c>
      <c r="C1427" s="184" t="s">
        <v>1101</v>
      </c>
      <c r="D1427" s="185" t="s">
        <v>703</v>
      </c>
      <c r="E1427" s="186" t="s">
        <v>24</v>
      </c>
      <c r="F1427" s="186" t="s">
        <v>24</v>
      </c>
      <c r="G1427" s="186" t="s">
        <v>3135</v>
      </c>
      <c r="H1427" s="186" t="s">
        <v>3135</v>
      </c>
      <c r="I1427" s="187" t="s">
        <v>1127</v>
      </c>
      <c r="J1427" s="187" t="s">
        <v>1128</v>
      </c>
      <c r="K1427" s="188"/>
      <c r="L1427" s="188"/>
      <c r="M1427" s="189" t="s">
        <v>807</v>
      </c>
      <c r="N1427" s="190">
        <v>40.15</v>
      </c>
      <c r="O1427" s="190">
        <f t="shared" si="179"/>
        <v>43.76</v>
      </c>
      <c r="P1427" s="191">
        <f t="shared" si="180"/>
        <v>0</v>
      </c>
      <c r="Q1427" s="192">
        <f t="shared" si="181"/>
        <v>0</v>
      </c>
      <c r="R1427" s="193"/>
      <c r="S1427" s="194"/>
      <c r="T1427" s="195">
        <f t="shared" si="182"/>
        <v>0</v>
      </c>
      <c r="U1427" s="195">
        <f t="shared" si="183"/>
        <v>0</v>
      </c>
      <c r="V1427" s="195">
        <f t="shared" si="184"/>
        <v>0</v>
      </c>
      <c r="W1427" s="196" t="e">
        <f t="shared" si="185"/>
        <v>#DIV/0!</v>
      </c>
      <c r="X1427" s="197" t="e">
        <f t="shared" si="186"/>
        <v>#DIV/0!</v>
      </c>
    </row>
    <row r="1428" ht="11.4" hidden="1" customHeight="1" spans="1:24">
      <c r="A1428" s="184" t="s">
        <v>3145</v>
      </c>
      <c r="B1428" s="184" t="s">
        <v>111</v>
      </c>
      <c r="C1428" s="184" t="s">
        <v>1101</v>
      </c>
      <c r="D1428" s="185" t="s">
        <v>703</v>
      </c>
      <c r="E1428" s="186" t="s">
        <v>24</v>
      </c>
      <c r="F1428" s="186" t="s">
        <v>24</v>
      </c>
      <c r="G1428" s="186" t="s">
        <v>3135</v>
      </c>
      <c r="H1428" s="186" t="s">
        <v>3135</v>
      </c>
      <c r="I1428" s="187" t="s">
        <v>1129</v>
      </c>
      <c r="J1428" s="187" t="s">
        <v>1130</v>
      </c>
      <c r="K1428" s="188"/>
      <c r="L1428" s="188"/>
      <c r="M1428" s="189" t="s">
        <v>847</v>
      </c>
      <c r="N1428" s="190">
        <v>219.86</v>
      </c>
      <c r="O1428" s="190">
        <f t="shared" si="179"/>
        <v>239.65</v>
      </c>
      <c r="P1428" s="191">
        <f t="shared" si="180"/>
        <v>0</v>
      </c>
      <c r="Q1428" s="192">
        <f t="shared" si="181"/>
        <v>0</v>
      </c>
      <c r="R1428" s="193"/>
      <c r="S1428" s="194"/>
      <c r="T1428" s="195">
        <f t="shared" si="182"/>
        <v>0</v>
      </c>
      <c r="U1428" s="195">
        <f t="shared" si="183"/>
        <v>0</v>
      </c>
      <c r="V1428" s="195">
        <f t="shared" si="184"/>
        <v>0</v>
      </c>
      <c r="W1428" s="196" t="e">
        <f t="shared" si="185"/>
        <v>#DIV/0!</v>
      </c>
      <c r="X1428" s="197" t="e">
        <f t="shared" si="186"/>
        <v>#DIV/0!</v>
      </c>
    </row>
    <row r="1429" ht="11.4" hidden="1" customHeight="1" spans="1:24">
      <c r="A1429" s="184" t="s">
        <v>3145</v>
      </c>
      <c r="B1429" s="184" t="s">
        <v>111</v>
      </c>
      <c r="C1429" s="184" t="s">
        <v>1101</v>
      </c>
      <c r="D1429" s="185" t="s">
        <v>703</v>
      </c>
      <c r="E1429" s="186" t="s">
        <v>24</v>
      </c>
      <c r="F1429" s="186" t="s">
        <v>24</v>
      </c>
      <c r="G1429" s="186" t="s">
        <v>3135</v>
      </c>
      <c r="H1429" s="186" t="s">
        <v>3135</v>
      </c>
      <c r="I1429" s="187" t="s">
        <v>1131</v>
      </c>
      <c r="J1429" s="187" t="s">
        <v>1132</v>
      </c>
      <c r="K1429" s="188"/>
      <c r="L1429" s="188"/>
      <c r="M1429" s="189" t="s">
        <v>847</v>
      </c>
      <c r="N1429" s="190">
        <v>203.42</v>
      </c>
      <c r="O1429" s="190">
        <f t="shared" si="179"/>
        <v>221.73</v>
      </c>
      <c r="P1429" s="191">
        <f t="shared" si="180"/>
        <v>0</v>
      </c>
      <c r="Q1429" s="192">
        <f t="shared" si="181"/>
        <v>0</v>
      </c>
      <c r="R1429" s="193"/>
      <c r="S1429" s="194"/>
      <c r="T1429" s="195">
        <f t="shared" si="182"/>
        <v>0</v>
      </c>
      <c r="U1429" s="195">
        <f t="shared" si="183"/>
        <v>0</v>
      </c>
      <c r="V1429" s="195">
        <f t="shared" si="184"/>
        <v>0</v>
      </c>
      <c r="W1429" s="196" t="e">
        <f t="shared" si="185"/>
        <v>#DIV/0!</v>
      </c>
      <c r="X1429" s="197" t="e">
        <f t="shared" si="186"/>
        <v>#DIV/0!</v>
      </c>
    </row>
    <row r="1430" ht="11.4" hidden="1" customHeight="1" spans="1:24">
      <c r="A1430" s="184" t="s">
        <v>3145</v>
      </c>
      <c r="B1430" s="184" t="s">
        <v>111</v>
      </c>
      <c r="C1430" s="184" t="s">
        <v>1101</v>
      </c>
      <c r="D1430" s="185" t="s">
        <v>703</v>
      </c>
      <c r="E1430" s="186" t="s">
        <v>24</v>
      </c>
      <c r="F1430" s="186" t="s">
        <v>24</v>
      </c>
      <c r="G1430" s="186" t="s">
        <v>3135</v>
      </c>
      <c r="H1430" s="186" t="s">
        <v>3135</v>
      </c>
      <c r="I1430" s="187" t="s">
        <v>1133</v>
      </c>
      <c r="J1430" s="187" t="s">
        <v>1134</v>
      </c>
      <c r="K1430" s="188"/>
      <c r="L1430" s="188"/>
      <c r="M1430" s="189" t="s">
        <v>847</v>
      </c>
      <c r="N1430" s="190">
        <v>222.39</v>
      </c>
      <c r="O1430" s="190">
        <f t="shared" si="179"/>
        <v>242.41</v>
      </c>
      <c r="P1430" s="191">
        <f t="shared" si="180"/>
        <v>0</v>
      </c>
      <c r="Q1430" s="192">
        <f t="shared" si="181"/>
        <v>0</v>
      </c>
      <c r="R1430" s="193"/>
      <c r="S1430" s="194"/>
      <c r="T1430" s="195">
        <f t="shared" si="182"/>
        <v>0</v>
      </c>
      <c r="U1430" s="195">
        <f t="shared" si="183"/>
        <v>0</v>
      </c>
      <c r="V1430" s="195">
        <f t="shared" si="184"/>
        <v>0</v>
      </c>
      <c r="W1430" s="196" t="e">
        <f t="shared" si="185"/>
        <v>#DIV/0!</v>
      </c>
      <c r="X1430" s="197" t="e">
        <f t="shared" si="186"/>
        <v>#DIV/0!</v>
      </c>
    </row>
    <row r="1431" ht="11.4" hidden="1" customHeight="1" spans="1:24">
      <c r="A1431" s="184" t="s">
        <v>3145</v>
      </c>
      <c r="B1431" s="184" t="s">
        <v>111</v>
      </c>
      <c r="C1431" s="184" t="s">
        <v>1101</v>
      </c>
      <c r="D1431" s="185" t="s">
        <v>703</v>
      </c>
      <c r="E1431" s="186" t="s">
        <v>24</v>
      </c>
      <c r="F1431" s="186" t="s">
        <v>24</v>
      </c>
      <c r="G1431" s="186" t="s">
        <v>3135</v>
      </c>
      <c r="H1431" s="186" t="s">
        <v>3135</v>
      </c>
      <c r="I1431" s="187" t="s">
        <v>1135</v>
      </c>
      <c r="J1431" s="187" t="s">
        <v>1136</v>
      </c>
      <c r="K1431" s="188"/>
      <c r="L1431" s="188"/>
      <c r="M1431" s="189" t="s">
        <v>807</v>
      </c>
      <c r="N1431" s="190">
        <v>41.36</v>
      </c>
      <c r="O1431" s="190">
        <f t="shared" si="179"/>
        <v>45.08</v>
      </c>
      <c r="P1431" s="191">
        <f t="shared" si="180"/>
        <v>0</v>
      </c>
      <c r="Q1431" s="192">
        <f t="shared" si="181"/>
        <v>0</v>
      </c>
      <c r="R1431" s="193"/>
      <c r="S1431" s="194"/>
      <c r="T1431" s="195">
        <f t="shared" si="182"/>
        <v>0</v>
      </c>
      <c r="U1431" s="195">
        <f t="shared" si="183"/>
        <v>0</v>
      </c>
      <c r="V1431" s="195">
        <f t="shared" si="184"/>
        <v>0</v>
      </c>
      <c r="W1431" s="196" t="e">
        <f t="shared" si="185"/>
        <v>#DIV/0!</v>
      </c>
      <c r="X1431" s="197" t="e">
        <f t="shared" si="186"/>
        <v>#DIV/0!</v>
      </c>
    </row>
    <row r="1432" ht="11.4" hidden="1" customHeight="1" spans="1:24">
      <c r="A1432" s="184" t="s">
        <v>3145</v>
      </c>
      <c r="B1432" s="184" t="s">
        <v>111</v>
      </c>
      <c r="C1432" s="184" t="s">
        <v>1101</v>
      </c>
      <c r="D1432" s="185" t="s">
        <v>703</v>
      </c>
      <c r="E1432" s="186" t="s">
        <v>24</v>
      </c>
      <c r="F1432" s="186" t="s">
        <v>24</v>
      </c>
      <c r="G1432" s="186" t="s">
        <v>3135</v>
      </c>
      <c r="H1432" s="186" t="s">
        <v>3135</v>
      </c>
      <c r="I1432" s="187" t="s">
        <v>1137</v>
      </c>
      <c r="J1432" s="187" t="s">
        <v>1138</v>
      </c>
      <c r="K1432" s="188"/>
      <c r="L1432" s="188"/>
      <c r="M1432" s="189" t="s">
        <v>807</v>
      </c>
      <c r="N1432" s="190">
        <v>40.15</v>
      </c>
      <c r="O1432" s="190">
        <f t="shared" si="179"/>
        <v>43.76</v>
      </c>
      <c r="P1432" s="191">
        <f t="shared" si="180"/>
        <v>0</v>
      </c>
      <c r="Q1432" s="192">
        <f t="shared" si="181"/>
        <v>0</v>
      </c>
      <c r="R1432" s="193"/>
      <c r="S1432" s="194"/>
      <c r="T1432" s="195">
        <f t="shared" si="182"/>
        <v>0</v>
      </c>
      <c r="U1432" s="195">
        <f t="shared" si="183"/>
        <v>0</v>
      </c>
      <c r="V1432" s="195">
        <f t="shared" si="184"/>
        <v>0</v>
      </c>
      <c r="W1432" s="196" t="e">
        <f t="shared" si="185"/>
        <v>#DIV/0!</v>
      </c>
      <c r="X1432" s="197" t="e">
        <f t="shared" si="186"/>
        <v>#DIV/0!</v>
      </c>
    </row>
    <row r="1433" ht="11.4" hidden="1" customHeight="1" spans="1:24">
      <c r="A1433" s="184" t="s">
        <v>3145</v>
      </c>
      <c r="B1433" s="184" t="s">
        <v>111</v>
      </c>
      <c r="C1433" s="184" t="s">
        <v>1101</v>
      </c>
      <c r="D1433" s="185" t="s">
        <v>703</v>
      </c>
      <c r="E1433" s="186" t="s">
        <v>24</v>
      </c>
      <c r="F1433" s="186" t="s">
        <v>24</v>
      </c>
      <c r="G1433" s="186" t="s">
        <v>3135</v>
      </c>
      <c r="H1433" s="186" t="s">
        <v>3135</v>
      </c>
      <c r="I1433" s="187" t="s">
        <v>1139</v>
      </c>
      <c r="J1433" s="187" t="s">
        <v>2898</v>
      </c>
      <c r="K1433" s="188"/>
      <c r="L1433" s="188"/>
      <c r="M1433" s="189" t="s">
        <v>807</v>
      </c>
      <c r="N1433" s="190">
        <v>41.36</v>
      </c>
      <c r="O1433" s="190">
        <f t="shared" si="179"/>
        <v>45.08</v>
      </c>
      <c r="P1433" s="191">
        <f t="shared" si="180"/>
        <v>0</v>
      </c>
      <c r="Q1433" s="192">
        <f t="shared" si="181"/>
        <v>0</v>
      </c>
      <c r="R1433" s="193"/>
      <c r="S1433" s="194"/>
      <c r="T1433" s="195">
        <f t="shared" si="182"/>
        <v>0</v>
      </c>
      <c r="U1433" s="195">
        <f t="shared" si="183"/>
        <v>0</v>
      </c>
      <c r="V1433" s="195">
        <f t="shared" si="184"/>
        <v>0</v>
      </c>
      <c r="W1433" s="196" t="e">
        <f t="shared" si="185"/>
        <v>#DIV/0!</v>
      </c>
      <c r="X1433" s="197" t="e">
        <f t="shared" si="186"/>
        <v>#DIV/0!</v>
      </c>
    </row>
    <row r="1434" ht="11.4" hidden="1" customHeight="1" spans="1:24">
      <c r="A1434" s="184" t="s">
        <v>3145</v>
      </c>
      <c r="B1434" s="184" t="s">
        <v>111</v>
      </c>
      <c r="C1434" s="184" t="s">
        <v>1101</v>
      </c>
      <c r="D1434" s="185" t="s">
        <v>703</v>
      </c>
      <c r="E1434" s="186" t="s">
        <v>24</v>
      </c>
      <c r="F1434" s="186" t="s">
        <v>24</v>
      </c>
      <c r="G1434" s="186" t="s">
        <v>3135</v>
      </c>
      <c r="H1434" s="186" t="s">
        <v>3135</v>
      </c>
      <c r="I1434" s="187" t="s">
        <v>1141</v>
      </c>
      <c r="J1434" s="187" t="s">
        <v>1142</v>
      </c>
      <c r="K1434" s="188"/>
      <c r="L1434" s="188"/>
      <c r="M1434" s="189" t="s">
        <v>847</v>
      </c>
      <c r="N1434" s="190">
        <v>196.14</v>
      </c>
      <c r="O1434" s="190">
        <f t="shared" si="179"/>
        <v>213.79</v>
      </c>
      <c r="P1434" s="191">
        <f t="shared" si="180"/>
        <v>0</v>
      </c>
      <c r="Q1434" s="192">
        <f t="shared" si="181"/>
        <v>0</v>
      </c>
      <c r="R1434" s="193"/>
      <c r="S1434" s="194"/>
      <c r="T1434" s="195">
        <f t="shared" si="182"/>
        <v>0</v>
      </c>
      <c r="U1434" s="195">
        <f t="shared" si="183"/>
        <v>0</v>
      </c>
      <c r="V1434" s="195">
        <f t="shared" si="184"/>
        <v>0</v>
      </c>
      <c r="W1434" s="196" t="e">
        <f t="shared" si="185"/>
        <v>#DIV/0!</v>
      </c>
      <c r="X1434" s="197" t="e">
        <f t="shared" si="186"/>
        <v>#DIV/0!</v>
      </c>
    </row>
    <row r="1435" ht="11.4" hidden="1" customHeight="1" spans="1:24">
      <c r="A1435" s="184" t="s">
        <v>3145</v>
      </c>
      <c r="B1435" s="184" t="s">
        <v>111</v>
      </c>
      <c r="C1435" s="184" t="s">
        <v>1101</v>
      </c>
      <c r="D1435" s="185" t="s">
        <v>703</v>
      </c>
      <c r="E1435" s="186" t="s">
        <v>24</v>
      </c>
      <c r="F1435" s="186" t="s">
        <v>24</v>
      </c>
      <c r="G1435" s="186" t="s">
        <v>3135</v>
      </c>
      <c r="H1435" s="186" t="s">
        <v>3135</v>
      </c>
      <c r="I1435" s="187" t="s">
        <v>1143</v>
      </c>
      <c r="J1435" s="187" t="s">
        <v>1144</v>
      </c>
      <c r="K1435" s="188"/>
      <c r="L1435" s="188"/>
      <c r="M1435" s="189" t="s">
        <v>807</v>
      </c>
      <c r="N1435" s="190">
        <v>41.47</v>
      </c>
      <c r="O1435" s="190">
        <f t="shared" si="179"/>
        <v>45.2</v>
      </c>
      <c r="P1435" s="191">
        <f t="shared" si="180"/>
        <v>0</v>
      </c>
      <c r="Q1435" s="192">
        <f t="shared" si="181"/>
        <v>0</v>
      </c>
      <c r="R1435" s="193"/>
      <c r="S1435" s="194"/>
      <c r="T1435" s="195">
        <f t="shared" si="182"/>
        <v>0</v>
      </c>
      <c r="U1435" s="195">
        <f t="shared" si="183"/>
        <v>0</v>
      </c>
      <c r="V1435" s="195">
        <f t="shared" si="184"/>
        <v>0</v>
      </c>
      <c r="W1435" s="196" t="e">
        <f t="shared" si="185"/>
        <v>#DIV/0!</v>
      </c>
      <c r="X1435" s="197" t="e">
        <f t="shared" si="186"/>
        <v>#DIV/0!</v>
      </c>
    </row>
    <row r="1436" ht="11.4" hidden="1" customHeight="1" spans="1:24">
      <c r="A1436" s="184" t="s">
        <v>3145</v>
      </c>
      <c r="B1436" s="184" t="s">
        <v>111</v>
      </c>
      <c r="C1436" s="184" t="s">
        <v>1101</v>
      </c>
      <c r="D1436" s="185" t="s">
        <v>703</v>
      </c>
      <c r="E1436" s="186" t="s">
        <v>24</v>
      </c>
      <c r="F1436" s="186" t="s">
        <v>24</v>
      </c>
      <c r="G1436" s="186" t="s">
        <v>3135</v>
      </c>
      <c r="H1436" s="186" t="s">
        <v>3135</v>
      </c>
      <c r="I1436" s="187" t="s">
        <v>1145</v>
      </c>
      <c r="J1436" s="187" t="s">
        <v>1146</v>
      </c>
      <c r="K1436" s="188"/>
      <c r="L1436" s="188"/>
      <c r="M1436" s="189" t="s">
        <v>847</v>
      </c>
      <c r="N1436" s="190">
        <v>179.82</v>
      </c>
      <c r="O1436" s="190">
        <f t="shared" si="179"/>
        <v>196</v>
      </c>
      <c r="P1436" s="191">
        <f t="shared" si="180"/>
        <v>0</v>
      </c>
      <c r="Q1436" s="192">
        <f t="shared" si="181"/>
        <v>0</v>
      </c>
      <c r="R1436" s="193"/>
      <c r="S1436" s="194"/>
      <c r="T1436" s="195">
        <f t="shared" si="182"/>
        <v>0</v>
      </c>
      <c r="U1436" s="195">
        <f t="shared" si="183"/>
        <v>0</v>
      </c>
      <c r="V1436" s="195">
        <f t="shared" si="184"/>
        <v>0</v>
      </c>
      <c r="W1436" s="196" t="e">
        <f t="shared" si="185"/>
        <v>#DIV/0!</v>
      </c>
      <c r="X1436" s="197" t="e">
        <f t="shared" si="186"/>
        <v>#DIV/0!</v>
      </c>
    </row>
    <row r="1437" ht="11.4" hidden="1" customHeight="1" spans="1:24">
      <c r="A1437" s="184" t="s">
        <v>3145</v>
      </c>
      <c r="B1437" s="184" t="s">
        <v>111</v>
      </c>
      <c r="C1437" s="184" t="s">
        <v>1101</v>
      </c>
      <c r="D1437" s="185" t="s">
        <v>703</v>
      </c>
      <c r="E1437" s="186" t="s">
        <v>24</v>
      </c>
      <c r="F1437" s="186" t="s">
        <v>24</v>
      </c>
      <c r="G1437" s="186" t="s">
        <v>3135</v>
      </c>
      <c r="H1437" s="186" t="s">
        <v>3135</v>
      </c>
      <c r="I1437" s="187" t="s">
        <v>1147</v>
      </c>
      <c r="J1437" s="187" t="s">
        <v>1148</v>
      </c>
      <c r="K1437" s="188"/>
      <c r="L1437" s="188"/>
      <c r="M1437" s="189" t="s">
        <v>807</v>
      </c>
      <c r="N1437" s="190">
        <v>37.84</v>
      </c>
      <c r="O1437" s="190">
        <f t="shared" si="179"/>
        <v>41.25</v>
      </c>
      <c r="P1437" s="191">
        <f t="shared" si="180"/>
        <v>0</v>
      </c>
      <c r="Q1437" s="192">
        <f t="shared" si="181"/>
        <v>0</v>
      </c>
      <c r="R1437" s="193"/>
      <c r="S1437" s="194"/>
      <c r="T1437" s="195">
        <f t="shared" si="182"/>
        <v>0</v>
      </c>
      <c r="U1437" s="195">
        <f t="shared" si="183"/>
        <v>0</v>
      </c>
      <c r="V1437" s="195">
        <f t="shared" si="184"/>
        <v>0</v>
      </c>
      <c r="W1437" s="196" t="e">
        <f t="shared" si="185"/>
        <v>#DIV/0!</v>
      </c>
      <c r="X1437" s="197" t="e">
        <f t="shared" si="186"/>
        <v>#DIV/0!</v>
      </c>
    </row>
    <row r="1438" ht="11.4" hidden="1" customHeight="1" spans="1:24">
      <c r="A1438" s="184" t="s">
        <v>3145</v>
      </c>
      <c r="B1438" s="184" t="s">
        <v>111</v>
      </c>
      <c r="C1438" s="184" t="s">
        <v>1101</v>
      </c>
      <c r="D1438" s="185" t="s">
        <v>703</v>
      </c>
      <c r="E1438" s="186" t="s">
        <v>24</v>
      </c>
      <c r="F1438" s="186" t="s">
        <v>24</v>
      </c>
      <c r="G1438" s="186" t="s">
        <v>3135</v>
      </c>
      <c r="H1438" s="186" t="s">
        <v>3135</v>
      </c>
      <c r="I1438" s="187" t="s">
        <v>1149</v>
      </c>
      <c r="J1438" s="187" t="s">
        <v>1150</v>
      </c>
      <c r="K1438" s="188"/>
      <c r="L1438" s="188"/>
      <c r="M1438" s="189" t="s">
        <v>847</v>
      </c>
      <c r="N1438" s="190">
        <v>193.81</v>
      </c>
      <c r="O1438" s="190">
        <f t="shared" si="179"/>
        <v>211.25</v>
      </c>
      <c r="P1438" s="191">
        <f t="shared" si="180"/>
        <v>0</v>
      </c>
      <c r="Q1438" s="192">
        <f t="shared" si="181"/>
        <v>0</v>
      </c>
      <c r="R1438" s="193"/>
      <c r="S1438" s="194"/>
      <c r="T1438" s="195">
        <f t="shared" si="182"/>
        <v>0</v>
      </c>
      <c r="U1438" s="195">
        <f t="shared" si="183"/>
        <v>0</v>
      </c>
      <c r="V1438" s="195">
        <f t="shared" si="184"/>
        <v>0</v>
      </c>
      <c r="W1438" s="196" t="e">
        <f t="shared" si="185"/>
        <v>#DIV/0!</v>
      </c>
      <c r="X1438" s="197" t="e">
        <f t="shared" si="186"/>
        <v>#DIV/0!</v>
      </c>
    </row>
    <row r="1439" ht="11.4" hidden="1" customHeight="1" spans="1:24">
      <c r="A1439" s="184" t="s">
        <v>3145</v>
      </c>
      <c r="B1439" s="184" t="s">
        <v>111</v>
      </c>
      <c r="C1439" s="184" t="s">
        <v>1101</v>
      </c>
      <c r="D1439" s="185" t="s">
        <v>703</v>
      </c>
      <c r="E1439" s="186" t="s">
        <v>24</v>
      </c>
      <c r="F1439" s="186" t="s">
        <v>24</v>
      </c>
      <c r="G1439" s="186" t="s">
        <v>3135</v>
      </c>
      <c r="H1439" s="186" t="s">
        <v>3135</v>
      </c>
      <c r="I1439" s="187" t="s">
        <v>1151</v>
      </c>
      <c r="J1439" s="187" t="s">
        <v>1152</v>
      </c>
      <c r="K1439" s="188"/>
      <c r="L1439" s="188"/>
      <c r="M1439" s="189" t="s">
        <v>807</v>
      </c>
      <c r="N1439" s="190">
        <v>39.05</v>
      </c>
      <c r="O1439" s="190">
        <f t="shared" si="179"/>
        <v>42.56</v>
      </c>
      <c r="P1439" s="191">
        <f t="shared" si="180"/>
        <v>0</v>
      </c>
      <c r="Q1439" s="192">
        <f t="shared" si="181"/>
        <v>0</v>
      </c>
      <c r="R1439" s="193"/>
      <c r="S1439" s="194"/>
      <c r="T1439" s="195">
        <f t="shared" si="182"/>
        <v>0</v>
      </c>
      <c r="U1439" s="195">
        <f t="shared" si="183"/>
        <v>0</v>
      </c>
      <c r="V1439" s="195">
        <f t="shared" si="184"/>
        <v>0</v>
      </c>
      <c r="W1439" s="196" t="e">
        <f t="shared" si="185"/>
        <v>#DIV/0!</v>
      </c>
      <c r="X1439" s="197" t="e">
        <f t="shared" si="186"/>
        <v>#DIV/0!</v>
      </c>
    </row>
    <row r="1440" ht="11.4" hidden="1" customHeight="1" spans="1:24">
      <c r="A1440" s="184" t="s">
        <v>3145</v>
      </c>
      <c r="B1440" s="184" t="s">
        <v>111</v>
      </c>
      <c r="C1440" s="184" t="s">
        <v>1101</v>
      </c>
      <c r="D1440" s="185" t="s">
        <v>703</v>
      </c>
      <c r="E1440" s="186" t="s">
        <v>24</v>
      </c>
      <c r="F1440" s="186" t="s">
        <v>24</v>
      </c>
      <c r="G1440" s="186" t="s">
        <v>3135</v>
      </c>
      <c r="H1440" s="186" t="s">
        <v>3135</v>
      </c>
      <c r="I1440" s="187" t="s">
        <v>1153</v>
      </c>
      <c r="J1440" s="187" t="s">
        <v>1154</v>
      </c>
      <c r="K1440" s="188"/>
      <c r="L1440" s="188"/>
      <c r="M1440" s="189" t="s">
        <v>847</v>
      </c>
      <c r="N1440" s="190">
        <v>178.2</v>
      </c>
      <c r="O1440" s="190">
        <f t="shared" si="179"/>
        <v>194.24</v>
      </c>
      <c r="P1440" s="191">
        <f t="shared" si="180"/>
        <v>0</v>
      </c>
      <c r="Q1440" s="192">
        <f t="shared" si="181"/>
        <v>0</v>
      </c>
      <c r="R1440" s="193"/>
      <c r="S1440" s="194"/>
      <c r="T1440" s="195">
        <f t="shared" si="182"/>
        <v>0</v>
      </c>
      <c r="U1440" s="195">
        <f t="shared" si="183"/>
        <v>0</v>
      </c>
      <c r="V1440" s="195">
        <f t="shared" si="184"/>
        <v>0</v>
      </c>
      <c r="W1440" s="196" t="e">
        <f t="shared" si="185"/>
        <v>#DIV/0!</v>
      </c>
      <c r="X1440" s="197" t="e">
        <f t="shared" si="186"/>
        <v>#DIV/0!</v>
      </c>
    </row>
    <row r="1441" ht="11.4" hidden="1" customHeight="1" spans="1:24">
      <c r="A1441" s="184" t="s">
        <v>3145</v>
      </c>
      <c r="B1441" s="184" t="s">
        <v>111</v>
      </c>
      <c r="C1441" s="184" t="s">
        <v>1101</v>
      </c>
      <c r="D1441" s="185" t="s">
        <v>703</v>
      </c>
      <c r="E1441" s="186" t="s">
        <v>24</v>
      </c>
      <c r="F1441" s="186" t="s">
        <v>24</v>
      </c>
      <c r="G1441" s="186" t="s">
        <v>3135</v>
      </c>
      <c r="H1441" s="186" t="s">
        <v>3135</v>
      </c>
      <c r="I1441" s="187" t="s">
        <v>1155</v>
      </c>
      <c r="J1441" s="187" t="s">
        <v>1156</v>
      </c>
      <c r="K1441" s="188"/>
      <c r="L1441" s="188"/>
      <c r="M1441" s="189" t="s">
        <v>847</v>
      </c>
      <c r="N1441" s="190">
        <v>170.67</v>
      </c>
      <c r="O1441" s="190">
        <f t="shared" si="179"/>
        <v>186.03</v>
      </c>
      <c r="P1441" s="191">
        <f t="shared" si="180"/>
        <v>0</v>
      </c>
      <c r="Q1441" s="192">
        <f t="shared" si="181"/>
        <v>0</v>
      </c>
      <c r="R1441" s="193"/>
      <c r="S1441" s="194"/>
      <c r="T1441" s="195">
        <f t="shared" si="182"/>
        <v>0</v>
      </c>
      <c r="U1441" s="195">
        <f t="shared" si="183"/>
        <v>0</v>
      </c>
      <c r="V1441" s="195">
        <f t="shared" si="184"/>
        <v>0</v>
      </c>
      <c r="W1441" s="196" t="e">
        <f t="shared" si="185"/>
        <v>#DIV/0!</v>
      </c>
      <c r="X1441" s="197" t="e">
        <f t="shared" si="186"/>
        <v>#DIV/0!</v>
      </c>
    </row>
    <row r="1442" ht="11.4" hidden="1" customHeight="1" spans="1:24">
      <c r="A1442" s="184" t="s">
        <v>3145</v>
      </c>
      <c r="B1442" s="184" t="s">
        <v>111</v>
      </c>
      <c r="C1442" s="184" t="s">
        <v>1101</v>
      </c>
      <c r="D1442" s="185" t="s">
        <v>703</v>
      </c>
      <c r="E1442" s="186" t="s">
        <v>24</v>
      </c>
      <c r="F1442" s="186" t="s">
        <v>24</v>
      </c>
      <c r="G1442" s="186" t="s">
        <v>3135</v>
      </c>
      <c r="H1442" s="186" t="s">
        <v>3135</v>
      </c>
      <c r="I1442" s="187" t="s">
        <v>1157</v>
      </c>
      <c r="J1442" s="187" t="s">
        <v>1158</v>
      </c>
      <c r="K1442" s="188"/>
      <c r="L1442" s="188"/>
      <c r="M1442" s="189" t="s">
        <v>847</v>
      </c>
      <c r="N1442" s="190">
        <v>181.7</v>
      </c>
      <c r="O1442" s="190">
        <f t="shared" si="179"/>
        <v>198.05</v>
      </c>
      <c r="P1442" s="191">
        <f t="shared" si="180"/>
        <v>0</v>
      </c>
      <c r="Q1442" s="192">
        <f t="shared" si="181"/>
        <v>0</v>
      </c>
      <c r="R1442" s="193"/>
      <c r="S1442" s="194"/>
      <c r="T1442" s="195">
        <f t="shared" si="182"/>
        <v>0</v>
      </c>
      <c r="U1442" s="195">
        <f t="shared" si="183"/>
        <v>0</v>
      </c>
      <c r="V1442" s="195">
        <f t="shared" si="184"/>
        <v>0</v>
      </c>
      <c r="W1442" s="196" t="e">
        <f t="shared" si="185"/>
        <v>#DIV/0!</v>
      </c>
      <c r="X1442" s="197" t="e">
        <f t="shared" si="186"/>
        <v>#DIV/0!</v>
      </c>
    </row>
    <row r="1443" ht="11.4" hidden="1" customHeight="1" spans="1:24">
      <c r="A1443" s="184" t="s">
        <v>3145</v>
      </c>
      <c r="B1443" s="184" t="s">
        <v>111</v>
      </c>
      <c r="C1443" s="184" t="s">
        <v>1101</v>
      </c>
      <c r="D1443" s="185" t="s">
        <v>703</v>
      </c>
      <c r="E1443" s="186" t="s">
        <v>24</v>
      </c>
      <c r="F1443" s="186" t="s">
        <v>24</v>
      </c>
      <c r="G1443" s="186" t="s">
        <v>3135</v>
      </c>
      <c r="H1443" s="186" t="s">
        <v>3135</v>
      </c>
      <c r="I1443" s="187" t="s">
        <v>1159</v>
      </c>
      <c r="J1443" s="187" t="s">
        <v>1160</v>
      </c>
      <c r="K1443" s="188"/>
      <c r="L1443" s="188"/>
      <c r="M1443" s="189" t="s">
        <v>847</v>
      </c>
      <c r="N1443" s="190">
        <v>180.78</v>
      </c>
      <c r="O1443" s="190">
        <f t="shared" si="179"/>
        <v>197.05</v>
      </c>
      <c r="P1443" s="191">
        <f t="shared" si="180"/>
        <v>0</v>
      </c>
      <c r="Q1443" s="192">
        <f t="shared" si="181"/>
        <v>0</v>
      </c>
      <c r="R1443" s="193"/>
      <c r="S1443" s="194"/>
      <c r="T1443" s="195">
        <f t="shared" si="182"/>
        <v>0</v>
      </c>
      <c r="U1443" s="195">
        <f t="shared" si="183"/>
        <v>0</v>
      </c>
      <c r="V1443" s="195">
        <f t="shared" si="184"/>
        <v>0</v>
      </c>
      <c r="W1443" s="196" t="e">
        <f t="shared" si="185"/>
        <v>#DIV/0!</v>
      </c>
      <c r="X1443" s="197" t="e">
        <f t="shared" si="186"/>
        <v>#DIV/0!</v>
      </c>
    </row>
    <row r="1444" ht="11.4" hidden="1" customHeight="1" spans="1:24">
      <c r="A1444" s="184" t="s">
        <v>3145</v>
      </c>
      <c r="B1444" s="184" t="s">
        <v>111</v>
      </c>
      <c r="C1444" s="184" t="s">
        <v>1101</v>
      </c>
      <c r="D1444" s="185" t="s">
        <v>703</v>
      </c>
      <c r="E1444" s="186" t="s">
        <v>24</v>
      </c>
      <c r="F1444" s="186" t="s">
        <v>24</v>
      </c>
      <c r="G1444" s="186" t="s">
        <v>3135</v>
      </c>
      <c r="H1444" s="186" t="s">
        <v>3135</v>
      </c>
      <c r="I1444" s="187" t="s">
        <v>1161</v>
      </c>
      <c r="J1444" s="187" t="s">
        <v>1162</v>
      </c>
      <c r="K1444" s="188"/>
      <c r="L1444" s="188"/>
      <c r="M1444" s="189" t="s">
        <v>847</v>
      </c>
      <c r="N1444" s="190">
        <v>162.63</v>
      </c>
      <c r="O1444" s="190">
        <f t="shared" si="179"/>
        <v>177.27</v>
      </c>
      <c r="P1444" s="191">
        <f t="shared" si="180"/>
        <v>0</v>
      </c>
      <c r="Q1444" s="192">
        <f t="shared" si="181"/>
        <v>0</v>
      </c>
      <c r="R1444" s="193"/>
      <c r="S1444" s="194"/>
      <c r="T1444" s="195">
        <f t="shared" si="182"/>
        <v>0</v>
      </c>
      <c r="U1444" s="195">
        <f t="shared" si="183"/>
        <v>0</v>
      </c>
      <c r="V1444" s="195">
        <f t="shared" si="184"/>
        <v>0</v>
      </c>
      <c r="W1444" s="196" t="e">
        <f t="shared" si="185"/>
        <v>#DIV/0!</v>
      </c>
      <c r="X1444" s="197" t="e">
        <f t="shared" si="186"/>
        <v>#DIV/0!</v>
      </c>
    </row>
    <row r="1445" ht="11.4" hidden="1" customHeight="1" spans="1:24">
      <c r="A1445" s="184" t="s">
        <v>3145</v>
      </c>
      <c r="B1445" s="184" t="s">
        <v>111</v>
      </c>
      <c r="C1445" s="184" t="s">
        <v>1101</v>
      </c>
      <c r="D1445" s="185" t="s">
        <v>703</v>
      </c>
      <c r="E1445" s="186" t="s">
        <v>24</v>
      </c>
      <c r="F1445" s="186" t="s">
        <v>24</v>
      </c>
      <c r="G1445" s="186" t="s">
        <v>3135</v>
      </c>
      <c r="H1445" s="186" t="s">
        <v>3135</v>
      </c>
      <c r="I1445" s="187" t="s">
        <v>1163</v>
      </c>
      <c r="J1445" s="187" t="s">
        <v>1164</v>
      </c>
      <c r="K1445" s="188"/>
      <c r="L1445" s="188"/>
      <c r="M1445" s="189" t="s">
        <v>847</v>
      </c>
      <c r="N1445" s="190">
        <v>183.2</v>
      </c>
      <c r="O1445" s="190">
        <f t="shared" si="179"/>
        <v>199.69</v>
      </c>
      <c r="P1445" s="191">
        <f t="shared" si="180"/>
        <v>0</v>
      </c>
      <c r="Q1445" s="192">
        <f t="shared" si="181"/>
        <v>0</v>
      </c>
      <c r="R1445" s="193"/>
      <c r="S1445" s="194"/>
      <c r="T1445" s="195">
        <f t="shared" si="182"/>
        <v>0</v>
      </c>
      <c r="U1445" s="195">
        <f t="shared" si="183"/>
        <v>0</v>
      </c>
      <c r="V1445" s="195">
        <f t="shared" si="184"/>
        <v>0</v>
      </c>
      <c r="W1445" s="196" t="e">
        <f t="shared" si="185"/>
        <v>#DIV/0!</v>
      </c>
      <c r="X1445" s="197" t="e">
        <f t="shared" si="186"/>
        <v>#DIV/0!</v>
      </c>
    </row>
    <row r="1446" ht="11.4" hidden="1" customHeight="1" spans="1:24">
      <c r="A1446" s="184" t="s">
        <v>3145</v>
      </c>
      <c r="B1446" s="184" t="s">
        <v>111</v>
      </c>
      <c r="C1446" s="184" t="s">
        <v>1101</v>
      </c>
      <c r="D1446" s="185" t="s">
        <v>703</v>
      </c>
      <c r="E1446" s="186" t="s">
        <v>24</v>
      </c>
      <c r="F1446" s="186" t="s">
        <v>24</v>
      </c>
      <c r="G1446" s="186" t="s">
        <v>3135</v>
      </c>
      <c r="H1446" s="186" t="s">
        <v>3135</v>
      </c>
      <c r="I1446" s="187" t="s">
        <v>1708</v>
      </c>
      <c r="J1446" s="187" t="s">
        <v>1709</v>
      </c>
      <c r="K1446" s="188"/>
      <c r="L1446" s="188"/>
      <c r="M1446" s="189" t="s">
        <v>847</v>
      </c>
      <c r="N1446" s="190">
        <v>203.87</v>
      </c>
      <c r="O1446" s="190">
        <f t="shared" si="179"/>
        <v>222.22</v>
      </c>
      <c r="P1446" s="191">
        <f t="shared" si="180"/>
        <v>0</v>
      </c>
      <c r="Q1446" s="192">
        <f t="shared" si="181"/>
        <v>0</v>
      </c>
      <c r="R1446" s="193"/>
      <c r="S1446" s="194"/>
      <c r="T1446" s="195">
        <f t="shared" si="182"/>
        <v>0</v>
      </c>
      <c r="U1446" s="195">
        <f t="shared" si="183"/>
        <v>0</v>
      </c>
      <c r="V1446" s="195">
        <f t="shared" si="184"/>
        <v>0</v>
      </c>
      <c r="W1446" s="196" t="e">
        <f t="shared" si="185"/>
        <v>#DIV/0!</v>
      </c>
      <c r="X1446" s="197" t="e">
        <f t="shared" si="186"/>
        <v>#DIV/0!</v>
      </c>
    </row>
    <row r="1447" ht="11.4" hidden="1" customHeight="1" spans="1:24">
      <c r="A1447" s="184" t="s">
        <v>3145</v>
      </c>
      <c r="B1447" s="184" t="s">
        <v>111</v>
      </c>
      <c r="C1447" s="184" t="s">
        <v>1101</v>
      </c>
      <c r="D1447" s="185" t="s">
        <v>703</v>
      </c>
      <c r="E1447" s="186" t="s">
        <v>24</v>
      </c>
      <c r="F1447" s="186" t="s">
        <v>24</v>
      </c>
      <c r="G1447" s="186" t="s">
        <v>3135</v>
      </c>
      <c r="H1447" s="186" t="s">
        <v>3135</v>
      </c>
      <c r="I1447" s="187" t="s">
        <v>1710</v>
      </c>
      <c r="J1447" s="187" t="s">
        <v>1711</v>
      </c>
      <c r="K1447" s="188"/>
      <c r="L1447" s="188"/>
      <c r="M1447" s="189" t="s">
        <v>807</v>
      </c>
      <c r="N1447" s="190">
        <v>101.27</v>
      </c>
      <c r="O1447" s="190">
        <f t="shared" si="179"/>
        <v>110.38</v>
      </c>
      <c r="P1447" s="191">
        <f t="shared" si="180"/>
        <v>0</v>
      </c>
      <c r="Q1447" s="192">
        <f t="shared" si="181"/>
        <v>0</v>
      </c>
      <c r="R1447" s="193"/>
      <c r="S1447" s="194"/>
      <c r="T1447" s="195">
        <f t="shared" si="182"/>
        <v>0</v>
      </c>
      <c r="U1447" s="195">
        <f t="shared" si="183"/>
        <v>0</v>
      </c>
      <c r="V1447" s="195">
        <f t="shared" si="184"/>
        <v>0</v>
      </c>
      <c r="W1447" s="196" t="e">
        <f t="shared" si="185"/>
        <v>#DIV/0!</v>
      </c>
      <c r="X1447" s="197" t="e">
        <f t="shared" si="186"/>
        <v>#DIV/0!</v>
      </c>
    </row>
    <row r="1448" ht="11.4" hidden="1" customHeight="1" spans="1:24">
      <c r="A1448" s="184" t="s">
        <v>3145</v>
      </c>
      <c r="B1448" s="184" t="s">
        <v>111</v>
      </c>
      <c r="C1448" s="184" t="s">
        <v>1101</v>
      </c>
      <c r="D1448" s="185" t="s">
        <v>703</v>
      </c>
      <c r="E1448" s="186" t="s">
        <v>24</v>
      </c>
      <c r="F1448" s="186" t="s">
        <v>24</v>
      </c>
      <c r="G1448" s="186" t="s">
        <v>3135</v>
      </c>
      <c r="H1448" s="186" t="s">
        <v>3135</v>
      </c>
      <c r="I1448" s="187" t="s">
        <v>1712</v>
      </c>
      <c r="J1448" s="187" t="s">
        <v>1713</v>
      </c>
      <c r="K1448" s="188"/>
      <c r="L1448" s="188"/>
      <c r="M1448" s="189" t="s">
        <v>847</v>
      </c>
      <c r="N1448" s="190">
        <v>194.19</v>
      </c>
      <c r="O1448" s="190">
        <f t="shared" si="179"/>
        <v>211.67</v>
      </c>
      <c r="P1448" s="191">
        <f t="shared" si="180"/>
        <v>0</v>
      </c>
      <c r="Q1448" s="192">
        <f t="shared" si="181"/>
        <v>0</v>
      </c>
      <c r="R1448" s="193"/>
      <c r="S1448" s="194"/>
      <c r="T1448" s="195">
        <f t="shared" si="182"/>
        <v>0</v>
      </c>
      <c r="U1448" s="195">
        <f t="shared" si="183"/>
        <v>0</v>
      </c>
      <c r="V1448" s="195">
        <f t="shared" si="184"/>
        <v>0</v>
      </c>
      <c r="W1448" s="196" t="e">
        <f t="shared" si="185"/>
        <v>#DIV/0!</v>
      </c>
      <c r="X1448" s="197" t="e">
        <f t="shared" si="186"/>
        <v>#DIV/0!</v>
      </c>
    </row>
    <row r="1449" ht="11.4" hidden="1" customHeight="1" spans="1:24">
      <c r="A1449" s="184" t="s">
        <v>3145</v>
      </c>
      <c r="B1449" s="184" t="s">
        <v>111</v>
      </c>
      <c r="C1449" s="184" t="s">
        <v>1101</v>
      </c>
      <c r="D1449" s="185" t="s">
        <v>703</v>
      </c>
      <c r="E1449" s="186" t="s">
        <v>24</v>
      </c>
      <c r="F1449" s="186" t="s">
        <v>24</v>
      </c>
      <c r="G1449" s="186" t="s">
        <v>3135</v>
      </c>
      <c r="H1449" s="186" t="s">
        <v>3135</v>
      </c>
      <c r="I1449" s="187" t="s">
        <v>1714</v>
      </c>
      <c r="J1449" s="187" t="s">
        <v>1715</v>
      </c>
      <c r="K1449" s="188"/>
      <c r="L1449" s="188"/>
      <c r="M1449" s="189" t="s">
        <v>807</v>
      </c>
      <c r="N1449" s="190">
        <v>83.12</v>
      </c>
      <c r="O1449" s="190">
        <f t="shared" si="179"/>
        <v>90.6</v>
      </c>
      <c r="P1449" s="191">
        <f t="shared" si="180"/>
        <v>0</v>
      </c>
      <c r="Q1449" s="192">
        <f t="shared" si="181"/>
        <v>0</v>
      </c>
      <c r="R1449" s="193"/>
      <c r="S1449" s="194"/>
      <c r="T1449" s="195">
        <f t="shared" si="182"/>
        <v>0</v>
      </c>
      <c r="U1449" s="195">
        <f t="shared" si="183"/>
        <v>0</v>
      </c>
      <c r="V1449" s="195">
        <f t="shared" si="184"/>
        <v>0</v>
      </c>
      <c r="W1449" s="196" t="e">
        <f t="shared" si="185"/>
        <v>#DIV/0!</v>
      </c>
      <c r="X1449" s="197" t="e">
        <f t="shared" si="186"/>
        <v>#DIV/0!</v>
      </c>
    </row>
    <row r="1450" ht="11.4" hidden="1" customHeight="1" spans="1:24">
      <c r="A1450" s="184" t="s">
        <v>3145</v>
      </c>
      <c r="B1450" s="184" t="s">
        <v>111</v>
      </c>
      <c r="C1450" s="184" t="s">
        <v>1101</v>
      </c>
      <c r="D1450" s="185" t="s">
        <v>703</v>
      </c>
      <c r="E1450" s="186" t="s">
        <v>24</v>
      </c>
      <c r="F1450" s="186" t="s">
        <v>24</v>
      </c>
      <c r="G1450" s="186" t="s">
        <v>3135</v>
      </c>
      <c r="H1450" s="186" t="s">
        <v>3135</v>
      </c>
      <c r="I1450" s="187" t="s">
        <v>1716</v>
      </c>
      <c r="J1450" s="187" t="s">
        <v>1717</v>
      </c>
      <c r="K1450" s="188"/>
      <c r="L1450" s="188"/>
      <c r="M1450" s="189" t="s">
        <v>847</v>
      </c>
      <c r="N1450" s="190">
        <v>202.66</v>
      </c>
      <c r="O1450" s="190">
        <f t="shared" si="179"/>
        <v>220.9</v>
      </c>
      <c r="P1450" s="191">
        <f t="shared" si="180"/>
        <v>0</v>
      </c>
      <c r="Q1450" s="192">
        <f t="shared" si="181"/>
        <v>0</v>
      </c>
      <c r="R1450" s="193"/>
      <c r="S1450" s="194"/>
      <c r="T1450" s="195">
        <f t="shared" si="182"/>
        <v>0</v>
      </c>
      <c r="U1450" s="195">
        <f t="shared" si="183"/>
        <v>0</v>
      </c>
      <c r="V1450" s="195">
        <f t="shared" si="184"/>
        <v>0</v>
      </c>
      <c r="W1450" s="196" t="e">
        <f t="shared" si="185"/>
        <v>#DIV/0!</v>
      </c>
      <c r="X1450" s="197" t="e">
        <f t="shared" si="186"/>
        <v>#DIV/0!</v>
      </c>
    </row>
    <row r="1451" ht="11.4" hidden="1" customHeight="1" spans="1:24">
      <c r="A1451" s="184" t="s">
        <v>3145</v>
      </c>
      <c r="B1451" s="184" t="s">
        <v>111</v>
      </c>
      <c r="C1451" s="184" t="s">
        <v>1101</v>
      </c>
      <c r="D1451" s="185" t="s">
        <v>703</v>
      </c>
      <c r="E1451" s="186" t="s">
        <v>24</v>
      </c>
      <c r="F1451" s="186" t="s">
        <v>24</v>
      </c>
      <c r="G1451" s="186" t="s">
        <v>3135</v>
      </c>
      <c r="H1451" s="186" t="s">
        <v>3135</v>
      </c>
      <c r="I1451" s="187" t="s">
        <v>1718</v>
      </c>
      <c r="J1451" s="198" t="s">
        <v>1719</v>
      </c>
      <c r="K1451" s="188"/>
      <c r="L1451" s="188"/>
      <c r="M1451" s="189" t="s">
        <v>807</v>
      </c>
      <c r="N1451" s="190">
        <v>101.27</v>
      </c>
      <c r="O1451" s="190">
        <f t="shared" si="179"/>
        <v>110.38</v>
      </c>
      <c r="P1451" s="191">
        <f t="shared" si="180"/>
        <v>0</v>
      </c>
      <c r="Q1451" s="192">
        <f t="shared" si="181"/>
        <v>0</v>
      </c>
      <c r="R1451" s="193"/>
      <c r="S1451" s="194"/>
      <c r="T1451" s="195">
        <f t="shared" si="182"/>
        <v>0</v>
      </c>
      <c r="U1451" s="195">
        <f t="shared" si="183"/>
        <v>0</v>
      </c>
      <c r="V1451" s="195">
        <f t="shared" si="184"/>
        <v>0</v>
      </c>
      <c r="W1451" s="196" t="e">
        <f t="shared" si="185"/>
        <v>#DIV/0!</v>
      </c>
      <c r="X1451" s="197" t="e">
        <f t="shared" si="186"/>
        <v>#DIV/0!</v>
      </c>
    </row>
    <row r="1452" ht="11.4" hidden="1" customHeight="1" spans="1:24">
      <c r="A1452" s="184" t="s">
        <v>3134</v>
      </c>
      <c r="B1452" s="184" t="s">
        <v>113</v>
      </c>
      <c r="C1452" s="184" t="s">
        <v>1101</v>
      </c>
      <c r="D1452" s="185" t="s">
        <v>703</v>
      </c>
      <c r="E1452" s="186" t="s">
        <v>24</v>
      </c>
      <c r="F1452" s="186" t="s">
        <v>24</v>
      </c>
      <c r="G1452" s="186" t="s">
        <v>3135</v>
      </c>
      <c r="H1452" s="186" t="s">
        <v>3135</v>
      </c>
      <c r="I1452" s="187" t="s">
        <v>3146</v>
      </c>
      <c r="J1452" s="187" t="s">
        <v>3147</v>
      </c>
      <c r="K1452" s="188"/>
      <c r="L1452" s="188"/>
      <c r="M1452" s="189" t="s">
        <v>847</v>
      </c>
      <c r="N1452" s="190">
        <v>167.98</v>
      </c>
      <c r="O1452" s="190">
        <f t="shared" si="179"/>
        <v>183.1</v>
      </c>
      <c r="P1452" s="191">
        <f t="shared" si="180"/>
        <v>0</v>
      </c>
      <c r="Q1452" s="192">
        <f t="shared" si="181"/>
        <v>0</v>
      </c>
      <c r="R1452" s="193"/>
      <c r="S1452" s="194"/>
      <c r="T1452" s="195">
        <f t="shared" si="182"/>
        <v>0</v>
      </c>
      <c r="U1452" s="195">
        <f t="shared" si="183"/>
        <v>0</v>
      </c>
      <c r="V1452" s="195">
        <f t="shared" si="184"/>
        <v>0</v>
      </c>
      <c r="W1452" s="196" t="e">
        <f t="shared" si="185"/>
        <v>#DIV/0!</v>
      </c>
      <c r="X1452" s="197" t="e">
        <f t="shared" si="186"/>
        <v>#DIV/0!</v>
      </c>
    </row>
    <row r="1453" ht="11.4" hidden="1" customHeight="1" spans="1:24">
      <c r="A1453" s="184" t="s">
        <v>3134</v>
      </c>
      <c r="B1453" s="184" t="s">
        <v>113</v>
      </c>
      <c r="C1453" s="184" t="s">
        <v>1101</v>
      </c>
      <c r="D1453" s="185" t="s">
        <v>703</v>
      </c>
      <c r="E1453" s="186" t="s">
        <v>24</v>
      </c>
      <c r="F1453" s="186" t="s">
        <v>24</v>
      </c>
      <c r="G1453" s="186" t="s">
        <v>3135</v>
      </c>
      <c r="H1453" s="186" t="s">
        <v>3135</v>
      </c>
      <c r="I1453" s="187" t="s">
        <v>3148</v>
      </c>
      <c r="J1453" s="187" t="s">
        <v>3149</v>
      </c>
      <c r="K1453" s="188"/>
      <c r="L1453" s="188"/>
      <c r="M1453" s="189" t="s">
        <v>847</v>
      </c>
      <c r="N1453" s="190">
        <v>147.41</v>
      </c>
      <c r="O1453" s="190">
        <f t="shared" si="179"/>
        <v>160.68</v>
      </c>
      <c r="P1453" s="191">
        <f t="shared" si="180"/>
        <v>0</v>
      </c>
      <c r="Q1453" s="192">
        <f t="shared" si="181"/>
        <v>0</v>
      </c>
      <c r="R1453" s="193"/>
      <c r="S1453" s="194"/>
      <c r="T1453" s="195">
        <f t="shared" si="182"/>
        <v>0</v>
      </c>
      <c r="U1453" s="195">
        <f t="shared" si="183"/>
        <v>0</v>
      </c>
      <c r="V1453" s="195">
        <f t="shared" si="184"/>
        <v>0</v>
      </c>
      <c r="W1453" s="196" t="e">
        <f t="shared" si="185"/>
        <v>#DIV/0!</v>
      </c>
      <c r="X1453" s="197" t="e">
        <f t="shared" si="186"/>
        <v>#DIV/0!</v>
      </c>
    </row>
    <row r="1454" ht="11.4" hidden="1" customHeight="1" spans="1:24">
      <c r="A1454" s="184" t="s">
        <v>3134</v>
      </c>
      <c r="B1454" s="184" t="s">
        <v>113</v>
      </c>
      <c r="C1454" s="184" t="s">
        <v>1101</v>
      </c>
      <c r="D1454" s="185" t="s">
        <v>703</v>
      </c>
      <c r="E1454" s="186" t="s">
        <v>24</v>
      </c>
      <c r="F1454" s="186" t="s">
        <v>24</v>
      </c>
      <c r="G1454" s="186" t="s">
        <v>3135</v>
      </c>
      <c r="H1454" s="186" t="s">
        <v>3135</v>
      </c>
      <c r="I1454" s="187" t="s">
        <v>3150</v>
      </c>
      <c r="J1454" s="187" t="s">
        <v>3151</v>
      </c>
      <c r="K1454" s="188"/>
      <c r="L1454" s="188"/>
      <c r="M1454" s="189" t="s">
        <v>847</v>
      </c>
      <c r="N1454" s="190">
        <v>169.19</v>
      </c>
      <c r="O1454" s="190">
        <f t="shared" si="179"/>
        <v>184.42</v>
      </c>
      <c r="P1454" s="191">
        <f t="shared" si="180"/>
        <v>0</v>
      </c>
      <c r="Q1454" s="192">
        <f t="shared" si="181"/>
        <v>0</v>
      </c>
      <c r="R1454" s="193"/>
      <c r="S1454" s="194"/>
      <c r="T1454" s="195">
        <f t="shared" si="182"/>
        <v>0</v>
      </c>
      <c r="U1454" s="195">
        <f t="shared" si="183"/>
        <v>0</v>
      </c>
      <c r="V1454" s="195">
        <f t="shared" si="184"/>
        <v>0</v>
      </c>
      <c r="W1454" s="196" t="e">
        <f t="shared" si="185"/>
        <v>#DIV/0!</v>
      </c>
      <c r="X1454" s="197" t="e">
        <f t="shared" si="186"/>
        <v>#DIV/0!</v>
      </c>
    </row>
    <row r="1455" ht="11.4" hidden="1" customHeight="1" spans="1:24">
      <c r="A1455" s="184" t="s">
        <v>3134</v>
      </c>
      <c r="B1455" s="184" t="s">
        <v>113</v>
      </c>
      <c r="C1455" s="184" t="s">
        <v>1101</v>
      </c>
      <c r="D1455" s="185" t="s">
        <v>703</v>
      </c>
      <c r="E1455" s="186" t="s">
        <v>24</v>
      </c>
      <c r="F1455" s="186" t="s">
        <v>24</v>
      </c>
      <c r="G1455" s="186" t="s">
        <v>3135</v>
      </c>
      <c r="H1455" s="186" t="s">
        <v>3135</v>
      </c>
      <c r="I1455" s="187" t="s">
        <v>3152</v>
      </c>
      <c r="J1455" s="187" t="s">
        <v>3153</v>
      </c>
      <c r="K1455" s="188"/>
      <c r="L1455" s="188"/>
      <c r="M1455" s="189" t="s">
        <v>847</v>
      </c>
      <c r="N1455" s="190">
        <v>182.5</v>
      </c>
      <c r="O1455" s="190">
        <f t="shared" si="179"/>
        <v>198.93</v>
      </c>
      <c r="P1455" s="191">
        <f t="shared" si="180"/>
        <v>0</v>
      </c>
      <c r="Q1455" s="192">
        <f t="shared" si="181"/>
        <v>0</v>
      </c>
      <c r="R1455" s="193"/>
      <c r="S1455" s="194"/>
      <c r="T1455" s="195">
        <f t="shared" si="182"/>
        <v>0</v>
      </c>
      <c r="U1455" s="195">
        <f t="shared" si="183"/>
        <v>0</v>
      </c>
      <c r="V1455" s="195">
        <f t="shared" si="184"/>
        <v>0</v>
      </c>
      <c r="W1455" s="196" t="e">
        <f t="shared" si="185"/>
        <v>#DIV/0!</v>
      </c>
      <c r="X1455" s="197" t="e">
        <f t="shared" si="186"/>
        <v>#DIV/0!</v>
      </c>
    </row>
    <row r="1456" ht="11.4" hidden="1" customHeight="1" spans="1:24">
      <c r="A1456" s="184" t="s">
        <v>3134</v>
      </c>
      <c r="B1456" s="184" t="s">
        <v>113</v>
      </c>
      <c r="C1456" s="184" t="s">
        <v>1101</v>
      </c>
      <c r="D1456" s="185" t="s">
        <v>703</v>
      </c>
      <c r="E1456" s="186" t="s">
        <v>24</v>
      </c>
      <c r="F1456" s="186" t="s">
        <v>24</v>
      </c>
      <c r="G1456" s="186" t="s">
        <v>3135</v>
      </c>
      <c r="H1456" s="186" t="s">
        <v>3135</v>
      </c>
      <c r="I1456" s="187" t="s">
        <v>3154</v>
      </c>
      <c r="J1456" s="187" t="s">
        <v>3155</v>
      </c>
      <c r="K1456" s="188"/>
      <c r="L1456" s="188"/>
      <c r="M1456" s="189" t="s">
        <v>847</v>
      </c>
      <c r="N1456" s="190">
        <v>182.5</v>
      </c>
      <c r="O1456" s="190">
        <f t="shared" si="179"/>
        <v>198.93</v>
      </c>
      <c r="P1456" s="191">
        <f t="shared" si="180"/>
        <v>0</v>
      </c>
      <c r="Q1456" s="192">
        <f t="shared" si="181"/>
        <v>0</v>
      </c>
      <c r="R1456" s="193"/>
      <c r="S1456" s="194"/>
      <c r="T1456" s="195">
        <f t="shared" si="182"/>
        <v>0</v>
      </c>
      <c r="U1456" s="195">
        <f t="shared" si="183"/>
        <v>0</v>
      </c>
      <c r="V1456" s="195">
        <f t="shared" si="184"/>
        <v>0</v>
      </c>
      <c r="W1456" s="196" t="e">
        <f t="shared" si="185"/>
        <v>#DIV/0!</v>
      </c>
      <c r="X1456" s="197" t="e">
        <f t="shared" si="186"/>
        <v>#DIV/0!</v>
      </c>
    </row>
    <row r="1457" ht="11.4" hidden="1" customHeight="1" spans="1:24">
      <c r="A1457" s="184" t="s">
        <v>3134</v>
      </c>
      <c r="B1457" s="184" t="s">
        <v>113</v>
      </c>
      <c r="C1457" s="184" t="s">
        <v>1101</v>
      </c>
      <c r="D1457" s="185" t="s">
        <v>703</v>
      </c>
      <c r="E1457" s="186" t="s">
        <v>24</v>
      </c>
      <c r="F1457" s="186" t="s">
        <v>24</v>
      </c>
      <c r="G1457" s="186" t="s">
        <v>3135</v>
      </c>
      <c r="H1457" s="186" t="s">
        <v>3135</v>
      </c>
      <c r="I1457" s="187" t="s">
        <v>3156</v>
      </c>
      <c r="J1457" s="187" t="s">
        <v>3157</v>
      </c>
      <c r="K1457" s="188"/>
      <c r="L1457" s="188"/>
      <c r="M1457" s="189" t="s">
        <v>847</v>
      </c>
      <c r="N1457" s="190">
        <v>170.4</v>
      </c>
      <c r="O1457" s="190">
        <f t="shared" si="179"/>
        <v>185.74</v>
      </c>
      <c r="P1457" s="191">
        <f t="shared" si="180"/>
        <v>0</v>
      </c>
      <c r="Q1457" s="192">
        <f t="shared" si="181"/>
        <v>0</v>
      </c>
      <c r="R1457" s="193"/>
      <c r="S1457" s="194"/>
      <c r="T1457" s="195">
        <f t="shared" si="182"/>
        <v>0</v>
      </c>
      <c r="U1457" s="195">
        <f t="shared" si="183"/>
        <v>0</v>
      </c>
      <c r="V1457" s="195">
        <f t="shared" si="184"/>
        <v>0</v>
      </c>
      <c r="W1457" s="196" t="e">
        <f t="shared" si="185"/>
        <v>#DIV/0!</v>
      </c>
      <c r="X1457" s="197" t="e">
        <f t="shared" si="186"/>
        <v>#DIV/0!</v>
      </c>
    </row>
    <row r="1458" ht="11.4" hidden="1" customHeight="1" spans="1:24">
      <c r="A1458" s="184" t="s">
        <v>3134</v>
      </c>
      <c r="B1458" s="184" t="s">
        <v>113</v>
      </c>
      <c r="C1458" s="184" t="s">
        <v>1101</v>
      </c>
      <c r="D1458" s="185" t="s">
        <v>703</v>
      </c>
      <c r="E1458" s="186" t="s">
        <v>24</v>
      </c>
      <c r="F1458" s="186" t="s">
        <v>24</v>
      </c>
      <c r="G1458" s="186" t="s">
        <v>3135</v>
      </c>
      <c r="H1458" s="186" t="s">
        <v>3135</v>
      </c>
      <c r="I1458" s="187" t="s">
        <v>1314</v>
      </c>
      <c r="J1458" s="187" t="s">
        <v>1315</v>
      </c>
      <c r="K1458" s="188"/>
      <c r="L1458" s="188"/>
      <c r="M1458" s="189" t="s">
        <v>847</v>
      </c>
      <c r="N1458" s="190">
        <v>179.53</v>
      </c>
      <c r="O1458" s="190">
        <f t="shared" si="179"/>
        <v>195.69</v>
      </c>
      <c r="P1458" s="191">
        <f t="shared" si="180"/>
        <v>0</v>
      </c>
      <c r="Q1458" s="192">
        <f t="shared" si="181"/>
        <v>0</v>
      </c>
      <c r="R1458" s="193"/>
      <c r="S1458" s="194"/>
      <c r="T1458" s="195">
        <f t="shared" si="182"/>
        <v>0</v>
      </c>
      <c r="U1458" s="195">
        <f t="shared" si="183"/>
        <v>0</v>
      </c>
      <c r="V1458" s="195">
        <f t="shared" si="184"/>
        <v>0</v>
      </c>
      <c r="W1458" s="196" t="e">
        <f t="shared" si="185"/>
        <v>#DIV/0!</v>
      </c>
      <c r="X1458" s="197" t="e">
        <f t="shared" si="186"/>
        <v>#DIV/0!</v>
      </c>
    </row>
    <row r="1459" ht="11.4" hidden="1" customHeight="1" spans="1:24">
      <c r="A1459" s="184" t="s">
        <v>3134</v>
      </c>
      <c r="B1459" s="184" t="s">
        <v>113</v>
      </c>
      <c r="C1459" s="184" t="s">
        <v>1101</v>
      </c>
      <c r="D1459" s="185" t="s">
        <v>703</v>
      </c>
      <c r="E1459" s="186" t="s">
        <v>24</v>
      </c>
      <c r="F1459" s="186" t="s">
        <v>24</v>
      </c>
      <c r="G1459" s="186" t="s">
        <v>3135</v>
      </c>
      <c r="H1459" s="186" t="s">
        <v>3135</v>
      </c>
      <c r="I1459" s="187" t="s">
        <v>1318</v>
      </c>
      <c r="J1459" s="187" t="s">
        <v>1319</v>
      </c>
      <c r="K1459" s="188"/>
      <c r="L1459" s="188"/>
      <c r="M1459" s="189" t="s">
        <v>847</v>
      </c>
      <c r="N1459" s="190">
        <v>179.53</v>
      </c>
      <c r="O1459" s="190">
        <f t="shared" si="179"/>
        <v>195.69</v>
      </c>
      <c r="P1459" s="191">
        <f t="shared" si="180"/>
        <v>0</v>
      </c>
      <c r="Q1459" s="192">
        <f t="shared" si="181"/>
        <v>0</v>
      </c>
      <c r="R1459" s="193"/>
      <c r="S1459" s="194"/>
      <c r="T1459" s="195">
        <f t="shared" si="182"/>
        <v>0</v>
      </c>
      <c r="U1459" s="195">
        <f t="shared" si="183"/>
        <v>0</v>
      </c>
      <c r="V1459" s="195">
        <f t="shared" si="184"/>
        <v>0</v>
      </c>
      <c r="W1459" s="196" t="e">
        <f t="shared" si="185"/>
        <v>#DIV/0!</v>
      </c>
      <c r="X1459" s="197" t="e">
        <f t="shared" si="186"/>
        <v>#DIV/0!</v>
      </c>
    </row>
    <row r="1460" ht="11.4" hidden="1" customHeight="1" spans="1:24">
      <c r="A1460" s="184" t="s">
        <v>3134</v>
      </c>
      <c r="B1460" s="184" t="s">
        <v>113</v>
      </c>
      <c r="C1460" s="184" t="s">
        <v>1101</v>
      </c>
      <c r="D1460" s="185" t="s">
        <v>703</v>
      </c>
      <c r="E1460" s="186" t="s">
        <v>24</v>
      </c>
      <c r="F1460" s="186" t="s">
        <v>24</v>
      </c>
      <c r="G1460" s="186" t="s">
        <v>3135</v>
      </c>
      <c r="H1460" s="186" t="s">
        <v>3135</v>
      </c>
      <c r="I1460" s="187" t="s">
        <v>1316</v>
      </c>
      <c r="J1460" s="187" t="s">
        <v>1317</v>
      </c>
      <c r="K1460" s="188"/>
      <c r="L1460" s="188"/>
      <c r="M1460" s="189" t="s">
        <v>847</v>
      </c>
      <c r="N1460" s="190">
        <v>168.64</v>
      </c>
      <c r="O1460" s="190">
        <f t="shared" si="179"/>
        <v>183.82</v>
      </c>
      <c r="P1460" s="191">
        <f t="shared" si="180"/>
        <v>0</v>
      </c>
      <c r="Q1460" s="192">
        <f t="shared" si="181"/>
        <v>0</v>
      </c>
      <c r="R1460" s="193"/>
      <c r="S1460" s="194"/>
      <c r="T1460" s="195">
        <f t="shared" si="182"/>
        <v>0</v>
      </c>
      <c r="U1460" s="195">
        <f t="shared" si="183"/>
        <v>0</v>
      </c>
      <c r="V1460" s="195">
        <f t="shared" si="184"/>
        <v>0</v>
      </c>
      <c r="W1460" s="196" t="e">
        <f t="shared" si="185"/>
        <v>#DIV/0!</v>
      </c>
      <c r="X1460" s="197" t="e">
        <f t="shared" si="186"/>
        <v>#DIV/0!</v>
      </c>
    </row>
    <row r="1461" ht="11.4" hidden="1" customHeight="1" spans="1:24">
      <c r="A1461" s="184" t="s">
        <v>3134</v>
      </c>
      <c r="B1461" s="184" t="s">
        <v>113</v>
      </c>
      <c r="C1461" s="184" t="s">
        <v>1101</v>
      </c>
      <c r="D1461" s="185" t="s">
        <v>703</v>
      </c>
      <c r="E1461" s="186" t="s">
        <v>24</v>
      </c>
      <c r="F1461" s="186" t="s">
        <v>24</v>
      </c>
      <c r="G1461" s="186" t="s">
        <v>3135</v>
      </c>
      <c r="H1461" s="186" t="s">
        <v>3135</v>
      </c>
      <c r="I1461" s="187" t="s">
        <v>1320</v>
      </c>
      <c r="J1461" s="187" t="s">
        <v>1321</v>
      </c>
      <c r="K1461" s="188"/>
      <c r="L1461" s="188"/>
      <c r="M1461" s="189" t="s">
        <v>847</v>
      </c>
      <c r="N1461" s="190">
        <v>169.85</v>
      </c>
      <c r="O1461" s="190">
        <f t="shared" si="179"/>
        <v>185.14</v>
      </c>
      <c r="P1461" s="191">
        <f t="shared" si="180"/>
        <v>0</v>
      </c>
      <c r="Q1461" s="192">
        <f t="shared" si="181"/>
        <v>0</v>
      </c>
      <c r="R1461" s="193"/>
      <c r="S1461" s="194"/>
      <c r="T1461" s="195">
        <f t="shared" si="182"/>
        <v>0</v>
      </c>
      <c r="U1461" s="195">
        <f t="shared" si="183"/>
        <v>0</v>
      </c>
      <c r="V1461" s="195">
        <f t="shared" si="184"/>
        <v>0</v>
      </c>
      <c r="W1461" s="196" t="e">
        <f t="shared" si="185"/>
        <v>#DIV/0!</v>
      </c>
      <c r="X1461" s="197" t="e">
        <f t="shared" si="186"/>
        <v>#DIV/0!</v>
      </c>
    </row>
    <row r="1462" ht="11.4" hidden="1" customHeight="1" spans="1:24">
      <c r="A1462" s="184" t="s">
        <v>3134</v>
      </c>
      <c r="B1462" s="184" t="s">
        <v>113</v>
      </c>
      <c r="C1462" s="184" t="s">
        <v>1101</v>
      </c>
      <c r="D1462" s="185" t="s">
        <v>703</v>
      </c>
      <c r="E1462" s="186" t="s">
        <v>24</v>
      </c>
      <c r="F1462" s="186" t="s">
        <v>24</v>
      </c>
      <c r="G1462" s="186" t="s">
        <v>3135</v>
      </c>
      <c r="H1462" s="186" t="s">
        <v>3135</v>
      </c>
      <c r="I1462" s="187" t="s">
        <v>1322</v>
      </c>
      <c r="J1462" s="187" t="s">
        <v>1323</v>
      </c>
      <c r="K1462" s="188"/>
      <c r="L1462" s="188"/>
      <c r="M1462" s="189" t="s">
        <v>847</v>
      </c>
      <c r="N1462" s="190">
        <v>165.01</v>
      </c>
      <c r="O1462" s="190">
        <f t="shared" si="179"/>
        <v>179.86</v>
      </c>
      <c r="P1462" s="191">
        <f t="shared" si="180"/>
        <v>0</v>
      </c>
      <c r="Q1462" s="192">
        <f t="shared" si="181"/>
        <v>0</v>
      </c>
      <c r="R1462" s="193"/>
      <c r="S1462" s="194"/>
      <c r="T1462" s="195">
        <f t="shared" si="182"/>
        <v>0</v>
      </c>
      <c r="U1462" s="195">
        <f t="shared" si="183"/>
        <v>0</v>
      </c>
      <c r="V1462" s="195">
        <f t="shared" si="184"/>
        <v>0</v>
      </c>
      <c r="W1462" s="196" t="e">
        <f t="shared" si="185"/>
        <v>#DIV/0!</v>
      </c>
      <c r="X1462" s="197" t="e">
        <f t="shared" si="186"/>
        <v>#DIV/0!</v>
      </c>
    </row>
    <row r="1463" ht="11.4" hidden="1" customHeight="1" spans="1:24">
      <c r="A1463" s="184" t="s">
        <v>3134</v>
      </c>
      <c r="B1463" s="184" t="s">
        <v>113</v>
      </c>
      <c r="C1463" s="184" t="s">
        <v>1101</v>
      </c>
      <c r="D1463" s="185" t="s">
        <v>703</v>
      </c>
      <c r="E1463" s="186" t="s">
        <v>24</v>
      </c>
      <c r="F1463" s="186" t="s">
        <v>24</v>
      </c>
      <c r="G1463" s="186" t="s">
        <v>3135</v>
      </c>
      <c r="H1463" s="186" t="s">
        <v>3135</v>
      </c>
      <c r="I1463" s="187" t="s">
        <v>1324</v>
      </c>
      <c r="J1463" s="187" t="s">
        <v>1325</v>
      </c>
      <c r="K1463" s="188"/>
      <c r="L1463" s="188"/>
      <c r="M1463" s="189" t="s">
        <v>847</v>
      </c>
      <c r="N1463" s="190">
        <v>169.85</v>
      </c>
      <c r="O1463" s="190">
        <f t="shared" si="179"/>
        <v>185.14</v>
      </c>
      <c r="P1463" s="191">
        <f t="shared" si="180"/>
        <v>0</v>
      </c>
      <c r="Q1463" s="192">
        <f t="shared" si="181"/>
        <v>0</v>
      </c>
      <c r="R1463" s="193"/>
      <c r="S1463" s="194"/>
      <c r="T1463" s="195">
        <f t="shared" si="182"/>
        <v>0</v>
      </c>
      <c r="U1463" s="195">
        <f t="shared" si="183"/>
        <v>0</v>
      </c>
      <c r="V1463" s="195">
        <f t="shared" si="184"/>
        <v>0</v>
      </c>
      <c r="W1463" s="196" t="e">
        <f t="shared" si="185"/>
        <v>#DIV/0!</v>
      </c>
      <c r="X1463" s="197" t="e">
        <f t="shared" si="186"/>
        <v>#DIV/0!</v>
      </c>
    </row>
    <row r="1464" ht="11.4" hidden="1" customHeight="1" spans="1:24">
      <c r="A1464" s="184" t="s">
        <v>3134</v>
      </c>
      <c r="B1464" s="184" t="s">
        <v>113</v>
      </c>
      <c r="C1464" s="184" t="s">
        <v>1101</v>
      </c>
      <c r="D1464" s="185" t="s">
        <v>703</v>
      </c>
      <c r="E1464" s="186" t="s">
        <v>24</v>
      </c>
      <c r="F1464" s="186" t="s">
        <v>24</v>
      </c>
      <c r="G1464" s="186" t="s">
        <v>3135</v>
      </c>
      <c r="H1464" s="186" t="s">
        <v>3135</v>
      </c>
      <c r="I1464" s="187" t="s">
        <v>1248</v>
      </c>
      <c r="J1464" s="187" t="s">
        <v>1249</v>
      </c>
      <c r="K1464" s="188"/>
      <c r="L1464" s="188"/>
      <c r="M1464" s="189" t="s">
        <v>847</v>
      </c>
      <c r="N1464" s="190">
        <v>224.5</v>
      </c>
      <c r="O1464" s="190">
        <f t="shared" si="179"/>
        <v>244.71</v>
      </c>
      <c r="P1464" s="191">
        <f t="shared" si="180"/>
        <v>0</v>
      </c>
      <c r="Q1464" s="192">
        <f t="shared" si="181"/>
        <v>0</v>
      </c>
      <c r="R1464" s="193"/>
      <c r="S1464" s="194"/>
      <c r="T1464" s="195">
        <f t="shared" si="182"/>
        <v>0</v>
      </c>
      <c r="U1464" s="195">
        <f t="shared" si="183"/>
        <v>0</v>
      </c>
      <c r="V1464" s="195">
        <f t="shared" si="184"/>
        <v>0</v>
      </c>
      <c r="W1464" s="196" t="e">
        <f t="shared" si="185"/>
        <v>#DIV/0!</v>
      </c>
      <c r="X1464" s="197" t="e">
        <f t="shared" si="186"/>
        <v>#DIV/0!</v>
      </c>
    </row>
    <row r="1465" ht="11.4" hidden="1" customHeight="1" spans="1:24">
      <c r="A1465" s="184" t="s">
        <v>3134</v>
      </c>
      <c r="B1465" s="184" t="s">
        <v>113</v>
      </c>
      <c r="C1465" s="184" t="s">
        <v>1101</v>
      </c>
      <c r="D1465" s="185" t="s">
        <v>703</v>
      </c>
      <c r="E1465" s="186" t="s">
        <v>24</v>
      </c>
      <c r="F1465" s="186" t="s">
        <v>24</v>
      </c>
      <c r="G1465" s="186" t="s">
        <v>3135</v>
      </c>
      <c r="H1465" s="186" t="s">
        <v>3135</v>
      </c>
      <c r="I1465" s="187" t="s">
        <v>1254</v>
      </c>
      <c r="J1465" s="187" t="s">
        <v>1255</v>
      </c>
      <c r="K1465" s="188"/>
      <c r="L1465" s="188"/>
      <c r="M1465" s="189" t="s">
        <v>847</v>
      </c>
      <c r="N1465" s="190">
        <v>195.76</v>
      </c>
      <c r="O1465" s="190">
        <f t="shared" si="179"/>
        <v>213.38</v>
      </c>
      <c r="P1465" s="191">
        <f t="shared" si="180"/>
        <v>0</v>
      </c>
      <c r="Q1465" s="192">
        <f t="shared" si="181"/>
        <v>0</v>
      </c>
      <c r="R1465" s="193"/>
      <c r="S1465" s="194"/>
      <c r="T1465" s="195">
        <f t="shared" si="182"/>
        <v>0</v>
      </c>
      <c r="U1465" s="195">
        <f t="shared" si="183"/>
        <v>0</v>
      </c>
      <c r="V1465" s="195">
        <f t="shared" si="184"/>
        <v>0</v>
      </c>
      <c r="W1465" s="196" t="e">
        <f t="shared" si="185"/>
        <v>#DIV/0!</v>
      </c>
      <c r="X1465" s="197" t="e">
        <f t="shared" si="186"/>
        <v>#DIV/0!</v>
      </c>
    </row>
    <row r="1466" ht="11.4" hidden="1" customHeight="1" spans="1:24">
      <c r="A1466" s="184" t="s">
        <v>3134</v>
      </c>
      <c r="B1466" s="184" t="s">
        <v>113</v>
      </c>
      <c r="C1466" s="184" t="s">
        <v>1101</v>
      </c>
      <c r="D1466" s="185" t="s">
        <v>703</v>
      </c>
      <c r="E1466" s="186" t="s">
        <v>24</v>
      </c>
      <c r="F1466" s="186" t="s">
        <v>24</v>
      </c>
      <c r="G1466" s="186" t="s">
        <v>3135</v>
      </c>
      <c r="H1466" s="186" t="s">
        <v>3135</v>
      </c>
      <c r="I1466" s="187" t="s">
        <v>1260</v>
      </c>
      <c r="J1466" s="187" t="s">
        <v>1261</v>
      </c>
      <c r="K1466" s="188"/>
      <c r="L1466" s="188"/>
      <c r="M1466" s="189" t="s">
        <v>847</v>
      </c>
      <c r="N1466" s="190">
        <v>224.5</v>
      </c>
      <c r="O1466" s="190">
        <f t="shared" si="179"/>
        <v>244.71</v>
      </c>
      <c r="P1466" s="191">
        <f t="shared" si="180"/>
        <v>0</v>
      </c>
      <c r="Q1466" s="192">
        <f t="shared" si="181"/>
        <v>0</v>
      </c>
      <c r="R1466" s="193"/>
      <c r="S1466" s="194"/>
      <c r="T1466" s="195">
        <f t="shared" si="182"/>
        <v>0</v>
      </c>
      <c r="U1466" s="195">
        <f t="shared" si="183"/>
        <v>0</v>
      </c>
      <c r="V1466" s="195">
        <f t="shared" si="184"/>
        <v>0</v>
      </c>
      <c r="W1466" s="196" t="e">
        <f t="shared" si="185"/>
        <v>#DIV/0!</v>
      </c>
      <c r="X1466" s="197" t="e">
        <f t="shared" si="186"/>
        <v>#DIV/0!</v>
      </c>
    </row>
    <row r="1467" ht="11.4" hidden="1" customHeight="1" spans="1:24">
      <c r="A1467" s="184" t="s">
        <v>3134</v>
      </c>
      <c r="B1467" s="184" t="s">
        <v>113</v>
      </c>
      <c r="C1467" s="184" t="s">
        <v>1101</v>
      </c>
      <c r="D1467" s="185" t="s">
        <v>703</v>
      </c>
      <c r="E1467" s="186" t="s">
        <v>24</v>
      </c>
      <c r="F1467" s="186" t="s">
        <v>24</v>
      </c>
      <c r="G1467" s="186" t="s">
        <v>3135</v>
      </c>
      <c r="H1467" s="186" t="s">
        <v>3135</v>
      </c>
      <c r="I1467" s="187" t="s">
        <v>1175</v>
      </c>
      <c r="J1467" s="187" t="s">
        <v>1176</v>
      </c>
      <c r="K1467" s="188"/>
      <c r="L1467" s="188"/>
      <c r="M1467" s="189" t="s">
        <v>847</v>
      </c>
      <c r="N1467" s="190">
        <v>114.06</v>
      </c>
      <c r="O1467" s="190">
        <f t="shared" si="179"/>
        <v>124.33</v>
      </c>
      <c r="P1467" s="191">
        <f t="shared" si="180"/>
        <v>0</v>
      </c>
      <c r="Q1467" s="192">
        <f t="shared" si="181"/>
        <v>0</v>
      </c>
      <c r="R1467" s="193"/>
      <c r="S1467" s="194"/>
      <c r="T1467" s="195">
        <f t="shared" si="182"/>
        <v>0</v>
      </c>
      <c r="U1467" s="195">
        <f t="shared" si="183"/>
        <v>0</v>
      </c>
      <c r="V1467" s="195">
        <f t="shared" si="184"/>
        <v>0</v>
      </c>
      <c r="W1467" s="196" t="e">
        <f t="shared" si="185"/>
        <v>#DIV/0!</v>
      </c>
      <c r="X1467" s="197" t="e">
        <f t="shared" si="186"/>
        <v>#DIV/0!</v>
      </c>
    </row>
    <row r="1468" ht="11.4" hidden="1" customHeight="1" spans="1:24">
      <c r="A1468" s="184" t="s">
        <v>3134</v>
      </c>
      <c r="B1468" s="184" t="s">
        <v>113</v>
      </c>
      <c r="C1468" s="184" t="s">
        <v>1101</v>
      </c>
      <c r="D1468" s="185" t="s">
        <v>703</v>
      </c>
      <c r="E1468" s="186" t="s">
        <v>24</v>
      </c>
      <c r="F1468" s="186" t="s">
        <v>24</v>
      </c>
      <c r="G1468" s="186" t="s">
        <v>3135</v>
      </c>
      <c r="H1468" s="186" t="s">
        <v>3135</v>
      </c>
      <c r="I1468" s="187" t="s">
        <v>1178</v>
      </c>
      <c r="J1468" s="187" t="s">
        <v>1179</v>
      </c>
      <c r="K1468" s="188"/>
      <c r="L1468" s="188"/>
      <c r="M1468" s="189" t="s">
        <v>847</v>
      </c>
      <c r="N1468" s="190">
        <v>197.83</v>
      </c>
      <c r="O1468" s="190">
        <f t="shared" si="179"/>
        <v>215.63</v>
      </c>
      <c r="P1468" s="191">
        <f t="shared" si="180"/>
        <v>0</v>
      </c>
      <c r="Q1468" s="192">
        <f t="shared" si="181"/>
        <v>0</v>
      </c>
      <c r="R1468" s="193"/>
      <c r="S1468" s="194"/>
      <c r="T1468" s="195">
        <f t="shared" si="182"/>
        <v>0</v>
      </c>
      <c r="U1468" s="195">
        <f t="shared" si="183"/>
        <v>0</v>
      </c>
      <c r="V1468" s="195">
        <f t="shared" si="184"/>
        <v>0</v>
      </c>
      <c r="W1468" s="196" t="e">
        <f t="shared" si="185"/>
        <v>#DIV/0!</v>
      </c>
      <c r="X1468" s="197" t="e">
        <f t="shared" si="186"/>
        <v>#DIV/0!</v>
      </c>
    </row>
    <row r="1469" ht="11.4" hidden="1" customHeight="1" spans="1:24">
      <c r="A1469" s="184" t="s">
        <v>3134</v>
      </c>
      <c r="B1469" s="184" t="s">
        <v>113</v>
      </c>
      <c r="C1469" s="184" t="s">
        <v>1101</v>
      </c>
      <c r="D1469" s="185" t="s">
        <v>703</v>
      </c>
      <c r="E1469" s="186" t="s">
        <v>24</v>
      </c>
      <c r="F1469" s="186" t="s">
        <v>24</v>
      </c>
      <c r="G1469" s="186" t="s">
        <v>3135</v>
      </c>
      <c r="H1469" s="186" t="s">
        <v>3135</v>
      </c>
      <c r="I1469" s="187" t="s">
        <v>1181</v>
      </c>
      <c r="J1469" s="187" t="s">
        <v>1182</v>
      </c>
      <c r="K1469" s="188"/>
      <c r="L1469" s="188"/>
      <c r="M1469" s="189" t="s">
        <v>847</v>
      </c>
      <c r="N1469" s="190">
        <v>182.9</v>
      </c>
      <c r="O1469" s="190">
        <f t="shared" si="179"/>
        <v>199.36</v>
      </c>
      <c r="P1469" s="191">
        <f t="shared" si="180"/>
        <v>0</v>
      </c>
      <c r="Q1469" s="192">
        <f t="shared" si="181"/>
        <v>0</v>
      </c>
      <c r="R1469" s="193"/>
      <c r="S1469" s="194"/>
      <c r="T1469" s="195">
        <f t="shared" si="182"/>
        <v>0</v>
      </c>
      <c r="U1469" s="195">
        <f t="shared" si="183"/>
        <v>0</v>
      </c>
      <c r="V1469" s="195">
        <f t="shared" si="184"/>
        <v>0</v>
      </c>
      <c r="W1469" s="196" t="e">
        <f t="shared" si="185"/>
        <v>#DIV/0!</v>
      </c>
      <c r="X1469" s="197" t="e">
        <f t="shared" si="186"/>
        <v>#DIV/0!</v>
      </c>
    </row>
    <row r="1470" ht="11.4" hidden="1" customHeight="1" spans="1:24">
      <c r="A1470" s="184" t="s">
        <v>3134</v>
      </c>
      <c r="B1470" s="184" t="s">
        <v>113</v>
      </c>
      <c r="C1470" s="184" t="s">
        <v>1101</v>
      </c>
      <c r="D1470" s="185" t="s">
        <v>703</v>
      </c>
      <c r="E1470" s="186" t="s">
        <v>24</v>
      </c>
      <c r="F1470" s="186" t="s">
        <v>24</v>
      </c>
      <c r="G1470" s="186" t="s">
        <v>3135</v>
      </c>
      <c r="H1470" s="186" t="s">
        <v>3135</v>
      </c>
      <c r="I1470" s="187" t="s">
        <v>1183</v>
      </c>
      <c r="J1470" s="187" t="s">
        <v>1184</v>
      </c>
      <c r="K1470" s="188"/>
      <c r="L1470" s="188"/>
      <c r="M1470" s="189" t="s">
        <v>847</v>
      </c>
      <c r="N1470" s="190">
        <v>186.66</v>
      </c>
      <c r="O1470" s="190">
        <f t="shared" si="179"/>
        <v>203.46</v>
      </c>
      <c r="P1470" s="191">
        <f t="shared" si="180"/>
        <v>0</v>
      </c>
      <c r="Q1470" s="192">
        <f t="shared" si="181"/>
        <v>0</v>
      </c>
      <c r="R1470" s="193"/>
      <c r="S1470" s="194"/>
      <c r="T1470" s="195">
        <f t="shared" si="182"/>
        <v>0</v>
      </c>
      <c r="U1470" s="195">
        <f t="shared" si="183"/>
        <v>0</v>
      </c>
      <c r="V1470" s="195">
        <f t="shared" si="184"/>
        <v>0</v>
      </c>
      <c r="W1470" s="196" t="e">
        <f t="shared" si="185"/>
        <v>#DIV/0!</v>
      </c>
      <c r="X1470" s="197" t="e">
        <f t="shared" si="186"/>
        <v>#DIV/0!</v>
      </c>
    </row>
    <row r="1471" ht="11.4" hidden="1" customHeight="1" spans="1:24">
      <c r="A1471" s="184" t="s">
        <v>3134</v>
      </c>
      <c r="B1471" s="184" t="s">
        <v>113</v>
      </c>
      <c r="C1471" s="184" t="s">
        <v>1101</v>
      </c>
      <c r="D1471" s="185" t="s">
        <v>703</v>
      </c>
      <c r="E1471" s="186" t="s">
        <v>24</v>
      </c>
      <c r="F1471" s="186" t="s">
        <v>24</v>
      </c>
      <c r="G1471" s="186" t="s">
        <v>3135</v>
      </c>
      <c r="H1471" s="186" t="s">
        <v>3135</v>
      </c>
      <c r="I1471" s="187" t="s">
        <v>1185</v>
      </c>
      <c r="J1471" s="187" t="s">
        <v>1186</v>
      </c>
      <c r="K1471" s="188"/>
      <c r="L1471" s="188"/>
      <c r="M1471" s="189" t="s">
        <v>847</v>
      </c>
      <c r="N1471" s="190">
        <v>174.35</v>
      </c>
      <c r="O1471" s="190">
        <f t="shared" si="179"/>
        <v>190.04</v>
      </c>
      <c r="P1471" s="191">
        <f t="shared" si="180"/>
        <v>0</v>
      </c>
      <c r="Q1471" s="192">
        <f t="shared" si="181"/>
        <v>0</v>
      </c>
      <c r="R1471" s="193"/>
      <c r="S1471" s="194"/>
      <c r="T1471" s="195">
        <f t="shared" si="182"/>
        <v>0</v>
      </c>
      <c r="U1471" s="195">
        <f t="shared" si="183"/>
        <v>0</v>
      </c>
      <c r="V1471" s="195">
        <f t="shared" si="184"/>
        <v>0</v>
      </c>
      <c r="W1471" s="196" t="e">
        <f t="shared" si="185"/>
        <v>#DIV/0!</v>
      </c>
      <c r="X1471" s="197" t="e">
        <f t="shared" si="186"/>
        <v>#DIV/0!</v>
      </c>
    </row>
    <row r="1472" ht="11.4" hidden="1" customHeight="1" spans="1:24">
      <c r="A1472" s="184" t="s">
        <v>3134</v>
      </c>
      <c r="B1472" s="184" t="s">
        <v>113</v>
      </c>
      <c r="C1472" s="184" t="s">
        <v>1101</v>
      </c>
      <c r="D1472" s="185" t="s">
        <v>703</v>
      </c>
      <c r="E1472" s="186" t="s">
        <v>24</v>
      </c>
      <c r="F1472" s="186" t="s">
        <v>24</v>
      </c>
      <c r="G1472" s="186" t="s">
        <v>3135</v>
      </c>
      <c r="H1472" s="186" t="s">
        <v>3135</v>
      </c>
      <c r="I1472" s="187" t="s">
        <v>1206</v>
      </c>
      <c r="J1472" s="187" t="s">
        <v>1207</v>
      </c>
      <c r="K1472" s="188"/>
      <c r="L1472" s="188"/>
      <c r="M1472" s="189" t="s">
        <v>847</v>
      </c>
      <c r="N1472" s="190">
        <v>266.78</v>
      </c>
      <c r="O1472" s="190">
        <f t="shared" si="179"/>
        <v>290.79</v>
      </c>
      <c r="P1472" s="191">
        <f t="shared" si="180"/>
        <v>0</v>
      </c>
      <c r="Q1472" s="192">
        <f t="shared" si="181"/>
        <v>0</v>
      </c>
      <c r="R1472" s="193"/>
      <c r="S1472" s="194"/>
      <c r="T1472" s="195">
        <f t="shared" si="182"/>
        <v>0</v>
      </c>
      <c r="U1472" s="195">
        <f t="shared" si="183"/>
        <v>0</v>
      </c>
      <c r="V1472" s="195">
        <f t="shared" si="184"/>
        <v>0</v>
      </c>
      <c r="W1472" s="196" t="e">
        <f t="shared" si="185"/>
        <v>#DIV/0!</v>
      </c>
      <c r="X1472" s="197" t="e">
        <f t="shared" si="186"/>
        <v>#DIV/0!</v>
      </c>
    </row>
    <row r="1473" ht="11.4" hidden="1" customHeight="1" spans="1:24">
      <c r="A1473" s="184" t="s">
        <v>3134</v>
      </c>
      <c r="B1473" s="184" t="s">
        <v>113</v>
      </c>
      <c r="C1473" s="184" t="s">
        <v>1101</v>
      </c>
      <c r="D1473" s="185" t="s">
        <v>703</v>
      </c>
      <c r="E1473" s="186" t="s">
        <v>24</v>
      </c>
      <c r="F1473" s="186" t="s">
        <v>24</v>
      </c>
      <c r="G1473" s="186" t="s">
        <v>3135</v>
      </c>
      <c r="H1473" s="186" t="s">
        <v>3135</v>
      </c>
      <c r="I1473" s="187" t="s">
        <v>1210</v>
      </c>
      <c r="J1473" s="187" t="s">
        <v>1211</v>
      </c>
      <c r="K1473" s="188"/>
      <c r="L1473" s="188"/>
      <c r="M1473" s="189" t="s">
        <v>847</v>
      </c>
      <c r="N1473" s="190">
        <v>288.72</v>
      </c>
      <c r="O1473" s="190">
        <f t="shared" si="179"/>
        <v>314.7</v>
      </c>
      <c r="P1473" s="191">
        <f t="shared" si="180"/>
        <v>0</v>
      </c>
      <c r="Q1473" s="192">
        <f t="shared" si="181"/>
        <v>0</v>
      </c>
      <c r="R1473" s="193"/>
      <c r="S1473" s="194"/>
      <c r="T1473" s="195">
        <f t="shared" si="182"/>
        <v>0</v>
      </c>
      <c r="U1473" s="195">
        <f t="shared" si="183"/>
        <v>0</v>
      </c>
      <c r="V1473" s="195">
        <f t="shared" si="184"/>
        <v>0</v>
      </c>
      <c r="W1473" s="196" t="e">
        <f t="shared" si="185"/>
        <v>#DIV/0!</v>
      </c>
      <c r="X1473" s="197" t="e">
        <f t="shared" si="186"/>
        <v>#DIV/0!</v>
      </c>
    </row>
    <row r="1474" ht="11.4" hidden="1" customHeight="1" spans="1:24">
      <c r="A1474" s="184" t="s">
        <v>3158</v>
      </c>
      <c r="B1474" s="184" t="s">
        <v>139</v>
      </c>
      <c r="C1474" s="184" t="s">
        <v>1880</v>
      </c>
      <c r="D1474" s="185" t="s">
        <v>703</v>
      </c>
      <c r="E1474" s="186" t="s">
        <v>24</v>
      </c>
      <c r="F1474" s="186" t="s">
        <v>24</v>
      </c>
      <c r="G1474" s="186" t="s">
        <v>3159</v>
      </c>
      <c r="H1474" s="186" t="s">
        <v>3159</v>
      </c>
      <c r="I1474" s="187" t="s">
        <v>3160</v>
      </c>
      <c r="J1474" s="154" t="s">
        <v>3161</v>
      </c>
      <c r="K1474" s="188">
        <v>2</v>
      </c>
      <c r="L1474" s="188">
        <v>2</v>
      </c>
      <c r="M1474" s="189" t="s">
        <v>1778</v>
      </c>
      <c r="N1474" s="190">
        <v>486.16</v>
      </c>
      <c r="O1474" s="190">
        <f t="shared" si="179"/>
        <v>529.91</v>
      </c>
      <c r="P1474" s="191">
        <f t="shared" si="180"/>
        <v>972.32</v>
      </c>
      <c r="Q1474" s="192">
        <f t="shared" si="181"/>
        <v>972.32</v>
      </c>
      <c r="R1474" s="193"/>
      <c r="S1474" s="194"/>
      <c r="T1474" s="195">
        <f t="shared" si="182"/>
        <v>0</v>
      </c>
      <c r="U1474" s="195">
        <f t="shared" si="183"/>
        <v>0</v>
      </c>
      <c r="V1474" s="195">
        <f t="shared" si="184"/>
        <v>0</v>
      </c>
      <c r="W1474" s="196">
        <f t="shared" si="185"/>
        <v>0</v>
      </c>
      <c r="X1474" s="197">
        <f t="shared" si="186"/>
        <v>0</v>
      </c>
    </row>
    <row r="1475" ht="11.4" hidden="1" customHeight="1" spans="1:24">
      <c r="A1475" s="184" t="s">
        <v>3158</v>
      </c>
      <c r="B1475" s="184" t="s">
        <v>139</v>
      </c>
      <c r="C1475" s="184" t="s">
        <v>1880</v>
      </c>
      <c r="D1475" s="185" t="s">
        <v>703</v>
      </c>
      <c r="E1475" s="186" t="s">
        <v>24</v>
      </c>
      <c r="F1475" s="186" t="s">
        <v>24</v>
      </c>
      <c r="G1475" s="186" t="s">
        <v>3159</v>
      </c>
      <c r="H1475" s="186" t="s">
        <v>3159</v>
      </c>
      <c r="I1475" s="187" t="s">
        <v>3162</v>
      </c>
      <c r="J1475" s="154" t="s">
        <v>3163</v>
      </c>
      <c r="K1475" s="188">
        <v>4</v>
      </c>
      <c r="L1475" s="188">
        <v>4</v>
      </c>
      <c r="M1475" s="189" t="s">
        <v>1018</v>
      </c>
      <c r="N1475" s="190">
        <v>105.21</v>
      </c>
      <c r="O1475" s="190">
        <f t="shared" si="179"/>
        <v>114.68</v>
      </c>
      <c r="P1475" s="191">
        <f t="shared" si="180"/>
        <v>420.84</v>
      </c>
      <c r="Q1475" s="192">
        <f t="shared" si="181"/>
        <v>420.84</v>
      </c>
      <c r="R1475" s="193"/>
      <c r="S1475" s="194"/>
      <c r="T1475" s="195">
        <f t="shared" si="182"/>
        <v>0</v>
      </c>
      <c r="U1475" s="195">
        <f t="shared" si="183"/>
        <v>0</v>
      </c>
      <c r="V1475" s="195">
        <f t="shared" si="184"/>
        <v>0</v>
      </c>
      <c r="W1475" s="196">
        <f t="shared" si="185"/>
        <v>0</v>
      </c>
      <c r="X1475" s="197">
        <f t="shared" si="186"/>
        <v>0</v>
      </c>
    </row>
    <row r="1476" ht="11.4" hidden="1" customHeight="1" spans="1:24">
      <c r="A1476" s="184" t="s">
        <v>3158</v>
      </c>
      <c r="B1476" s="184" t="s">
        <v>139</v>
      </c>
      <c r="C1476" s="184" t="s">
        <v>1880</v>
      </c>
      <c r="D1476" s="185" t="s">
        <v>703</v>
      </c>
      <c r="E1476" s="186" t="s">
        <v>24</v>
      </c>
      <c r="F1476" s="186" t="s">
        <v>24</v>
      </c>
      <c r="G1476" s="186" t="s">
        <v>3159</v>
      </c>
      <c r="H1476" s="186" t="s">
        <v>3159</v>
      </c>
      <c r="I1476" s="187" t="s">
        <v>3164</v>
      </c>
      <c r="J1476" s="154" t="s">
        <v>3165</v>
      </c>
      <c r="K1476" s="188">
        <v>1</v>
      </c>
      <c r="L1476" s="188">
        <v>1</v>
      </c>
      <c r="M1476" s="189" t="s">
        <v>793</v>
      </c>
      <c r="N1476" s="190">
        <v>872.06</v>
      </c>
      <c r="O1476" s="190">
        <f t="shared" si="179"/>
        <v>950.55</v>
      </c>
      <c r="P1476" s="191">
        <f t="shared" si="180"/>
        <v>872.06</v>
      </c>
      <c r="Q1476" s="192">
        <f t="shared" si="181"/>
        <v>872.06</v>
      </c>
      <c r="R1476" s="193"/>
      <c r="S1476" s="194"/>
      <c r="T1476" s="195">
        <f t="shared" si="182"/>
        <v>0</v>
      </c>
      <c r="U1476" s="195">
        <f t="shared" si="183"/>
        <v>0</v>
      </c>
      <c r="V1476" s="195">
        <f t="shared" si="184"/>
        <v>0</v>
      </c>
      <c r="W1476" s="196">
        <f t="shared" si="185"/>
        <v>0</v>
      </c>
      <c r="X1476" s="197">
        <f t="shared" si="186"/>
        <v>0</v>
      </c>
    </row>
    <row r="1477" ht="11.4" hidden="1" customHeight="1" spans="1:24">
      <c r="A1477" s="184" t="s">
        <v>3158</v>
      </c>
      <c r="B1477" s="184" t="s">
        <v>139</v>
      </c>
      <c r="C1477" s="184" t="s">
        <v>1880</v>
      </c>
      <c r="D1477" s="185" t="s">
        <v>703</v>
      </c>
      <c r="E1477" s="186" t="s">
        <v>24</v>
      </c>
      <c r="F1477" s="186" t="s">
        <v>24</v>
      </c>
      <c r="G1477" s="186" t="s">
        <v>3159</v>
      </c>
      <c r="H1477" s="186" t="s">
        <v>3159</v>
      </c>
      <c r="I1477" s="187" t="s">
        <v>3166</v>
      </c>
      <c r="J1477" s="187" t="s">
        <v>3167</v>
      </c>
      <c r="K1477" s="188"/>
      <c r="L1477" s="188"/>
      <c r="M1477" s="189" t="s">
        <v>1018</v>
      </c>
      <c r="N1477" s="190">
        <v>40.91</v>
      </c>
      <c r="O1477" s="190">
        <f t="shared" si="179"/>
        <v>44.59</v>
      </c>
      <c r="P1477" s="191">
        <f t="shared" si="180"/>
        <v>0</v>
      </c>
      <c r="Q1477" s="192">
        <f t="shared" si="181"/>
        <v>0</v>
      </c>
      <c r="R1477" s="193"/>
      <c r="S1477" s="194"/>
      <c r="T1477" s="195">
        <f t="shared" si="182"/>
        <v>0</v>
      </c>
      <c r="U1477" s="195">
        <f t="shared" si="183"/>
        <v>0</v>
      </c>
      <c r="V1477" s="195">
        <f t="shared" si="184"/>
        <v>0</v>
      </c>
      <c r="W1477" s="196" t="e">
        <f t="shared" si="185"/>
        <v>#DIV/0!</v>
      </c>
      <c r="X1477" s="197" t="e">
        <f t="shared" si="186"/>
        <v>#DIV/0!</v>
      </c>
    </row>
    <row r="1478" ht="11.4" hidden="1" customHeight="1" spans="1:24">
      <c r="A1478" s="184" t="s">
        <v>3168</v>
      </c>
      <c r="B1478" s="184" t="s">
        <v>800</v>
      </c>
      <c r="C1478" s="184" t="s">
        <v>801</v>
      </c>
      <c r="D1478" s="185" t="s">
        <v>704</v>
      </c>
      <c r="E1478" s="186" t="s">
        <v>802</v>
      </c>
      <c r="F1478" s="186" t="s">
        <v>803</v>
      </c>
      <c r="G1478" s="186" t="s">
        <v>804</v>
      </c>
      <c r="H1478" s="186" t="s">
        <v>804</v>
      </c>
      <c r="I1478" s="187" t="s">
        <v>805</v>
      </c>
      <c r="J1478" s="187" t="s">
        <v>806</v>
      </c>
      <c r="K1478" s="188"/>
      <c r="L1478" s="188"/>
      <c r="M1478" s="189" t="s">
        <v>807</v>
      </c>
      <c r="N1478" s="190">
        <v>1000.44</v>
      </c>
      <c r="O1478" s="190">
        <f t="shared" si="179"/>
        <v>1090.48</v>
      </c>
      <c r="P1478" s="191">
        <f t="shared" si="180"/>
        <v>0</v>
      </c>
      <c r="Q1478" s="192">
        <f t="shared" si="181"/>
        <v>0</v>
      </c>
      <c r="R1478" s="193"/>
      <c r="S1478" s="194"/>
      <c r="T1478" s="195">
        <f t="shared" si="182"/>
        <v>0</v>
      </c>
      <c r="U1478" s="195">
        <f t="shared" si="183"/>
        <v>0</v>
      </c>
      <c r="V1478" s="195">
        <f t="shared" si="184"/>
        <v>0</v>
      </c>
      <c r="W1478" s="196" t="e">
        <f t="shared" si="185"/>
        <v>#DIV/0!</v>
      </c>
      <c r="X1478" s="197" t="e">
        <f t="shared" si="186"/>
        <v>#DIV/0!</v>
      </c>
    </row>
    <row r="1479" ht="11.4" hidden="1" customHeight="1" spans="1:24">
      <c r="A1479" s="184" t="s">
        <v>3168</v>
      </c>
      <c r="B1479" s="184" t="s">
        <v>800</v>
      </c>
      <c r="C1479" s="184" t="s">
        <v>801</v>
      </c>
      <c r="D1479" s="185" t="s">
        <v>704</v>
      </c>
      <c r="E1479" s="186" t="s">
        <v>802</v>
      </c>
      <c r="F1479" s="186" t="s">
        <v>803</v>
      </c>
      <c r="G1479" s="186" t="s">
        <v>804</v>
      </c>
      <c r="H1479" s="186" t="s">
        <v>804</v>
      </c>
      <c r="I1479" s="187" t="s">
        <v>808</v>
      </c>
      <c r="J1479" s="187" t="s">
        <v>809</v>
      </c>
      <c r="K1479" s="188"/>
      <c r="L1479" s="188"/>
      <c r="M1479" s="189" t="s">
        <v>807</v>
      </c>
      <c r="N1479" s="190">
        <v>872.84</v>
      </c>
      <c r="O1479" s="190">
        <f t="shared" si="179"/>
        <v>951.4</v>
      </c>
      <c r="P1479" s="191">
        <f t="shared" si="180"/>
        <v>0</v>
      </c>
      <c r="Q1479" s="192">
        <f t="shared" si="181"/>
        <v>0</v>
      </c>
      <c r="R1479" s="193"/>
      <c r="S1479" s="194"/>
      <c r="T1479" s="195">
        <f t="shared" si="182"/>
        <v>0</v>
      </c>
      <c r="U1479" s="195">
        <f t="shared" si="183"/>
        <v>0</v>
      </c>
      <c r="V1479" s="195">
        <f t="shared" si="184"/>
        <v>0</v>
      </c>
      <c r="W1479" s="196" t="e">
        <f t="shared" si="185"/>
        <v>#DIV/0!</v>
      </c>
      <c r="X1479" s="197" t="e">
        <f t="shared" si="186"/>
        <v>#DIV/0!</v>
      </c>
    </row>
    <row r="1480" ht="11.4" hidden="1" customHeight="1" spans="1:24">
      <c r="A1480" s="184" t="s">
        <v>3168</v>
      </c>
      <c r="B1480" s="184" t="s">
        <v>800</v>
      </c>
      <c r="C1480" s="184" t="s">
        <v>801</v>
      </c>
      <c r="D1480" s="185" t="s">
        <v>704</v>
      </c>
      <c r="E1480" s="186" t="s">
        <v>802</v>
      </c>
      <c r="F1480" s="186" t="s">
        <v>803</v>
      </c>
      <c r="G1480" s="186" t="s">
        <v>804</v>
      </c>
      <c r="H1480" s="186" t="s">
        <v>804</v>
      </c>
      <c r="I1480" s="187" t="s">
        <v>810</v>
      </c>
      <c r="J1480" s="187" t="s">
        <v>811</v>
      </c>
      <c r="K1480" s="188"/>
      <c r="L1480" s="188"/>
      <c r="M1480" s="189" t="s">
        <v>807</v>
      </c>
      <c r="N1480" s="190">
        <v>1000.44</v>
      </c>
      <c r="O1480" s="190">
        <f t="shared" si="179"/>
        <v>1090.48</v>
      </c>
      <c r="P1480" s="191">
        <f t="shared" si="180"/>
        <v>0</v>
      </c>
      <c r="Q1480" s="192">
        <f t="shared" si="181"/>
        <v>0</v>
      </c>
      <c r="R1480" s="193"/>
      <c r="S1480" s="194"/>
      <c r="T1480" s="195">
        <f t="shared" si="182"/>
        <v>0</v>
      </c>
      <c r="U1480" s="195">
        <f t="shared" si="183"/>
        <v>0</v>
      </c>
      <c r="V1480" s="195">
        <f t="shared" si="184"/>
        <v>0</v>
      </c>
      <c r="W1480" s="196" t="e">
        <f t="shared" si="185"/>
        <v>#DIV/0!</v>
      </c>
      <c r="X1480" s="197" t="e">
        <f t="shared" si="186"/>
        <v>#DIV/0!</v>
      </c>
    </row>
    <row r="1481" ht="11.4" hidden="1" customHeight="1" spans="1:24">
      <c r="A1481" s="184" t="s">
        <v>3168</v>
      </c>
      <c r="B1481" s="184" t="s">
        <v>800</v>
      </c>
      <c r="C1481" s="184" t="s">
        <v>801</v>
      </c>
      <c r="D1481" s="185" t="s">
        <v>704</v>
      </c>
      <c r="E1481" s="186" t="s">
        <v>802</v>
      </c>
      <c r="F1481" s="186" t="s">
        <v>803</v>
      </c>
      <c r="G1481" s="186" t="s">
        <v>804</v>
      </c>
      <c r="H1481" s="186" t="s">
        <v>804</v>
      </c>
      <c r="I1481" s="187" t="s">
        <v>812</v>
      </c>
      <c r="J1481" s="187" t="s">
        <v>813</v>
      </c>
      <c r="K1481" s="188"/>
      <c r="L1481" s="188"/>
      <c r="M1481" s="189" t="s">
        <v>807</v>
      </c>
      <c r="N1481" s="190">
        <v>872.84</v>
      </c>
      <c r="O1481" s="190">
        <f t="shared" si="179"/>
        <v>951.4</v>
      </c>
      <c r="P1481" s="191">
        <f t="shared" si="180"/>
        <v>0</v>
      </c>
      <c r="Q1481" s="192">
        <f t="shared" si="181"/>
        <v>0</v>
      </c>
      <c r="R1481" s="193"/>
      <c r="S1481" s="194"/>
      <c r="T1481" s="195">
        <f t="shared" si="182"/>
        <v>0</v>
      </c>
      <c r="U1481" s="195">
        <f t="shared" si="183"/>
        <v>0</v>
      </c>
      <c r="V1481" s="195">
        <f t="shared" si="184"/>
        <v>0</v>
      </c>
      <c r="W1481" s="196" t="e">
        <f t="shared" si="185"/>
        <v>#DIV/0!</v>
      </c>
      <c r="X1481" s="197" t="e">
        <f t="shared" si="186"/>
        <v>#DIV/0!</v>
      </c>
    </row>
    <row r="1482" ht="11.4" hidden="1" customHeight="1" spans="1:24">
      <c r="A1482" s="184" t="s">
        <v>3168</v>
      </c>
      <c r="B1482" s="184" t="s">
        <v>800</v>
      </c>
      <c r="C1482" s="184" t="s">
        <v>801</v>
      </c>
      <c r="D1482" s="185" t="s">
        <v>704</v>
      </c>
      <c r="E1482" s="186" t="s">
        <v>802</v>
      </c>
      <c r="F1482" s="186" t="s">
        <v>803</v>
      </c>
      <c r="G1482" s="186" t="s">
        <v>804</v>
      </c>
      <c r="H1482" s="186" t="s">
        <v>804</v>
      </c>
      <c r="I1482" s="187" t="s">
        <v>814</v>
      </c>
      <c r="J1482" s="187" t="s">
        <v>815</v>
      </c>
      <c r="K1482" s="188"/>
      <c r="L1482" s="188"/>
      <c r="M1482" s="189" t="s">
        <v>807</v>
      </c>
      <c r="N1482" s="190">
        <v>135.14</v>
      </c>
      <c r="O1482" s="190">
        <f t="shared" si="179"/>
        <v>147.3</v>
      </c>
      <c r="P1482" s="191">
        <f t="shared" si="180"/>
        <v>0</v>
      </c>
      <c r="Q1482" s="192">
        <f t="shared" si="181"/>
        <v>0</v>
      </c>
      <c r="R1482" s="193"/>
      <c r="S1482" s="194"/>
      <c r="T1482" s="195">
        <f t="shared" si="182"/>
        <v>0</v>
      </c>
      <c r="U1482" s="195">
        <f t="shared" si="183"/>
        <v>0</v>
      </c>
      <c r="V1482" s="195">
        <f t="shared" si="184"/>
        <v>0</v>
      </c>
      <c r="W1482" s="196" t="e">
        <f t="shared" si="185"/>
        <v>#DIV/0!</v>
      </c>
      <c r="X1482" s="197" t="e">
        <f t="shared" si="186"/>
        <v>#DIV/0!</v>
      </c>
    </row>
    <row r="1483" ht="11.4" hidden="1" customHeight="1" spans="1:24">
      <c r="A1483" s="184" t="s">
        <v>3169</v>
      </c>
      <c r="B1483" s="184" t="s">
        <v>817</v>
      </c>
      <c r="C1483" s="184" t="s">
        <v>818</v>
      </c>
      <c r="D1483" s="185" t="s">
        <v>704</v>
      </c>
      <c r="E1483" s="186" t="s">
        <v>802</v>
      </c>
      <c r="F1483" s="186" t="s">
        <v>819</v>
      </c>
      <c r="G1483" s="186" t="s">
        <v>820</v>
      </c>
      <c r="H1483" s="186" t="s">
        <v>820</v>
      </c>
      <c r="I1483" s="187" t="s">
        <v>821</v>
      </c>
      <c r="J1483" s="187" t="s">
        <v>822</v>
      </c>
      <c r="K1483" s="188"/>
      <c r="L1483" s="188"/>
      <c r="M1483" s="189" t="s">
        <v>807</v>
      </c>
      <c r="N1483" s="190">
        <v>96.36</v>
      </c>
      <c r="O1483" s="190">
        <f t="shared" si="179"/>
        <v>105.03</v>
      </c>
      <c r="P1483" s="191">
        <f t="shared" si="180"/>
        <v>0</v>
      </c>
      <c r="Q1483" s="192">
        <f t="shared" si="181"/>
        <v>0</v>
      </c>
      <c r="R1483" s="193"/>
      <c r="S1483" s="194"/>
      <c r="T1483" s="195">
        <f t="shared" si="182"/>
        <v>0</v>
      </c>
      <c r="U1483" s="195">
        <f t="shared" si="183"/>
        <v>0</v>
      </c>
      <c r="V1483" s="195">
        <f t="shared" si="184"/>
        <v>0</v>
      </c>
      <c r="W1483" s="196" t="e">
        <f t="shared" si="185"/>
        <v>#DIV/0!</v>
      </c>
      <c r="X1483" s="197" t="e">
        <f t="shared" si="186"/>
        <v>#DIV/0!</v>
      </c>
    </row>
    <row r="1484" ht="11.4" hidden="1" customHeight="1" spans="1:24">
      <c r="A1484" s="184" t="s">
        <v>3169</v>
      </c>
      <c r="B1484" s="184" t="s">
        <v>817</v>
      </c>
      <c r="C1484" s="184" t="s">
        <v>818</v>
      </c>
      <c r="D1484" s="185" t="s">
        <v>704</v>
      </c>
      <c r="E1484" s="186" t="s">
        <v>802</v>
      </c>
      <c r="F1484" s="186" t="s">
        <v>819</v>
      </c>
      <c r="G1484" s="186" t="s">
        <v>820</v>
      </c>
      <c r="H1484" s="186" t="s">
        <v>820</v>
      </c>
      <c r="I1484" s="187" t="s">
        <v>823</v>
      </c>
      <c r="J1484" s="187" t="s">
        <v>824</v>
      </c>
      <c r="K1484" s="188"/>
      <c r="L1484" s="188"/>
      <c r="M1484" s="189" t="s">
        <v>807</v>
      </c>
      <c r="N1484" s="190">
        <v>92.09</v>
      </c>
      <c r="O1484" s="190">
        <f t="shared" si="179"/>
        <v>100.38</v>
      </c>
      <c r="P1484" s="191">
        <f t="shared" si="180"/>
        <v>0</v>
      </c>
      <c r="Q1484" s="192">
        <f t="shared" si="181"/>
        <v>0</v>
      </c>
      <c r="R1484" s="193"/>
      <c r="S1484" s="194"/>
      <c r="T1484" s="195">
        <f t="shared" si="182"/>
        <v>0</v>
      </c>
      <c r="U1484" s="195">
        <f t="shared" si="183"/>
        <v>0</v>
      </c>
      <c r="V1484" s="195">
        <f t="shared" si="184"/>
        <v>0</v>
      </c>
      <c r="W1484" s="196" t="e">
        <f t="shared" si="185"/>
        <v>#DIV/0!</v>
      </c>
      <c r="X1484" s="197" t="e">
        <f t="shared" si="186"/>
        <v>#DIV/0!</v>
      </c>
    </row>
    <row r="1485" ht="11.4" hidden="1" customHeight="1" spans="1:24">
      <c r="A1485" s="184" t="s">
        <v>3170</v>
      </c>
      <c r="B1485" s="184" t="s">
        <v>826</v>
      </c>
      <c r="C1485" s="184" t="s">
        <v>827</v>
      </c>
      <c r="D1485" s="185" t="s">
        <v>704</v>
      </c>
      <c r="E1485" s="186" t="s">
        <v>802</v>
      </c>
      <c r="F1485" s="186" t="s">
        <v>828</v>
      </c>
      <c r="G1485" s="186" t="s">
        <v>829</v>
      </c>
      <c r="H1485" s="186" t="s">
        <v>829</v>
      </c>
      <c r="I1485" s="187" t="s">
        <v>830</v>
      </c>
      <c r="J1485" s="187" t="s">
        <v>829</v>
      </c>
      <c r="K1485" s="188"/>
      <c r="L1485" s="188"/>
      <c r="M1485" s="189" t="s">
        <v>793</v>
      </c>
      <c r="N1485" s="190">
        <v>1801.8</v>
      </c>
      <c r="O1485" s="190">
        <f t="shared" ref="O1485:O1548" si="187">ROUND(N1485*(1+$F$10),2)</f>
        <v>1963.96</v>
      </c>
      <c r="P1485" s="191">
        <f t="shared" ref="P1485:P1548" si="188">ROUND(K1485*N1485,2)</f>
        <v>0</v>
      </c>
      <c r="Q1485" s="192">
        <f t="shared" ref="Q1485:Q1548" si="189">ROUND(L1485*N1485,2)</f>
        <v>0</v>
      </c>
      <c r="R1485" s="193"/>
      <c r="S1485" s="194"/>
      <c r="T1485" s="195">
        <f t="shared" ref="T1485:T1548" si="190">K1485-L1485</f>
        <v>0</v>
      </c>
      <c r="U1485" s="195">
        <f t="shared" ref="U1485:U1548" si="191">P1485-Q1485</f>
        <v>0</v>
      </c>
      <c r="V1485" s="195">
        <f t="shared" ref="V1485:V1548" si="192">ABS(U1485)</f>
        <v>0</v>
      </c>
      <c r="W1485" s="196" t="e">
        <f t="shared" ref="W1485:W1548" si="193">T1485/L1485</f>
        <v>#DIV/0!</v>
      </c>
      <c r="X1485" s="197" t="e">
        <f t="shared" ref="X1485:X1548" si="194">ABS(W1485)</f>
        <v>#DIV/0!</v>
      </c>
    </row>
    <row r="1486" ht="11.4" hidden="1" customHeight="1" spans="1:24">
      <c r="A1486" s="184" t="s">
        <v>3171</v>
      </c>
      <c r="B1486" s="184" t="s">
        <v>832</v>
      </c>
      <c r="C1486" s="184" t="s">
        <v>833</v>
      </c>
      <c r="D1486" s="185" t="s">
        <v>704</v>
      </c>
      <c r="E1486" s="186" t="s">
        <v>802</v>
      </c>
      <c r="F1486" s="186" t="s">
        <v>834</v>
      </c>
      <c r="G1486" s="186" t="s">
        <v>835</v>
      </c>
      <c r="H1486" s="186" t="s">
        <v>835</v>
      </c>
      <c r="I1486" s="187" t="s">
        <v>836</v>
      </c>
      <c r="J1486" s="187" t="s">
        <v>837</v>
      </c>
      <c r="K1486" s="188"/>
      <c r="L1486" s="188"/>
      <c r="M1486" s="189" t="s">
        <v>793</v>
      </c>
      <c r="N1486" s="190">
        <v>1351.35</v>
      </c>
      <c r="O1486" s="190">
        <f t="shared" si="187"/>
        <v>1472.97</v>
      </c>
      <c r="P1486" s="191">
        <f t="shared" si="188"/>
        <v>0</v>
      </c>
      <c r="Q1486" s="192">
        <f t="shared" si="189"/>
        <v>0</v>
      </c>
      <c r="R1486" s="193"/>
      <c r="S1486" s="194"/>
      <c r="T1486" s="195">
        <f t="shared" si="190"/>
        <v>0</v>
      </c>
      <c r="U1486" s="195">
        <f t="shared" si="191"/>
        <v>0</v>
      </c>
      <c r="V1486" s="195">
        <f t="shared" si="192"/>
        <v>0</v>
      </c>
      <c r="W1486" s="196" t="e">
        <f t="shared" si="193"/>
        <v>#DIV/0!</v>
      </c>
      <c r="X1486" s="197" t="e">
        <f t="shared" si="194"/>
        <v>#DIV/0!</v>
      </c>
    </row>
    <row r="1487" ht="11.4" hidden="1" customHeight="1" spans="1:24">
      <c r="A1487" s="184" t="s">
        <v>3171</v>
      </c>
      <c r="B1487" s="184" t="s">
        <v>832</v>
      </c>
      <c r="C1487" s="184" t="s">
        <v>833</v>
      </c>
      <c r="D1487" s="185" t="s">
        <v>704</v>
      </c>
      <c r="E1487" s="186" t="s">
        <v>802</v>
      </c>
      <c r="F1487" s="186" t="s">
        <v>834</v>
      </c>
      <c r="G1487" s="186" t="s">
        <v>835</v>
      </c>
      <c r="H1487" s="186" t="s">
        <v>835</v>
      </c>
      <c r="I1487" s="187" t="s">
        <v>838</v>
      </c>
      <c r="J1487" s="187" t="s">
        <v>839</v>
      </c>
      <c r="K1487" s="188"/>
      <c r="L1487" s="188"/>
      <c r="M1487" s="189" t="s">
        <v>793</v>
      </c>
      <c r="N1487" s="190"/>
      <c r="O1487" s="190">
        <f t="shared" si="187"/>
        <v>0</v>
      </c>
      <c r="P1487" s="191">
        <f t="shared" si="188"/>
        <v>0</v>
      </c>
      <c r="Q1487" s="192">
        <f t="shared" si="189"/>
        <v>0</v>
      </c>
      <c r="R1487" s="193"/>
      <c r="S1487" s="194"/>
      <c r="T1487" s="195">
        <f t="shared" si="190"/>
        <v>0</v>
      </c>
      <c r="U1487" s="195">
        <f t="shared" si="191"/>
        <v>0</v>
      </c>
      <c r="V1487" s="195">
        <f t="shared" si="192"/>
        <v>0</v>
      </c>
      <c r="W1487" s="196" t="e">
        <f t="shared" si="193"/>
        <v>#DIV/0!</v>
      </c>
      <c r="X1487" s="197" t="e">
        <f t="shared" si="194"/>
        <v>#DIV/0!</v>
      </c>
    </row>
    <row r="1488" ht="11.4" hidden="1" customHeight="1" spans="1:24">
      <c r="A1488" s="184" t="s">
        <v>3172</v>
      </c>
      <c r="B1488" s="184" t="s">
        <v>73</v>
      </c>
      <c r="C1488" s="184" t="s">
        <v>841</v>
      </c>
      <c r="D1488" s="185" t="s">
        <v>704</v>
      </c>
      <c r="E1488" s="186" t="s">
        <v>842</v>
      </c>
      <c r="F1488" s="186" t="s">
        <v>843</v>
      </c>
      <c r="G1488" s="186" t="s">
        <v>844</v>
      </c>
      <c r="H1488" s="186" t="s">
        <v>844</v>
      </c>
      <c r="I1488" s="187" t="s">
        <v>845</v>
      </c>
      <c r="J1488" s="187" t="s">
        <v>846</v>
      </c>
      <c r="K1488" s="188"/>
      <c r="L1488" s="188"/>
      <c r="M1488" s="189" t="s">
        <v>847</v>
      </c>
      <c r="N1488" s="190">
        <v>27.2</v>
      </c>
      <c r="O1488" s="190">
        <f t="shared" si="187"/>
        <v>29.65</v>
      </c>
      <c r="P1488" s="191">
        <f t="shared" si="188"/>
        <v>0</v>
      </c>
      <c r="Q1488" s="192">
        <f t="shared" si="189"/>
        <v>0</v>
      </c>
      <c r="R1488" s="193"/>
      <c r="S1488" s="194"/>
      <c r="T1488" s="195">
        <f t="shared" si="190"/>
        <v>0</v>
      </c>
      <c r="U1488" s="195">
        <f t="shared" si="191"/>
        <v>0</v>
      </c>
      <c r="V1488" s="195">
        <f t="shared" si="192"/>
        <v>0</v>
      </c>
      <c r="W1488" s="196" t="e">
        <f t="shared" si="193"/>
        <v>#DIV/0!</v>
      </c>
      <c r="X1488" s="197" t="e">
        <f t="shared" si="194"/>
        <v>#DIV/0!</v>
      </c>
    </row>
    <row r="1489" ht="11.4" hidden="1" customHeight="1" spans="1:24">
      <c r="A1489" s="184" t="s">
        <v>3172</v>
      </c>
      <c r="B1489" s="184" t="s">
        <v>73</v>
      </c>
      <c r="C1489" s="184" t="s">
        <v>841</v>
      </c>
      <c r="D1489" s="185" t="s">
        <v>704</v>
      </c>
      <c r="E1489" s="186" t="s">
        <v>842</v>
      </c>
      <c r="F1489" s="186" t="s">
        <v>843</v>
      </c>
      <c r="G1489" s="186" t="s">
        <v>844</v>
      </c>
      <c r="H1489" s="186" t="s">
        <v>844</v>
      </c>
      <c r="I1489" s="187" t="s">
        <v>848</v>
      </c>
      <c r="J1489" s="187" t="s">
        <v>849</v>
      </c>
      <c r="K1489" s="188"/>
      <c r="L1489" s="188"/>
      <c r="M1489" s="189" t="s">
        <v>847</v>
      </c>
      <c r="N1489" s="190">
        <v>73</v>
      </c>
      <c r="O1489" s="190">
        <f t="shared" si="187"/>
        <v>79.57</v>
      </c>
      <c r="P1489" s="191">
        <f t="shared" si="188"/>
        <v>0</v>
      </c>
      <c r="Q1489" s="192">
        <f t="shared" si="189"/>
        <v>0</v>
      </c>
      <c r="R1489" s="193"/>
      <c r="S1489" s="194"/>
      <c r="T1489" s="195">
        <f t="shared" si="190"/>
        <v>0</v>
      </c>
      <c r="U1489" s="195">
        <f t="shared" si="191"/>
        <v>0</v>
      </c>
      <c r="V1489" s="195">
        <f t="shared" si="192"/>
        <v>0</v>
      </c>
      <c r="W1489" s="196" t="e">
        <f t="shared" si="193"/>
        <v>#DIV/0!</v>
      </c>
      <c r="X1489" s="197" t="e">
        <f t="shared" si="194"/>
        <v>#DIV/0!</v>
      </c>
    </row>
    <row r="1490" ht="11.4" hidden="1" customHeight="1" spans="1:24">
      <c r="A1490" s="184" t="s">
        <v>3172</v>
      </c>
      <c r="B1490" s="184" t="s">
        <v>73</v>
      </c>
      <c r="C1490" s="184" t="s">
        <v>841</v>
      </c>
      <c r="D1490" s="185" t="s">
        <v>704</v>
      </c>
      <c r="E1490" s="186" t="s">
        <v>842</v>
      </c>
      <c r="F1490" s="186" t="s">
        <v>843</v>
      </c>
      <c r="G1490" s="186" t="s">
        <v>844</v>
      </c>
      <c r="H1490" s="186" t="s">
        <v>844</v>
      </c>
      <c r="I1490" s="187" t="s">
        <v>850</v>
      </c>
      <c r="J1490" s="187" t="s">
        <v>851</v>
      </c>
      <c r="K1490" s="188"/>
      <c r="L1490" s="188"/>
      <c r="M1490" s="189" t="s">
        <v>847</v>
      </c>
      <c r="N1490" s="190">
        <v>109</v>
      </c>
      <c r="O1490" s="190">
        <f t="shared" si="187"/>
        <v>118.81</v>
      </c>
      <c r="P1490" s="191">
        <f t="shared" si="188"/>
        <v>0</v>
      </c>
      <c r="Q1490" s="192">
        <f t="shared" si="189"/>
        <v>0</v>
      </c>
      <c r="R1490" s="193"/>
      <c r="S1490" s="194"/>
      <c r="T1490" s="195">
        <f t="shared" si="190"/>
        <v>0</v>
      </c>
      <c r="U1490" s="195">
        <f t="shared" si="191"/>
        <v>0</v>
      </c>
      <c r="V1490" s="195">
        <f t="shared" si="192"/>
        <v>0</v>
      </c>
      <c r="W1490" s="196" t="e">
        <f t="shared" si="193"/>
        <v>#DIV/0!</v>
      </c>
      <c r="X1490" s="197" t="e">
        <f t="shared" si="194"/>
        <v>#DIV/0!</v>
      </c>
    </row>
    <row r="1491" ht="11.4" hidden="1" customHeight="1" spans="1:24">
      <c r="A1491" s="184" t="s">
        <v>3172</v>
      </c>
      <c r="B1491" s="184" t="s">
        <v>73</v>
      </c>
      <c r="C1491" s="184" t="s">
        <v>841</v>
      </c>
      <c r="D1491" s="185" t="s">
        <v>704</v>
      </c>
      <c r="E1491" s="186" t="s">
        <v>842</v>
      </c>
      <c r="F1491" s="186" t="s">
        <v>843</v>
      </c>
      <c r="G1491" s="186" t="s">
        <v>844</v>
      </c>
      <c r="H1491" s="186" t="s">
        <v>844</v>
      </c>
      <c r="I1491" s="187" t="s">
        <v>852</v>
      </c>
      <c r="J1491" s="187" t="s">
        <v>853</v>
      </c>
      <c r="K1491" s="188"/>
      <c r="L1491" s="188"/>
      <c r="M1491" s="189" t="s">
        <v>847</v>
      </c>
      <c r="N1491" s="190">
        <v>54.5</v>
      </c>
      <c r="O1491" s="190">
        <f t="shared" si="187"/>
        <v>59.41</v>
      </c>
      <c r="P1491" s="191">
        <f t="shared" si="188"/>
        <v>0</v>
      </c>
      <c r="Q1491" s="192">
        <f t="shared" si="189"/>
        <v>0</v>
      </c>
      <c r="R1491" s="193"/>
      <c r="S1491" s="194"/>
      <c r="T1491" s="195">
        <f t="shared" si="190"/>
        <v>0</v>
      </c>
      <c r="U1491" s="195">
        <f t="shared" si="191"/>
        <v>0</v>
      </c>
      <c r="V1491" s="195">
        <f t="shared" si="192"/>
        <v>0</v>
      </c>
      <c r="W1491" s="196" t="e">
        <f t="shared" si="193"/>
        <v>#DIV/0!</v>
      </c>
      <c r="X1491" s="197" t="e">
        <f t="shared" si="194"/>
        <v>#DIV/0!</v>
      </c>
    </row>
    <row r="1492" ht="11.4" hidden="1" customHeight="1" spans="1:24">
      <c r="A1492" s="184" t="s">
        <v>3172</v>
      </c>
      <c r="B1492" s="184" t="s">
        <v>73</v>
      </c>
      <c r="C1492" s="184" t="s">
        <v>841</v>
      </c>
      <c r="D1492" s="185" t="s">
        <v>704</v>
      </c>
      <c r="E1492" s="186" t="s">
        <v>842</v>
      </c>
      <c r="F1492" s="186" t="s">
        <v>843</v>
      </c>
      <c r="G1492" s="186" t="s">
        <v>844</v>
      </c>
      <c r="H1492" s="186" t="s">
        <v>844</v>
      </c>
      <c r="I1492" s="187" t="s">
        <v>854</v>
      </c>
      <c r="J1492" s="187" t="s">
        <v>855</v>
      </c>
      <c r="K1492" s="188"/>
      <c r="L1492" s="188"/>
      <c r="M1492" s="189" t="s">
        <v>847</v>
      </c>
      <c r="N1492" s="190">
        <v>181.5</v>
      </c>
      <c r="O1492" s="190">
        <f t="shared" si="187"/>
        <v>197.84</v>
      </c>
      <c r="P1492" s="191">
        <f t="shared" si="188"/>
        <v>0</v>
      </c>
      <c r="Q1492" s="192">
        <f t="shared" si="189"/>
        <v>0</v>
      </c>
      <c r="R1492" s="193"/>
      <c r="S1492" s="194"/>
      <c r="T1492" s="195">
        <f t="shared" si="190"/>
        <v>0</v>
      </c>
      <c r="U1492" s="195">
        <f t="shared" si="191"/>
        <v>0</v>
      </c>
      <c r="V1492" s="195">
        <f t="shared" si="192"/>
        <v>0</v>
      </c>
      <c r="W1492" s="196" t="e">
        <f t="shared" si="193"/>
        <v>#DIV/0!</v>
      </c>
      <c r="X1492" s="197" t="e">
        <f t="shared" si="194"/>
        <v>#DIV/0!</v>
      </c>
    </row>
    <row r="1493" ht="11.4" hidden="1" customHeight="1" spans="1:24">
      <c r="A1493" s="184" t="s">
        <v>3172</v>
      </c>
      <c r="B1493" s="184" t="s">
        <v>73</v>
      </c>
      <c r="C1493" s="184" t="s">
        <v>841</v>
      </c>
      <c r="D1493" s="185" t="s">
        <v>704</v>
      </c>
      <c r="E1493" s="186" t="s">
        <v>842</v>
      </c>
      <c r="F1493" s="186" t="s">
        <v>843</v>
      </c>
      <c r="G1493" s="186" t="s">
        <v>844</v>
      </c>
      <c r="H1493" s="186" t="s">
        <v>844</v>
      </c>
      <c r="I1493" s="187" t="s">
        <v>856</v>
      </c>
      <c r="J1493" s="187" t="s">
        <v>857</v>
      </c>
      <c r="K1493" s="188"/>
      <c r="L1493" s="188"/>
      <c r="M1493" s="189" t="s">
        <v>847</v>
      </c>
      <c r="N1493" s="190">
        <v>284.5</v>
      </c>
      <c r="O1493" s="190">
        <f t="shared" si="187"/>
        <v>310.11</v>
      </c>
      <c r="P1493" s="191">
        <f t="shared" si="188"/>
        <v>0</v>
      </c>
      <c r="Q1493" s="192">
        <f t="shared" si="189"/>
        <v>0</v>
      </c>
      <c r="R1493" s="193"/>
      <c r="S1493" s="194"/>
      <c r="T1493" s="195">
        <f t="shared" si="190"/>
        <v>0</v>
      </c>
      <c r="U1493" s="195">
        <f t="shared" si="191"/>
        <v>0</v>
      </c>
      <c r="V1493" s="195">
        <f t="shared" si="192"/>
        <v>0</v>
      </c>
      <c r="W1493" s="196" t="e">
        <f t="shared" si="193"/>
        <v>#DIV/0!</v>
      </c>
      <c r="X1493" s="197" t="e">
        <f t="shared" si="194"/>
        <v>#DIV/0!</v>
      </c>
    </row>
    <row r="1494" ht="11.4" hidden="1" customHeight="1" spans="1:24">
      <c r="A1494" s="184" t="s">
        <v>3172</v>
      </c>
      <c r="B1494" s="184" t="s">
        <v>73</v>
      </c>
      <c r="C1494" s="184" t="s">
        <v>841</v>
      </c>
      <c r="D1494" s="185" t="s">
        <v>704</v>
      </c>
      <c r="E1494" s="186" t="s">
        <v>842</v>
      </c>
      <c r="F1494" s="186" t="s">
        <v>843</v>
      </c>
      <c r="G1494" s="186" t="s">
        <v>844</v>
      </c>
      <c r="H1494" s="186" t="s">
        <v>844</v>
      </c>
      <c r="I1494" s="187" t="s">
        <v>858</v>
      </c>
      <c r="J1494" s="187" t="s">
        <v>859</v>
      </c>
      <c r="K1494" s="188"/>
      <c r="L1494" s="188"/>
      <c r="M1494" s="189" t="s">
        <v>847</v>
      </c>
      <c r="N1494" s="190">
        <v>20</v>
      </c>
      <c r="O1494" s="190">
        <f t="shared" si="187"/>
        <v>21.8</v>
      </c>
      <c r="P1494" s="191">
        <f t="shared" si="188"/>
        <v>0</v>
      </c>
      <c r="Q1494" s="192">
        <f t="shared" si="189"/>
        <v>0</v>
      </c>
      <c r="R1494" s="193"/>
      <c r="S1494" s="194"/>
      <c r="T1494" s="195">
        <f t="shared" si="190"/>
        <v>0</v>
      </c>
      <c r="U1494" s="195">
        <f t="shared" si="191"/>
        <v>0</v>
      </c>
      <c r="V1494" s="195">
        <f t="shared" si="192"/>
        <v>0</v>
      </c>
      <c r="W1494" s="196" t="e">
        <f t="shared" si="193"/>
        <v>#DIV/0!</v>
      </c>
      <c r="X1494" s="197" t="e">
        <f t="shared" si="194"/>
        <v>#DIV/0!</v>
      </c>
    </row>
    <row r="1495" ht="11.4" hidden="1" customHeight="1" spans="1:24">
      <c r="A1495" s="184" t="s">
        <v>3173</v>
      </c>
      <c r="B1495" s="184" t="s">
        <v>75</v>
      </c>
      <c r="C1495" s="184" t="s">
        <v>861</v>
      </c>
      <c r="D1495" s="185" t="s">
        <v>704</v>
      </c>
      <c r="E1495" s="186" t="s">
        <v>842</v>
      </c>
      <c r="F1495" s="186" t="s">
        <v>862</v>
      </c>
      <c r="G1495" s="186" t="s">
        <v>531</v>
      </c>
      <c r="H1495" s="186" t="s">
        <v>531</v>
      </c>
      <c r="I1495" s="187" t="s">
        <v>863</v>
      </c>
      <c r="J1495" s="187" t="s">
        <v>864</v>
      </c>
      <c r="K1495" s="188"/>
      <c r="L1495" s="188"/>
      <c r="M1495" s="189" t="s">
        <v>847</v>
      </c>
      <c r="N1495" s="190">
        <v>58.7</v>
      </c>
      <c r="O1495" s="190">
        <f t="shared" si="187"/>
        <v>63.98</v>
      </c>
      <c r="P1495" s="191">
        <f t="shared" si="188"/>
        <v>0</v>
      </c>
      <c r="Q1495" s="192">
        <f t="shared" si="189"/>
        <v>0</v>
      </c>
      <c r="R1495" s="193"/>
      <c r="S1495" s="194"/>
      <c r="T1495" s="195">
        <f t="shared" si="190"/>
        <v>0</v>
      </c>
      <c r="U1495" s="195">
        <f t="shared" si="191"/>
        <v>0</v>
      </c>
      <c r="V1495" s="195">
        <f t="shared" si="192"/>
        <v>0</v>
      </c>
      <c r="W1495" s="196" t="e">
        <f t="shared" si="193"/>
        <v>#DIV/0!</v>
      </c>
      <c r="X1495" s="197" t="e">
        <f t="shared" si="194"/>
        <v>#DIV/0!</v>
      </c>
    </row>
    <row r="1496" ht="11.4" hidden="1" customHeight="1" spans="1:24">
      <c r="A1496" s="184" t="s">
        <v>3174</v>
      </c>
      <c r="B1496" s="184" t="s">
        <v>81</v>
      </c>
      <c r="C1496" s="184" t="s">
        <v>867</v>
      </c>
      <c r="D1496" s="185" t="s">
        <v>704</v>
      </c>
      <c r="E1496" s="186" t="s">
        <v>868</v>
      </c>
      <c r="F1496" s="186" t="s">
        <v>869</v>
      </c>
      <c r="G1496" s="186" t="s">
        <v>870</v>
      </c>
      <c r="H1496" s="186" t="s">
        <v>871</v>
      </c>
      <c r="I1496" s="187" t="s">
        <v>872</v>
      </c>
      <c r="J1496" s="187" t="s">
        <v>873</v>
      </c>
      <c r="K1496" s="188"/>
      <c r="L1496" s="188"/>
      <c r="M1496" s="189" t="s">
        <v>793</v>
      </c>
      <c r="N1496" s="190">
        <v>15380</v>
      </c>
      <c r="O1496" s="190">
        <f t="shared" si="187"/>
        <v>16764.2</v>
      </c>
      <c r="P1496" s="191">
        <f t="shared" si="188"/>
        <v>0</v>
      </c>
      <c r="Q1496" s="192">
        <f t="shared" si="189"/>
        <v>0</v>
      </c>
      <c r="R1496" s="193"/>
      <c r="S1496" s="194"/>
      <c r="T1496" s="195">
        <f t="shared" si="190"/>
        <v>0</v>
      </c>
      <c r="U1496" s="195">
        <f t="shared" si="191"/>
        <v>0</v>
      </c>
      <c r="V1496" s="195">
        <f t="shared" si="192"/>
        <v>0</v>
      </c>
      <c r="W1496" s="196" t="e">
        <f t="shared" si="193"/>
        <v>#DIV/0!</v>
      </c>
      <c r="X1496" s="197" t="e">
        <f t="shared" si="194"/>
        <v>#DIV/0!</v>
      </c>
    </row>
    <row r="1497" ht="11.4" hidden="1" customHeight="1" spans="1:24">
      <c r="A1497" s="184" t="s">
        <v>3174</v>
      </c>
      <c r="B1497" s="184" t="s">
        <v>81</v>
      </c>
      <c r="C1497" s="184" t="s">
        <v>867</v>
      </c>
      <c r="D1497" s="185" t="s">
        <v>704</v>
      </c>
      <c r="E1497" s="186" t="s">
        <v>868</v>
      </c>
      <c r="F1497" s="186" t="s">
        <v>869</v>
      </c>
      <c r="G1497" s="186" t="s">
        <v>870</v>
      </c>
      <c r="H1497" s="186" t="s">
        <v>871</v>
      </c>
      <c r="I1497" s="187" t="s">
        <v>874</v>
      </c>
      <c r="J1497" s="187" t="s">
        <v>875</v>
      </c>
      <c r="K1497" s="188"/>
      <c r="L1497" s="188"/>
      <c r="M1497" s="189" t="s">
        <v>793</v>
      </c>
      <c r="N1497" s="190">
        <v>26126.13</v>
      </c>
      <c r="O1497" s="190">
        <f t="shared" si="187"/>
        <v>28477.48</v>
      </c>
      <c r="P1497" s="191">
        <f t="shared" si="188"/>
        <v>0</v>
      </c>
      <c r="Q1497" s="192">
        <f t="shared" si="189"/>
        <v>0</v>
      </c>
      <c r="R1497" s="193"/>
      <c r="S1497" s="194"/>
      <c r="T1497" s="195">
        <f t="shared" si="190"/>
        <v>0</v>
      </c>
      <c r="U1497" s="195">
        <f t="shared" si="191"/>
        <v>0</v>
      </c>
      <c r="V1497" s="195">
        <f t="shared" si="192"/>
        <v>0</v>
      </c>
      <c r="W1497" s="196" t="e">
        <f t="shared" si="193"/>
        <v>#DIV/0!</v>
      </c>
      <c r="X1497" s="197" t="e">
        <f t="shared" si="194"/>
        <v>#DIV/0!</v>
      </c>
    </row>
    <row r="1498" ht="11.4" hidden="1" customHeight="1" spans="1:24">
      <c r="A1498" s="184" t="s">
        <v>3174</v>
      </c>
      <c r="B1498" s="184" t="s">
        <v>81</v>
      </c>
      <c r="C1498" s="184" t="s">
        <v>867</v>
      </c>
      <c r="D1498" s="185" t="s">
        <v>704</v>
      </c>
      <c r="E1498" s="186" t="s">
        <v>868</v>
      </c>
      <c r="F1498" s="186" t="s">
        <v>869</v>
      </c>
      <c r="G1498" s="186" t="s">
        <v>870</v>
      </c>
      <c r="H1498" s="186" t="s">
        <v>871</v>
      </c>
      <c r="I1498" s="187" t="s">
        <v>876</v>
      </c>
      <c r="J1498" s="187" t="s">
        <v>877</v>
      </c>
      <c r="K1498" s="188"/>
      <c r="L1498" s="188"/>
      <c r="M1498" s="189" t="s">
        <v>793</v>
      </c>
      <c r="N1498" s="190">
        <v>18018.02</v>
      </c>
      <c r="O1498" s="190">
        <f t="shared" si="187"/>
        <v>19639.64</v>
      </c>
      <c r="P1498" s="191">
        <f t="shared" si="188"/>
        <v>0</v>
      </c>
      <c r="Q1498" s="192">
        <f t="shared" si="189"/>
        <v>0</v>
      </c>
      <c r="R1498" s="193"/>
      <c r="S1498" s="194"/>
      <c r="T1498" s="195">
        <f t="shared" si="190"/>
        <v>0</v>
      </c>
      <c r="U1498" s="195">
        <f t="shared" si="191"/>
        <v>0</v>
      </c>
      <c r="V1498" s="195">
        <f t="shared" si="192"/>
        <v>0</v>
      </c>
      <c r="W1498" s="196" t="e">
        <f t="shared" si="193"/>
        <v>#DIV/0!</v>
      </c>
      <c r="X1498" s="197" t="e">
        <f t="shared" si="194"/>
        <v>#DIV/0!</v>
      </c>
    </row>
    <row r="1499" ht="11.4" hidden="1" customHeight="1" spans="1:24">
      <c r="A1499" s="184" t="s">
        <v>3174</v>
      </c>
      <c r="B1499" s="184" t="s">
        <v>81</v>
      </c>
      <c r="C1499" s="184" t="s">
        <v>867</v>
      </c>
      <c r="D1499" s="185" t="s">
        <v>704</v>
      </c>
      <c r="E1499" s="186" t="s">
        <v>868</v>
      </c>
      <c r="F1499" s="186" t="s">
        <v>869</v>
      </c>
      <c r="G1499" s="186" t="s">
        <v>870</v>
      </c>
      <c r="H1499" s="186" t="s">
        <v>871</v>
      </c>
      <c r="I1499" s="187" t="s">
        <v>878</v>
      </c>
      <c r="J1499" s="187" t="s">
        <v>879</v>
      </c>
      <c r="K1499" s="188"/>
      <c r="L1499" s="188"/>
      <c r="M1499" s="189" t="s">
        <v>793</v>
      </c>
      <c r="N1499" s="190"/>
      <c r="O1499" s="190">
        <f t="shared" si="187"/>
        <v>0</v>
      </c>
      <c r="P1499" s="191">
        <f t="shared" si="188"/>
        <v>0</v>
      </c>
      <c r="Q1499" s="192">
        <f t="shared" si="189"/>
        <v>0</v>
      </c>
      <c r="R1499" s="193"/>
      <c r="S1499" s="194"/>
      <c r="T1499" s="195">
        <f t="shared" si="190"/>
        <v>0</v>
      </c>
      <c r="U1499" s="195">
        <f t="shared" si="191"/>
        <v>0</v>
      </c>
      <c r="V1499" s="195">
        <f t="shared" si="192"/>
        <v>0</v>
      </c>
      <c r="W1499" s="196" t="e">
        <f t="shared" si="193"/>
        <v>#DIV/0!</v>
      </c>
      <c r="X1499" s="197" t="e">
        <f t="shared" si="194"/>
        <v>#DIV/0!</v>
      </c>
    </row>
    <row r="1500" ht="11.4" hidden="1" customHeight="1" spans="1:24">
      <c r="A1500" s="184" t="s">
        <v>3174</v>
      </c>
      <c r="B1500" s="184" t="s">
        <v>81</v>
      </c>
      <c r="C1500" s="184" t="s">
        <v>867</v>
      </c>
      <c r="D1500" s="185" t="s">
        <v>704</v>
      </c>
      <c r="E1500" s="186" t="s">
        <v>868</v>
      </c>
      <c r="F1500" s="186" t="s">
        <v>869</v>
      </c>
      <c r="G1500" s="186" t="s">
        <v>870</v>
      </c>
      <c r="H1500" s="186" t="s">
        <v>880</v>
      </c>
      <c r="I1500" s="187" t="s">
        <v>881</v>
      </c>
      <c r="J1500" s="187" t="s">
        <v>882</v>
      </c>
      <c r="K1500" s="188"/>
      <c r="L1500" s="188"/>
      <c r="M1500" s="189" t="s">
        <v>847</v>
      </c>
      <c r="N1500" s="190">
        <v>88.25</v>
      </c>
      <c r="O1500" s="190">
        <f t="shared" si="187"/>
        <v>96.19</v>
      </c>
      <c r="P1500" s="191">
        <f t="shared" si="188"/>
        <v>0</v>
      </c>
      <c r="Q1500" s="192">
        <f t="shared" si="189"/>
        <v>0</v>
      </c>
      <c r="R1500" s="193"/>
      <c r="S1500" s="194"/>
      <c r="T1500" s="195">
        <f t="shared" si="190"/>
        <v>0</v>
      </c>
      <c r="U1500" s="195">
        <f t="shared" si="191"/>
        <v>0</v>
      </c>
      <c r="V1500" s="195">
        <f t="shared" si="192"/>
        <v>0</v>
      </c>
      <c r="W1500" s="196" t="e">
        <f t="shared" si="193"/>
        <v>#DIV/0!</v>
      </c>
      <c r="X1500" s="197" t="e">
        <f t="shared" si="194"/>
        <v>#DIV/0!</v>
      </c>
    </row>
    <row r="1501" ht="11.4" hidden="1" customHeight="1" spans="1:24">
      <c r="A1501" s="184" t="s">
        <v>3174</v>
      </c>
      <c r="B1501" s="184" t="s">
        <v>81</v>
      </c>
      <c r="C1501" s="184" t="s">
        <v>867</v>
      </c>
      <c r="D1501" s="185" t="s">
        <v>704</v>
      </c>
      <c r="E1501" s="186" t="s">
        <v>868</v>
      </c>
      <c r="F1501" s="186" t="s">
        <v>869</v>
      </c>
      <c r="G1501" s="186" t="s">
        <v>870</v>
      </c>
      <c r="H1501" s="186" t="s">
        <v>880</v>
      </c>
      <c r="I1501" s="187" t="s">
        <v>884</v>
      </c>
      <c r="J1501" s="187" t="s">
        <v>885</v>
      </c>
      <c r="K1501" s="188"/>
      <c r="L1501" s="188"/>
      <c r="M1501" s="189" t="s">
        <v>847</v>
      </c>
      <c r="N1501" s="190">
        <v>52.68</v>
      </c>
      <c r="O1501" s="190">
        <f t="shared" si="187"/>
        <v>57.42</v>
      </c>
      <c r="P1501" s="191">
        <f t="shared" si="188"/>
        <v>0</v>
      </c>
      <c r="Q1501" s="192">
        <f t="shared" si="189"/>
        <v>0</v>
      </c>
      <c r="R1501" s="193"/>
      <c r="S1501" s="194"/>
      <c r="T1501" s="195">
        <f t="shared" si="190"/>
        <v>0</v>
      </c>
      <c r="U1501" s="195">
        <f t="shared" si="191"/>
        <v>0</v>
      </c>
      <c r="V1501" s="195">
        <f t="shared" si="192"/>
        <v>0</v>
      </c>
      <c r="W1501" s="196" t="e">
        <f t="shared" si="193"/>
        <v>#DIV/0!</v>
      </c>
      <c r="X1501" s="197" t="e">
        <f t="shared" si="194"/>
        <v>#DIV/0!</v>
      </c>
    </row>
    <row r="1502" ht="11.4" hidden="1" customHeight="1" spans="1:24">
      <c r="A1502" s="184" t="s">
        <v>3174</v>
      </c>
      <c r="B1502" s="184" t="s">
        <v>81</v>
      </c>
      <c r="C1502" s="184" t="s">
        <v>867</v>
      </c>
      <c r="D1502" s="185" t="s">
        <v>704</v>
      </c>
      <c r="E1502" s="186" t="s">
        <v>868</v>
      </c>
      <c r="F1502" s="186" t="s">
        <v>869</v>
      </c>
      <c r="G1502" s="186" t="s">
        <v>870</v>
      </c>
      <c r="H1502" s="186" t="s">
        <v>886</v>
      </c>
      <c r="I1502" s="187" t="s">
        <v>887</v>
      </c>
      <c r="J1502" s="187" t="s">
        <v>888</v>
      </c>
      <c r="K1502" s="188"/>
      <c r="L1502" s="188"/>
      <c r="M1502" s="189" t="s">
        <v>847</v>
      </c>
      <c r="N1502" s="190">
        <v>60.46</v>
      </c>
      <c r="O1502" s="190">
        <f t="shared" si="187"/>
        <v>65.9</v>
      </c>
      <c r="P1502" s="191">
        <f t="shared" si="188"/>
        <v>0</v>
      </c>
      <c r="Q1502" s="192">
        <f t="shared" si="189"/>
        <v>0</v>
      </c>
      <c r="R1502" s="193"/>
      <c r="S1502" s="194"/>
      <c r="T1502" s="195">
        <f t="shared" si="190"/>
        <v>0</v>
      </c>
      <c r="U1502" s="195">
        <f t="shared" si="191"/>
        <v>0</v>
      </c>
      <c r="V1502" s="195">
        <f t="shared" si="192"/>
        <v>0</v>
      </c>
      <c r="W1502" s="196" t="e">
        <f t="shared" si="193"/>
        <v>#DIV/0!</v>
      </c>
      <c r="X1502" s="197" t="e">
        <f t="shared" si="194"/>
        <v>#DIV/0!</v>
      </c>
    </row>
    <row r="1503" ht="11.4" hidden="1" customHeight="1" spans="1:24">
      <c r="A1503" s="184" t="s">
        <v>3174</v>
      </c>
      <c r="B1503" s="184" t="s">
        <v>81</v>
      </c>
      <c r="C1503" s="184" t="s">
        <v>867</v>
      </c>
      <c r="D1503" s="185" t="s">
        <v>704</v>
      </c>
      <c r="E1503" s="186" t="s">
        <v>868</v>
      </c>
      <c r="F1503" s="186" t="s">
        <v>869</v>
      </c>
      <c r="G1503" s="186" t="s">
        <v>870</v>
      </c>
      <c r="H1503" s="186" t="s">
        <v>886</v>
      </c>
      <c r="I1503" s="187" t="s">
        <v>890</v>
      </c>
      <c r="J1503" s="187" t="s">
        <v>891</v>
      </c>
      <c r="K1503" s="188"/>
      <c r="L1503" s="188"/>
      <c r="M1503" s="189" t="s">
        <v>847</v>
      </c>
      <c r="N1503" s="190">
        <v>71.58</v>
      </c>
      <c r="O1503" s="190">
        <f t="shared" si="187"/>
        <v>78.02</v>
      </c>
      <c r="P1503" s="191">
        <f t="shared" si="188"/>
        <v>0</v>
      </c>
      <c r="Q1503" s="192">
        <f t="shared" si="189"/>
        <v>0</v>
      </c>
      <c r="R1503" s="193"/>
      <c r="S1503" s="194"/>
      <c r="T1503" s="195">
        <f t="shared" si="190"/>
        <v>0</v>
      </c>
      <c r="U1503" s="195">
        <f t="shared" si="191"/>
        <v>0</v>
      </c>
      <c r="V1503" s="195">
        <f t="shared" si="192"/>
        <v>0</v>
      </c>
      <c r="W1503" s="196" t="e">
        <f t="shared" si="193"/>
        <v>#DIV/0!</v>
      </c>
      <c r="X1503" s="197" t="e">
        <f t="shared" si="194"/>
        <v>#DIV/0!</v>
      </c>
    </row>
    <row r="1504" ht="11.4" hidden="1" customHeight="1" spans="1:24">
      <c r="A1504" s="184" t="s">
        <v>3174</v>
      </c>
      <c r="B1504" s="184" t="s">
        <v>81</v>
      </c>
      <c r="C1504" s="184" t="s">
        <v>867</v>
      </c>
      <c r="D1504" s="185" t="s">
        <v>704</v>
      </c>
      <c r="E1504" s="186" t="s">
        <v>868</v>
      </c>
      <c r="F1504" s="186" t="s">
        <v>869</v>
      </c>
      <c r="G1504" s="186" t="s">
        <v>870</v>
      </c>
      <c r="H1504" s="186" t="s">
        <v>886</v>
      </c>
      <c r="I1504" s="187" t="s">
        <v>893</v>
      </c>
      <c r="J1504" s="187" t="s">
        <v>894</v>
      </c>
      <c r="K1504" s="188"/>
      <c r="L1504" s="188"/>
      <c r="M1504" s="189" t="s">
        <v>895</v>
      </c>
      <c r="N1504" s="190">
        <v>11207.21</v>
      </c>
      <c r="O1504" s="190">
        <f t="shared" si="187"/>
        <v>12215.86</v>
      </c>
      <c r="P1504" s="191">
        <f t="shared" si="188"/>
        <v>0</v>
      </c>
      <c r="Q1504" s="192">
        <f t="shared" si="189"/>
        <v>0</v>
      </c>
      <c r="R1504" s="193"/>
      <c r="S1504" s="194"/>
      <c r="T1504" s="195">
        <f t="shared" si="190"/>
        <v>0</v>
      </c>
      <c r="U1504" s="195">
        <f t="shared" si="191"/>
        <v>0</v>
      </c>
      <c r="V1504" s="195">
        <f t="shared" si="192"/>
        <v>0</v>
      </c>
      <c r="W1504" s="196" t="e">
        <f t="shared" si="193"/>
        <v>#DIV/0!</v>
      </c>
      <c r="X1504" s="197" t="e">
        <f t="shared" si="194"/>
        <v>#DIV/0!</v>
      </c>
    </row>
    <row r="1505" ht="11.4" hidden="1" customHeight="1" spans="1:24">
      <c r="A1505" s="184" t="s">
        <v>3175</v>
      </c>
      <c r="B1505" s="184" t="s">
        <v>83</v>
      </c>
      <c r="C1505" s="184" t="s">
        <v>898</v>
      </c>
      <c r="D1505" s="185" t="s">
        <v>704</v>
      </c>
      <c r="E1505" s="186" t="s">
        <v>868</v>
      </c>
      <c r="F1505" s="186" t="s">
        <v>899</v>
      </c>
      <c r="G1505" s="186" t="s">
        <v>900</v>
      </c>
      <c r="H1505" s="186" t="s">
        <v>901</v>
      </c>
      <c r="I1505" s="187" t="s">
        <v>902</v>
      </c>
      <c r="J1505" s="187" t="s">
        <v>903</v>
      </c>
      <c r="K1505" s="188"/>
      <c r="L1505" s="188"/>
      <c r="M1505" s="189" t="s">
        <v>847</v>
      </c>
      <c r="N1505" s="190">
        <v>14</v>
      </c>
      <c r="O1505" s="190">
        <f t="shared" si="187"/>
        <v>15.26</v>
      </c>
      <c r="P1505" s="191">
        <f t="shared" si="188"/>
        <v>0</v>
      </c>
      <c r="Q1505" s="192">
        <f t="shared" si="189"/>
        <v>0</v>
      </c>
      <c r="R1505" s="193"/>
      <c r="S1505" s="194"/>
      <c r="T1505" s="195">
        <f t="shared" si="190"/>
        <v>0</v>
      </c>
      <c r="U1505" s="195">
        <f t="shared" si="191"/>
        <v>0</v>
      </c>
      <c r="V1505" s="195">
        <f t="shared" si="192"/>
        <v>0</v>
      </c>
      <c r="W1505" s="196" t="e">
        <f t="shared" si="193"/>
        <v>#DIV/0!</v>
      </c>
      <c r="X1505" s="197" t="e">
        <f t="shared" si="194"/>
        <v>#DIV/0!</v>
      </c>
    </row>
    <row r="1506" ht="11.4" hidden="1" customHeight="1" spans="1:24">
      <c r="A1506" s="184" t="s">
        <v>3176</v>
      </c>
      <c r="B1506" s="184" t="s">
        <v>153</v>
      </c>
      <c r="C1506" s="184" t="s">
        <v>905</v>
      </c>
      <c r="D1506" s="185" t="s">
        <v>704</v>
      </c>
      <c r="E1506" s="186" t="s">
        <v>906</v>
      </c>
      <c r="F1506" s="186" t="s">
        <v>907</v>
      </c>
      <c r="G1506" s="186" t="s">
        <v>908</v>
      </c>
      <c r="H1506" s="186" t="s">
        <v>909</v>
      </c>
      <c r="I1506" s="187" t="s">
        <v>910</v>
      </c>
      <c r="J1506" s="187" t="s">
        <v>911</v>
      </c>
      <c r="K1506" s="188"/>
      <c r="L1506" s="188"/>
      <c r="M1506" s="189" t="s">
        <v>895</v>
      </c>
      <c r="N1506" s="190">
        <v>8999.8</v>
      </c>
      <c r="O1506" s="190">
        <f t="shared" si="187"/>
        <v>9809.78</v>
      </c>
      <c r="P1506" s="191">
        <f t="shared" si="188"/>
        <v>0</v>
      </c>
      <c r="Q1506" s="192">
        <f t="shared" si="189"/>
        <v>0</v>
      </c>
      <c r="R1506" s="193"/>
      <c r="S1506" s="194"/>
      <c r="T1506" s="195">
        <f t="shared" si="190"/>
        <v>0</v>
      </c>
      <c r="U1506" s="195">
        <f t="shared" si="191"/>
        <v>0</v>
      </c>
      <c r="V1506" s="195">
        <f t="shared" si="192"/>
        <v>0</v>
      </c>
      <c r="W1506" s="196" t="e">
        <f t="shared" si="193"/>
        <v>#DIV/0!</v>
      </c>
      <c r="X1506" s="197" t="e">
        <f t="shared" si="194"/>
        <v>#DIV/0!</v>
      </c>
    </row>
    <row r="1507" ht="11.4" hidden="1" customHeight="1" spans="1:24">
      <c r="A1507" s="184" t="s">
        <v>3176</v>
      </c>
      <c r="B1507" s="184" t="s">
        <v>153</v>
      </c>
      <c r="C1507" s="184" t="s">
        <v>905</v>
      </c>
      <c r="D1507" s="185" t="s">
        <v>704</v>
      </c>
      <c r="E1507" s="186" t="s">
        <v>906</v>
      </c>
      <c r="F1507" s="186" t="s">
        <v>907</v>
      </c>
      <c r="G1507" s="186" t="s">
        <v>908</v>
      </c>
      <c r="H1507" s="186" t="s">
        <v>909</v>
      </c>
      <c r="I1507" s="187" t="s">
        <v>912</v>
      </c>
      <c r="J1507" s="187" t="s">
        <v>913</v>
      </c>
      <c r="K1507" s="188"/>
      <c r="L1507" s="188"/>
      <c r="M1507" s="189" t="s">
        <v>793</v>
      </c>
      <c r="N1507" s="190">
        <v>3313.15</v>
      </c>
      <c r="O1507" s="190">
        <f t="shared" si="187"/>
        <v>3611.33</v>
      </c>
      <c r="P1507" s="191">
        <f t="shared" si="188"/>
        <v>0</v>
      </c>
      <c r="Q1507" s="192">
        <f t="shared" si="189"/>
        <v>0</v>
      </c>
      <c r="R1507" s="193"/>
      <c r="S1507" s="194"/>
      <c r="T1507" s="195">
        <f t="shared" si="190"/>
        <v>0</v>
      </c>
      <c r="U1507" s="195">
        <f t="shared" si="191"/>
        <v>0</v>
      </c>
      <c r="V1507" s="195">
        <f t="shared" si="192"/>
        <v>0</v>
      </c>
      <c r="W1507" s="196" t="e">
        <f t="shared" si="193"/>
        <v>#DIV/0!</v>
      </c>
      <c r="X1507" s="197" t="e">
        <f t="shared" si="194"/>
        <v>#DIV/0!</v>
      </c>
    </row>
    <row r="1508" ht="11.4" hidden="1" customHeight="1" spans="1:24">
      <c r="A1508" s="184" t="s">
        <v>3176</v>
      </c>
      <c r="B1508" s="184" t="s">
        <v>153</v>
      </c>
      <c r="C1508" s="184" t="s">
        <v>905</v>
      </c>
      <c r="D1508" s="185" t="s">
        <v>704</v>
      </c>
      <c r="E1508" s="186" t="s">
        <v>906</v>
      </c>
      <c r="F1508" s="186" t="s">
        <v>907</v>
      </c>
      <c r="G1508" s="186" t="s">
        <v>908</v>
      </c>
      <c r="H1508" s="186" t="s">
        <v>909</v>
      </c>
      <c r="I1508" s="187" t="s">
        <v>914</v>
      </c>
      <c r="J1508" s="187" t="s">
        <v>915</v>
      </c>
      <c r="K1508" s="188"/>
      <c r="L1508" s="188"/>
      <c r="M1508" s="189" t="s">
        <v>847</v>
      </c>
      <c r="N1508" s="190">
        <v>114.79</v>
      </c>
      <c r="O1508" s="190">
        <f t="shared" si="187"/>
        <v>125.12</v>
      </c>
      <c r="P1508" s="191">
        <f t="shared" si="188"/>
        <v>0</v>
      </c>
      <c r="Q1508" s="192">
        <f t="shared" si="189"/>
        <v>0</v>
      </c>
      <c r="R1508" s="193"/>
      <c r="S1508" s="194"/>
      <c r="T1508" s="195">
        <f t="shared" si="190"/>
        <v>0</v>
      </c>
      <c r="U1508" s="195">
        <f t="shared" si="191"/>
        <v>0</v>
      </c>
      <c r="V1508" s="195">
        <f t="shared" si="192"/>
        <v>0</v>
      </c>
      <c r="W1508" s="196" t="e">
        <f t="shared" si="193"/>
        <v>#DIV/0!</v>
      </c>
      <c r="X1508" s="197" t="e">
        <f t="shared" si="194"/>
        <v>#DIV/0!</v>
      </c>
    </row>
    <row r="1509" ht="11.4" hidden="1" customHeight="1" spans="1:24">
      <c r="A1509" s="184" t="s">
        <v>3175</v>
      </c>
      <c r="B1509" s="184" t="s">
        <v>83</v>
      </c>
      <c r="C1509" s="184" t="s">
        <v>898</v>
      </c>
      <c r="D1509" s="185" t="s">
        <v>704</v>
      </c>
      <c r="E1509" s="186" t="s">
        <v>868</v>
      </c>
      <c r="F1509" s="186" t="s">
        <v>899</v>
      </c>
      <c r="G1509" s="186" t="s">
        <v>900</v>
      </c>
      <c r="H1509" s="186" t="s">
        <v>901</v>
      </c>
      <c r="I1509" s="187" t="s">
        <v>916</v>
      </c>
      <c r="J1509" s="187" t="s">
        <v>917</v>
      </c>
      <c r="K1509" s="188"/>
      <c r="L1509" s="188"/>
      <c r="M1509" s="189" t="s">
        <v>793</v>
      </c>
      <c r="N1509" s="190"/>
      <c r="O1509" s="190">
        <f t="shared" si="187"/>
        <v>0</v>
      </c>
      <c r="P1509" s="191">
        <f t="shared" si="188"/>
        <v>0</v>
      </c>
      <c r="Q1509" s="192">
        <f t="shared" si="189"/>
        <v>0</v>
      </c>
      <c r="R1509" s="193"/>
      <c r="S1509" s="194"/>
      <c r="T1509" s="195">
        <f t="shared" si="190"/>
        <v>0</v>
      </c>
      <c r="U1509" s="195">
        <f t="shared" si="191"/>
        <v>0</v>
      </c>
      <c r="V1509" s="195">
        <f t="shared" si="192"/>
        <v>0</v>
      </c>
      <c r="W1509" s="196" t="e">
        <f t="shared" si="193"/>
        <v>#DIV/0!</v>
      </c>
      <c r="X1509" s="197" t="e">
        <f t="shared" si="194"/>
        <v>#DIV/0!</v>
      </c>
    </row>
    <row r="1510" ht="11.4" hidden="1" customHeight="1" spans="1:24">
      <c r="A1510" s="184" t="s">
        <v>3175</v>
      </c>
      <c r="B1510" s="184" t="s">
        <v>83</v>
      </c>
      <c r="C1510" s="184" t="s">
        <v>898</v>
      </c>
      <c r="D1510" s="185" t="s">
        <v>704</v>
      </c>
      <c r="E1510" s="186" t="s">
        <v>868</v>
      </c>
      <c r="F1510" s="186" t="s">
        <v>899</v>
      </c>
      <c r="G1510" s="186" t="s">
        <v>900</v>
      </c>
      <c r="H1510" s="186" t="s">
        <v>900</v>
      </c>
      <c r="I1510" s="187" t="s">
        <v>918</v>
      </c>
      <c r="J1510" s="187" t="s">
        <v>900</v>
      </c>
      <c r="K1510" s="188"/>
      <c r="L1510" s="188"/>
      <c r="M1510" s="189" t="s">
        <v>793</v>
      </c>
      <c r="N1510" s="190"/>
      <c r="O1510" s="190">
        <f t="shared" si="187"/>
        <v>0</v>
      </c>
      <c r="P1510" s="191">
        <f t="shared" si="188"/>
        <v>0</v>
      </c>
      <c r="Q1510" s="192">
        <f t="shared" si="189"/>
        <v>0</v>
      </c>
      <c r="R1510" s="193"/>
      <c r="S1510" s="194"/>
      <c r="T1510" s="195">
        <f t="shared" si="190"/>
        <v>0</v>
      </c>
      <c r="U1510" s="195">
        <f t="shared" si="191"/>
        <v>0</v>
      </c>
      <c r="V1510" s="195">
        <f t="shared" si="192"/>
        <v>0</v>
      </c>
      <c r="W1510" s="196" t="e">
        <f t="shared" si="193"/>
        <v>#DIV/0!</v>
      </c>
      <c r="X1510" s="197" t="e">
        <f t="shared" si="194"/>
        <v>#DIV/0!</v>
      </c>
    </row>
    <row r="1511" ht="11.4" hidden="1" customHeight="1" spans="1:24">
      <c r="A1511" s="184" t="s">
        <v>3177</v>
      </c>
      <c r="B1511" s="184" t="s">
        <v>85</v>
      </c>
      <c r="C1511" s="184" t="s">
        <v>920</v>
      </c>
      <c r="D1511" s="185" t="s">
        <v>704</v>
      </c>
      <c r="E1511" s="186" t="s">
        <v>868</v>
      </c>
      <c r="F1511" s="186" t="s">
        <v>921</v>
      </c>
      <c r="G1511" s="186" t="s">
        <v>534</v>
      </c>
      <c r="H1511" s="186" t="s">
        <v>922</v>
      </c>
      <c r="I1511" s="187" t="s">
        <v>923</v>
      </c>
      <c r="J1511" s="187" t="s">
        <v>924</v>
      </c>
      <c r="K1511" s="188"/>
      <c r="L1511" s="188"/>
      <c r="M1511" s="189" t="s">
        <v>847</v>
      </c>
      <c r="N1511" s="190">
        <v>174.03</v>
      </c>
      <c r="O1511" s="190">
        <f t="shared" si="187"/>
        <v>189.69</v>
      </c>
      <c r="P1511" s="191">
        <f t="shared" si="188"/>
        <v>0</v>
      </c>
      <c r="Q1511" s="192">
        <f t="shared" si="189"/>
        <v>0</v>
      </c>
      <c r="R1511" s="193"/>
      <c r="S1511" s="194"/>
      <c r="T1511" s="195">
        <f t="shared" si="190"/>
        <v>0</v>
      </c>
      <c r="U1511" s="195">
        <f t="shared" si="191"/>
        <v>0</v>
      </c>
      <c r="V1511" s="195">
        <f t="shared" si="192"/>
        <v>0</v>
      </c>
      <c r="W1511" s="196" t="e">
        <f t="shared" si="193"/>
        <v>#DIV/0!</v>
      </c>
      <c r="X1511" s="197" t="e">
        <f t="shared" si="194"/>
        <v>#DIV/0!</v>
      </c>
    </row>
    <row r="1512" ht="11.4" hidden="1" customHeight="1" spans="1:24">
      <c r="A1512" s="184" t="s">
        <v>3177</v>
      </c>
      <c r="B1512" s="184" t="s">
        <v>85</v>
      </c>
      <c r="C1512" s="184" t="s">
        <v>920</v>
      </c>
      <c r="D1512" s="185" t="s">
        <v>704</v>
      </c>
      <c r="E1512" s="186" t="s">
        <v>868</v>
      </c>
      <c r="F1512" s="186" t="s">
        <v>921</v>
      </c>
      <c r="G1512" s="186" t="s">
        <v>534</v>
      </c>
      <c r="H1512" s="186" t="s">
        <v>922</v>
      </c>
      <c r="I1512" s="187" t="s">
        <v>926</v>
      </c>
      <c r="J1512" s="187" t="s">
        <v>927</v>
      </c>
      <c r="K1512" s="188"/>
      <c r="L1512" s="188"/>
      <c r="M1512" s="189" t="s">
        <v>847</v>
      </c>
      <c r="N1512" s="190">
        <v>159.51</v>
      </c>
      <c r="O1512" s="190">
        <f t="shared" si="187"/>
        <v>173.87</v>
      </c>
      <c r="P1512" s="191">
        <f t="shared" si="188"/>
        <v>0</v>
      </c>
      <c r="Q1512" s="192">
        <f t="shared" si="189"/>
        <v>0</v>
      </c>
      <c r="R1512" s="193"/>
      <c r="S1512" s="194"/>
      <c r="T1512" s="195">
        <f t="shared" si="190"/>
        <v>0</v>
      </c>
      <c r="U1512" s="195">
        <f t="shared" si="191"/>
        <v>0</v>
      </c>
      <c r="V1512" s="195">
        <f t="shared" si="192"/>
        <v>0</v>
      </c>
      <c r="W1512" s="196" t="e">
        <f t="shared" si="193"/>
        <v>#DIV/0!</v>
      </c>
      <c r="X1512" s="197" t="e">
        <f t="shared" si="194"/>
        <v>#DIV/0!</v>
      </c>
    </row>
    <row r="1513" ht="11.4" hidden="1" customHeight="1" spans="1:24">
      <c r="A1513" s="184" t="s">
        <v>3177</v>
      </c>
      <c r="B1513" s="184" t="s">
        <v>85</v>
      </c>
      <c r="C1513" s="184" t="s">
        <v>920</v>
      </c>
      <c r="D1513" s="185" t="s">
        <v>704</v>
      </c>
      <c r="E1513" s="186" t="s">
        <v>868</v>
      </c>
      <c r="F1513" s="186" t="s">
        <v>921</v>
      </c>
      <c r="G1513" s="186" t="s">
        <v>534</v>
      </c>
      <c r="H1513" s="186" t="s">
        <v>922</v>
      </c>
      <c r="I1513" s="187" t="s">
        <v>929</v>
      </c>
      <c r="J1513" s="187" t="s">
        <v>930</v>
      </c>
      <c r="K1513" s="188"/>
      <c r="L1513" s="188"/>
      <c r="M1513" s="189" t="s">
        <v>847</v>
      </c>
      <c r="N1513" s="190">
        <v>184.92</v>
      </c>
      <c r="O1513" s="190">
        <f t="shared" si="187"/>
        <v>201.56</v>
      </c>
      <c r="P1513" s="191">
        <f t="shared" si="188"/>
        <v>0</v>
      </c>
      <c r="Q1513" s="192">
        <f t="shared" si="189"/>
        <v>0</v>
      </c>
      <c r="R1513" s="193"/>
      <c r="S1513" s="194"/>
      <c r="T1513" s="195">
        <f t="shared" si="190"/>
        <v>0</v>
      </c>
      <c r="U1513" s="195">
        <f t="shared" si="191"/>
        <v>0</v>
      </c>
      <c r="V1513" s="195">
        <f t="shared" si="192"/>
        <v>0</v>
      </c>
      <c r="W1513" s="196" t="e">
        <f t="shared" si="193"/>
        <v>#DIV/0!</v>
      </c>
      <c r="X1513" s="197" t="e">
        <f t="shared" si="194"/>
        <v>#DIV/0!</v>
      </c>
    </row>
    <row r="1514" ht="11.4" hidden="1" customHeight="1" spans="1:24">
      <c r="A1514" s="184" t="s">
        <v>3177</v>
      </c>
      <c r="B1514" s="184" t="s">
        <v>85</v>
      </c>
      <c r="C1514" s="184" t="s">
        <v>920</v>
      </c>
      <c r="D1514" s="185" t="s">
        <v>704</v>
      </c>
      <c r="E1514" s="186" t="s">
        <v>868</v>
      </c>
      <c r="F1514" s="186" t="s">
        <v>921</v>
      </c>
      <c r="G1514" s="186" t="s">
        <v>534</v>
      </c>
      <c r="H1514" s="186" t="s">
        <v>922</v>
      </c>
      <c r="I1514" s="187" t="s">
        <v>931</v>
      </c>
      <c r="J1514" s="187" t="s">
        <v>932</v>
      </c>
      <c r="K1514" s="188"/>
      <c r="L1514" s="188"/>
      <c r="M1514" s="189" t="s">
        <v>847</v>
      </c>
      <c r="N1514" s="190">
        <v>288.05</v>
      </c>
      <c r="O1514" s="190">
        <f t="shared" si="187"/>
        <v>313.97</v>
      </c>
      <c r="P1514" s="191">
        <f t="shared" si="188"/>
        <v>0</v>
      </c>
      <c r="Q1514" s="192">
        <f t="shared" si="189"/>
        <v>0</v>
      </c>
      <c r="R1514" s="193"/>
      <c r="S1514" s="194"/>
      <c r="T1514" s="195">
        <f t="shared" si="190"/>
        <v>0</v>
      </c>
      <c r="U1514" s="195">
        <f t="shared" si="191"/>
        <v>0</v>
      </c>
      <c r="V1514" s="195">
        <f t="shared" si="192"/>
        <v>0</v>
      </c>
      <c r="W1514" s="196" t="e">
        <f t="shared" si="193"/>
        <v>#DIV/0!</v>
      </c>
      <c r="X1514" s="197" t="e">
        <f t="shared" si="194"/>
        <v>#DIV/0!</v>
      </c>
    </row>
    <row r="1515" ht="11.4" hidden="1" customHeight="1" spans="1:24">
      <c r="A1515" s="184" t="s">
        <v>3177</v>
      </c>
      <c r="B1515" s="184" t="s">
        <v>85</v>
      </c>
      <c r="C1515" s="184" t="s">
        <v>920</v>
      </c>
      <c r="D1515" s="185" t="s">
        <v>704</v>
      </c>
      <c r="E1515" s="186" t="s">
        <v>868</v>
      </c>
      <c r="F1515" s="186" t="s">
        <v>921</v>
      </c>
      <c r="G1515" s="186" t="s">
        <v>534</v>
      </c>
      <c r="H1515" s="186" t="s">
        <v>922</v>
      </c>
      <c r="I1515" s="187" t="s">
        <v>933</v>
      </c>
      <c r="J1515" s="187" t="s">
        <v>934</v>
      </c>
      <c r="K1515" s="188"/>
      <c r="L1515" s="188"/>
      <c r="M1515" s="189" t="s">
        <v>935</v>
      </c>
      <c r="N1515" s="190">
        <v>531.74</v>
      </c>
      <c r="O1515" s="190">
        <f t="shared" si="187"/>
        <v>579.6</v>
      </c>
      <c r="P1515" s="191">
        <f t="shared" si="188"/>
        <v>0</v>
      </c>
      <c r="Q1515" s="192">
        <f t="shared" si="189"/>
        <v>0</v>
      </c>
      <c r="R1515" s="193"/>
      <c r="S1515" s="194"/>
      <c r="T1515" s="195">
        <f t="shared" si="190"/>
        <v>0</v>
      </c>
      <c r="U1515" s="195">
        <f t="shared" si="191"/>
        <v>0</v>
      </c>
      <c r="V1515" s="195">
        <f t="shared" si="192"/>
        <v>0</v>
      </c>
      <c r="W1515" s="196" t="e">
        <f t="shared" si="193"/>
        <v>#DIV/0!</v>
      </c>
      <c r="X1515" s="197" t="e">
        <f t="shared" si="194"/>
        <v>#DIV/0!</v>
      </c>
    </row>
    <row r="1516" ht="11.4" hidden="1" customHeight="1" spans="1:24">
      <c r="A1516" s="184" t="s">
        <v>3177</v>
      </c>
      <c r="B1516" s="184" t="s">
        <v>85</v>
      </c>
      <c r="C1516" s="184" t="s">
        <v>920</v>
      </c>
      <c r="D1516" s="185" t="s">
        <v>704</v>
      </c>
      <c r="E1516" s="186" t="s">
        <v>868</v>
      </c>
      <c r="F1516" s="186" t="s">
        <v>921</v>
      </c>
      <c r="G1516" s="186" t="s">
        <v>534</v>
      </c>
      <c r="H1516" s="186" t="s">
        <v>922</v>
      </c>
      <c r="I1516" s="187" t="s">
        <v>937</v>
      </c>
      <c r="J1516" s="187" t="s">
        <v>938</v>
      </c>
      <c r="K1516" s="188"/>
      <c r="L1516" s="188"/>
      <c r="M1516" s="189" t="s">
        <v>807</v>
      </c>
      <c r="N1516" s="190">
        <v>47.51</v>
      </c>
      <c r="O1516" s="190">
        <f t="shared" si="187"/>
        <v>51.79</v>
      </c>
      <c r="P1516" s="191">
        <f t="shared" si="188"/>
        <v>0</v>
      </c>
      <c r="Q1516" s="192">
        <f t="shared" si="189"/>
        <v>0</v>
      </c>
      <c r="R1516" s="193"/>
      <c r="S1516" s="194"/>
      <c r="T1516" s="195">
        <f t="shared" si="190"/>
        <v>0</v>
      </c>
      <c r="U1516" s="195">
        <f t="shared" si="191"/>
        <v>0</v>
      </c>
      <c r="V1516" s="195">
        <f t="shared" si="192"/>
        <v>0</v>
      </c>
      <c r="W1516" s="196" t="e">
        <f t="shared" si="193"/>
        <v>#DIV/0!</v>
      </c>
      <c r="X1516" s="197" t="e">
        <f t="shared" si="194"/>
        <v>#DIV/0!</v>
      </c>
    </row>
    <row r="1517" ht="11.4" hidden="1" customHeight="1" spans="1:24">
      <c r="A1517" s="184" t="s">
        <v>3177</v>
      </c>
      <c r="B1517" s="184" t="s">
        <v>85</v>
      </c>
      <c r="C1517" s="184" t="s">
        <v>920</v>
      </c>
      <c r="D1517" s="185" t="s">
        <v>704</v>
      </c>
      <c r="E1517" s="186" t="s">
        <v>868</v>
      </c>
      <c r="F1517" s="186" t="s">
        <v>921</v>
      </c>
      <c r="G1517" s="186" t="s">
        <v>534</v>
      </c>
      <c r="H1517" s="186" t="s">
        <v>922</v>
      </c>
      <c r="I1517" s="187" t="s">
        <v>940</v>
      </c>
      <c r="J1517" s="187" t="s">
        <v>941</v>
      </c>
      <c r="K1517" s="188"/>
      <c r="L1517" s="188"/>
      <c r="M1517" s="189" t="s">
        <v>807</v>
      </c>
      <c r="N1517" s="190">
        <v>43.88</v>
      </c>
      <c r="O1517" s="190">
        <f t="shared" si="187"/>
        <v>47.83</v>
      </c>
      <c r="P1517" s="191">
        <f t="shared" si="188"/>
        <v>0</v>
      </c>
      <c r="Q1517" s="192">
        <f t="shared" si="189"/>
        <v>0</v>
      </c>
      <c r="R1517" s="193"/>
      <c r="S1517" s="194"/>
      <c r="T1517" s="195">
        <f t="shared" si="190"/>
        <v>0</v>
      </c>
      <c r="U1517" s="195">
        <f t="shared" si="191"/>
        <v>0</v>
      </c>
      <c r="V1517" s="195">
        <f t="shared" si="192"/>
        <v>0</v>
      </c>
      <c r="W1517" s="196" t="e">
        <f t="shared" si="193"/>
        <v>#DIV/0!</v>
      </c>
      <c r="X1517" s="197" t="e">
        <f t="shared" si="194"/>
        <v>#DIV/0!</v>
      </c>
    </row>
    <row r="1518" ht="11.4" hidden="1" customHeight="1" spans="1:24">
      <c r="A1518" s="184" t="s">
        <v>3177</v>
      </c>
      <c r="B1518" s="184" t="s">
        <v>85</v>
      </c>
      <c r="C1518" s="184" t="s">
        <v>920</v>
      </c>
      <c r="D1518" s="185" t="s">
        <v>704</v>
      </c>
      <c r="E1518" s="186" t="s">
        <v>868</v>
      </c>
      <c r="F1518" s="186" t="s">
        <v>921</v>
      </c>
      <c r="G1518" s="186" t="s">
        <v>534</v>
      </c>
      <c r="H1518" s="186" t="s">
        <v>922</v>
      </c>
      <c r="I1518" s="187" t="s">
        <v>942</v>
      </c>
      <c r="J1518" s="187" t="s">
        <v>943</v>
      </c>
      <c r="K1518" s="188"/>
      <c r="L1518" s="188"/>
      <c r="M1518" s="189" t="s">
        <v>807</v>
      </c>
      <c r="N1518" s="190">
        <v>43.88</v>
      </c>
      <c r="O1518" s="190">
        <f t="shared" si="187"/>
        <v>47.83</v>
      </c>
      <c r="P1518" s="191">
        <f t="shared" si="188"/>
        <v>0</v>
      </c>
      <c r="Q1518" s="192">
        <f t="shared" si="189"/>
        <v>0</v>
      </c>
      <c r="R1518" s="193"/>
      <c r="S1518" s="194"/>
      <c r="T1518" s="195">
        <f t="shared" si="190"/>
        <v>0</v>
      </c>
      <c r="U1518" s="195">
        <f t="shared" si="191"/>
        <v>0</v>
      </c>
      <c r="V1518" s="195">
        <f t="shared" si="192"/>
        <v>0</v>
      </c>
      <c r="W1518" s="196" t="e">
        <f t="shared" si="193"/>
        <v>#DIV/0!</v>
      </c>
      <c r="X1518" s="197" t="e">
        <f t="shared" si="194"/>
        <v>#DIV/0!</v>
      </c>
    </row>
    <row r="1519" ht="11.4" hidden="1" customHeight="1" spans="1:24">
      <c r="A1519" s="184" t="s">
        <v>3177</v>
      </c>
      <c r="B1519" s="184" t="s">
        <v>85</v>
      </c>
      <c r="C1519" s="184" t="s">
        <v>920</v>
      </c>
      <c r="D1519" s="185" t="s">
        <v>704</v>
      </c>
      <c r="E1519" s="186" t="s">
        <v>868</v>
      </c>
      <c r="F1519" s="186" t="s">
        <v>921</v>
      </c>
      <c r="G1519" s="186" t="s">
        <v>534</v>
      </c>
      <c r="H1519" s="186" t="s">
        <v>944</v>
      </c>
      <c r="I1519" s="187" t="s">
        <v>945</v>
      </c>
      <c r="J1519" s="187" t="s">
        <v>946</v>
      </c>
      <c r="K1519" s="188"/>
      <c r="L1519" s="188"/>
      <c r="M1519" s="189" t="s">
        <v>847</v>
      </c>
      <c r="N1519" s="190">
        <v>167.98</v>
      </c>
      <c r="O1519" s="190">
        <f t="shared" si="187"/>
        <v>183.1</v>
      </c>
      <c r="P1519" s="191">
        <f t="shared" si="188"/>
        <v>0</v>
      </c>
      <c r="Q1519" s="192">
        <f t="shared" si="189"/>
        <v>0</v>
      </c>
      <c r="R1519" s="193"/>
      <c r="S1519" s="194"/>
      <c r="T1519" s="195">
        <f t="shared" si="190"/>
        <v>0</v>
      </c>
      <c r="U1519" s="195">
        <f t="shared" si="191"/>
        <v>0</v>
      </c>
      <c r="V1519" s="195">
        <f t="shared" si="192"/>
        <v>0</v>
      </c>
      <c r="W1519" s="196" t="e">
        <f t="shared" si="193"/>
        <v>#DIV/0!</v>
      </c>
      <c r="X1519" s="197" t="e">
        <f t="shared" si="194"/>
        <v>#DIV/0!</v>
      </c>
    </row>
    <row r="1520" ht="11.4" hidden="1" customHeight="1" spans="1:24">
      <c r="A1520" s="184" t="s">
        <v>3177</v>
      </c>
      <c r="B1520" s="184" t="s">
        <v>85</v>
      </c>
      <c r="C1520" s="184" t="s">
        <v>920</v>
      </c>
      <c r="D1520" s="185" t="s">
        <v>704</v>
      </c>
      <c r="E1520" s="186" t="s">
        <v>868</v>
      </c>
      <c r="F1520" s="186" t="s">
        <v>921</v>
      </c>
      <c r="G1520" s="186" t="s">
        <v>534</v>
      </c>
      <c r="H1520" s="186" t="s">
        <v>944</v>
      </c>
      <c r="I1520" s="187" t="s">
        <v>947</v>
      </c>
      <c r="J1520" s="187" t="s">
        <v>948</v>
      </c>
      <c r="K1520" s="188"/>
      <c r="L1520" s="188"/>
      <c r="M1520" s="189" t="s">
        <v>847</v>
      </c>
      <c r="N1520" s="190">
        <v>147.41</v>
      </c>
      <c r="O1520" s="190">
        <f t="shared" si="187"/>
        <v>160.68</v>
      </c>
      <c r="P1520" s="191">
        <f t="shared" si="188"/>
        <v>0</v>
      </c>
      <c r="Q1520" s="192">
        <f t="shared" si="189"/>
        <v>0</v>
      </c>
      <c r="R1520" s="193"/>
      <c r="S1520" s="194"/>
      <c r="T1520" s="195">
        <f t="shared" si="190"/>
        <v>0</v>
      </c>
      <c r="U1520" s="195">
        <f t="shared" si="191"/>
        <v>0</v>
      </c>
      <c r="V1520" s="195">
        <f t="shared" si="192"/>
        <v>0</v>
      </c>
      <c r="W1520" s="196" t="e">
        <f t="shared" si="193"/>
        <v>#DIV/0!</v>
      </c>
      <c r="X1520" s="197" t="e">
        <f t="shared" si="194"/>
        <v>#DIV/0!</v>
      </c>
    </row>
    <row r="1521" ht="11.4" hidden="1" customHeight="1" spans="1:24">
      <c r="A1521" s="184" t="s">
        <v>3177</v>
      </c>
      <c r="B1521" s="184" t="s">
        <v>85</v>
      </c>
      <c r="C1521" s="184" t="s">
        <v>920</v>
      </c>
      <c r="D1521" s="185" t="s">
        <v>704</v>
      </c>
      <c r="E1521" s="186" t="s">
        <v>868</v>
      </c>
      <c r="F1521" s="186" t="s">
        <v>921</v>
      </c>
      <c r="G1521" s="186" t="s">
        <v>534</v>
      </c>
      <c r="H1521" s="186" t="s">
        <v>944</v>
      </c>
      <c r="I1521" s="187" t="s">
        <v>949</v>
      </c>
      <c r="J1521" s="187" t="s">
        <v>950</v>
      </c>
      <c r="K1521" s="188"/>
      <c r="L1521" s="188"/>
      <c r="M1521" s="189" t="s">
        <v>847</v>
      </c>
      <c r="N1521" s="190">
        <v>169.19</v>
      </c>
      <c r="O1521" s="190">
        <f t="shared" si="187"/>
        <v>184.42</v>
      </c>
      <c r="P1521" s="191">
        <f t="shared" si="188"/>
        <v>0</v>
      </c>
      <c r="Q1521" s="192">
        <f t="shared" si="189"/>
        <v>0</v>
      </c>
      <c r="R1521" s="193"/>
      <c r="S1521" s="194"/>
      <c r="T1521" s="195">
        <f t="shared" si="190"/>
        <v>0</v>
      </c>
      <c r="U1521" s="195">
        <f t="shared" si="191"/>
        <v>0</v>
      </c>
      <c r="V1521" s="195">
        <f t="shared" si="192"/>
        <v>0</v>
      </c>
      <c r="W1521" s="196" t="e">
        <f t="shared" si="193"/>
        <v>#DIV/0!</v>
      </c>
      <c r="X1521" s="197" t="e">
        <f t="shared" si="194"/>
        <v>#DIV/0!</v>
      </c>
    </row>
    <row r="1522" ht="11.4" hidden="1" customHeight="1" spans="1:24">
      <c r="A1522" s="184" t="s">
        <v>3177</v>
      </c>
      <c r="B1522" s="184" t="s">
        <v>85</v>
      </c>
      <c r="C1522" s="184" t="s">
        <v>920</v>
      </c>
      <c r="D1522" s="185" t="s">
        <v>704</v>
      </c>
      <c r="E1522" s="186" t="s">
        <v>868</v>
      </c>
      <c r="F1522" s="186" t="s">
        <v>921</v>
      </c>
      <c r="G1522" s="186" t="s">
        <v>534</v>
      </c>
      <c r="H1522" s="186" t="s">
        <v>944</v>
      </c>
      <c r="I1522" s="187" t="s">
        <v>951</v>
      </c>
      <c r="J1522" s="187" t="s">
        <v>952</v>
      </c>
      <c r="K1522" s="188"/>
      <c r="L1522" s="188"/>
      <c r="M1522" s="189" t="s">
        <v>847</v>
      </c>
      <c r="N1522" s="190">
        <v>376.58</v>
      </c>
      <c r="O1522" s="190">
        <f t="shared" si="187"/>
        <v>410.47</v>
      </c>
      <c r="P1522" s="191">
        <f t="shared" si="188"/>
        <v>0</v>
      </c>
      <c r="Q1522" s="192">
        <f t="shared" si="189"/>
        <v>0</v>
      </c>
      <c r="R1522" s="193"/>
      <c r="S1522" s="194"/>
      <c r="T1522" s="195">
        <f t="shared" si="190"/>
        <v>0</v>
      </c>
      <c r="U1522" s="195">
        <f t="shared" si="191"/>
        <v>0</v>
      </c>
      <c r="V1522" s="195">
        <f t="shared" si="192"/>
        <v>0</v>
      </c>
      <c r="W1522" s="196" t="e">
        <f t="shared" si="193"/>
        <v>#DIV/0!</v>
      </c>
      <c r="X1522" s="197" t="e">
        <f t="shared" si="194"/>
        <v>#DIV/0!</v>
      </c>
    </row>
    <row r="1523" ht="11.4" hidden="1" customHeight="1" spans="1:24">
      <c r="A1523" s="184" t="s">
        <v>3177</v>
      </c>
      <c r="B1523" s="184" t="s">
        <v>85</v>
      </c>
      <c r="C1523" s="184" t="s">
        <v>920</v>
      </c>
      <c r="D1523" s="185" t="s">
        <v>704</v>
      </c>
      <c r="E1523" s="186" t="s">
        <v>868</v>
      </c>
      <c r="F1523" s="186" t="s">
        <v>921</v>
      </c>
      <c r="G1523" s="186" t="s">
        <v>534</v>
      </c>
      <c r="H1523" s="186" t="s">
        <v>944</v>
      </c>
      <c r="I1523" s="187" t="s">
        <v>953</v>
      </c>
      <c r="J1523" s="187" t="s">
        <v>954</v>
      </c>
      <c r="K1523" s="188"/>
      <c r="L1523" s="188"/>
      <c r="M1523" s="189" t="s">
        <v>793</v>
      </c>
      <c r="N1523" s="190"/>
      <c r="O1523" s="190">
        <f t="shared" si="187"/>
        <v>0</v>
      </c>
      <c r="P1523" s="191">
        <f t="shared" si="188"/>
        <v>0</v>
      </c>
      <c r="Q1523" s="192">
        <f t="shared" si="189"/>
        <v>0</v>
      </c>
      <c r="R1523" s="193"/>
      <c r="S1523" s="194"/>
      <c r="T1523" s="195">
        <f t="shared" si="190"/>
        <v>0</v>
      </c>
      <c r="U1523" s="195">
        <f t="shared" si="191"/>
        <v>0</v>
      </c>
      <c r="V1523" s="195">
        <f t="shared" si="192"/>
        <v>0</v>
      </c>
      <c r="W1523" s="196" t="e">
        <f t="shared" si="193"/>
        <v>#DIV/0!</v>
      </c>
      <c r="X1523" s="197" t="e">
        <f t="shared" si="194"/>
        <v>#DIV/0!</v>
      </c>
    </row>
    <row r="1524" ht="11.4" hidden="1" customHeight="1" spans="1:24">
      <c r="A1524" s="184" t="s">
        <v>3177</v>
      </c>
      <c r="B1524" s="184" t="s">
        <v>85</v>
      </c>
      <c r="C1524" s="184" t="s">
        <v>920</v>
      </c>
      <c r="D1524" s="185" t="s">
        <v>704</v>
      </c>
      <c r="E1524" s="186" t="s">
        <v>868</v>
      </c>
      <c r="F1524" s="186" t="s">
        <v>921</v>
      </c>
      <c r="G1524" s="186" t="s">
        <v>534</v>
      </c>
      <c r="H1524" s="186" t="s">
        <v>944</v>
      </c>
      <c r="I1524" s="187" t="s">
        <v>955</v>
      </c>
      <c r="J1524" s="187" t="s">
        <v>956</v>
      </c>
      <c r="K1524" s="188"/>
      <c r="L1524" s="188"/>
      <c r="M1524" s="189" t="s">
        <v>793</v>
      </c>
      <c r="N1524" s="190"/>
      <c r="O1524" s="190">
        <f t="shared" si="187"/>
        <v>0</v>
      </c>
      <c r="P1524" s="191">
        <f t="shared" si="188"/>
        <v>0</v>
      </c>
      <c r="Q1524" s="192">
        <f t="shared" si="189"/>
        <v>0</v>
      </c>
      <c r="R1524" s="193"/>
      <c r="S1524" s="194"/>
      <c r="T1524" s="195">
        <f t="shared" si="190"/>
        <v>0</v>
      </c>
      <c r="U1524" s="195">
        <f t="shared" si="191"/>
        <v>0</v>
      </c>
      <c r="V1524" s="195">
        <f t="shared" si="192"/>
        <v>0</v>
      </c>
      <c r="W1524" s="196" t="e">
        <f t="shared" si="193"/>
        <v>#DIV/0!</v>
      </c>
      <c r="X1524" s="197" t="e">
        <f t="shared" si="194"/>
        <v>#DIV/0!</v>
      </c>
    </row>
    <row r="1525" ht="11.4" hidden="1" customHeight="1" spans="1:24">
      <c r="A1525" s="184" t="s">
        <v>3177</v>
      </c>
      <c r="B1525" s="184" t="s">
        <v>85</v>
      </c>
      <c r="C1525" s="184" t="s">
        <v>920</v>
      </c>
      <c r="D1525" s="185" t="s">
        <v>704</v>
      </c>
      <c r="E1525" s="186" t="s">
        <v>868</v>
      </c>
      <c r="F1525" s="186" t="s">
        <v>921</v>
      </c>
      <c r="G1525" s="186" t="s">
        <v>534</v>
      </c>
      <c r="H1525" s="186" t="s">
        <v>957</v>
      </c>
      <c r="I1525" s="187" t="s">
        <v>958</v>
      </c>
      <c r="J1525" s="187" t="s">
        <v>959</v>
      </c>
      <c r="K1525" s="188"/>
      <c r="L1525" s="188"/>
      <c r="M1525" s="189" t="s">
        <v>847</v>
      </c>
      <c r="N1525" s="190">
        <v>172.07</v>
      </c>
      <c r="O1525" s="190">
        <f t="shared" si="187"/>
        <v>187.56</v>
      </c>
      <c r="P1525" s="191">
        <f t="shared" si="188"/>
        <v>0</v>
      </c>
      <c r="Q1525" s="192">
        <f t="shared" si="189"/>
        <v>0</v>
      </c>
      <c r="R1525" s="193"/>
      <c r="S1525" s="194"/>
      <c r="T1525" s="195">
        <f t="shared" si="190"/>
        <v>0</v>
      </c>
      <c r="U1525" s="195">
        <f t="shared" si="191"/>
        <v>0</v>
      </c>
      <c r="V1525" s="195">
        <f t="shared" si="192"/>
        <v>0</v>
      </c>
      <c r="W1525" s="196" t="e">
        <f t="shared" si="193"/>
        <v>#DIV/0!</v>
      </c>
      <c r="X1525" s="197" t="e">
        <f t="shared" si="194"/>
        <v>#DIV/0!</v>
      </c>
    </row>
    <row r="1526" ht="11.4" hidden="1" customHeight="1" spans="1:24">
      <c r="A1526" s="184" t="s">
        <v>3177</v>
      </c>
      <c r="B1526" s="184" t="s">
        <v>85</v>
      </c>
      <c r="C1526" s="184" t="s">
        <v>920</v>
      </c>
      <c r="D1526" s="185" t="s">
        <v>704</v>
      </c>
      <c r="E1526" s="186" t="s">
        <v>868</v>
      </c>
      <c r="F1526" s="186" t="s">
        <v>921</v>
      </c>
      <c r="G1526" s="186" t="s">
        <v>534</v>
      </c>
      <c r="H1526" s="186" t="s">
        <v>960</v>
      </c>
      <c r="I1526" s="187" t="s">
        <v>961</v>
      </c>
      <c r="J1526" s="187" t="s">
        <v>962</v>
      </c>
      <c r="K1526" s="188"/>
      <c r="L1526" s="188"/>
      <c r="M1526" s="189" t="s">
        <v>963</v>
      </c>
      <c r="N1526" s="190">
        <v>1635.14</v>
      </c>
      <c r="O1526" s="190">
        <f t="shared" si="187"/>
        <v>1782.3</v>
      </c>
      <c r="P1526" s="191">
        <f t="shared" si="188"/>
        <v>0</v>
      </c>
      <c r="Q1526" s="192">
        <f t="shared" si="189"/>
        <v>0</v>
      </c>
      <c r="R1526" s="193"/>
      <c r="S1526" s="194"/>
      <c r="T1526" s="195">
        <f t="shared" si="190"/>
        <v>0</v>
      </c>
      <c r="U1526" s="195">
        <f t="shared" si="191"/>
        <v>0</v>
      </c>
      <c r="V1526" s="195">
        <f t="shared" si="192"/>
        <v>0</v>
      </c>
      <c r="W1526" s="196" t="e">
        <f t="shared" si="193"/>
        <v>#DIV/0!</v>
      </c>
      <c r="X1526" s="197" t="e">
        <f t="shared" si="194"/>
        <v>#DIV/0!</v>
      </c>
    </row>
    <row r="1527" ht="11.4" hidden="1" customHeight="1" spans="1:24">
      <c r="A1527" s="184" t="s">
        <v>3177</v>
      </c>
      <c r="B1527" s="184" t="s">
        <v>85</v>
      </c>
      <c r="C1527" s="184" t="s">
        <v>920</v>
      </c>
      <c r="D1527" s="185" t="s">
        <v>704</v>
      </c>
      <c r="E1527" s="186" t="s">
        <v>868</v>
      </c>
      <c r="F1527" s="186" t="s">
        <v>921</v>
      </c>
      <c r="G1527" s="186" t="s">
        <v>534</v>
      </c>
      <c r="H1527" s="186" t="s">
        <v>964</v>
      </c>
      <c r="I1527" s="187" t="s">
        <v>965</v>
      </c>
      <c r="J1527" s="187" t="s">
        <v>966</v>
      </c>
      <c r="K1527" s="188"/>
      <c r="L1527" s="188"/>
      <c r="M1527" s="189" t="s">
        <v>793</v>
      </c>
      <c r="N1527" s="190">
        <v>1355</v>
      </c>
      <c r="O1527" s="190">
        <f t="shared" si="187"/>
        <v>1476.95</v>
      </c>
      <c r="P1527" s="191">
        <f t="shared" si="188"/>
        <v>0</v>
      </c>
      <c r="Q1527" s="192">
        <f t="shared" si="189"/>
        <v>0</v>
      </c>
      <c r="R1527" s="193"/>
      <c r="S1527" s="194"/>
      <c r="T1527" s="195">
        <f t="shared" si="190"/>
        <v>0</v>
      </c>
      <c r="U1527" s="195">
        <f t="shared" si="191"/>
        <v>0</v>
      </c>
      <c r="V1527" s="195">
        <f t="shared" si="192"/>
        <v>0</v>
      </c>
      <c r="W1527" s="196" t="e">
        <f t="shared" si="193"/>
        <v>#DIV/0!</v>
      </c>
      <c r="X1527" s="197" t="e">
        <f t="shared" si="194"/>
        <v>#DIV/0!</v>
      </c>
    </row>
    <row r="1528" ht="11.4" hidden="1" customHeight="1" spans="1:24">
      <c r="A1528" s="184" t="s">
        <v>3178</v>
      </c>
      <c r="B1528" s="184" t="s">
        <v>88</v>
      </c>
      <c r="C1528" s="184" t="s">
        <v>87</v>
      </c>
      <c r="D1528" s="185" t="s">
        <v>704</v>
      </c>
      <c r="E1528" s="186" t="s">
        <v>868</v>
      </c>
      <c r="F1528" s="186" t="s">
        <v>968</v>
      </c>
      <c r="G1528" s="186" t="s">
        <v>969</v>
      </c>
      <c r="H1528" s="186" t="s">
        <v>970</v>
      </c>
      <c r="I1528" s="187" t="s">
        <v>971</v>
      </c>
      <c r="J1528" s="187" t="s">
        <v>972</v>
      </c>
      <c r="K1528" s="188"/>
      <c r="L1528" s="188"/>
      <c r="M1528" s="189" t="s">
        <v>793</v>
      </c>
      <c r="N1528" s="190"/>
      <c r="O1528" s="190">
        <f t="shared" si="187"/>
        <v>0</v>
      </c>
      <c r="P1528" s="191">
        <f t="shared" si="188"/>
        <v>0</v>
      </c>
      <c r="Q1528" s="192">
        <f t="shared" si="189"/>
        <v>0</v>
      </c>
      <c r="R1528" s="193"/>
      <c r="S1528" s="194"/>
      <c r="T1528" s="195">
        <f t="shared" si="190"/>
        <v>0</v>
      </c>
      <c r="U1528" s="195">
        <f t="shared" si="191"/>
        <v>0</v>
      </c>
      <c r="V1528" s="195">
        <f t="shared" si="192"/>
        <v>0</v>
      </c>
      <c r="W1528" s="196" t="e">
        <f t="shared" si="193"/>
        <v>#DIV/0!</v>
      </c>
      <c r="X1528" s="197" t="e">
        <f t="shared" si="194"/>
        <v>#DIV/0!</v>
      </c>
    </row>
    <row r="1529" ht="11.4" hidden="1" customHeight="1" spans="1:24">
      <c r="A1529" s="184" t="s">
        <v>3178</v>
      </c>
      <c r="B1529" s="184" t="s">
        <v>88</v>
      </c>
      <c r="C1529" s="184" t="s">
        <v>87</v>
      </c>
      <c r="D1529" s="185" t="s">
        <v>704</v>
      </c>
      <c r="E1529" s="186" t="s">
        <v>868</v>
      </c>
      <c r="F1529" s="186" t="s">
        <v>968</v>
      </c>
      <c r="G1529" s="186" t="s">
        <v>969</v>
      </c>
      <c r="H1529" s="186" t="s">
        <v>973</v>
      </c>
      <c r="I1529" s="187" t="s">
        <v>974</v>
      </c>
      <c r="J1529" s="187" t="s">
        <v>975</v>
      </c>
      <c r="K1529" s="188"/>
      <c r="L1529" s="188"/>
      <c r="M1529" s="189" t="s">
        <v>793</v>
      </c>
      <c r="N1529" s="190"/>
      <c r="O1529" s="190">
        <f t="shared" si="187"/>
        <v>0</v>
      </c>
      <c r="P1529" s="191">
        <f t="shared" si="188"/>
        <v>0</v>
      </c>
      <c r="Q1529" s="192">
        <f t="shared" si="189"/>
        <v>0</v>
      </c>
      <c r="R1529" s="193"/>
      <c r="S1529" s="194"/>
      <c r="T1529" s="195">
        <f t="shared" si="190"/>
        <v>0</v>
      </c>
      <c r="U1529" s="195">
        <f t="shared" si="191"/>
        <v>0</v>
      </c>
      <c r="V1529" s="195">
        <f t="shared" si="192"/>
        <v>0</v>
      </c>
      <c r="W1529" s="196" t="e">
        <f t="shared" si="193"/>
        <v>#DIV/0!</v>
      </c>
      <c r="X1529" s="197" t="e">
        <f t="shared" si="194"/>
        <v>#DIV/0!</v>
      </c>
    </row>
    <row r="1530" ht="11.4" hidden="1" customHeight="1" spans="1:24">
      <c r="A1530" s="184" t="s">
        <v>3178</v>
      </c>
      <c r="B1530" s="184" t="s">
        <v>88</v>
      </c>
      <c r="C1530" s="184" t="s">
        <v>87</v>
      </c>
      <c r="D1530" s="185" t="s">
        <v>704</v>
      </c>
      <c r="E1530" s="186" t="s">
        <v>868</v>
      </c>
      <c r="F1530" s="186" t="s">
        <v>968</v>
      </c>
      <c r="G1530" s="186" t="s">
        <v>969</v>
      </c>
      <c r="H1530" s="186" t="s">
        <v>976</v>
      </c>
      <c r="I1530" s="187" t="s">
        <v>977</v>
      </c>
      <c r="J1530" s="187" t="s">
        <v>978</v>
      </c>
      <c r="K1530" s="188"/>
      <c r="L1530" s="188"/>
      <c r="M1530" s="189" t="s">
        <v>807</v>
      </c>
      <c r="N1530" s="190">
        <v>101.02</v>
      </c>
      <c r="O1530" s="190">
        <f t="shared" si="187"/>
        <v>110.11</v>
      </c>
      <c r="P1530" s="191">
        <f t="shared" si="188"/>
        <v>0</v>
      </c>
      <c r="Q1530" s="192">
        <f t="shared" si="189"/>
        <v>0</v>
      </c>
      <c r="R1530" s="193"/>
      <c r="S1530" s="194"/>
      <c r="T1530" s="195">
        <f t="shared" si="190"/>
        <v>0</v>
      </c>
      <c r="U1530" s="195">
        <f t="shared" si="191"/>
        <v>0</v>
      </c>
      <c r="V1530" s="195">
        <f t="shared" si="192"/>
        <v>0</v>
      </c>
      <c r="W1530" s="196" t="e">
        <f t="shared" si="193"/>
        <v>#DIV/0!</v>
      </c>
      <c r="X1530" s="197" t="e">
        <f t="shared" si="194"/>
        <v>#DIV/0!</v>
      </c>
    </row>
    <row r="1531" ht="11.4" hidden="1" customHeight="1" spans="1:24">
      <c r="A1531" s="184" t="s">
        <v>3178</v>
      </c>
      <c r="B1531" s="184" t="s">
        <v>88</v>
      </c>
      <c r="C1531" s="184" t="s">
        <v>87</v>
      </c>
      <c r="D1531" s="185" t="s">
        <v>704</v>
      </c>
      <c r="E1531" s="186" t="s">
        <v>868</v>
      </c>
      <c r="F1531" s="186" t="s">
        <v>968</v>
      </c>
      <c r="G1531" s="186" t="s">
        <v>969</v>
      </c>
      <c r="H1531" s="186" t="s">
        <v>976</v>
      </c>
      <c r="I1531" s="187" t="s">
        <v>979</v>
      </c>
      <c r="J1531" s="187" t="s">
        <v>980</v>
      </c>
      <c r="K1531" s="188"/>
      <c r="L1531" s="188"/>
      <c r="M1531" s="189" t="s">
        <v>847</v>
      </c>
      <c r="N1531" s="190">
        <v>108.25</v>
      </c>
      <c r="O1531" s="190">
        <f t="shared" si="187"/>
        <v>117.99</v>
      </c>
      <c r="P1531" s="191">
        <f t="shared" si="188"/>
        <v>0</v>
      </c>
      <c r="Q1531" s="192">
        <f t="shared" si="189"/>
        <v>0</v>
      </c>
      <c r="R1531" s="193"/>
      <c r="S1531" s="194"/>
      <c r="T1531" s="195">
        <f t="shared" si="190"/>
        <v>0</v>
      </c>
      <c r="U1531" s="195">
        <f t="shared" si="191"/>
        <v>0</v>
      </c>
      <c r="V1531" s="195">
        <f t="shared" si="192"/>
        <v>0</v>
      </c>
      <c r="W1531" s="196" t="e">
        <f t="shared" si="193"/>
        <v>#DIV/0!</v>
      </c>
      <c r="X1531" s="197" t="e">
        <f t="shared" si="194"/>
        <v>#DIV/0!</v>
      </c>
    </row>
    <row r="1532" ht="11.4" hidden="1" customHeight="1" spans="1:24">
      <c r="A1532" s="184" t="s">
        <v>3178</v>
      </c>
      <c r="B1532" s="184" t="s">
        <v>88</v>
      </c>
      <c r="C1532" s="184" t="s">
        <v>87</v>
      </c>
      <c r="D1532" s="185" t="s">
        <v>704</v>
      </c>
      <c r="E1532" s="186" t="s">
        <v>868</v>
      </c>
      <c r="F1532" s="186" t="s">
        <v>968</v>
      </c>
      <c r="G1532" s="186" t="s">
        <v>969</v>
      </c>
      <c r="H1532" s="186" t="s">
        <v>976</v>
      </c>
      <c r="I1532" s="187" t="s">
        <v>981</v>
      </c>
      <c r="J1532" s="187" t="s">
        <v>982</v>
      </c>
      <c r="K1532" s="188"/>
      <c r="L1532" s="188"/>
      <c r="M1532" s="189" t="s">
        <v>847</v>
      </c>
      <c r="N1532" s="190">
        <v>119.55</v>
      </c>
      <c r="O1532" s="190">
        <f t="shared" si="187"/>
        <v>130.31</v>
      </c>
      <c r="P1532" s="191">
        <f t="shared" si="188"/>
        <v>0</v>
      </c>
      <c r="Q1532" s="192">
        <f t="shared" si="189"/>
        <v>0</v>
      </c>
      <c r="R1532" s="193"/>
      <c r="S1532" s="194"/>
      <c r="T1532" s="195">
        <f t="shared" si="190"/>
        <v>0</v>
      </c>
      <c r="U1532" s="195">
        <f t="shared" si="191"/>
        <v>0</v>
      </c>
      <c r="V1532" s="195">
        <f t="shared" si="192"/>
        <v>0</v>
      </c>
      <c r="W1532" s="196" t="e">
        <f t="shared" si="193"/>
        <v>#DIV/0!</v>
      </c>
      <c r="X1532" s="197" t="e">
        <f t="shared" si="194"/>
        <v>#DIV/0!</v>
      </c>
    </row>
    <row r="1533" ht="11.4" hidden="1" customHeight="1" spans="1:24">
      <c r="A1533" s="184" t="s">
        <v>3178</v>
      </c>
      <c r="B1533" s="184" t="s">
        <v>88</v>
      </c>
      <c r="C1533" s="184" t="s">
        <v>87</v>
      </c>
      <c r="D1533" s="185" t="s">
        <v>704</v>
      </c>
      <c r="E1533" s="186" t="s">
        <v>868</v>
      </c>
      <c r="F1533" s="186" t="s">
        <v>968</v>
      </c>
      <c r="G1533" s="186" t="s">
        <v>969</v>
      </c>
      <c r="H1533" s="186" t="s">
        <v>976</v>
      </c>
      <c r="I1533" s="187" t="s">
        <v>983</v>
      </c>
      <c r="J1533" s="187" t="s">
        <v>984</v>
      </c>
      <c r="K1533" s="188"/>
      <c r="L1533" s="188"/>
      <c r="M1533" s="189" t="s">
        <v>847</v>
      </c>
      <c r="N1533" s="190">
        <v>140.3</v>
      </c>
      <c r="O1533" s="190">
        <f t="shared" si="187"/>
        <v>152.93</v>
      </c>
      <c r="P1533" s="191">
        <f t="shared" si="188"/>
        <v>0</v>
      </c>
      <c r="Q1533" s="192">
        <f t="shared" si="189"/>
        <v>0</v>
      </c>
      <c r="R1533" s="193"/>
      <c r="S1533" s="194"/>
      <c r="T1533" s="195">
        <f t="shared" si="190"/>
        <v>0</v>
      </c>
      <c r="U1533" s="195">
        <f t="shared" si="191"/>
        <v>0</v>
      </c>
      <c r="V1533" s="195">
        <f t="shared" si="192"/>
        <v>0</v>
      </c>
      <c r="W1533" s="196" t="e">
        <f t="shared" si="193"/>
        <v>#DIV/0!</v>
      </c>
      <c r="X1533" s="197" t="e">
        <f t="shared" si="194"/>
        <v>#DIV/0!</v>
      </c>
    </row>
    <row r="1534" ht="11.4" hidden="1" customHeight="1" spans="1:24">
      <c r="A1534" s="184" t="s">
        <v>3178</v>
      </c>
      <c r="B1534" s="184" t="s">
        <v>88</v>
      </c>
      <c r="C1534" s="184" t="s">
        <v>87</v>
      </c>
      <c r="D1534" s="185" t="s">
        <v>704</v>
      </c>
      <c r="E1534" s="186" t="s">
        <v>868</v>
      </c>
      <c r="F1534" s="186" t="s">
        <v>968</v>
      </c>
      <c r="G1534" s="186" t="s">
        <v>969</v>
      </c>
      <c r="H1534" s="186" t="s">
        <v>976</v>
      </c>
      <c r="I1534" s="187" t="s">
        <v>985</v>
      </c>
      <c r="J1534" s="187" t="s">
        <v>986</v>
      </c>
      <c r="K1534" s="188"/>
      <c r="L1534" s="188"/>
      <c r="M1534" s="189" t="s">
        <v>847</v>
      </c>
      <c r="N1534" s="190">
        <v>28.27</v>
      </c>
      <c r="O1534" s="190">
        <f t="shared" si="187"/>
        <v>30.81</v>
      </c>
      <c r="P1534" s="191">
        <f t="shared" si="188"/>
        <v>0</v>
      </c>
      <c r="Q1534" s="192">
        <f t="shared" si="189"/>
        <v>0</v>
      </c>
      <c r="R1534" s="193"/>
      <c r="S1534" s="194"/>
      <c r="T1534" s="195">
        <f t="shared" si="190"/>
        <v>0</v>
      </c>
      <c r="U1534" s="195">
        <f t="shared" si="191"/>
        <v>0</v>
      </c>
      <c r="V1534" s="195">
        <f t="shared" si="192"/>
        <v>0</v>
      </c>
      <c r="W1534" s="196" t="e">
        <f t="shared" si="193"/>
        <v>#DIV/0!</v>
      </c>
      <c r="X1534" s="197" t="e">
        <f t="shared" si="194"/>
        <v>#DIV/0!</v>
      </c>
    </row>
    <row r="1535" ht="11.4" hidden="1" customHeight="1" spans="1:24">
      <c r="A1535" s="184" t="s">
        <v>3178</v>
      </c>
      <c r="B1535" s="184" t="s">
        <v>88</v>
      </c>
      <c r="C1535" s="184" t="s">
        <v>87</v>
      </c>
      <c r="D1535" s="185" t="s">
        <v>704</v>
      </c>
      <c r="E1535" s="186" t="s">
        <v>868</v>
      </c>
      <c r="F1535" s="186" t="s">
        <v>968</v>
      </c>
      <c r="G1535" s="186" t="s">
        <v>969</v>
      </c>
      <c r="H1535" s="186" t="s">
        <v>976</v>
      </c>
      <c r="I1535" s="187" t="s">
        <v>987</v>
      </c>
      <c r="J1535" s="187" t="s">
        <v>988</v>
      </c>
      <c r="K1535" s="188"/>
      <c r="L1535" s="188"/>
      <c r="M1535" s="189" t="s">
        <v>989</v>
      </c>
      <c r="N1535" s="190">
        <v>106.03</v>
      </c>
      <c r="O1535" s="190">
        <f t="shared" si="187"/>
        <v>115.57</v>
      </c>
      <c r="P1535" s="191">
        <f t="shared" si="188"/>
        <v>0</v>
      </c>
      <c r="Q1535" s="192">
        <f t="shared" si="189"/>
        <v>0</v>
      </c>
      <c r="R1535" s="193"/>
      <c r="S1535" s="194"/>
      <c r="T1535" s="195">
        <f t="shared" si="190"/>
        <v>0</v>
      </c>
      <c r="U1535" s="195">
        <f t="shared" si="191"/>
        <v>0</v>
      </c>
      <c r="V1535" s="195">
        <f t="shared" si="192"/>
        <v>0</v>
      </c>
      <c r="W1535" s="196" t="e">
        <f t="shared" si="193"/>
        <v>#DIV/0!</v>
      </c>
      <c r="X1535" s="197" t="e">
        <f t="shared" si="194"/>
        <v>#DIV/0!</v>
      </c>
    </row>
    <row r="1536" ht="11.4" hidden="1" customHeight="1" spans="1:24">
      <c r="A1536" s="184" t="s">
        <v>3178</v>
      </c>
      <c r="B1536" s="184" t="s">
        <v>88</v>
      </c>
      <c r="C1536" s="184" t="s">
        <v>87</v>
      </c>
      <c r="D1536" s="185" t="s">
        <v>704</v>
      </c>
      <c r="E1536" s="186" t="s">
        <v>868</v>
      </c>
      <c r="F1536" s="186" t="s">
        <v>968</v>
      </c>
      <c r="G1536" s="186" t="s">
        <v>969</v>
      </c>
      <c r="H1536" s="186" t="s">
        <v>976</v>
      </c>
      <c r="I1536" s="187" t="s">
        <v>991</v>
      </c>
      <c r="J1536" s="187" t="s">
        <v>992</v>
      </c>
      <c r="K1536" s="188"/>
      <c r="L1536" s="188"/>
      <c r="M1536" s="189" t="s">
        <v>793</v>
      </c>
      <c r="N1536" s="190">
        <v>15300</v>
      </c>
      <c r="O1536" s="190">
        <f t="shared" si="187"/>
        <v>16677</v>
      </c>
      <c r="P1536" s="191">
        <f t="shared" si="188"/>
        <v>0</v>
      </c>
      <c r="Q1536" s="192">
        <f t="shared" si="189"/>
        <v>0</v>
      </c>
      <c r="R1536" s="193"/>
      <c r="S1536" s="194"/>
      <c r="T1536" s="195">
        <f t="shared" si="190"/>
        <v>0</v>
      </c>
      <c r="U1536" s="195">
        <f t="shared" si="191"/>
        <v>0</v>
      </c>
      <c r="V1536" s="195">
        <f t="shared" si="192"/>
        <v>0</v>
      </c>
      <c r="W1536" s="196" t="e">
        <f t="shared" si="193"/>
        <v>#DIV/0!</v>
      </c>
      <c r="X1536" s="197" t="e">
        <f t="shared" si="194"/>
        <v>#DIV/0!</v>
      </c>
    </row>
    <row r="1537" ht="11.4" hidden="1" customHeight="1" spans="1:24">
      <c r="A1537" s="184" t="s">
        <v>3178</v>
      </c>
      <c r="B1537" s="184" t="s">
        <v>88</v>
      </c>
      <c r="C1537" s="184" t="s">
        <v>87</v>
      </c>
      <c r="D1537" s="185" t="s">
        <v>704</v>
      </c>
      <c r="E1537" s="186" t="s">
        <v>868</v>
      </c>
      <c r="F1537" s="186" t="s">
        <v>968</v>
      </c>
      <c r="G1537" s="186" t="s">
        <v>969</v>
      </c>
      <c r="H1537" s="186" t="s">
        <v>976</v>
      </c>
      <c r="I1537" s="187" t="s">
        <v>993</v>
      </c>
      <c r="J1537" s="187" t="s">
        <v>994</v>
      </c>
      <c r="K1537" s="188"/>
      <c r="L1537" s="188"/>
      <c r="M1537" s="189" t="s">
        <v>989</v>
      </c>
      <c r="N1537" s="190">
        <v>60.99</v>
      </c>
      <c r="O1537" s="190">
        <f t="shared" si="187"/>
        <v>66.48</v>
      </c>
      <c r="P1537" s="191">
        <f t="shared" si="188"/>
        <v>0</v>
      </c>
      <c r="Q1537" s="192">
        <f t="shared" si="189"/>
        <v>0</v>
      </c>
      <c r="R1537" s="193"/>
      <c r="S1537" s="194"/>
      <c r="T1537" s="195">
        <f t="shared" si="190"/>
        <v>0</v>
      </c>
      <c r="U1537" s="195">
        <f t="shared" si="191"/>
        <v>0</v>
      </c>
      <c r="V1537" s="195">
        <f t="shared" si="192"/>
        <v>0</v>
      </c>
      <c r="W1537" s="196" t="e">
        <f t="shared" si="193"/>
        <v>#DIV/0!</v>
      </c>
      <c r="X1537" s="197" t="e">
        <f t="shared" si="194"/>
        <v>#DIV/0!</v>
      </c>
    </row>
    <row r="1538" ht="11.4" hidden="1" customHeight="1" spans="1:24">
      <c r="A1538" s="184" t="s">
        <v>3178</v>
      </c>
      <c r="B1538" s="184" t="s">
        <v>88</v>
      </c>
      <c r="C1538" s="184" t="s">
        <v>87</v>
      </c>
      <c r="D1538" s="185" t="s">
        <v>704</v>
      </c>
      <c r="E1538" s="186" t="s">
        <v>868</v>
      </c>
      <c r="F1538" s="186" t="s">
        <v>968</v>
      </c>
      <c r="G1538" s="186" t="s">
        <v>969</v>
      </c>
      <c r="H1538" s="186" t="s">
        <v>976</v>
      </c>
      <c r="I1538" s="187" t="s">
        <v>995</v>
      </c>
      <c r="J1538" s="187" t="s">
        <v>996</v>
      </c>
      <c r="K1538" s="188"/>
      <c r="L1538" s="188"/>
      <c r="M1538" s="189" t="s">
        <v>807</v>
      </c>
      <c r="N1538" s="190">
        <v>146.19</v>
      </c>
      <c r="O1538" s="190">
        <f t="shared" si="187"/>
        <v>159.35</v>
      </c>
      <c r="P1538" s="191">
        <f t="shared" si="188"/>
        <v>0</v>
      </c>
      <c r="Q1538" s="192">
        <f t="shared" si="189"/>
        <v>0</v>
      </c>
      <c r="R1538" s="193"/>
      <c r="S1538" s="194"/>
      <c r="T1538" s="195">
        <f t="shared" si="190"/>
        <v>0</v>
      </c>
      <c r="U1538" s="195">
        <f t="shared" si="191"/>
        <v>0</v>
      </c>
      <c r="V1538" s="195">
        <f t="shared" si="192"/>
        <v>0</v>
      </c>
      <c r="W1538" s="196" t="e">
        <f t="shared" si="193"/>
        <v>#DIV/0!</v>
      </c>
      <c r="X1538" s="197" t="e">
        <f t="shared" si="194"/>
        <v>#DIV/0!</v>
      </c>
    </row>
    <row r="1539" ht="11.4" hidden="1" customHeight="1" spans="1:24">
      <c r="A1539" s="184" t="s">
        <v>3178</v>
      </c>
      <c r="B1539" s="184" t="s">
        <v>88</v>
      </c>
      <c r="C1539" s="184" t="s">
        <v>87</v>
      </c>
      <c r="D1539" s="185" t="s">
        <v>704</v>
      </c>
      <c r="E1539" s="186" t="s">
        <v>868</v>
      </c>
      <c r="F1539" s="186" t="s">
        <v>968</v>
      </c>
      <c r="G1539" s="186" t="s">
        <v>969</v>
      </c>
      <c r="H1539" s="186" t="s">
        <v>998</v>
      </c>
      <c r="I1539" s="187" t="s">
        <v>999</v>
      </c>
      <c r="J1539" s="187" t="s">
        <v>1000</v>
      </c>
      <c r="K1539" s="188"/>
      <c r="L1539" s="188"/>
      <c r="M1539" s="189" t="s">
        <v>847</v>
      </c>
      <c r="N1539" s="190">
        <v>265.42</v>
      </c>
      <c r="O1539" s="190">
        <f t="shared" si="187"/>
        <v>289.31</v>
      </c>
      <c r="P1539" s="191">
        <f t="shared" si="188"/>
        <v>0</v>
      </c>
      <c r="Q1539" s="192">
        <f t="shared" si="189"/>
        <v>0</v>
      </c>
      <c r="R1539" s="193"/>
      <c r="S1539" s="194"/>
      <c r="T1539" s="195">
        <f t="shared" si="190"/>
        <v>0</v>
      </c>
      <c r="U1539" s="195">
        <f t="shared" si="191"/>
        <v>0</v>
      </c>
      <c r="V1539" s="195">
        <f t="shared" si="192"/>
        <v>0</v>
      </c>
      <c r="W1539" s="196" t="e">
        <f t="shared" si="193"/>
        <v>#DIV/0!</v>
      </c>
      <c r="X1539" s="197" t="e">
        <f t="shared" si="194"/>
        <v>#DIV/0!</v>
      </c>
    </row>
    <row r="1540" ht="11.4" hidden="1" customHeight="1" spans="1:24">
      <c r="A1540" s="184" t="s">
        <v>3178</v>
      </c>
      <c r="B1540" s="184" t="s">
        <v>88</v>
      </c>
      <c r="C1540" s="184" t="s">
        <v>87</v>
      </c>
      <c r="D1540" s="185" t="s">
        <v>704</v>
      </c>
      <c r="E1540" s="186" t="s">
        <v>868</v>
      </c>
      <c r="F1540" s="186" t="s">
        <v>968</v>
      </c>
      <c r="G1540" s="186" t="s">
        <v>969</v>
      </c>
      <c r="H1540" s="186" t="s">
        <v>998</v>
      </c>
      <c r="I1540" s="187" t="s">
        <v>1001</v>
      </c>
      <c r="J1540" s="187" t="s">
        <v>1002</v>
      </c>
      <c r="K1540" s="188"/>
      <c r="L1540" s="188"/>
      <c r="M1540" s="189" t="s">
        <v>847</v>
      </c>
      <c r="N1540" s="190">
        <v>40.55</v>
      </c>
      <c r="O1540" s="190">
        <f t="shared" si="187"/>
        <v>44.2</v>
      </c>
      <c r="P1540" s="191">
        <f t="shared" si="188"/>
        <v>0</v>
      </c>
      <c r="Q1540" s="192">
        <f t="shared" si="189"/>
        <v>0</v>
      </c>
      <c r="R1540" s="193"/>
      <c r="S1540" s="194"/>
      <c r="T1540" s="195">
        <f t="shared" si="190"/>
        <v>0</v>
      </c>
      <c r="U1540" s="195">
        <f t="shared" si="191"/>
        <v>0</v>
      </c>
      <c r="V1540" s="195">
        <f t="shared" si="192"/>
        <v>0</v>
      </c>
      <c r="W1540" s="196" t="e">
        <f t="shared" si="193"/>
        <v>#DIV/0!</v>
      </c>
      <c r="X1540" s="197" t="e">
        <f t="shared" si="194"/>
        <v>#DIV/0!</v>
      </c>
    </row>
    <row r="1541" ht="11.4" hidden="1" customHeight="1" spans="1:24">
      <c r="A1541" s="184" t="s">
        <v>3178</v>
      </c>
      <c r="B1541" s="184" t="s">
        <v>88</v>
      </c>
      <c r="C1541" s="184" t="s">
        <v>87</v>
      </c>
      <c r="D1541" s="185" t="s">
        <v>704</v>
      </c>
      <c r="E1541" s="186" t="s">
        <v>868</v>
      </c>
      <c r="F1541" s="186" t="s">
        <v>968</v>
      </c>
      <c r="G1541" s="186" t="s">
        <v>969</v>
      </c>
      <c r="H1541" s="186" t="s">
        <v>1003</v>
      </c>
      <c r="I1541" s="187" t="s">
        <v>1004</v>
      </c>
      <c r="J1541" s="187" t="s">
        <v>1005</v>
      </c>
      <c r="K1541" s="188"/>
      <c r="L1541" s="188"/>
      <c r="M1541" s="189" t="s">
        <v>963</v>
      </c>
      <c r="N1541" s="190">
        <v>257.95</v>
      </c>
      <c r="O1541" s="190">
        <f t="shared" si="187"/>
        <v>281.17</v>
      </c>
      <c r="P1541" s="191">
        <f t="shared" si="188"/>
        <v>0</v>
      </c>
      <c r="Q1541" s="192">
        <f t="shared" si="189"/>
        <v>0</v>
      </c>
      <c r="R1541" s="193"/>
      <c r="S1541" s="194"/>
      <c r="T1541" s="195">
        <f t="shared" si="190"/>
        <v>0</v>
      </c>
      <c r="U1541" s="195">
        <f t="shared" si="191"/>
        <v>0</v>
      </c>
      <c r="V1541" s="195">
        <f t="shared" si="192"/>
        <v>0</v>
      </c>
      <c r="W1541" s="196" t="e">
        <f t="shared" si="193"/>
        <v>#DIV/0!</v>
      </c>
      <c r="X1541" s="197" t="e">
        <f t="shared" si="194"/>
        <v>#DIV/0!</v>
      </c>
    </row>
    <row r="1542" ht="11.4" hidden="1" customHeight="1" spans="1:24">
      <c r="A1542" s="184" t="s">
        <v>3178</v>
      </c>
      <c r="B1542" s="184" t="s">
        <v>88</v>
      </c>
      <c r="C1542" s="184" t="s">
        <v>87</v>
      </c>
      <c r="D1542" s="185" t="s">
        <v>704</v>
      </c>
      <c r="E1542" s="186" t="s">
        <v>868</v>
      </c>
      <c r="F1542" s="186" t="s">
        <v>968</v>
      </c>
      <c r="G1542" s="186" t="s">
        <v>969</v>
      </c>
      <c r="H1542" s="186" t="s">
        <v>1003</v>
      </c>
      <c r="I1542" s="187" t="s">
        <v>1006</v>
      </c>
      <c r="J1542" s="187" t="s">
        <v>1007</v>
      </c>
      <c r="K1542" s="188"/>
      <c r="L1542" s="188"/>
      <c r="M1542" s="189" t="s">
        <v>963</v>
      </c>
      <c r="N1542" s="190">
        <v>81.83</v>
      </c>
      <c r="O1542" s="190">
        <f t="shared" si="187"/>
        <v>89.19</v>
      </c>
      <c r="P1542" s="191">
        <f t="shared" si="188"/>
        <v>0</v>
      </c>
      <c r="Q1542" s="192">
        <f t="shared" si="189"/>
        <v>0</v>
      </c>
      <c r="R1542" s="193"/>
      <c r="S1542" s="194"/>
      <c r="T1542" s="195">
        <f t="shared" si="190"/>
        <v>0</v>
      </c>
      <c r="U1542" s="195">
        <f t="shared" si="191"/>
        <v>0</v>
      </c>
      <c r="V1542" s="195">
        <f t="shared" si="192"/>
        <v>0</v>
      </c>
      <c r="W1542" s="196" t="e">
        <f t="shared" si="193"/>
        <v>#DIV/0!</v>
      </c>
      <c r="X1542" s="197" t="e">
        <f t="shared" si="194"/>
        <v>#DIV/0!</v>
      </c>
    </row>
    <row r="1543" ht="11.4" hidden="1" customHeight="1" spans="1:24">
      <c r="A1543" s="184" t="s">
        <v>3178</v>
      </c>
      <c r="B1543" s="184" t="s">
        <v>88</v>
      </c>
      <c r="C1543" s="184" t="s">
        <v>87</v>
      </c>
      <c r="D1543" s="185" t="s">
        <v>704</v>
      </c>
      <c r="E1543" s="186" t="s">
        <v>868</v>
      </c>
      <c r="F1543" s="186" t="s">
        <v>968</v>
      </c>
      <c r="G1543" s="186" t="s">
        <v>969</v>
      </c>
      <c r="H1543" s="186" t="s">
        <v>1008</v>
      </c>
      <c r="I1543" s="187" t="s">
        <v>1009</v>
      </c>
      <c r="J1543" s="187" t="s">
        <v>1010</v>
      </c>
      <c r="K1543" s="188"/>
      <c r="L1543" s="188"/>
      <c r="M1543" s="189" t="s">
        <v>807</v>
      </c>
      <c r="N1543" s="190">
        <v>35.3</v>
      </c>
      <c r="O1543" s="190">
        <f t="shared" si="187"/>
        <v>38.48</v>
      </c>
      <c r="P1543" s="191">
        <f t="shared" si="188"/>
        <v>0</v>
      </c>
      <c r="Q1543" s="192">
        <f t="shared" si="189"/>
        <v>0</v>
      </c>
      <c r="R1543" s="193"/>
      <c r="S1543" s="194"/>
      <c r="T1543" s="195">
        <f t="shared" si="190"/>
        <v>0</v>
      </c>
      <c r="U1543" s="195">
        <f t="shared" si="191"/>
        <v>0</v>
      </c>
      <c r="V1543" s="195">
        <f t="shared" si="192"/>
        <v>0</v>
      </c>
      <c r="W1543" s="196" t="e">
        <f t="shared" si="193"/>
        <v>#DIV/0!</v>
      </c>
      <c r="X1543" s="197" t="e">
        <f t="shared" si="194"/>
        <v>#DIV/0!</v>
      </c>
    </row>
    <row r="1544" ht="11.4" hidden="1" customHeight="1" spans="1:24">
      <c r="A1544" s="184" t="s">
        <v>3179</v>
      </c>
      <c r="B1544" s="184" t="s">
        <v>91</v>
      </c>
      <c r="C1544" s="184" t="s">
        <v>90</v>
      </c>
      <c r="D1544" s="185" t="s">
        <v>704</v>
      </c>
      <c r="E1544" s="186" t="s">
        <v>868</v>
      </c>
      <c r="F1544" s="186" t="s">
        <v>1013</v>
      </c>
      <c r="G1544" s="186" t="s">
        <v>1014</v>
      </c>
      <c r="H1544" s="186" t="s">
        <v>1015</v>
      </c>
      <c r="I1544" s="187" t="s">
        <v>1016</v>
      </c>
      <c r="J1544" s="187" t="s">
        <v>1017</v>
      </c>
      <c r="K1544" s="188"/>
      <c r="L1544" s="188"/>
      <c r="M1544" s="189" t="s">
        <v>1018</v>
      </c>
      <c r="N1544" s="190">
        <v>723.44</v>
      </c>
      <c r="O1544" s="190">
        <f t="shared" si="187"/>
        <v>788.55</v>
      </c>
      <c r="P1544" s="191">
        <f t="shared" si="188"/>
        <v>0</v>
      </c>
      <c r="Q1544" s="192">
        <f t="shared" si="189"/>
        <v>0</v>
      </c>
      <c r="R1544" s="193"/>
      <c r="S1544" s="194"/>
      <c r="T1544" s="195">
        <f t="shared" si="190"/>
        <v>0</v>
      </c>
      <c r="U1544" s="195">
        <f t="shared" si="191"/>
        <v>0</v>
      </c>
      <c r="V1544" s="195">
        <f t="shared" si="192"/>
        <v>0</v>
      </c>
      <c r="W1544" s="196" t="e">
        <f t="shared" si="193"/>
        <v>#DIV/0!</v>
      </c>
      <c r="X1544" s="197" t="e">
        <f t="shared" si="194"/>
        <v>#DIV/0!</v>
      </c>
    </row>
    <row r="1545" ht="11.4" hidden="1" customHeight="1" spans="1:24">
      <c r="A1545" s="184" t="s">
        <v>3179</v>
      </c>
      <c r="B1545" s="184" t="s">
        <v>91</v>
      </c>
      <c r="C1545" s="184" t="s">
        <v>90</v>
      </c>
      <c r="D1545" s="185" t="s">
        <v>704</v>
      </c>
      <c r="E1545" s="186" t="s">
        <v>868</v>
      </c>
      <c r="F1545" s="186" t="s">
        <v>1013</v>
      </c>
      <c r="G1545" s="186" t="s">
        <v>1014</v>
      </c>
      <c r="H1545" s="186" t="s">
        <v>1015</v>
      </c>
      <c r="I1545" s="187" t="s">
        <v>1019</v>
      </c>
      <c r="J1545" s="187" t="s">
        <v>1020</v>
      </c>
      <c r="K1545" s="188"/>
      <c r="L1545" s="188"/>
      <c r="M1545" s="189" t="s">
        <v>1018</v>
      </c>
      <c r="N1545" s="190">
        <v>723.44</v>
      </c>
      <c r="O1545" s="190">
        <f t="shared" si="187"/>
        <v>788.55</v>
      </c>
      <c r="P1545" s="191">
        <f t="shared" si="188"/>
        <v>0</v>
      </c>
      <c r="Q1545" s="192">
        <f t="shared" si="189"/>
        <v>0</v>
      </c>
      <c r="R1545" s="193"/>
      <c r="S1545" s="194"/>
      <c r="T1545" s="195">
        <f t="shared" si="190"/>
        <v>0</v>
      </c>
      <c r="U1545" s="195">
        <f t="shared" si="191"/>
        <v>0</v>
      </c>
      <c r="V1545" s="195">
        <f t="shared" si="192"/>
        <v>0</v>
      </c>
      <c r="W1545" s="196" t="e">
        <f t="shared" si="193"/>
        <v>#DIV/0!</v>
      </c>
      <c r="X1545" s="197" t="e">
        <f t="shared" si="194"/>
        <v>#DIV/0!</v>
      </c>
    </row>
    <row r="1546" ht="11.4" hidden="1" customHeight="1" spans="1:24">
      <c r="A1546" s="184" t="s">
        <v>3179</v>
      </c>
      <c r="B1546" s="184" t="s">
        <v>91</v>
      </c>
      <c r="C1546" s="184" t="s">
        <v>90</v>
      </c>
      <c r="D1546" s="185" t="s">
        <v>704</v>
      </c>
      <c r="E1546" s="186" t="s">
        <v>868</v>
      </c>
      <c r="F1546" s="186" t="s">
        <v>1013</v>
      </c>
      <c r="G1546" s="186" t="s">
        <v>1014</v>
      </c>
      <c r="H1546" s="186" t="s">
        <v>1015</v>
      </c>
      <c r="I1546" s="187" t="s">
        <v>1021</v>
      </c>
      <c r="J1546" s="187" t="s">
        <v>1022</v>
      </c>
      <c r="K1546" s="188"/>
      <c r="L1546" s="188"/>
      <c r="M1546" s="189" t="s">
        <v>1018</v>
      </c>
      <c r="N1546" s="190">
        <v>137.35</v>
      </c>
      <c r="O1546" s="190">
        <f t="shared" si="187"/>
        <v>149.71</v>
      </c>
      <c r="P1546" s="191">
        <f t="shared" si="188"/>
        <v>0</v>
      </c>
      <c r="Q1546" s="192">
        <f t="shared" si="189"/>
        <v>0</v>
      </c>
      <c r="R1546" s="193"/>
      <c r="S1546" s="194"/>
      <c r="T1546" s="195">
        <f t="shared" si="190"/>
        <v>0</v>
      </c>
      <c r="U1546" s="195">
        <f t="shared" si="191"/>
        <v>0</v>
      </c>
      <c r="V1546" s="195">
        <f t="shared" si="192"/>
        <v>0</v>
      </c>
      <c r="W1546" s="196" t="e">
        <f t="shared" si="193"/>
        <v>#DIV/0!</v>
      </c>
      <c r="X1546" s="197" t="e">
        <f t="shared" si="194"/>
        <v>#DIV/0!</v>
      </c>
    </row>
    <row r="1547" ht="11.4" hidden="1" customHeight="1" spans="1:24">
      <c r="A1547" s="184" t="s">
        <v>3179</v>
      </c>
      <c r="B1547" s="184" t="s">
        <v>91</v>
      </c>
      <c r="C1547" s="184" t="s">
        <v>90</v>
      </c>
      <c r="D1547" s="185" t="s">
        <v>704</v>
      </c>
      <c r="E1547" s="186" t="s">
        <v>868</v>
      </c>
      <c r="F1547" s="186" t="s">
        <v>1013</v>
      </c>
      <c r="G1547" s="186" t="s">
        <v>1014</v>
      </c>
      <c r="H1547" s="186" t="s">
        <v>1015</v>
      </c>
      <c r="I1547" s="187" t="s">
        <v>1023</v>
      </c>
      <c r="J1547" s="187" t="s">
        <v>1024</v>
      </c>
      <c r="K1547" s="188"/>
      <c r="L1547" s="188"/>
      <c r="M1547" s="189" t="s">
        <v>1018</v>
      </c>
      <c r="N1547" s="190">
        <v>151.65</v>
      </c>
      <c r="O1547" s="190">
        <f t="shared" si="187"/>
        <v>165.3</v>
      </c>
      <c r="P1547" s="191">
        <f t="shared" si="188"/>
        <v>0</v>
      </c>
      <c r="Q1547" s="192">
        <f t="shared" si="189"/>
        <v>0</v>
      </c>
      <c r="R1547" s="193"/>
      <c r="S1547" s="194"/>
      <c r="T1547" s="195">
        <f t="shared" si="190"/>
        <v>0</v>
      </c>
      <c r="U1547" s="195">
        <f t="shared" si="191"/>
        <v>0</v>
      </c>
      <c r="V1547" s="195">
        <f t="shared" si="192"/>
        <v>0</v>
      </c>
      <c r="W1547" s="196" t="e">
        <f t="shared" si="193"/>
        <v>#DIV/0!</v>
      </c>
      <c r="X1547" s="197" t="e">
        <f t="shared" si="194"/>
        <v>#DIV/0!</v>
      </c>
    </row>
    <row r="1548" ht="11.4" hidden="1" customHeight="1" spans="1:24">
      <c r="A1548" s="184" t="s">
        <v>3179</v>
      </c>
      <c r="B1548" s="184" t="s">
        <v>91</v>
      </c>
      <c r="C1548" s="184" t="s">
        <v>90</v>
      </c>
      <c r="D1548" s="185" t="s">
        <v>704</v>
      </c>
      <c r="E1548" s="186" t="s">
        <v>868</v>
      </c>
      <c r="F1548" s="186" t="s">
        <v>1013</v>
      </c>
      <c r="G1548" s="186" t="s">
        <v>1014</v>
      </c>
      <c r="H1548" s="186" t="s">
        <v>1015</v>
      </c>
      <c r="I1548" s="187" t="s">
        <v>1025</v>
      </c>
      <c r="J1548" s="187" t="s">
        <v>1026</v>
      </c>
      <c r="K1548" s="188"/>
      <c r="L1548" s="188"/>
      <c r="M1548" s="189" t="s">
        <v>1018</v>
      </c>
      <c r="N1548" s="190">
        <v>151.65</v>
      </c>
      <c r="O1548" s="190">
        <f t="shared" si="187"/>
        <v>165.3</v>
      </c>
      <c r="P1548" s="191">
        <f t="shared" si="188"/>
        <v>0</v>
      </c>
      <c r="Q1548" s="192">
        <f t="shared" si="189"/>
        <v>0</v>
      </c>
      <c r="R1548" s="193"/>
      <c r="S1548" s="194"/>
      <c r="T1548" s="195">
        <f t="shared" si="190"/>
        <v>0</v>
      </c>
      <c r="U1548" s="195">
        <f t="shared" si="191"/>
        <v>0</v>
      </c>
      <c r="V1548" s="195">
        <f t="shared" si="192"/>
        <v>0</v>
      </c>
      <c r="W1548" s="196" t="e">
        <f t="shared" si="193"/>
        <v>#DIV/0!</v>
      </c>
      <c r="X1548" s="197" t="e">
        <f t="shared" si="194"/>
        <v>#DIV/0!</v>
      </c>
    </row>
    <row r="1549" ht="11.4" hidden="1" customHeight="1" spans="1:24">
      <c r="A1549" s="184" t="s">
        <v>3179</v>
      </c>
      <c r="B1549" s="184" t="s">
        <v>91</v>
      </c>
      <c r="C1549" s="184" t="s">
        <v>90</v>
      </c>
      <c r="D1549" s="185" t="s">
        <v>704</v>
      </c>
      <c r="E1549" s="186" t="s">
        <v>868</v>
      </c>
      <c r="F1549" s="186" t="s">
        <v>1013</v>
      </c>
      <c r="G1549" s="186" t="s">
        <v>1014</v>
      </c>
      <c r="H1549" s="186" t="s">
        <v>1027</v>
      </c>
      <c r="I1549" s="187" t="s">
        <v>1028</v>
      </c>
      <c r="J1549" s="187" t="s">
        <v>1029</v>
      </c>
      <c r="K1549" s="188"/>
      <c r="L1549" s="188"/>
      <c r="M1549" s="189" t="s">
        <v>807</v>
      </c>
      <c r="N1549" s="190">
        <v>56.98</v>
      </c>
      <c r="O1549" s="190">
        <f t="shared" ref="O1549:O1612" si="195">ROUND(N1549*(1+$F$10),2)</f>
        <v>62.11</v>
      </c>
      <c r="P1549" s="191">
        <f t="shared" ref="P1549:P1612" si="196">ROUND(K1549*N1549,2)</f>
        <v>0</v>
      </c>
      <c r="Q1549" s="192">
        <f t="shared" ref="Q1549:Q1612" si="197">ROUND(L1549*N1549,2)</f>
        <v>0</v>
      </c>
      <c r="R1549" s="193"/>
      <c r="S1549" s="194"/>
      <c r="T1549" s="195">
        <f t="shared" ref="T1549:T1612" si="198">K1549-L1549</f>
        <v>0</v>
      </c>
      <c r="U1549" s="195">
        <f t="shared" ref="U1549:U1612" si="199">P1549-Q1549</f>
        <v>0</v>
      </c>
      <c r="V1549" s="195">
        <f t="shared" ref="V1549:V1612" si="200">ABS(U1549)</f>
        <v>0</v>
      </c>
      <c r="W1549" s="196" t="e">
        <f t="shared" ref="W1549:W1612" si="201">T1549/L1549</f>
        <v>#DIV/0!</v>
      </c>
      <c r="X1549" s="197" t="e">
        <f t="shared" ref="X1549:X1612" si="202">ABS(W1549)</f>
        <v>#DIV/0!</v>
      </c>
    </row>
    <row r="1550" ht="11.4" hidden="1" customHeight="1" spans="1:24">
      <c r="A1550" s="184" t="s">
        <v>3179</v>
      </c>
      <c r="B1550" s="184" t="s">
        <v>91</v>
      </c>
      <c r="C1550" s="184" t="s">
        <v>90</v>
      </c>
      <c r="D1550" s="185" t="s">
        <v>704</v>
      </c>
      <c r="E1550" s="186" t="s">
        <v>868</v>
      </c>
      <c r="F1550" s="186" t="s">
        <v>1013</v>
      </c>
      <c r="G1550" s="186" t="s">
        <v>1014</v>
      </c>
      <c r="H1550" s="186" t="s">
        <v>1030</v>
      </c>
      <c r="I1550" s="187" t="s">
        <v>1031</v>
      </c>
      <c r="J1550" s="187" t="s">
        <v>1032</v>
      </c>
      <c r="K1550" s="188"/>
      <c r="L1550" s="188"/>
      <c r="M1550" s="189" t="s">
        <v>1018</v>
      </c>
      <c r="N1550" s="190">
        <v>3230.77</v>
      </c>
      <c r="O1550" s="190">
        <f t="shared" si="195"/>
        <v>3521.54</v>
      </c>
      <c r="P1550" s="191">
        <f t="shared" si="196"/>
        <v>0</v>
      </c>
      <c r="Q1550" s="192">
        <f t="shared" si="197"/>
        <v>0</v>
      </c>
      <c r="R1550" s="193"/>
      <c r="S1550" s="194"/>
      <c r="T1550" s="195">
        <f t="shared" si="198"/>
        <v>0</v>
      </c>
      <c r="U1550" s="195">
        <f t="shared" si="199"/>
        <v>0</v>
      </c>
      <c r="V1550" s="195">
        <f t="shared" si="200"/>
        <v>0</v>
      </c>
      <c r="W1550" s="196" t="e">
        <f t="shared" si="201"/>
        <v>#DIV/0!</v>
      </c>
      <c r="X1550" s="197" t="e">
        <f t="shared" si="202"/>
        <v>#DIV/0!</v>
      </c>
    </row>
    <row r="1551" ht="11.4" hidden="1" customHeight="1" spans="1:24">
      <c r="A1551" s="184" t="s">
        <v>3179</v>
      </c>
      <c r="B1551" s="184" t="s">
        <v>91</v>
      </c>
      <c r="C1551" s="184" t="s">
        <v>90</v>
      </c>
      <c r="D1551" s="185" t="s">
        <v>704</v>
      </c>
      <c r="E1551" s="186" t="s">
        <v>868</v>
      </c>
      <c r="F1551" s="186" t="s">
        <v>1013</v>
      </c>
      <c r="G1551" s="186" t="s">
        <v>1014</v>
      </c>
      <c r="H1551" s="186" t="s">
        <v>1030</v>
      </c>
      <c r="I1551" s="187" t="s">
        <v>1033</v>
      </c>
      <c r="J1551" s="187" t="s">
        <v>1034</v>
      </c>
      <c r="K1551" s="188"/>
      <c r="L1551" s="188"/>
      <c r="M1551" s="189" t="s">
        <v>1018</v>
      </c>
      <c r="N1551" s="190">
        <v>5115.38</v>
      </c>
      <c r="O1551" s="190">
        <f t="shared" si="195"/>
        <v>5575.76</v>
      </c>
      <c r="P1551" s="191">
        <f t="shared" si="196"/>
        <v>0</v>
      </c>
      <c r="Q1551" s="192">
        <f t="shared" si="197"/>
        <v>0</v>
      </c>
      <c r="R1551" s="193"/>
      <c r="S1551" s="194"/>
      <c r="T1551" s="195">
        <f t="shared" si="198"/>
        <v>0</v>
      </c>
      <c r="U1551" s="195">
        <f t="shared" si="199"/>
        <v>0</v>
      </c>
      <c r="V1551" s="195">
        <f t="shared" si="200"/>
        <v>0</v>
      </c>
      <c r="W1551" s="196" t="e">
        <f t="shared" si="201"/>
        <v>#DIV/0!</v>
      </c>
      <c r="X1551" s="197" t="e">
        <f t="shared" si="202"/>
        <v>#DIV/0!</v>
      </c>
    </row>
    <row r="1552" ht="11.4" hidden="1" customHeight="1" spans="1:24">
      <c r="A1552" s="184" t="s">
        <v>3179</v>
      </c>
      <c r="B1552" s="184" t="s">
        <v>91</v>
      </c>
      <c r="C1552" s="184" t="s">
        <v>90</v>
      </c>
      <c r="D1552" s="185" t="s">
        <v>704</v>
      </c>
      <c r="E1552" s="186" t="s">
        <v>868</v>
      </c>
      <c r="F1552" s="186" t="s">
        <v>1013</v>
      </c>
      <c r="G1552" s="186" t="s">
        <v>1014</v>
      </c>
      <c r="H1552" s="186" t="s">
        <v>1030</v>
      </c>
      <c r="I1552" s="187" t="s">
        <v>1035</v>
      </c>
      <c r="J1552" s="187" t="s">
        <v>1036</v>
      </c>
      <c r="K1552" s="188"/>
      <c r="L1552" s="188"/>
      <c r="M1552" s="189" t="s">
        <v>1018</v>
      </c>
      <c r="N1552" s="190">
        <v>565.38</v>
      </c>
      <c r="O1552" s="190">
        <f t="shared" si="195"/>
        <v>616.26</v>
      </c>
      <c r="P1552" s="191">
        <f t="shared" si="196"/>
        <v>0</v>
      </c>
      <c r="Q1552" s="192">
        <f t="shared" si="197"/>
        <v>0</v>
      </c>
      <c r="R1552" s="193"/>
      <c r="S1552" s="194"/>
      <c r="T1552" s="195">
        <f t="shared" si="198"/>
        <v>0</v>
      </c>
      <c r="U1552" s="195">
        <f t="shared" si="199"/>
        <v>0</v>
      </c>
      <c r="V1552" s="195">
        <f t="shared" si="200"/>
        <v>0</v>
      </c>
      <c r="W1552" s="196" t="e">
        <f t="shared" si="201"/>
        <v>#DIV/0!</v>
      </c>
      <c r="X1552" s="197" t="e">
        <f t="shared" si="202"/>
        <v>#DIV/0!</v>
      </c>
    </row>
    <row r="1553" ht="11.4" hidden="1" customHeight="1" spans="1:24">
      <c r="A1553" s="184" t="s">
        <v>3179</v>
      </c>
      <c r="B1553" s="184" t="s">
        <v>91</v>
      </c>
      <c r="C1553" s="184" t="s">
        <v>90</v>
      </c>
      <c r="D1553" s="185" t="s">
        <v>704</v>
      </c>
      <c r="E1553" s="186" t="s">
        <v>868</v>
      </c>
      <c r="F1553" s="186" t="s">
        <v>1013</v>
      </c>
      <c r="G1553" s="186" t="s">
        <v>1014</v>
      </c>
      <c r="H1553" s="186" t="s">
        <v>1030</v>
      </c>
      <c r="I1553" s="187" t="s">
        <v>1037</v>
      </c>
      <c r="J1553" s="187" t="s">
        <v>1038</v>
      </c>
      <c r="K1553" s="188"/>
      <c r="L1553" s="188"/>
      <c r="M1553" s="189" t="s">
        <v>1018</v>
      </c>
      <c r="N1553" s="190">
        <v>2789.23</v>
      </c>
      <c r="O1553" s="190">
        <f t="shared" si="195"/>
        <v>3040.26</v>
      </c>
      <c r="P1553" s="191">
        <f t="shared" si="196"/>
        <v>0</v>
      </c>
      <c r="Q1553" s="192">
        <f t="shared" si="197"/>
        <v>0</v>
      </c>
      <c r="R1553" s="193"/>
      <c r="S1553" s="194"/>
      <c r="T1553" s="195">
        <f t="shared" si="198"/>
        <v>0</v>
      </c>
      <c r="U1553" s="195">
        <f t="shared" si="199"/>
        <v>0</v>
      </c>
      <c r="V1553" s="195">
        <f t="shared" si="200"/>
        <v>0</v>
      </c>
      <c r="W1553" s="196" t="e">
        <f t="shared" si="201"/>
        <v>#DIV/0!</v>
      </c>
      <c r="X1553" s="197" t="e">
        <f t="shared" si="202"/>
        <v>#DIV/0!</v>
      </c>
    </row>
    <row r="1554" ht="11.4" hidden="1" customHeight="1" spans="1:24">
      <c r="A1554" s="184" t="s">
        <v>3179</v>
      </c>
      <c r="B1554" s="184" t="s">
        <v>91</v>
      </c>
      <c r="C1554" s="184" t="s">
        <v>90</v>
      </c>
      <c r="D1554" s="185" t="s">
        <v>704</v>
      </c>
      <c r="E1554" s="186" t="s">
        <v>868</v>
      </c>
      <c r="F1554" s="186" t="s">
        <v>1013</v>
      </c>
      <c r="G1554" s="186" t="s">
        <v>1014</v>
      </c>
      <c r="H1554" s="186" t="s">
        <v>1030</v>
      </c>
      <c r="I1554" s="187" t="s">
        <v>1039</v>
      </c>
      <c r="J1554" s="187" t="s">
        <v>1040</v>
      </c>
      <c r="K1554" s="188"/>
      <c r="L1554" s="188"/>
      <c r="M1554" s="189" t="s">
        <v>1018</v>
      </c>
      <c r="N1554" s="190">
        <v>4173.08</v>
      </c>
      <c r="O1554" s="190">
        <f t="shared" si="195"/>
        <v>4548.66</v>
      </c>
      <c r="P1554" s="191">
        <f t="shared" si="196"/>
        <v>0</v>
      </c>
      <c r="Q1554" s="192">
        <f t="shared" si="197"/>
        <v>0</v>
      </c>
      <c r="R1554" s="193"/>
      <c r="S1554" s="194"/>
      <c r="T1554" s="195">
        <f t="shared" si="198"/>
        <v>0</v>
      </c>
      <c r="U1554" s="195">
        <f t="shared" si="199"/>
        <v>0</v>
      </c>
      <c r="V1554" s="195">
        <f t="shared" si="200"/>
        <v>0</v>
      </c>
      <c r="W1554" s="196" t="e">
        <f t="shared" si="201"/>
        <v>#DIV/0!</v>
      </c>
      <c r="X1554" s="197" t="e">
        <f t="shared" si="202"/>
        <v>#DIV/0!</v>
      </c>
    </row>
    <row r="1555" ht="11.4" hidden="1" customHeight="1" spans="1:24">
      <c r="A1555" s="184" t="s">
        <v>3179</v>
      </c>
      <c r="B1555" s="184" t="s">
        <v>91</v>
      </c>
      <c r="C1555" s="184" t="s">
        <v>90</v>
      </c>
      <c r="D1555" s="185" t="s">
        <v>704</v>
      </c>
      <c r="E1555" s="186" t="s">
        <v>868</v>
      </c>
      <c r="F1555" s="186" t="s">
        <v>1013</v>
      </c>
      <c r="G1555" s="186" t="s">
        <v>1014</v>
      </c>
      <c r="H1555" s="186" t="s">
        <v>1030</v>
      </c>
      <c r="I1555" s="187" t="s">
        <v>1041</v>
      </c>
      <c r="J1555" s="187" t="s">
        <v>1042</v>
      </c>
      <c r="K1555" s="188"/>
      <c r="L1555" s="188"/>
      <c r="M1555" s="189" t="s">
        <v>1018</v>
      </c>
      <c r="N1555" s="190">
        <v>338.78</v>
      </c>
      <c r="O1555" s="190">
        <f t="shared" si="195"/>
        <v>369.27</v>
      </c>
      <c r="P1555" s="191">
        <f t="shared" si="196"/>
        <v>0</v>
      </c>
      <c r="Q1555" s="192">
        <f t="shared" si="197"/>
        <v>0</v>
      </c>
      <c r="R1555" s="193"/>
      <c r="S1555" s="194"/>
      <c r="T1555" s="195">
        <f t="shared" si="198"/>
        <v>0</v>
      </c>
      <c r="U1555" s="195">
        <f t="shared" si="199"/>
        <v>0</v>
      </c>
      <c r="V1555" s="195">
        <f t="shared" si="200"/>
        <v>0</v>
      </c>
      <c r="W1555" s="196" t="e">
        <f t="shared" si="201"/>
        <v>#DIV/0!</v>
      </c>
      <c r="X1555" s="197" t="e">
        <f t="shared" si="202"/>
        <v>#DIV/0!</v>
      </c>
    </row>
    <row r="1556" ht="11.4" hidden="1" customHeight="1" spans="1:24">
      <c r="A1556" s="184" t="s">
        <v>3179</v>
      </c>
      <c r="B1556" s="184" t="s">
        <v>91</v>
      </c>
      <c r="C1556" s="184" t="s">
        <v>90</v>
      </c>
      <c r="D1556" s="185" t="s">
        <v>704</v>
      </c>
      <c r="E1556" s="186" t="s">
        <v>868</v>
      </c>
      <c r="F1556" s="186" t="s">
        <v>1013</v>
      </c>
      <c r="G1556" s="186" t="s">
        <v>1014</v>
      </c>
      <c r="H1556" s="186" t="s">
        <v>1030</v>
      </c>
      <c r="I1556" s="187" t="s">
        <v>1043</v>
      </c>
      <c r="J1556" s="187" t="s">
        <v>1044</v>
      </c>
      <c r="K1556" s="188"/>
      <c r="L1556" s="188"/>
      <c r="M1556" s="189" t="s">
        <v>1018</v>
      </c>
      <c r="N1556" s="190">
        <v>179.49</v>
      </c>
      <c r="O1556" s="190">
        <f t="shared" si="195"/>
        <v>195.64</v>
      </c>
      <c r="P1556" s="191">
        <f t="shared" si="196"/>
        <v>0</v>
      </c>
      <c r="Q1556" s="192">
        <f t="shared" si="197"/>
        <v>0</v>
      </c>
      <c r="R1556" s="193"/>
      <c r="S1556" s="194"/>
      <c r="T1556" s="195">
        <f t="shared" si="198"/>
        <v>0</v>
      </c>
      <c r="U1556" s="195">
        <f t="shared" si="199"/>
        <v>0</v>
      </c>
      <c r="V1556" s="195">
        <f t="shared" si="200"/>
        <v>0</v>
      </c>
      <c r="W1556" s="196" t="e">
        <f t="shared" si="201"/>
        <v>#DIV/0!</v>
      </c>
      <c r="X1556" s="197" t="e">
        <f t="shared" si="202"/>
        <v>#DIV/0!</v>
      </c>
    </row>
    <row r="1557" ht="11.4" hidden="1" customHeight="1" spans="1:24">
      <c r="A1557" s="184" t="s">
        <v>3179</v>
      </c>
      <c r="B1557" s="184" t="s">
        <v>91</v>
      </c>
      <c r="C1557" s="184" t="s">
        <v>90</v>
      </c>
      <c r="D1557" s="185" t="s">
        <v>704</v>
      </c>
      <c r="E1557" s="186" t="s">
        <v>868</v>
      </c>
      <c r="F1557" s="186" t="s">
        <v>1013</v>
      </c>
      <c r="G1557" s="186" t="s">
        <v>1014</v>
      </c>
      <c r="H1557" s="186" t="s">
        <v>1030</v>
      </c>
      <c r="I1557" s="187" t="s">
        <v>1045</v>
      </c>
      <c r="J1557" s="187" t="s">
        <v>1046</v>
      </c>
      <c r="K1557" s="188"/>
      <c r="L1557" s="188"/>
      <c r="M1557" s="189" t="s">
        <v>1018</v>
      </c>
      <c r="N1557" s="190">
        <v>287.18</v>
      </c>
      <c r="O1557" s="190">
        <f t="shared" si="195"/>
        <v>313.03</v>
      </c>
      <c r="P1557" s="191">
        <f t="shared" si="196"/>
        <v>0</v>
      </c>
      <c r="Q1557" s="192">
        <f t="shared" si="197"/>
        <v>0</v>
      </c>
      <c r="R1557" s="193"/>
      <c r="S1557" s="194"/>
      <c r="T1557" s="195">
        <f t="shared" si="198"/>
        <v>0</v>
      </c>
      <c r="U1557" s="195">
        <f t="shared" si="199"/>
        <v>0</v>
      </c>
      <c r="V1557" s="195">
        <f t="shared" si="200"/>
        <v>0</v>
      </c>
      <c r="W1557" s="196" t="e">
        <f t="shared" si="201"/>
        <v>#DIV/0!</v>
      </c>
      <c r="X1557" s="197" t="e">
        <f t="shared" si="202"/>
        <v>#DIV/0!</v>
      </c>
    </row>
    <row r="1558" ht="11.4" hidden="1" customHeight="1" spans="1:24">
      <c r="A1558" s="184" t="s">
        <v>3179</v>
      </c>
      <c r="B1558" s="184" t="s">
        <v>91</v>
      </c>
      <c r="C1558" s="184" t="s">
        <v>90</v>
      </c>
      <c r="D1558" s="185" t="s">
        <v>704</v>
      </c>
      <c r="E1558" s="186" t="s">
        <v>868</v>
      </c>
      <c r="F1558" s="186" t="s">
        <v>1013</v>
      </c>
      <c r="G1558" s="186" t="s">
        <v>1014</v>
      </c>
      <c r="H1558" s="186" t="s">
        <v>1047</v>
      </c>
      <c r="I1558" s="187" t="s">
        <v>1048</v>
      </c>
      <c r="J1558" s="187" t="s">
        <v>1049</v>
      </c>
      <c r="K1558" s="188"/>
      <c r="L1558" s="188"/>
      <c r="M1558" s="189" t="s">
        <v>963</v>
      </c>
      <c r="N1558" s="190">
        <v>537.89</v>
      </c>
      <c r="O1558" s="190">
        <f t="shared" si="195"/>
        <v>586.3</v>
      </c>
      <c r="P1558" s="191">
        <f t="shared" si="196"/>
        <v>0</v>
      </c>
      <c r="Q1558" s="192">
        <f t="shared" si="197"/>
        <v>0</v>
      </c>
      <c r="R1558" s="193"/>
      <c r="S1558" s="194"/>
      <c r="T1558" s="195">
        <f t="shared" si="198"/>
        <v>0</v>
      </c>
      <c r="U1558" s="195">
        <f t="shared" si="199"/>
        <v>0</v>
      </c>
      <c r="V1558" s="195">
        <f t="shared" si="200"/>
        <v>0</v>
      </c>
      <c r="W1558" s="196" t="e">
        <f t="shared" si="201"/>
        <v>#DIV/0!</v>
      </c>
      <c r="X1558" s="197" t="e">
        <f t="shared" si="202"/>
        <v>#DIV/0!</v>
      </c>
    </row>
    <row r="1559" ht="11.4" hidden="1" customHeight="1" spans="1:24">
      <c r="A1559" s="184" t="s">
        <v>3180</v>
      </c>
      <c r="B1559" s="184" t="s">
        <v>94</v>
      </c>
      <c r="C1559" s="184" t="s">
        <v>93</v>
      </c>
      <c r="D1559" s="185" t="s">
        <v>704</v>
      </c>
      <c r="E1559" s="186" t="s">
        <v>868</v>
      </c>
      <c r="F1559" s="186" t="s">
        <v>1051</v>
      </c>
      <c r="G1559" s="186" t="s">
        <v>1052</v>
      </c>
      <c r="H1559" s="186" t="s">
        <v>1053</v>
      </c>
      <c r="I1559" s="187" t="s">
        <v>1054</v>
      </c>
      <c r="J1559" s="187" t="s">
        <v>1055</v>
      </c>
      <c r="K1559" s="188"/>
      <c r="L1559" s="188"/>
      <c r="M1559" s="189" t="s">
        <v>807</v>
      </c>
      <c r="N1559" s="190">
        <v>219.82</v>
      </c>
      <c r="O1559" s="190">
        <f t="shared" si="195"/>
        <v>239.6</v>
      </c>
      <c r="P1559" s="191">
        <f t="shared" si="196"/>
        <v>0</v>
      </c>
      <c r="Q1559" s="192">
        <f t="shared" si="197"/>
        <v>0</v>
      </c>
      <c r="R1559" s="193"/>
      <c r="S1559" s="194"/>
      <c r="T1559" s="195">
        <f t="shared" si="198"/>
        <v>0</v>
      </c>
      <c r="U1559" s="195">
        <f t="shared" si="199"/>
        <v>0</v>
      </c>
      <c r="V1559" s="195">
        <f t="shared" si="200"/>
        <v>0</v>
      </c>
      <c r="W1559" s="196" t="e">
        <f t="shared" si="201"/>
        <v>#DIV/0!</v>
      </c>
      <c r="X1559" s="197" t="e">
        <f t="shared" si="202"/>
        <v>#DIV/0!</v>
      </c>
    </row>
    <row r="1560" ht="11.4" hidden="1" customHeight="1" spans="1:24">
      <c r="A1560" s="184" t="s">
        <v>3180</v>
      </c>
      <c r="B1560" s="184" t="s">
        <v>94</v>
      </c>
      <c r="C1560" s="184" t="s">
        <v>93</v>
      </c>
      <c r="D1560" s="185" t="s">
        <v>704</v>
      </c>
      <c r="E1560" s="186" t="s">
        <v>868</v>
      </c>
      <c r="F1560" s="186" t="s">
        <v>1051</v>
      </c>
      <c r="G1560" s="186" t="s">
        <v>1052</v>
      </c>
      <c r="H1560" s="186" t="s">
        <v>1053</v>
      </c>
      <c r="I1560" s="187" t="s">
        <v>1057</v>
      </c>
      <c r="J1560" s="187" t="s">
        <v>1058</v>
      </c>
      <c r="K1560" s="188"/>
      <c r="L1560" s="188"/>
      <c r="M1560" s="189" t="s">
        <v>807</v>
      </c>
      <c r="N1560" s="190">
        <v>135.14</v>
      </c>
      <c r="O1560" s="190">
        <f t="shared" si="195"/>
        <v>147.3</v>
      </c>
      <c r="P1560" s="191">
        <f t="shared" si="196"/>
        <v>0</v>
      </c>
      <c r="Q1560" s="192">
        <f t="shared" si="197"/>
        <v>0</v>
      </c>
      <c r="R1560" s="193"/>
      <c r="S1560" s="194"/>
      <c r="T1560" s="195">
        <f t="shared" si="198"/>
        <v>0</v>
      </c>
      <c r="U1560" s="195">
        <f t="shared" si="199"/>
        <v>0</v>
      </c>
      <c r="V1560" s="195">
        <f t="shared" si="200"/>
        <v>0</v>
      </c>
      <c r="W1560" s="196" t="e">
        <f t="shared" si="201"/>
        <v>#DIV/0!</v>
      </c>
      <c r="X1560" s="197" t="e">
        <f t="shared" si="202"/>
        <v>#DIV/0!</v>
      </c>
    </row>
    <row r="1561" ht="11.4" hidden="1" customHeight="1" spans="1:24">
      <c r="A1561" s="184" t="s">
        <v>3180</v>
      </c>
      <c r="B1561" s="184" t="s">
        <v>94</v>
      </c>
      <c r="C1561" s="184" t="s">
        <v>93</v>
      </c>
      <c r="D1561" s="185" t="s">
        <v>704</v>
      </c>
      <c r="E1561" s="186" t="s">
        <v>868</v>
      </c>
      <c r="F1561" s="186" t="s">
        <v>1051</v>
      </c>
      <c r="G1561" s="186" t="s">
        <v>1052</v>
      </c>
      <c r="H1561" s="186" t="s">
        <v>1053</v>
      </c>
      <c r="I1561" s="187" t="s">
        <v>1059</v>
      </c>
      <c r="J1561" s="187" t="s">
        <v>1060</v>
      </c>
      <c r="K1561" s="188"/>
      <c r="L1561" s="188"/>
      <c r="M1561" s="189" t="s">
        <v>807</v>
      </c>
      <c r="N1561" s="190">
        <v>68.47</v>
      </c>
      <c r="O1561" s="190">
        <f t="shared" si="195"/>
        <v>74.63</v>
      </c>
      <c r="P1561" s="191">
        <f t="shared" si="196"/>
        <v>0</v>
      </c>
      <c r="Q1561" s="192">
        <f t="shared" si="197"/>
        <v>0</v>
      </c>
      <c r="R1561" s="193"/>
      <c r="S1561" s="194"/>
      <c r="T1561" s="195">
        <f t="shared" si="198"/>
        <v>0</v>
      </c>
      <c r="U1561" s="195">
        <f t="shared" si="199"/>
        <v>0</v>
      </c>
      <c r="V1561" s="195">
        <f t="shared" si="200"/>
        <v>0</v>
      </c>
      <c r="W1561" s="196" t="e">
        <f t="shared" si="201"/>
        <v>#DIV/0!</v>
      </c>
      <c r="X1561" s="197" t="e">
        <f t="shared" si="202"/>
        <v>#DIV/0!</v>
      </c>
    </row>
    <row r="1562" ht="11.4" hidden="1" customHeight="1" spans="1:24">
      <c r="A1562" s="184" t="s">
        <v>3180</v>
      </c>
      <c r="B1562" s="184" t="s">
        <v>94</v>
      </c>
      <c r="C1562" s="184" t="s">
        <v>93</v>
      </c>
      <c r="D1562" s="185" t="s">
        <v>704</v>
      </c>
      <c r="E1562" s="186" t="s">
        <v>868</v>
      </c>
      <c r="F1562" s="186" t="s">
        <v>1051</v>
      </c>
      <c r="G1562" s="186" t="s">
        <v>1052</v>
      </c>
      <c r="H1562" s="186" t="s">
        <v>1053</v>
      </c>
      <c r="I1562" s="187" t="s">
        <v>1061</v>
      </c>
      <c r="J1562" s="187" t="s">
        <v>1062</v>
      </c>
      <c r="K1562" s="188"/>
      <c r="L1562" s="188"/>
      <c r="M1562" s="189" t="s">
        <v>1018</v>
      </c>
      <c r="N1562" s="190">
        <v>3154.85</v>
      </c>
      <c r="O1562" s="190">
        <f t="shared" si="195"/>
        <v>3438.79</v>
      </c>
      <c r="P1562" s="191">
        <f t="shared" si="196"/>
        <v>0</v>
      </c>
      <c r="Q1562" s="192">
        <f t="shared" si="197"/>
        <v>0</v>
      </c>
      <c r="R1562" s="193"/>
      <c r="S1562" s="194"/>
      <c r="T1562" s="195">
        <f t="shared" si="198"/>
        <v>0</v>
      </c>
      <c r="U1562" s="195">
        <f t="shared" si="199"/>
        <v>0</v>
      </c>
      <c r="V1562" s="195">
        <f t="shared" si="200"/>
        <v>0</v>
      </c>
      <c r="W1562" s="196" t="e">
        <f t="shared" si="201"/>
        <v>#DIV/0!</v>
      </c>
      <c r="X1562" s="197" t="e">
        <f t="shared" si="202"/>
        <v>#DIV/0!</v>
      </c>
    </row>
    <row r="1563" ht="11.4" hidden="1" customHeight="1" spans="1:24">
      <c r="A1563" s="184" t="s">
        <v>3180</v>
      </c>
      <c r="B1563" s="184" t="s">
        <v>94</v>
      </c>
      <c r="C1563" s="184" t="s">
        <v>93</v>
      </c>
      <c r="D1563" s="185" t="s">
        <v>704</v>
      </c>
      <c r="E1563" s="186" t="s">
        <v>868</v>
      </c>
      <c r="F1563" s="186" t="s">
        <v>1051</v>
      </c>
      <c r="G1563" s="186" t="s">
        <v>1052</v>
      </c>
      <c r="H1563" s="186" t="s">
        <v>1063</v>
      </c>
      <c r="I1563" s="187" t="s">
        <v>1064</v>
      </c>
      <c r="J1563" s="187" t="s">
        <v>1065</v>
      </c>
      <c r="K1563" s="188"/>
      <c r="L1563" s="188"/>
      <c r="M1563" s="189" t="s">
        <v>807</v>
      </c>
      <c r="N1563" s="190">
        <v>219.82</v>
      </c>
      <c r="O1563" s="190">
        <f t="shared" si="195"/>
        <v>239.6</v>
      </c>
      <c r="P1563" s="191">
        <f t="shared" si="196"/>
        <v>0</v>
      </c>
      <c r="Q1563" s="192">
        <f t="shared" si="197"/>
        <v>0</v>
      </c>
      <c r="R1563" s="193"/>
      <c r="S1563" s="194"/>
      <c r="T1563" s="195">
        <f t="shared" si="198"/>
        <v>0</v>
      </c>
      <c r="U1563" s="195">
        <f t="shared" si="199"/>
        <v>0</v>
      </c>
      <c r="V1563" s="195">
        <f t="shared" si="200"/>
        <v>0</v>
      </c>
      <c r="W1563" s="196" t="e">
        <f t="shared" si="201"/>
        <v>#DIV/0!</v>
      </c>
      <c r="X1563" s="197" t="e">
        <f t="shared" si="202"/>
        <v>#DIV/0!</v>
      </c>
    </row>
    <row r="1564" ht="11.4" hidden="1" customHeight="1" spans="1:24">
      <c r="A1564" s="184" t="s">
        <v>3180</v>
      </c>
      <c r="B1564" s="184" t="s">
        <v>94</v>
      </c>
      <c r="C1564" s="184" t="s">
        <v>93</v>
      </c>
      <c r="D1564" s="185" t="s">
        <v>704</v>
      </c>
      <c r="E1564" s="186" t="s">
        <v>868</v>
      </c>
      <c r="F1564" s="186" t="s">
        <v>1051</v>
      </c>
      <c r="G1564" s="186" t="s">
        <v>1052</v>
      </c>
      <c r="H1564" s="186" t="s">
        <v>1063</v>
      </c>
      <c r="I1564" s="187" t="s">
        <v>1066</v>
      </c>
      <c r="J1564" s="187" t="s">
        <v>1067</v>
      </c>
      <c r="K1564" s="188"/>
      <c r="L1564" s="188"/>
      <c r="M1564" s="189" t="s">
        <v>807</v>
      </c>
      <c r="N1564" s="190">
        <v>135.14</v>
      </c>
      <c r="O1564" s="190">
        <f t="shared" si="195"/>
        <v>147.3</v>
      </c>
      <c r="P1564" s="191">
        <f t="shared" si="196"/>
        <v>0</v>
      </c>
      <c r="Q1564" s="192">
        <f t="shared" si="197"/>
        <v>0</v>
      </c>
      <c r="R1564" s="193"/>
      <c r="S1564" s="194"/>
      <c r="T1564" s="195">
        <f t="shared" si="198"/>
        <v>0</v>
      </c>
      <c r="U1564" s="195">
        <f t="shared" si="199"/>
        <v>0</v>
      </c>
      <c r="V1564" s="195">
        <f t="shared" si="200"/>
        <v>0</v>
      </c>
      <c r="W1564" s="196" t="e">
        <f t="shared" si="201"/>
        <v>#DIV/0!</v>
      </c>
      <c r="X1564" s="197" t="e">
        <f t="shared" si="202"/>
        <v>#DIV/0!</v>
      </c>
    </row>
    <row r="1565" ht="11.4" hidden="1" customHeight="1" spans="1:24">
      <c r="A1565" s="184" t="s">
        <v>3180</v>
      </c>
      <c r="B1565" s="184" t="s">
        <v>94</v>
      </c>
      <c r="C1565" s="184" t="s">
        <v>93</v>
      </c>
      <c r="D1565" s="185" t="s">
        <v>704</v>
      </c>
      <c r="E1565" s="186" t="s">
        <v>868</v>
      </c>
      <c r="F1565" s="186" t="s">
        <v>1051</v>
      </c>
      <c r="G1565" s="186" t="s">
        <v>1052</v>
      </c>
      <c r="H1565" s="186" t="s">
        <v>1063</v>
      </c>
      <c r="I1565" s="187" t="s">
        <v>1068</v>
      </c>
      <c r="J1565" s="187" t="s">
        <v>1069</v>
      </c>
      <c r="K1565" s="188"/>
      <c r="L1565" s="188"/>
      <c r="M1565" s="189" t="s">
        <v>807</v>
      </c>
      <c r="N1565" s="190">
        <v>68.47</v>
      </c>
      <c r="O1565" s="190">
        <f t="shared" si="195"/>
        <v>74.63</v>
      </c>
      <c r="P1565" s="191">
        <f t="shared" si="196"/>
        <v>0</v>
      </c>
      <c r="Q1565" s="192">
        <f t="shared" si="197"/>
        <v>0</v>
      </c>
      <c r="R1565" s="193"/>
      <c r="S1565" s="194"/>
      <c r="T1565" s="195">
        <f t="shared" si="198"/>
        <v>0</v>
      </c>
      <c r="U1565" s="195">
        <f t="shared" si="199"/>
        <v>0</v>
      </c>
      <c r="V1565" s="195">
        <f t="shared" si="200"/>
        <v>0</v>
      </c>
      <c r="W1565" s="196" t="e">
        <f t="shared" si="201"/>
        <v>#DIV/0!</v>
      </c>
      <c r="X1565" s="197" t="e">
        <f t="shared" si="202"/>
        <v>#DIV/0!</v>
      </c>
    </row>
    <row r="1566" ht="11.4" hidden="1" customHeight="1" spans="1:24">
      <c r="A1566" s="184" t="s">
        <v>3180</v>
      </c>
      <c r="B1566" s="184" t="s">
        <v>94</v>
      </c>
      <c r="C1566" s="184" t="s">
        <v>93</v>
      </c>
      <c r="D1566" s="185" t="s">
        <v>704</v>
      </c>
      <c r="E1566" s="186" t="s">
        <v>868</v>
      </c>
      <c r="F1566" s="186" t="s">
        <v>1051</v>
      </c>
      <c r="G1566" s="186" t="s">
        <v>1052</v>
      </c>
      <c r="H1566" s="186" t="s">
        <v>1063</v>
      </c>
      <c r="I1566" s="187" t="s">
        <v>1070</v>
      </c>
      <c r="J1566" s="187" t="s">
        <v>1071</v>
      </c>
      <c r="K1566" s="188"/>
      <c r="L1566" s="188"/>
      <c r="M1566" s="189" t="s">
        <v>1018</v>
      </c>
      <c r="N1566" s="190">
        <v>3154.85</v>
      </c>
      <c r="O1566" s="190">
        <f t="shared" si="195"/>
        <v>3438.79</v>
      </c>
      <c r="P1566" s="191">
        <f t="shared" si="196"/>
        <v>0</v>
      </c>
      <c r="Q1566" s="192">
        <f t="shared" si="197"/>
        <v>0</v>
      </c>
      <c r="R1566" s="193"/>
      <c r="S1566" s="194"/>
      <c r="T1566" s="195">
        <f t="shared" si="198"/>
        <v>0</v>
      </c>
      <c r="U1566" s="195">
        <f t="shared" si="199"/>
        <v>0</v>
      </c>
      <c r="V1566" s="195">
        <f t="shared" si="200"/>
        <v>0</v>
      </c>
      <c r="W1566" s="196" t="e">
        <f t="shared" si="201"/>
        <v>#DIV/0!</v>
      </c>
      <c r="X1566" s="197" t="e">
        <f t="shared" si="202"/>
        <v>#DIV/0!</v>
      </c>
    </row>
    <row r="1567" ht="11.4" hidden="1" customHeight="1" spans="1:24">
      <c r="A1567" s="184" t="s">
        <v>3180</v>
      </c>
      <c r="B1567" s="184" t="s">
        <v>94</v>
      </c>
      <c r="C1567" s="184" t="s">
        <v>93</v>
      </c>
      <c r="D1567" s="185" t="s">
        <v>704</v>
      </c>
      <c r="E1567" s="186" t="s">
        <v>868</v>
      </c>
      <c r="F1567" s="186" t="s">
        <v>1051</v>
      </c>
      <c r="G1567" s="186" t="s">
        <v>1052</v>
      </c>
      <c r="H1567" s="186" t="s">
        <v>1063</v>
      </c>
      <c r="I1567" s="187" t="s">
        <v>1072</v>
      </c>
      <c r="J1567" s="187" t="s">
        <v>1073</v>
      </c>
      <c r="K1567" s="188"/>
      <c r="L1567" s="188"/>
      <c r="M1567" s="189" t="s">
        <v>1018</v>
      </c>
      <c r="N1567" s="190">
        <v>63.96</v>
      </c>
      <c r="O1567" s="190">
        <f t="shared" si="195"/>
        <v>69.72</v>
      </c>
      <c r="P1567" s="191">
        <f t="shared" si="196"/>
        <v>0</v>
      </c>
      <c r="Q1567" s="192">
        <f t="shared" si="197"/>
        <v>0</v>
      </c>
      <c r="R1567" s="193"/>
      <c r="S1567" s="194"/>
      <c r="T1567" s="195">
        <f t="shared" si="198"/>
        <v>0</v>
      </c>
      <c r="U1567" s="195">
        <f t="shared" si="199"/>
        <v>0</v>
      </c>
      <c r="V1567" s="195">
        <f t="shared" si="200"/>
        <v>0</v>
      </c>
      <c r="W1567" s="196" t="e">
        <f t="shared" si="201"/>
        <v>#DIV/0!</v>
      </c>
      <c r="X1567" s="197" t="e">
        <f t="shared" si="202"/>
        <v>#DIV/0!</v>
      </c>
    </row>
    <row r="1568" ht="11.4" hidden="1" customHeight="1" spans="1:24">
      <c r="A1568" s="184" t="s">
        <v>3180</v>
      </c>
      <c r="B1568" s="184" t="s">
        <v>94</v>
      </c>
      <c r="C1568" s="184" t="s">
        <v>93</v>
      </c>
      <c r="D1568" s="185" t="s">
        <v>704</v>
      </c>
      <c r="E1568" s="186" t="s">
        <v>868</v>
      </c>
      <c r="F1568" s="186" t="s">
        <v>1051</v>
      </c>
      <c r="G1568" s="186" t="s">
        <v>1052</v>
      </c>
      <c r="H1568" s="186" t="s">
        <v>1074</v>
      </c>
      <c r="I1568" s="187" t="s">
        <v>1075</v>
      </c>
      <c r="J1568" s="187" t="s">
        <v>1076</v>
      </c>
      <c r="K1568" s="188"/>
      <c r="L1568" s="188"/>
      <c r="M1568" s="189" t="s">
        <v>807</v>
      </c>
      <c r="N1568" s="190">
        <v>81.08</v>
      </c>
      <c r="O1568" s="190">
        <f t="shared" si="195"/>
        <v>88.38</v>
      </c>
      <c r="P1568" s="191">
        <f t="shared" si="196"/>
        <v>0</v>
      </c>
      <c r="Q1568" s="192">
        <f t="shared" si="197"/>
        <v>0</v>
      </c>
      <c r="R1568" s="193"/>
      <c r="S1568" s="194"/>
      <c r="T1568" s="195">
        <f t="shared" si="198"/>
        <v>0</v>
      </c>
      <c r="U1568" s="195">
        <f t="shared" si="199"/>
        <v>0</v>
      </c>
      <c r="V1568" s="195">
        <f t="shared" si="200"/>
        <v>0</v>
      </c>
      <c r="W1568" s="196" t="e">
        <f t="shared" si="201"/>
        <v>#DIV/0!</v>
      </c>
      <c r="X1568" s="197" t="e">
        <f t="shared" si="202"/>
        <v>#DIV/0!</v>
      </c>
    </row>
    <row r="1569" ht="11.4" hidden="1" customHeight="1" spans="1:24">
      <c r="A1569" s="184" t="s">
        <v>3180</v>
      </c>
      <c r="B1569" s="184" t="s">
        <v>94</v>
      </c>
      <c r="C1569" s="184" t="s">
        <v>93</v>
      </c>
      <c r="D1569" s="185" t="s">
        <v>704</v>
      </c>
      <c r="E1569" s="186" t="s">
        <v>868</v>
      </c>
      <c r="F1569" s="186" t="s">
        <v>1051</v>
      </c>
      <c r="G1569" s="186" t="s">
        <v>1052</v>
      </c>
      <c r="H1569" s="186" t="s">
        <v>1074</v>
      </c>
      <c r="I1569" s="187" t="s">
        <v>1077</v>
      </c>
      <c r="J1569" s="187" t="s">
        <v>1078</v>
      </c>
      <c r="K1569" s="188"/>
      <c r="L1569" s="188"/>
      <c r="M1569" s="189" t="s">
        <v>807</v>
      </c>
      <c r="N1569" s="190">
        <v>70.27</v>
      </c>
      <c r="O1569" s="190">
        <f t="shared" si="195"/>
        <v>76.59</v>
      </c>
      <c r="P1569" s="191">
        <f t="shared" si="196"/>
        <v>0</v>
      </c>
      <c r="Q1569" s="192">
        <f t="shared" si="197"/>
        <v>0</v>
      </c>
      <c r="R1569" s="193"/>
      <c r="S1569" s="194"/>
      <c r="T1569" s="195">
        <f t="shared" si="198"/>
        <v>0</v>
      </c>
      <c r="U1569" s="195">
        <f t="shared" si="199"/>
        <v>0</v>
      </c>
      <c r="V1569" s="195">
        <f t="shared" si="200"/>
        <v>0</v>
      </c>
      <c r="W1569" s="196" t="e">
        <f t="shared" si="201"/>
        <v>#DIV/0!</v>
      </c>
      <c r="X1569" s="197" t="e">
        <f t="shared" si="202"/>
        <v>#DIV/0!</v>
      </c>
    </row>
    <row r="1570" ht="11.4" hidden="1" customHeight="1" spans="1:24">
      <c r="A1570" s="184" t="s">
        <v>3180</v>
      </c>
      <c r="B1570" s="184" t="s">
        <v>94</v>
      </c>
      <c r="C1570" s="184" t="s">
        <v>93</v>
      </c>
      <c r="D1570" s="185" t="s">
        <v>704</v>
      </c>
      <c r="E1570" s="186" t="s">
        <v>868</v>
      </c>
      <c r="F1570" s="186" t="s">
        <v>1051</v>
      </c>
      <c r="G1570" s="186" t="s">
        <v>1052</v>
      </c>
      <c r="H1570" s="186" t="s">
        <v>1074</v>
      </c>
      <c r="I1570" s="187" t="s">
        <v>1079</v>
      </c>
      <c r="J1570" s="187" t="s">
        <v>1080</v>
      </c>
      <c r="K1570" s="188"/>
      <c r="L1570" s="188"/>
      <c r="M1570" s="189" t="s">
        <v>807</v>
      </c>
      <c r="N1570" s="190">
        <v>63.06</v>
      </c>
      <c r="O1570" s="190">
        <f t="shared" si="195"/>
        <v>68.74</v>
      </c>
      <c r="P1570" s="191">
        <f t="shared" si="196"/>
        <v>0</v>
      </c>
      <c r="Q1570" s="192">
        <f t="shared" si="197"/>
        <v>0</v>
      </c>
      <c r="R1570" s="193"/>
      <c r="S1570" s="194"/>
      <c r="T1570" s="195">
        <f t="shared" si="198"/>
        <v>0</v>
      </c>
      <c r="U1570" s="195">
        <f t="shared" si="199"/>
        <v>0</v>
      </c>
      <c r="V1570" s="195">
        <f t="shared" si="200"/>
        <v>0</v>
      </c>
      <c r="W1570" s="196" t="e">
        <f t="shared" si="201"/>
        <v>#DIV/0!</v>
      </c>
      <c r="X1570" s="197" t="e">
        <f t="shared" si="202"/>
        <v>#DIV/0!</v>
      </c>
    </row>
    <row r="1571" ht="11.4" hidden="1" customHeight="1" spans="1:24">
      <c r="A1571" s="184" t="s">
        <v>3180</v>
      </c>
      <c r="B1571" s="184" t="s">
        <v>94</v>
      </c>
      <c r="C1571" s="184" t="s">
        <v>93</v>
      </c>
      <c r="D1571" s="185" t="s">
        <v>704</v>
      </c>
      <c r="E1571" s="186" t="s">
        <v>868</v>
      </c>
      <c r="F1571" s="186" t="s">
        <v>1051</v>
      </c>
      <c r="G1571" s="186" t="s">
        <v>1052</v>
      </c>
      <c r="H1571" s="186" t="s">
        <v>1074</v>
      </c>
      <c r="I1571" s="187" t="s">
        <v>1081</v>
      </c>
      <c r="J1571" s="187" t="s">
        <v>1082</v>
      </c>
      <c r="K1571" s="188"/>
      <c r="L1571" s="188"/>
      <c r="M1571" s="189" t="s">
        <v>989</v>
      </c>
      <c r="N1571" s="190">
        <v>891.89</v>
      </c>
      <c r="O1571" s="190">
        <f t="shared" si="195"/>
        <v>972.16</v>
      </c>
      <c r="P1571" s="191">
        <f t="shared" si="196"/>
        <v>0</v>
      </c>
      <c r="Q1571" s="192">
        <f t="shared" si="197"/>
        <v>0</v>
      </c>
      <c r="R1571" s="193"/>
      <c r="S1571" s="194"/>
      <c r="T1571" s="195">
        <f t="shared" si="198"/>
        <v>0</v>
      </c>
      <c r="U1571" s="195">
        <f t="shared" si="199"/>
        <v>0</v>
      </c>
      <c r="V1571" s="195">
        <f t="shared" si="200"/>
        <v>0</v>
      </c>
      <c r="W1571" s="196" t="e">
        <f t="shared" si="201"/>
        <v>#DIV/0!</v>
      </c>
      <c r="X1571" s="197" t="e">
        <f t="shared" si="202"/>
        <v>#DIV/0!</v>
      </c>
    </row>
    <row r="1572" ht="11.4" hidden="1" customHeight="1" spans="1:24">
      <c r="A1572" s="184" t="s">
        <v>3181</v>
      </c>
      <c r="B1572" s="184" t="s">
        <v>97</v>
      </c>
      <c r="C1572" s="184" t="s">
        <v>96</v>
      </c>
      <c r="D1572" s="185" t="s">
        <v>704</v>
      </c>
      <c r="E1572" s="186" t="s">
        <v>868</v>
      </c>
      <c r="F1572" s="186" t="s">
        <v>1051</v>
      </c>
      <c r="G1572" s="186" t="s">
        <v>1084</v>
      </c>
      <c r="H1572" s="186" t="s">
        <v>1084</v>
      </c>
      <c r="I1572" s="187" t="s">
        <v>1085</v>
      </c>
      <c r="J1572" s="187" t="s">
        <v>1086</v>
      </c>
      <c r="K1572" s="188"/>
      <c r="L1572" s="188"/>
      <c r="M1572" s="189" t="s">
        <v>847</v>
      </c>
      <c r="N1572" s="190">
        <v>172.07</v>
      </c>
      <c r="O1572" s="190">
        <f t="shared" si="195"/>
        <v>187.56</v>
      </c>
      <c r="P1572" s="191">
        <f t="shared" si="196"/>
        <v>0</v>
      </c>
      <c r="Q1572" s="192">
        <f t="shared" si="197"/>
        <v>0</v>
      </c>
      <c r="R1572" s="193"/>
      <c r="S1572" s="194"/>
      <c r="T1572" s="195">
        <f t="shared" si="198"/>
        <v>0</v>
      </c>
      <c r="U1572" s="195">
        <f t="shared" si="199"/>
        <v>0</v>
      </c>
      <c r="V1572" s="195">
        <f t="shared" si="200"/>
        <v>0</v>
      </c>
      <c r="W1572" s="196" t="e">
        <f t="shared" si="201"/>
        <v>#DIV/0!</v>
      </c>
      <c r="X1572" s="197" t="e">
        <f t="shared" si="202"/>
        <v>#DIV/0!</v>
      </c>
    </row>
    <row r="1573" ht="11.4" hidden="1" customHeight="1" spans="1:24">
      <c r="A1573" s="184" t="s">
        <v>3182</v>
      </c>
      <c r="B1573" s="184" t="s">
        <v>99</v>
      </c>
      <c r="C1573" s="184" t="s">
        <v>1088</v>
      </c>
      <c r="D1573" s="185" t="s">
        <v>704</v>
      </c>
      <c r="E1573" s="186" t="s">
        <v>868</v>
      </c>
      <c r="F1573" s="186" t="s">
        <v>1089</v>
      </c>
      <c r="G1573" s="186" t="s">
        <v>1090</v>
      </c>
      <c r="H1573" s="186" t="s">
        <v>1090</v>
      </c>
      <c r="I1573" s="187" t="s">
        <v>1091</v>
      </c>
      <c r="J1573" s="187" t="s">
        <v>1092</v>
      </c>
      <c r="K1573" s="188"/>
      <c r="L1573" s="188"/>
      <c r="M1573" s="189" t="s">
        <v>895</v>
      </c>
      <c r="N1573" s="190">
        <v>9020</v>
      </c>
      <c r="O1573" s="190">
        <f t="shared" si="195"/>
        <v>9831.8</v>
      </c>
      <c r="P1573" s="191">
        <f t="shared" si="196"/>
        <v>0</v>
      </c>
      <c r="Q1573" s="192">
        <f t="shared" si="197"/>
        <v>0</v>
      </c>
      <c r="R1573" s="193"/>
      <c r="S1573" s="194"/>
      <c r="T1573" s="195">
        <f t="shared" si="198"/>
        <v>0</v>
      </c>
      <c r="U1573" s="195">
        <f t="shared" si="199"/>
        <v>0</v>
      </c>
      <c r="V1573" s="195">
        <f t="shared" si="200"/>
        <v>0</v>
      </c>
      <c r="W1573" s="196" t="e">
        <f t="shared" si="201"/>
        <v>#DIV/0!</v>
      </c>
      <c r="X1573" s="197" t="e">
        <f t="shared" si="202"/>
        <v>#DIV/0!</v>
      </c>
    </row>
    <row r="1574" ht="11.4" hidden="1" customHeight="1" spans="1:24">
      <c r="A1574" s="184" t="s">
        <v>3182</v>
      </c>
      <c r="B1574" s="184" t="s">
        <v>99</v>
      </c>
      <c r="C1574" s="184" t="s">
        <v>1088</v>
      </c>
      <c r="D1574" s="185" t="s">
        <v>704</v>
      </c>
      <c r="E1574" s="186" t="s">
        <v>868</v>
      </c>
      <c r="F1574" s="186" t="s">
        <v>1089</v>
      </c>
      <c r="G1574" s="186" t="s">
        <v>1090</v>
      </c>
      <c r="H1574" s="186" t="s">
        <v>1090</v>
      </c>
      <c r="I1574" s="187" t="s">
        <v>1094</v>
      </c>
      <c r="J1574" s="187" t="s">
        <v>1095</v>
      </c>
      <c r="K1574" s="188"/>
      <c r="L1574" s="188"/>
      <c r="M1574" s="189" t="s">
        <v>793</v>
      </c>
      <c r="N1574" s="190"/>
      <c r="O1574" s="190">
        <f t="shared" si="195"/>
        <v>0</v>
      </c>
      <c r="P1574" s="191">
        <f t="shared" si="196"/>
        <v>0</v>
      </c>
      <c r="Q1574" s="192">
        <f t="shared" si="197"/>
        <v>0</v>
      </c>
      <c r="R1574" s="193"/>
      <c r="S1574" s="194"/>
      <c r="T1574" s="195">
        <f t="shared" si="198"/>
        <v>0</v>
      </c>
      <c r="U1574" s="195">
        <f t="shared" si="199"/>
        <v>0</v>
      </c>
      <c r="V1574" s="195">
        <f t="shared" si="200"/>
        <v>0</v>
      </c>
      <c r="W1574" s="196" t="e">
        <f t="shared" si="201"/>
        <v>#DIV/0!</v>
      </c>
      <c r="X1574" s="197" t="e">
        <f t="shared" si="202"/>
        <v>#DIV/0!</v>
      </c>
    </row>
    <row r="1575" ht="11.4" hidden="1" customHeight="1" spans="1:24">
      <c r="A1575" s="184" t="s">
        <v>3182</v>
      </c>
      <c r="B1575" s="184" t="s">
        <v>99</v>
      </c>
      <c r="C1575" s="184" t="s">
        <v>1088</v>
      </c>
      <c r="D1575" s="185" t="s">
        <v>704</v>
      </c>
      <c r="E1575" s="186" t="s">
        <v>868</v>
      </c>
      <c r="F1575" s="186" t="s">
        <v>1089</v>
      </c>
      <c r="G1575" s="186" t="s">
        <v>1090</v>
      </c>
      <c r="H1575" s="186" t="s">
        <v>1090</v>
      </c>
      <c r="I1575" s="187" t="s">
        <v>1096</v>
      </c>
      <c r="J1575" s="187" t="s">
        <v>1097</v>
      </c>
      <c r="K1575" s="188"/>
      <c r="L1575" s="188"/>
      <c r="M1575" s="189" t="s">
        <v>793</v>
      </c>
      <c r="N1575" s="190"/>
      <c r="O1575" s="190">
        <f t="shared" si="195"/>
        <v>0</v>
      </c>
      <c r="P1575" s="191">
        <f t="shared" si="196"/>
        <v>0</v>
      </c>
      <c r="Q1575" s="192">
        <f t="shared" si="197"/>
        <v>0</v>
      </c>
      <c r="R1575" s="193"/>
      <c r="S1575" s="194"/>
      <c r="T1575" s="195">
        <f t="shared" si="198"/>
        <v>0</v>
      </c>
      <c r="U1575" s="195">
        <f t="shared" si="199"/>
        <v>0</v>
      </c>
      <c r="V1575" s="195">
        <f t="shared" si="200"/>
        <v>0</v>
      </c>
      <c r="W1575" s="196" t="e">
        <f t="shared" si="201"/>
        <v>#DIV/0!</v>
      </c>
      <c r="X1575" s="197" t="e">
        <f t="shared" si="202"/>
        <v>#DIV/0!</v>
      </c>
    </row>
    <row r="1576" ht="11.4" hidden="1" customHeight="1" spans="1:24">
      <c r="A1576" s="184" t="s">
        <v>3182</v>
      </c>
      <c r="B1576" s="184" t="s">
        <v>99</v>
      </c>
      <c r="C1576" s="184" t="s">
        <v>1088</v>
      </c>
      <c r="D1576" s="185" t="s">
        <v>704</v>
      </c>
      <c r="E1576" s="186" t="s">
        <v>868</v>
      </c>
      <c r="F1576" s="186" t="s">
        <v>1089</v>
      </c>
      <c r="G1576" s="186" t="s">
        <v>1090</v>
      </c>
      <c r="H1576" s="186" t="s">
        <v>1090</v>
      </c>
      <c r="I1576" s="187" t="s">
        <v>1098</v>
      </c>
      <c r="J1576" s="187" t="s">
        <v>1099</v>
      </c>
      <c r="K1576" s="188"/>
      <c r="L1576" s="188"/>
      <c r="M1576" s="189" t="s">
        <v>793</v>
      </c>
      <c r="N1576" s="190"/>
      <c r="O1576" s="190">
        <f t="shared" si="195"/>
        <v>0</v>
      </c>
      <c r="P1576" s="191">
        <f t="shared" si="196"/>
        <v>0</v>
      </c>
      <c r="Q1576" s="192">
        <f t="shared" si="197"/>
        <v>0</v>
      </c>
      <c r="R1576" s="193"/>
      <c r="S1576" s="194"/>
      <c r="T1576" s="195">
        <f t="shared" si="198"/>
        <v>0</v>
      </c>
      <c r="U1576" s="195">
        <f t="shared" si="199"/>
        <v>0</v>
      </c>
      <c r="V1576" s="195">
        <f t="shared" si="200"/>
        <v>0</v>
      </c>
      <c r="W1576" s="196" t="e">
        <f t="shared" si="201"/>
        <v>#DIV/0!</v>
      </c>
      <c r="X1576" s="197" t="e">
        <f t="shared" si="202"/>
        <v>#DIV/0!</v>
      </c>
    </row>
    <row r="1577" ht="11.4" hidden="1" customHeight="1" spans="1:24">
      <c r="A1577" s="184" t="s">
        <v>3183</v>
      </c>
      <c r="B1577" s="184" t="s">
        <v>111</v>
      </c>
      <c r="C1577" s="184" t="s">
        <v>1101</v>
      </c>
      <c r="D1577" s="185" t="s">
        <v>704</v>
      </c>
      <c r="E1577" s="186" t="s">
        <v>906</v>
      </c>
      <c r="F1577" s="186" t="s">
        <v>907</v>
      </c>
      <c r="G1577" s="186" t="s">
        <v>1102</v>
      </c>
      <c r="H1577" s="186" t="s">
        <v>1103</v>
      </c>
      <c r="I1577" s="187" t="s">
        <v>1104</v>
      </c>
      <c r="J1577" s="187" t="s">
        <v>1105</v>
      </c>
      <c r="K1577" s="188"/>
      <c r="L1577" s="188"/>
      <c r="M1577" s="189" t="s">
        <v>847</v>
      </c>
      <c r="N1577" s="190">
        <v>180.78</v>
      </c>
      <c r="O1577" s="190">
        <f t="shared" si="195"/>
        <v>197.05</v>
      </c>
      <c r="P1577" s="191">
        <f t="shared" si="196"/>
        <v>0</v>
      </c>
      <c r="Q1577" s="192">
        <f t="shared" si="197"/>
        <v>0</v>
      </c>
      <c r="R1577" s="193"/>
      <c r="S1577" s="194"/>
      <c r="T1577" s="195">
        <f t="shared" si="198"/>
        <v>0</v>
      </c>
      <c r="U1577" s="195">
        <f t="shared" si="199"/>
        <v>0</v>
      </c>
      <c r="V1577" s="195">
        <f t="shared" si="200"/>
        <v>0</v>
      </c>
      <c r="W1577" s="196" t="e">
        <f t="shared" si="201"/>
        <v>#DIV/0!</v>
      </c>
      <c r="X1577" s="197" t="e">
        <f t="shared" si="202"/>
        <v>#DIV/0!</v>
      </c>
    </row>
    <row r="1578" ht="11.4" hidden="1" customHeight="1" spans="1:24">
      <c r="A1578" s="184" t="s">
        <v>3183</v>
      </c>
      <c r="B1578" s="184" t="s">
        <v>111</v>
      </c>
      <c r="C1578" s="184" t="s">
        <v>1101</v>
      </c>
      <c r="D1578" s="185" t="s">
        <v>704</v>
      </c>
      <c r="E1578" s="186" t="s">
        <v>906</v>
      </c>
      <c r="F1578" s="186" t="s">
        <v>907</v>
      </c>
      <c r="G1578" s="186" t="s">
        <v>1102</v>
      </c>
      <c r="H1578" s="186" t="s">
        <v>1103</v>
      </c>
      <c r="I1578" s="187" t="s">
        <v>1106</v>
      </c>
      <c r="J1578" s="187" t="s">
        <v>1107</v>
      </c>
      <c r="K1578" s="188"/>
      <c r="L1578" s="188"/>
      <c r="M1578" s="189" t="s">
        <v>807</v>
      </c>
      <c r="N1578" s="190">
        <v>41.36</v>
      </c>
      <c r="O1578" s="190">
        <f t="shared" si="195"/>
        <v>45.08</v>
      </c>
      <c r="P1578" s="191">
        <f t="shared" si="196"/>
        <v>0</v>
      </c>
      <c r="Q1578" s="192">
        <f t="shared" si="197"/>
        <v>0</v>
      </c>
      <c r="R1578" s="193"/>
      <c r="S1578" s="194"/>
      <c r="T1578" s="195">
        <f t="shared" si="198"/>
        <v>0</v>
      </c>
      <c r="U1578" s="195">
        <f t="shared" si="199"/>
        <v>0</v>
      </c>
      <c r="V1578" s="195">
        <f t="shared" si="200"/>
        <v>0</v>
      </c>
      <c r="W1578" s="196" t="e">
        <f t="shared" si="201"/>
        <v>#DIV/0!</v>
      </c>
      <c r="X1578" s="197" t="e">
        <f t="shared" si="202"/>
        <v>#DIV/0!</v>
      </c>
    </row>
    <row r="1579" ht="11.4" hidden="1" customHeight="1" spans="1:24">
      <c r="A1579" s="184" t="s">
        <v>3183</v>
      </c>
      <c r="B1579" s="184" t="s">
        <v>111</v>
      </c>
      <c r="C1579" s="184" t="s">
        <v>1101</v>
      </c>
      <c r="D1579" s="185" t="s">
        <v>704</v>
      </c>
      <c r="E1579" s="186" t="s">
        <v>906</v>
      </c>
      <c r="F1579" s="186" t="s">
        <v>907</v>
      </c>
      <c r="G1579" s="186" t="s">
        <v>1102</v>
      </c>
      <c r="H1579" s="186" t="s">
        <v>1103</v>
      </c>
      <c r="I1579" s="187" t="s">
        <v>1109</v>
      </c>
      <c r="J1579" s="187" t="s">
        <v>1110</v>
      </c>
      <c r="K1579" s="188"/>
      <c r="L1579" s="188"/>
      <c r="M1579" s="189" t="s">
        <v>847</v>
      </c>
      <c r="N1579" s="190">
        <v>160.21</v>
      </c>
      <c r="O1579" s="190">
        <f t="shared" si="195"/>
        <v>174.63</v>
      </c>
      <c r="P1579" s="191">
        <f t="shared" si="196"/>
        <v>0</v>
      </c>
      <c r="Q1579" s="192">
        <f t="shared" si="197"/>
        <v>0</v>
      </c>
      <c r="R1579" s="193"/>
      <c r="S1579" s="194"/>
      <c r="T1579" s="195">
        <f t="shared" si="198"/>
        <v>0</v>
      </c>
      <c r="U1579" s="195">
        <f t="shared" si="199"/>
        <v>0</v>
      </c>
      <c r="V1579" s="195">
        <f t="shared" si="200"/>
        <v>0</v>
      </c>
      <c r="W1579" s="196" t="e">
        <f t="shared" si="201"/>
        <v>#DIV/0!</v>
      </c>
      <c r="X1579" s="197" t="e">
        <f t="shared" si="202"/>
        <v>#DIV/0!</v>
      </c>
    </row>
    <row r="1580" ht="11.4" hidden="1" customHeight="1" spans="1:24">
      <c r="A1580" s="184" t="s">
        <v>3183</v>
      </c>
      <c r="B1580" s="184" t="s">
        <v>111</v>
      </c>
      <c r="C1580" s="184" t="s">
        <v>1101</v>
      </c>
      <c r="D1580" s="185" t="s">
        <v>704</v>
      </c>
      <c r="E1580" s="186" t="s">
        <v>906</v>
      </c>
      <c r="F1580" s="186" t="s">
        <v>907</v>
      </c>
      <c r="G1580" s="186" t="s">
        <v>1102</v>
      </c>
      <c r="H1580" s="186" t="s">
        <v>1103</v>
      </c>
      <c r="I1580" s="187" t="s">
        <v>1111</v>
      </c>
      <c r="J1580" s="187" t="s">
        <v>1112</v>
      </c>
      <c r="K1580" s="188"/>
      <c r="L1580" s="188"/>
      <c r="M1580" s="189" t="s">
        <v>807</v>
      </c>
      <c r="N1580" s="190">
        <v>38.94</v>
      </c>
      <c r="O1580" s="190">
        <f t="shared" si="195"/>
        <v>42.44</v>
      </c>
      <c r="P1580" s="191">
        <f t="shared" si="196"/>
        <v>0</v>
      </c>
      <c r="Q1580" s="192">
        <f t="shared" si="197"/>
        <v>0</v>
      </c>
      <c r="R1580" s="193"/>
      <c r="S1580" s="194"/>
      <c r="T1580" s="195">
        <f t="shared" si="198"/>
        <v>0</v>
      </c>
      <c r="U1580" s="195">
        <f t="shared" si="199"/>
        <v>0</v>
      </c>
      <c r="V1580" s="195">
        <f t="shared" si="200"/>
        <v>0</v>
      </c>
      <c r="W1580" s="196" t="e">
        <f t="shared" si="201"/>
        <v>#DIV/0!</v>
      </c>
      <c r="X1580" s="197" t="e">
        <f t="shared" si="202"/>
        <v>#DIV/0!</v>
      </c>
    </row>
    <row r="1581" ht="11.4" hidden="1" customHeight="1" spans="1:24">
      <c r="A1581" s="184" t="s">
        <v>3183</v>
      </c>
      <c r="B1581" s="184" t="s">
        <v>111</v>
      </c>
      <c r="C1581" s="184" t="s">
        <v>1101</v>
      </c>
      <c r="D1581" s="185" t="s">
        <v>704</v>
      </c>
      <c r="E1581" s="186" t="s">
        <v>906</v>
      </c>
      <c r="F1581" s="186" t="s">
        <v>907</v>
      </c>
      <c r="G1581" s="186" t="s">
        <v>1102</v>
      </c>
      <c r="H1581" s="186" t="s">
        <v>1103</v>
      </c>
      <c r="I1581" s="187" t="s">
        <v>1113</v>
      </c>
      <c r="J1581" s="187" t="s">
        <v>1114</v>
      </c>
      <c r="K1581" s="188"/>
      <c r="L1581" s="188"/>
      <c r="M1581" s="189" t="s">
        <v>847</v>
      </c>
      <c r="N1581" s="190">
        <v>181.99</v>
      </c>
      <c r="O1581" s="190">
        <f t="shared" si="195"/>
        <v>198.37</v>
      </c>
      <c r="P1581" s="191">
        <f t="shared" si="196"/>
        <v>0</v>
      </c>
      <c r="Q1581" s="192">
        <f t="shared" si="197"/>
        <v>0</v>
      </c>
      <c r="R1581" s="193"/>
      <c r="S1581" s="194"/>
      <c r="T1581" s="195">
        <f t="shared" si="198"/>
        <v>0</v>
      </c>
      <c r="U1581" s="195">
        <f t="shared" si="199"/>
        <v>0</v>
      </c>
      <c r="V1581" s="195">
        <f t="shared" si="200"/>
        <v>0</v>
      </c>
      <c r="W1581" s="196" t="e">
        <f t="shared" si="201"/>
        <v>#DIV/0!</v>
      </c>
      <c r="X1581" s="197" t="e">
        <f t="shared" si="202"/>
        <v>#DIV/0!</v>
      </c>
    </row>
    <row r="1582" ht="11.4" hidden="1" customHeight="1" spans="1:24">
      <c r="A1582" s="184" t="s">
        <v>3183</v>
      </c>
      <c r="B1582" s="184" t="s">
        <v>111</v>
      </c>
      <c r="C1582" s="184" t="s">
        <v>1101</v>
      </c>
      <c r="D1582" s="185" t="s">
        <v>704</v>
      </c>
      <c r="E1582" s="186" t="s">
        <v>906</v>
      </c>
      <c r="F1582" s="186" t="s">
        <v>907</v>
      </c>
      <c r="G1582" s="186" t="s">
        <v>1102</v>
      </c>
      <c r="H1582" s="186" t="s">
        <v>1103</v>
      </c>
      <c r="I1582" s="187" t="s">
        <v>1115</v>
      </c>
      <c r="J1582" s="187" t="s">
        <v>1116</v>
      </c>
      <c r="K1582" s="188"/>
      <c r="L1582" s="188"/>
      <c r="M1582" s="189" t="s">
        <v>807</v>
      </c>
      <c r="N1582" s="190">
        <v>42.57</v>
      </c>
      <c r="O1582" s="190">
        <f t="shared" si="195"/>
        <v>46.4</v>
      </c>
      <c r="P1582" s="191">
        <f t="shared" si="196"/>
        <v>0</v>
      </c>
      <c r="Q1582" s="192">
        <f t="shared" si="197"/>
        <v>0</v>
      </c>
      <c r="R1582" s="193"/>
      <c r="S1582" s="194"/>
      <c r="T1582" s="195">
        <f t="shared" si="198"/>
        <v>0</v>
      </c>
      <c r="U1582" s="195">
        <f t="shared" si="199"/>
        <v>0</v>
      </c>
      <c r="V1582" s="195">
        <f t="shared" si="200"/>
        <v>0</v>
      </c>
      <c r="W1582" s="196" t="e">
        <f t="shared" si="201"/>
        <v>#DIV/0!</v>
      </c>
      <c r="X1582" s="197" t="e">
        <f t="shared" si="202"/>
        <v>#DIV/0!</v>
      </c>
    </row>
    <row r="1583" ht="11.4" hidden="1" customHeight="1" spans="1:24">
      <c r="A1583" s="184" t="s">
        <v>3183</v>
      </c>
      <c r="B1583" s="184" t="s">
        <v>111</v>
      </c>
      <c r="C1583" s="184" t="s">
        <v>1101</v>
      </c>
      <c r="D1583" s="185" t="s">
        <v>704</v>
      </c>
      <c r="E1583" s="186" t="s">
        <v>906</v>
      </c>
      <c r="F1583" s="186" t="s">
        <v>907</v>
      </c>
      <c r="G1583" s="186" t="s">
        <v>1102</v>
      </c>
      <c r="H1583" s="186" t="s">
        <v>1103</v>
      </c>
      <c r="I1583" s="187" t="s">
        <v>1117</v>
      </c>
      <c r="J1583" s="187" t="s">
        <v>1118</v>
      </c>
      <c r="K1583" s="188"/>
      <c r="L1583" s="188"/>
      <c r="M1583" s="189" t="s">
        <v>847</v>
      </c>
      <c r="N1583" s="190">
        <v>187.98</v>
      </c>
      <c r="O1583" s="190">
        <f t="shared" si="195"/>
        <v>204.9</v>
      </c>
      <c r="P1583" s="191">
        <f t="shared" si="196"/>
        <v>0</v>
      </c>
      <c r="Q1583" s="192">
        <f t="shared" si="197"/>
        <v>0</v>
      </c>
      <c r="R1583" s="193"/>
      <c r="S1583" s="194"/>
      <c r="T1583" s="195">
        <f t="shared" si="198"/>
        <v>0</v>
      </c>
      <c r="U1583" s="195">
        <f t="shared" si="199"/>
        <v>0</v>
      </c>
      <c r="V1583" s="195">
        <f t="shared" si="200"/>
        <v>0</v>
      </c>
      <c r="W1583" s="196" t="e">
        <f t="shared" si="201"/>
        <v>#DIV/0!</v>
      </c>
      <c r="X1583" s="197" t="e">
        <f t="shared" si="202"/>
        <v>#DIV/0!</v>
      </c>
    </row>
    <row r="1584" ht="11.4" hidden="1" customHeight="1" spans="1:24">
      <c r="A1584" s="184" t="s">
        <v>3183</v>
      </c>
      <c r="B1584" s="184" t="s">
        <v>111</v>
      </c>
      <c r="C1584" s="184" t="s">
        <v>1101</v>
      </c>
      <c r="D1584" s="185" t="s">
        <v>704</v>
      </c>
      <c r="E1584" s="186" t="s">
        <v>906</v>
      </c>
      <c r="F1584" s="186" t="s">
        <v>907</v>
      </c>
      <c r="G1584" s="186" t="s">
        <v>1102</v>
      </c>
      <c r="H1584" s="186" t="s">
        <v>1103</v>
      </c>
      <c r="I1584" s="187" t="s">
        <v>1119</v>
      </c>
      <c r="J1584" s="187" t="s">
        <v>1120</v>
      </c>
      <c r="K1584" s="188"/>
      <c r="L1584" s="188"/>
      <c r="M1584" s="189" t="s">
        <v>847</v>
      </c>
      <c r="N1584" s="190">
        <v>171.66</v>
      </c>
      <c r="O1584" s="190">
        <f t="shared" si="195"/>
        <v>187.11</v>
      </c>
      <c r="P1584" s="191">
        <f t="shared" si="196"/>
        <v>0</v>
      </c>
      <c r="Q1584" s="192">
        <f t="shared" si="197"/>
        <v>0</v>
      </c>
      <c r="R1584" s="193"/>
      <c r="S1584" s="194"/>
      <c r="T1584" s="195">
        <f t="shared" si="198"/>
        <v>0</v>
      </c>
      <c r="U1584" s="195">
        <f t="shared" si="199"/>
        <v>0</v>
      </c>
      <c r="V1584" s="195">
        <f t="shared" si="200"/>
        <v>0</v>
      </c>
      <c r="W1584" s="196" t="e">
        <f t="shared" si="201"/>
        <v>#DIV/0!</v>
      </c>
      <c r="X1584" s="197" t="e">
        <f t="shared" si="202"/>
        <v>#DIV/0!</v>
      </c>
    </row>
    <row r="1585" ht="11.4" hidden="1" customHeight="1" spans="1:24">
      <c r="A1585" s="184" t="s">
        <v>3183</v>
      </c>
      <c r="B1585" s="184" t="s">
        <v>111</v>
      </c>
      <c r="C1585" s="184" t="s">
        <v>1101</v>
      </c>
      <c r="D1585" s="185" t="s">
        <v>704</v>
      </c>
      <c r="E1585" s="186" t="s">
        <v>906</v>
      </c>
      <c r="F1585" s="186" t="s">
        <v>907</v>
      </c>
      <c r="G1585" s="186" t="s">
        <v>1102</v>
      </c>
      <c r="H1585" s="186" t="s">
        <v>1103</v>
      </c>
      <c r="I1585" s="187" t="s">
        <v>1121</v>
      </c>
      <c r="J1585" s="187" t="s">
        <v>1122</v>
      </c>
      <c r="K1585" s="188"/>
      <c r="L1585" s="188"/>
      <c r="M1585" s="189" t="s">
        <v>847</v>
      </c>
      <c r="N1585" s="190">
        <v>189.15</v>
      </c>
      <c r="O1585" s="190">
        <f t="shared" si="195"/>
        <v>206.17</v>
      </c>
      <c r="P1585" s="191">
        <f t="shared" si="196"/>
        <v>0</v>
      </c>
      <c r="Q1585" s="192">
        <f t="shared" si="197"/>
        <v>0</v>
      </c>
      <c r="R1585" s="193"/>
      <c r="S1585" s="194"/>
      <c r="T1585" s="195">
        <f t="shared" si="198"/>
        <v>0</v>
      </c>
      <c r="U1585" s="195">
        <f t="shared" si="199"/>
        <v>0</v>
      </c>
      <c r="V1585" s="195">
        <f t="shared" si="200"/>
        <v>0</v>
      </c>
      <c r="W1585" s="196" t="e">
        <f t="shared" si="201"/>
        <v>#DIV/0!</v>
      </c>
      <c r="X1585" s="197" t="e">
        <f t="shared" si="202"/>
        <v>#DIV/0!</v>
      </c>
    </row>
    <row r="1586" ht="11.4" hidden="1" customHeight="1" spans="1:24">
      <c r="A1586" s="184" t="s">
        <v>3183</v>
      </c>
      <c r="B1586" s="184" t="s">
        <v>111</v>
      </c>
      <c r="C1586" s="184" t="s">
        <v>1101</v>
      </c>
      <c r="D1586" s="185" t="s">
        <v>704</v>
      </c>
      <c r="E1586" s="186" t="s">
        <v>906</v>
      </c>
      <c r="F1586" s="186" t="s">
        <v>907</v>
      </c>
      <c r="G1586" s="186" t="s">
        <v>1102</v>
      </c>
      <c r="H1586" s="186" t="s">
        <v>1103</v>
      </c>
      <c r="I1586" s="187" t="s">
        <v>1123</v>
      </c>
      <c r="J1586" s="187" t="s">
        <v>1124</v>
      </c>
      <c r="K1586" s="188"/>
      <c r="L1586" s="188"/>
      <c r="M1586" s="189" t="s">
        <v>807</v>
      </c>
      <c r="N1586" s="190">
        <v>41.36</v>
      </c>
      <c r="O1586" s="190">
        <f t="shared" si="195"/>
        <v>45.08</v>
      </c>
      <c r="P1586" s="191">
        <f t="shared" si="196"/>
        <v>0</v>
      </c>
      <c r="Q1586" s="192">
        <f t="shared" si="197"/>
        <v>0</v>
      </c>
      <c r="R1586" s="193"/>
      <c r="S1586" s="194"/>
      <c r="T1586" s="195">
        <f t="shared" si="198"/>
        <v>0</v>
      </c>
      <c r="U1586" s="195">
        <f t="shared" si="199"/>
        <v>0</v>
      </c>
      <c r="V1586" s="195">
        <f t="shared" si="200"/>
        <v>0</v>
      </c>
      <c r="W1586" s="196" t="e">
        <f t="shared" si="201"/>
        <v>#DIV/0!</v>
      </c>
      <c r="X1586" s="197" t="e">
        <f t="shared" si="202"/>
        <v>#DIV/0!</v>
      </c>
    </row>
    <row r="1587" ht="11.4" hidden="1" customHeight="1" spans="1:24">
      <c r="A1587" s="184" t="s">
        <v>3183</v>
      </c>
      <c r="B1587" s="184" t="s">
        <v>111</v>
      </c>
      <c r="C1587" s="184" t="s">
        <v>1101</v>
      </c>
      <c r="D1587" s="185" t="s">
        <v>704</v>
      </c>
      <c r="E1587" s="186" t="s">
        <v>906</v>
      </c>
      <c r="F1587" s="186" t="s">
        <v>907</v>
      </c>
      <c r="G1587" s="186" t="s">
        <v>1102</v>
      </c>
      <c r="H1587" s="186" t="s">
        <v>1103</v>
      </c>
      <c r="I1587" s="187" t="s">
        <v>1125</v>
      </c>
      <c r="J1587" s="187" t="s">
        <v>1126</v>
      </c>
      <c r="K1587" s="188"/>
      <c r="L1587" s="188"/>
      <c r="M1587" s="189" t="s">
        <v>807</v>
      </c>
      <c r="N1587" s="190">
        <v>38.94</v>
      </c>
      <c r="O1587" s="190">
        <f t="shared" si="195"/>
        <v>42.44</v>
      </c>
      <c r="P1587" s="191">
        <f t="shared" si="196"/>
        <v>0</v>
      </c>
      <c r="Q1587" s="192">
        <f t="shared" si="197"/>
        <v>0</v>
      </c>
      <c r="R1587" s="193"/>
      <c r="S1587" s="194"/>
      <c r="T1587" s="195">
        <f t="shared" si="198"/>
        <v>0</v>
      </c>
      <c r="U1587" s="195">
        <f t="shared" si="199"/>
        <v>0</v>
      </c>
      <c r="V1587" s="195">
        <f t="shared" si="200"/>
        <v>0</v>
      </c>
      <c r="W1587" s="196" t="e">
        <f t="shared" si="201"/>
        <v>#DIV/0!</v>
      </c>
      <c r="X1587" s="197" t="e">
        <f t="shared" si="202"/>
        <v>#DIV/0!</v>
      </c>
    </row>
    <row r="1588" ht="11.4" hidden="1" customHeight="1" spans="1:24">
      <c r="A1588" s="184" t="s">
        <v>3183</v>
      </c>
      <c r="B1588" s="184" t="s">
        <v>111</v>
      </c>
      <c r="C1588" s="184" t="s">
        <v>1101</v>
      </c>
      <c r="D1588" s="185" t="s">
        <v>704</v>
      </c>
      <c r="E1588" s="186" t="s">
        <v>906</v>
      </c>
      <c r="F1588" s="186" t="s">
        <v>907</v>
      </c>
      <c r="G1588" s="186" t="s">
        <v>1102</v>
      </c>
      <c r="H1588" s="186" t="s">
        <v>1103</v>
      </c>
      <c r="I1588" s="187" t="s">
        <v>1127</v>
      </c>
      <c r="J1588" s="187" t="s">
        <v>1128</v>
      </c>
      <c r="K1588" s="188"/>
      <c r="L1588" s="188"/>
      <c r="M1588" s="189" t="s">
        <v>807</v>
      </c>
      <c r="N1588" s="190">
        <v>40.15</v>
      </c>
      <c r="O1588" s="190">
        <f t="shared" si="195"/>
        <v>43.76</v>
      </c>
      <c r="P1588" s="191">
        <f t="shared" si="196"/>
        <v>0</v>
      </c>
      <c r="Q1588" s="192">
        <f t="shared" si="197"/>
        <v>0</v>
      </c>
      <c r="R1588" s="193"/>
      <c r="S1588" s="194"/>
      <c r="T1588" s="195">
        <f t="shared" si="198"/>
        <v>0</v>
      </c>
      <c r="U1588" s="195">
        <f t="shared" si="199"/>
        <v>0</v>
      </c>
      <c r="V1588" s="195">
        <f t="shared" si="200"/>
        <v>0</v>
      </c>
      <c r="W1588" s="196" t="e">
        <f t="shared" si="201"/>
        <v>#DIV/0!</v>
      </c>
      <c r="X1588" s="197" t="e">
        <f t="shared" si="202"/>
        <v>#DIV/0!</v>
      </c>
    </row>
    <row r="1589" ht="11.4" hidden="1" customHeight="1" spans="1:24">
      <c r="A1589" s="184" t="s">
        <v>3183</v>
      </c>
      <c r="B1589" s="184" t="s">
        <v>111</v>
      </c>
      <c r="C1589" s="184" t="s">
        <v>1101</v>
      </c>
      <c r="D1589" s="185" t="s">
        <v>704</v>
      </c>
      <c r="E1589" s="186" t="s">
        <v>906</v>
      </c>
      <c r="F1589" s="186" t="s">
        <v>907</v>
      </c>
      <c r="G1589" s="186" t="s">
        <v>1102</v>
      </c>
      <c r="H1589" s="186" t="s">
        <v>1103</v>
      </c>
      <c r="I1589" s="187" t="s">
        <v>1129</v>
      </c>
      <c r="J1589" s="187" t="s">
        <v>1130</v>
      </c>
      <c r="K1589" s="188"/>
      <c r="L1589" s="188"/>
      <c r="M1589" s="189" t="s">
        <v>847</v>
      </c>
      <c r="N1589" s="190">
        <v>219.86</v>
      </c>
      <c r="O1589" s="190">
        <f t="shared" si="195"/>
        <v>239.65</v>
      </c>
      <c r="P1589" s="191">
        <f t="shared" si="196"/>
        <v>0</v>
      </c>
      <c r="Q1589" s="192">
        <f t="shared" si="197"/>
        <v>0</v>
      </c>
      <c r="R1589" s="193"/>
      <c r="S1589" s="194"/>
      <c r="T1589" s="195">
        <f t="shared" si="198"/>
        <v>0</v>
      </c>
      <c r="U1589" s="195">
        <f t="shared" si="199"/>
        <v>0</v>
      </c>
      <c r="V1589" s="195">
        <f t="shared" si="200"/>
        <v>0</v>
      </c>
      <c r="W1589" s="196" t="e">
        <f t="shared" si="201"/>
        <v>#DIV/0!</v>
      </c>
      <c r="X1589" s="197" t="e">
        <f t="shared" si="202"/>
        <v>#DIV/0!</v>
      </c>
    </row>
    <row r="1590" ht="11.4" hidden="1" customHeight="1" spans="1:24">
      <c r="A1590" s="184" t="s">
        <v>3183</v>
      </c>
      <c r="B1590" s="184" t="s">
        <v>111</v>
      </c>
      <c r="C1590" s="184" t="s">
        <v>1101</v>
      </c>
      <c r="D1590" s="185" t="s">
        <v>704</v>
      </c>
      <c r="E1590" s="186" t="s">
        <v>906</v>
      </c>
      <c r="F1590" s="186" t="s">
        <v>907</v>
      </c>
      <c r="G1590" s="186" t="s">
        <v>1102</v>
      </c>
      <c r="H1590" s="186" t="s">
        <v>1103</v>
      </c>
      <c r="I1590" s="187" t="s">
        <v>1131</v>
      </c>
      <c r="J1590" s="187" t="s">
        <v>1132</v>
      </c>
      <c r="K1590" s="188"/>
      <c r="L1590" s="188"/>
      <c r="M1590" s="189" t="s">
        <v>847</v>
      </c>
      <c r="N1590" s="190">
        <v>203.42</v>
      </c>
      <c r="O1590" s="190">
        <f t="shared" si="195"/>
        <v>221.73</v>
      </c>
      <c r="P1590" s="191">
        <f t="shared" si="196"/>
        <v>0</v>
      </c>
      <c r="Q1590" s="192">
        <f t="shared" si="197"/>
        <v>0</v>
      </c>
      <c r="R1590" s="193"/>
      <c r="S1590" s="194"/>
      <c r="T1590" s="195">
        <f t="shared" si="198"/>
        <v>0</v>
      </c>
      <c r="U1590" s="195">
        <f t="shared" si="199"/>
        <v>0</v>
      </c>
      <c r="V1590" s="195">
        <f t="shared" si="200"/>
        <v>0</v>
      </c>
      <c r="W1590" s="196" t="e">
        <f t="shared" si="201"/>
        <v>#DIV/0!</v>
      </c>
      <c r="X1590" s="197" t="e">
        <f t="shared" si="202"/>
        <v>#DIV/0!</v>
      </c>
    </row>
    <row r="1591" ht="11.4" hidden="1" customHeight="1" spans="1:24">
      <c r="A1591" s="184" t="s">
        <v>3183</v>
      </c>
      <c r="B1591" s="184" t="s">
        <v>111</v>
      </c>
      <c r="C1591" s="184" t="s">
        <v>1101</v>
      </c>
      <c r="D1591" s="185" t="s">
        <v>704</v>
      </c>
      <c r="E1591" s="186" t="s">
        <v>906</v>
      </c>
      <c r="F1591" s="186" t="s">
        <v>907</v>
      </c>
      <c r="G1591" s="186" t="s">
        <v>1102</v>
      </c>
      <c r="H1591" s="186" t="s">
        <v>1103</v>
      </c>
      <c r="I1591" s="187" t="s">
        <v>1133</v>
      </c>
      <c r="J1591" s="187" t="s">
        <v>1134</v>
      </c>
      <c r="K1591" s="188"/>
      <c r="L1591" s="188"/>
      <c r="M1591" s="189" t="s">
        <v>847</v>
      </c>
      <c r="N1591" s="190">
        <v>222.39</v>
      </c>
      <c r="O1591" s="190">
        <f t="shared" si="195"/>
        <v>242.41</v>
      </c>
      <c r="P1591" s="191">
        <f t="shared" si="196"/>
        <v>0</v>
      </c>
      <c r="Q1591" s="192">
        <f t="shared" si="197"/>
        <v>0</v>
      </c>
      <c r="R1591" s="193"/>
      <c r="S1591" s="194"/>
      <c r="T1591" s="195">
        <f t="shared" si="198"/>
        <v>0</v>
      </c>
      <c r="U1591" s="195">
        <f t="shared" si="199"/>
        <v>0</v>
      </c>
      <c r="V1591" s="195">
        <f t="shared" si="200"/>
        <v>0</v>
      </c>
      <c r="W1591" s="196" t="e">
        <f t="shared" si="201"/>
        <v>#DIV/0!</v>
      </c>
      <c r="X1591" s="197" t="e">
        <f t="shared" si="202"/>
        <v>#DIV/0!</v>
      </c>
    </row>
    <row r="1592" ht="11.4" hidden="1" customHeight="1" spans="1:24">
      <c r="A1592" s="184" t="s">
        <v>3183</v>
      </c>
      <c r="B1592" s="184" t="s">
        <v>111</v>
      </c>
      <c r="C1592" s="184" t="s">
        <v>1101</v>
      </c>
      <c r="D1592" s="185" t="s">
        <v>704</v>
      </c>
      <c r="E1592" s="186" t="s">
        <v>906</v>
      </c>
      <c r="F1592" s="186" t="s">
        <v>907</v>
      </c>
      <c r="G1592" s="186" t="s">
        <v>1102</v>
      </c>
      <c r="H1592" s="186" t="s">
        <v>1103</v>
      </c>
      <c r="I1592" s="187" t="s">
        <v>1135</v>
      </c>
      <c r="J1592" s="187" t="s">
        <v>1136</v>
      </c>
      <c r="K1592" s="188"/>
      <c r="L1592" s="188"/>
      <c r="M1592" s="189" t="s">
        <v>807</v>
      </c>
      <c r="N1592" s="190">
        <v>41.36</v>
      </c>
      <c r="O1592" s="190">
        <f t="shared" si="195"/>
        <v>45.08</v>
      </c>
      <c r="P1592" s="191">
        <f t="shared" si="196"/>
        <v>0</v>
      </c>
      <c r="Q1592" s="192">
        <f t="shared" si="197"/>
        <v>0</v>
      </c>
      <c r="R1592" s="193"/>
      <c r="S1592" s="194"/>
      <c r="T1592" s="195">
        <f t="shared" si="198"/>
        <v>0</v>
      </c>
      <c r="U1592" s="195">
        <f t="shared" si="199"/>
        <v>0</v>
      </c>
      <c r="V1592" s="195">
        <f t="shared" si="200"/>
        <v>0</v>
      </c>
      <c r="W1592" s="196" t="e">
        <f t="shared" si="201"/>
        <v>#DIV/0!</v>
      </c>
      <c r="X1592" s="197" t="e">
        <f t="shared" si="202"/>
        <v>#DIV/0!</v>
      </c>
    </row>
    <row r="1593" ht="11.4" hidden="1" customHeight="1" spans="1:24">
      <c r="A1593" s="184" t="s">
        <v>3183</v>
      </c>
      <c r="B1593" s="184" t="s">
        <v>111</v>
      </c>
      <c r="C1593" s="184" t="s">
        <v>1101</v>
      </c>
      <c r="D1593" s="185" t="s">
        <v>704</v>
      </c>
      <c r="E1593" s="186" t="s">
        <v>906</v>
      </c>
      <c r="F1593" s="186" t="s">
        <v>907</v>
      </c>
      <c r="G1593" s="186" t="s">
        <v>1102</v>
      </c>
      <c r="H1593" s="186" t="s">
        <v>1103</v>
      </c>
      <c r="I1593" s="187" t="s">
        <v>1137</v>
      </c>
      <c r="J1593" s="187" t="s">
        <v>1138</v>
      </c>
      <c r="K1593" s="188"/>
      <c r="L1593" s="188"/>
      <c r="M1593" s="189" t="s">
        <v>807</v>
      </c>
      <c r="N1593" s="190">
        <v>40.15</v>
      </c>
      <c r="O1593" s="190">
        <f t="shared" si="195"/>
        <v>43.76</v>
      </c>
      <c r="P1593" s="191">
        <f t="shared" si="196"/>
        <v>0</v>
      </c>
      <c r="Q1593" s="192">
        <f t="shared" si="197"/>
        <v>0</v>
      </c>
      <c r="R1593" s="193"/>
      <c r="S1593" s="194"/>
      <c r="T1593" s="195">
        <f t="shared" si="198"/>
        <v>0</v>
      </c>
      <c r="U1593" s="195">
        <f t="shared" si="199"/>
        <v>0</v>
      </c>
      <c r="V1593" s="195">
        <f t="shared" si="200"/>
        <v>0</v>
      </c>
      <c r="W1593" s="196" t="e">
        <f t="shared" si="201"/>
        <v>#DIV/0!</v>
      </c>
      <c r="X1593" s="197" t="e">
        <f t="shared" si="202"/>
        <v>#DIV/0!</v>
      </c>
    </row>
    <row r="1594" ht="11.4" hidden="1" customHeight="1" spans="1:24">
      <c r="A1594" s="184" t="s">
        <v>3183</v>
      </c>
      <c r="B1594" s="184" t="s">
        <v>111</v>
      </c>
      <c r="C1594" s="184" t="s">
        <v>1101</v>
      </c>
      <c r="D1594" s="185" t="s">
        <v>704</v>
      </c>
      <c r="E1594" s="186" t="s">
        <v>906</v>
      </c>
      <c r="F1594" s="186" t="s">
        <v>907</v>
      </c>
      <c r="G1594" s="186" t="s">
        <v>1102</v>
      </c>
      <c r="H1594" s="186" t="s">
        <v>1103</v>
      </c>
      <c r="I1594" s="187" t="s">
        <v>1139</v>
      </c>
      <c r="J1594" s="187" t="s">
        <v>2898</v>
      </c>
      <c r="K1594" s="188"/>
      <c r="L1594" s="188"/>
      <c r="M1594" s="189" t="s">
        <v>807</v>
      </c>
      <c r="N1594" s="190">
        <v>41.36</v>
      </c>
      <c r="O1594" s="190">
        <f t="shared" si="195"/>
        <v>45.08</v>
      </c>
      <c r="P1594" s="191">
        <f t="shared" si="196"/>
        <v>0</v>
      </c>
      <c r="Q1594" s="192">
        <f t="shared" si="197"/>
        <v>0</v>
      </c>
      <c r="R1594" s="193"/>
      <c r="S1594" s="194"/>
      <c r="T1594" s="195">
        <f t="shared" si="198"/>
        <v>0</v>
      </c>
      <c r="U1594" s="195">
        <f t="shared" si="199"/>
        <v>0</v>
      </c>
      <c r="V1594" s="195">
        <f t="shared" si="200"/>
        <v>0</v>
      </c>
      <c r="W1594" s="196" t="e">
        <f t="shared" si="201"/>
        <v>#DIV/0!</v>
      </c>
      <c r="X1594" s="197" t="e">
        <f t="shared" si="202"/>
        <v>#DIV/0!</v>
      </c>
    </row>
    <row r="1595" ht="11.4" hidden="1" customHeight="1" spans="1:24">
      <c r="A1595" s="184" t="s">
        <v>3183</v>
      </c>
      <c r="B1595" s="184" t="s">
        <v>111</v>
      </c>
      <c r="C1595" s="184" t="s">
        <v>1101</v>
      </c>
      <c r="D1595" s="185" t="s">
        <v>704</v>
      </c>
      <c r="E1595" s="186" t="s">
        <v>906</v>
      </c>
      <c r="F1595" s="186" t="s">
        <v>907</v>
      </c>
      <c r="G1595" s="186" t="s">
        <v>1102</v>
      </c>
      <c r="H1595" s="186" t="s">
        <v>1103</v>
      </c>
      <c r="I1595" s="187" t="s">
        <v>1141</v>
      </c>
      <c r="J1595" s="187" t="s">
        <v>1142</v>
      </c>
      <c r="K1595" s="188"/>
      <c r="L1595" s="188"/>
      <c r="M1595" s="189" t="s">
        <v>847</v>
      </c>
      <c r="N1595" s="190">
        <v>196.14</v>
      </c>
      <c r="O1595" s="190">
        <f t="shared" si="195"/>
        <v>213.79</v>
      </c>
      <c r="P1595" s="191">
        <f t="shared" si="196"/>
        <v>0</v>
      </c>
      <c r="Q1595" s="192">
        <f t="shared" si="197"/>
        <v>0</v>
      </c>
      <c r="R1595" s="193"/>
      <c r="S1595" s="194"/>
      <c r="T1595" s="195">
        <f t="shared" si="198"/>
        <v>0</v>
      </c>
      <c r="U1595" s="195">
        <f t="shared" si="199"/>
        <v>0</v>
      </c>
      <c r="V1595" s="195">
        <f t="shared" si="200"/>
        <v>0</v>
      </c>
      <c r="W1595" s="196" t="e">
        <f t="shared" si="201"/>
        <v>#DIV/0!</v>
      </c>
      <c r="X1595" s="197" t="e">
        <f t="shared" si="202"/>
        <v>#DIV/0!</v>
      </c>
    </row>
    <row r="1596" ht="11.4" hidden="1" customHeight="1" spans="1:24">
      <c r="A1596" s="184" t="s">
        <v>3183</v>
      </c>
      <c r="B1596" s="184" t="s">
        <v>111</v>
      </c>
      <c r="C1596" s="184" t="s">
        <v>1101</v>
      </c>
      <c r="D1596" s="185" t="s">
        <v>704</v>
      </c>
      <c r="E1596" s="186" t="s">
        <v>906</v>
      </c>
      <c r="F1596" s="186" t="s">
        <v>907</v>
      </c>
      <c r="G1596" s="186" t="s">
        <v>1102</v>
      </c>
      <c r="H1596" s="186" t="s">
        <v>1103</v>
      </c>
      <c r="I1596" s="187" t="s">
        <v>1143</v>
      </c>
      <c r="J1596" s="187" t="s">
        <v>1144</v>
      </c>
      <c r="K1596" s="188"/>
      <c r="L1596" s="188"/>
      <c r="M1596" s="189" t="s">
        <v>807</v>
      </c>
      <c r="N1596" s="190">
        <v>41.47</v>
      </c>
      <c r="O1596" s="190">
        <f t="shared" si="195"/>
        <v>45.2</v>
      </c>
      <c r="P1596" s="191">
        <f t="shared" si="196"/>
        <v>0</v>
      </c>
      <c r="Q1596" s="192">
        <f t="shared" si="197"/>
        <v>0</v>
      </c>
      <c r="R1596" s="193"/>
      <c r="S1596" s="194"/>
      <c r="T1596" s="195">
        <f t="shared" si="198"/>
        <v>0</v>
      </c>
      <c r="U1596" s="195">
        <f t="shared" si="199"/>
        <v>0</v>
      </c>
      <c r="V1596" s="195">
        <f t="shared" si="200"/>
        <v>0</v>
      </c>
      <c r="W1596" s="196" t="e">
        <f t="shared" si="201"/>
        <v>#DIV/0!</v>
      </c>
      <c r="X1596" s="197" t="e">
        <f t="shared" si="202"/>
        <v>#DIV/0!</v>
      </c>
    </row>
    <row r="1597" ht="11.4" hidden="1" customHeight="1" spans="1:24">
      <c r="A1597" s="184" t="s">
        <v>3183</v>
      </c>
      <c r="B1597" s="184" t="s">
        <v>111</v>
      </c>
      <c r="C1597" s="184" t="s">
        <v>1101</v>
      </c>
      <c r="D1597" s="185" t="s">
        <v>704</v>
      </c>
      <c r="E1597" s="186" t="s">
        <v>906</v>
      </c>
      <c r="F1597" s="186" t="s">
        <v>907</v>
      </c>
      <c r="G1597" s="186" t="s">
        <v>1102</v>
      </c>
      <c r="H1597" s="186" t="s">
        <v>1103</v>
      </c>
      <c r="I1597" s="187" t="s">
        <v>1145</v>
      </c>
      <c r="J1597" s="187" t="s">
        <v>1146</v>
      </c>
      <c r="K1597" s="188"/>
      <c r="L1597" s="188"/>
      <c r="M1597" s="189" t="s">
        <v>847</v>
      </c>
      <c r="N1597" s="190">
        <v>179.82</v>
      </c>
      <c r="O1597" s="190">
        <f t="shared" si="195"/>
        <v>196</v>
      </c>
      <c r="P1597" s="191">
        <f t="shared" si="196"/>
        <v>0</v>
      </c>
      <c r="Q1597" s="192">
        <f t="shared" si="197"/>
        <v>0</v>
      </c>
      <c r="R1597" s="193"/>
      <c r="S1597" s="194"/>
      <c r="T1597" s="195">
        <f t="shared" si="198"/>
        <v>0</v>
      </c>
      <c r="U1597" s="195">
        <f t="shared" si="199"/>
        <v>0</v>
      </c>
      <c r="V1597" s="195">
        <f t="shared" si="200"/>
        <v>0</v>
      </c>
      <c r="W1597" s="196" t="e">
        <f t="shared" si="201"/>
        <v>#DIV/0!</v>
      </c>
      <c r="X1597" s="197" t="e">
        <f t="shared" si="202"/>
        <v>#DIV/0!</v>
      </c>
    </row>
    <row r="1598" ht="11.4" hidden="1" customHeight="1" spans="1:24">
      <c r="A1598" s="184" t="s">
        <v>3183</v>
      </c>
      <c r="B1598" s="184" t="s">
        <v>111</v>
      </c>
      <c r="C1598" s="184" t="s">
        <v>1101</v>
      </c>
      <c r="D1598" s="185" t="s">
        <v>704</v>
      </c>
      <c r="E1598" s="186" t="s">
        <v>906</v>
      </c>
      <c r="F1598" s="186" t="s">
        <v>907</v>
      </c>
      <c r="G1598" s="186" t="s">
        <v>1102</v>
      </c>
      <c r="H1598" s="186" t="s">
        <v>1103</v>
      </c>
      <c r="I1598" s="187" t="s">
        <v>1147</v>
      </c>
      <c r="J1598" s="187" t="s">
        <v>1148</v>
      </c>
      <c r="K1598" s="188"/>
      <c r="L1598" s="188"/>
      <c r="M1598" s="189" t="s">
        <v>807</v>
      </c>
      <c r="N1598" s="190">
        <v>37.84</v>
      </c>
      <c r="O1598" s="190">
        <f t="shared" si="195"/>
        <v>41.25</v>
      </c>
      <c r="P1598" s="191">
        <f t="shared" si="196"/>
        <v>0</v>
      </c>
      <c r="Q1598" s="192">
        <f t="shared" si="197"/>
        <v>0</v>
      </c>
      <c r="R1598" s="193"/>
      <c r="S1598" s="194"/>
      <c r="T1598" s="195">
        <f t="shared" si="198"/>
        <v>0</v>
      </c>
      <c r="U1598" s="195">
        <f t="shared" si="199"/>
        <v>0</v>
      </c>
      <c r="V1598" s="195">
        <f t="shared" si="200"/>
        <v>0</v>
      </c>
      <c r="W1598" s="196" t="e">
        <f t="shared" si="201"/>
        <v>#DIV/0!</v>
      </c>
      <c r="X1598" s="197" t="e">
        <f t="shared" si="202"/>
        <v>#DIV/0!</v>
      </c>
    </row>
    <row r="1599" ht="11.4" hidden="1" customHeight="1" spans="1:24">
      <c r="A1599" s="184" t="s">
        <v>3183</v>
      </c>
      <c r="B1599" s="184" t="s">
        <v>111</v>
      </c>
      <c r="C1599" s="184" t="s">
        <v>1101</v>
      </c>
      <c r="D1599" s="185" t="s">
        <v>704</v>
      </c>
      <c r="E1599" s="186" t="s">
        <v>906</v>
      </c>
      <c r="F1599" s="186" t="s">
        <v>907</v>
      </c>
      <c r="G1599" s="186" t="s">
        <v>1102</v>
      </c>
      <c r="H1599" s="186" t="s">
        <v>1103</v>
      </c>
      <c r="I1599" s="187" t="s">
        <v>1149</v>
      </c>
      <c r="J1599" s="187" t="s">
        <v>1150</v>
      </c>
      <c r="K1599" s="188"/>
      <c r="L1599" s="188"/>
      <c r="M1599" s="189" t="s">
        <v>847</v>
      </c>
      <c r="N1599" s="190">
        <v>193.81</v>
      </c>
      <c r="O1599" s="190">
        <f t="shared" si="195"/>
        <v>211.25</v>
      </c>
      <c r="P1599" s="191">
        <f t="shared" si="196"/>
        <v>0</v>
      </c>
      <c r="Q1599" s="192">
        <f t="shared" si="197"/>
        <v>0</v>
      </c>
      <c r="R1599" s="193"/>
      <c r="S1599" s="194"/>
      <c r="T1599" s="195">
        <f t="shared" si="198"/>
        <v>0</v>
      </c>
      <c r="U1599" s="195">
        <f t="shared" si="199"/>
        <v>0</v>
      </c>
      <c r="V1599" s="195">
        <f t="shared" si="200"/>
        <v>0</v>
      </c>
      <c r="W1599" s="196" t="e">
        <f t="shared" si="201"/>
        <v>#DIV/0!</v>
      </c>
      <c r="X1599" s="197" t="e">
        <f t="shared" si="202"/>
        <v>#DIV/0!</v>
      </c>
    </row>
    <row r="1600" ht="11.4" hidden="1" customHeight="1" spans="1:24">
      <c r="A1600" s="184" t="s">
        <v>3183</v>
      </c>
      <c r="B1600" s="184" t="s">
        <v>111</v>
      </c>
      <c r="C1600" s="184" t="s">
        <v>1101</v>
      </c>
      <c r="D1600" s="185" t="s">
        <v>704</v>
      </c>
      <c r="E1600" s="186" t="s">
        <v>906</v>
      </c>
      <c r="F1600" s="186" t="s">
        <v>907</v>
      </c>
      <c r="G1600" s="186" t="s">
        <v>1102</v>
      </c>
      <c r="H1600" s="186" t="s">
        <v>1103</v>
      </c>
      <c r="I1600" s="187" t="s">
        <v>1151</v>
      </c>
      <c r="J1600" s="187" t="s">
        <v>1152</v>
      </c>
      <c r="K1600" s="188"/>
      <c r="L1600" s="188"/>
      <c r="M1600" s="189" t="s">
        <v>807</v>
      </c>
      <c r="N1600" s="190">
        <v>39.05</v>
      </c>
      <c r="O1600" s="190">
        <f t="shared" si="195"/>
        <v>42.56</v>
      </c>
      <c r="P1600" s="191">
        <f t="shared" si="196"/>
        <v>0</v>
      </c>
      <c r="Q1600" s="192">
        <f t="shared" si="197"/>
        <v>0</v>
      </c>
      <c r="R1600" s="193"/>
      <c r="S1600" s="194"/>
      <c r="T1600" s="195">
        <f t="shared" si="198"/>
        <v>0</v>
      </c>
      <c r="U1600" s="195">
        <f t="shared" si="199"/>
        <v>0</v>
      </c>
      <c r="V1600" s="195">
        <f t="shared" si="200"/>
        <v>0</v>
      </c>
      <c r="W1600" s="196" t="e">
        <f t="shared" si="201"/>
        <v>#DIV/0!</v>
      </c>
      <c r="X1600" s="197" t="e">
        <f t="shared" si="202"/>
        <v>#DIV/0!</v>
      </c>
    </row>
    <row r="1601" ht="11.4" hidden="1" customHeight="1" spans="1:24">
      <c r="A1601" s="184" t="s">
        <v>3183</v>
      </c>
      <c r="B1601" s="184" t="s">
        <v>111</v>
      </c>
      <c r="C1601" s="184" t="s">
        <v>1101</v>
      </c>
      <c r="D1601" s="185" t="s">
        <v>704</v>
      </c>
      <c r="E1601" s="186" t="s">
        <v>906</v>
      </c>
      <c r="F1601" s="186" t="s">
        <v>907</v>
      </c>
      <c r="G1601" s="186" t="s">
        <v>1102</v>
      </c>
      <c r="H1601" s="186" t="s">
        <v>1103</v>
      </c>
      <c r="I1601" s="187" t="s">
        <v>1153</v>
      </c>
      <c r="J1601" s="187" t="s">
        <v>1154</v>
      </c>
      <c r="K1601" s="188"/>
      <c r="L1601" s="188"/>
      <c r="M1601" s="189" t="s">
        <v>847</v>
      </c>
      <c r="N1601" s="190">
        <v>178.2</v>
      </c>
      <c r="O1601" s="190">
        <f t="shared" si="195"/>
        <v>194.24</v>
      </c>
      <c r="P1601" s="191">
        <f t="shared" si="196"/>
        <v>0</v>
      </c>
      <c r="Q1601" s="192">
        <f t="shared" si="197"/>
        <v>0</v>
      </c>
      <c r="R1601" s="193"/>
      <c r="S1601" s="194"/>
      <c r="T1601" s="195">
        <f t="shared" si="198"/>
        <v>0</v>
      </c>
      <c r="U1601" s="195">
        <f t="shared" si="199"/>
        <v>0</v>
      </c>
      <c r="V1601" s="195">
        <f t="shared" si="200"/>
        <v>0</v>
      </c>
      <c r="W1601" s="196" t="e">
        <f t="shared" si="201"/>
        <v>#DIV/0!</v>
      </c>
      <c r="X1601" s="197" t="e">
        <f t="shared" si="202"/>
        <v>#DIV/0!</v>
      </c>
    </row>
    <row r="1602" ht="11.4" hidden="1" customHeight="1" spans="1:24">
      <c r="A1602" s="184" t="s">
        <v>3183</v>
      </c>
      <c r="B1602" s="184" t="s">
        <v>111</v>
      </c>
      <c r="C1602" s="184" t="s">
        <v>1101</v>
      </c>
      <c r="D1602" s="185" t="s">
        <v>704</v>
      </c>
      <c r="E1602" s="186" t="s">
        <v>906</v>
      </c>
      <c r="F1602" s="186" t="s">
        <v>907</v>
      </c>
      <c r="G1602" s="186" t="s">
        <v>1102</v>
      </c>
      <c r="H1602" s="186" t="s">
        <v>1103</v>
      </c>
      <c r="I1602" s="187" t="s">
        <v>1155</v>
      </c>
      <c r="J1602" s="187" t="s">
        <v>1156</v>
      </c>
      <c r="K1602" s="188"/>
      <c r="L1602" s="188"/>
      <c r="M1602" s="189" t="s">
        <v>847</v>
      </c>
      <c r="N1602" s="190">
        <v>170.67</v>
      </c>
      <c r="O1602" s="190">
        <f t="shared" si="195"/>
        <v>186.03</v>
      </c>
      <c r="P1602" s="191">
        <f t="shared" si="196"/>
        <v>0</v>
      </c>
      <c r="Q1602" s="192">
        <f t="shared" si="197"/>
        <v>0</v>
      </c>
      <c r="R1602" s="193"/>
      <c r="S1602" s="194"/>
      <c r="T1602" s="195">
        <f t="shared" si="198"/>
        <v>0</v>
      </c>
      <c r="U1602" s="195">
        <f t="shared" si="199"/>
        <v>0</v>
      </c>
      <c r="V1602" s="195">
        <f t="shared" si="200"/>
        <v>0</v>
      </c>
      <c r="W1602" s="196" t="e">
        <f t="shared" si="201"/>
        <v>#DIV/0!</v>
      </c>
      <c r="X1602" s="197" t="e">
        <f t="shared" si="202"/>
        <v>#DIV/0!</v>
      </c>
    </row>
    <row r="1603" ht="11.4" hidden="1" customHeight="1" spans="1:24">
      <c r="A1603" s="184" t="s">
        <v>3183</v>
      </c>
      <c r="B1603" s="184" t="s">
        <v>111</v>
      </c>
      <c r="C1603" s="184" t="s">
        <v>1101</v>
      </c>
      <c r="D1603" s="185" t="s">
        <v>704</v>
      </c>
      <c r="E1603" s="186" t="s">
        <v>906</v>
      </c>
      <c r="F1603" s="186" t="s">
        <v>907</v>
      </c>
      <c r="G1603" s="186" t="s">
        <v>1102</v>
      </c>
      <c r="H1603" s="186" t="s">
        <v>1103</v>
      </c>
      <c r="I1603" s="187" t="s">
        <v>1157</v>
      </c>
      <c r="J1603" s="187" t="s">
        <v>1158</v>
      </c>
      <c r="K1603" s="188"/>
      <c r="L1603" s="188"/>
      <c r="M1603" s="189" t="s">
        <v>847</v>
      </c>
      <c r="N1603" s="190">
        <v>181.7</v>
      </c>
      <c r="O1603" s="190">
        <f t="shared" si="195"/>
        <v>198.05</v>
      </c>
      <c r="P1603" s="191">
        <f t="shared" si="196"/>
        <v>0</v>
      </c>
      <c r="Q1603" s="192">
        <f t="shared" si="197"/>
        <v>0</v>
      </c>
      <c r="R1603" s="193"/>
      <c r="S1603" s="194"/>
      <c r="T1603" s="195">
        <f t="shared" si="198"/>
        <v>0</v>
      </c>
      <c r="U1603" s="195">
        <f t="shared" si="199"/>
        <v>0</v>
      </c>
      <c r="V1603" s="195">
        <f t="shared" si="200"/>
        <v>0</v>
      </c>
      <c r="W1603" s="196" t="e">
        <f t="shared" si="201"/>
        <v>#DIV/0!</v>
      </c>
      <c r="X1603" s="197" t="e">
        <f t="shared" si="202"/>
        <v>#DIV/0!</v>
      </c>
    </row>
    <row r="1604" ht="11.4" hidden="1" customHeight="1" spans="1:24">
      <c r="A1604" s="184" t="s">
        <v>3183</v>
      </c>
      <c r="B1604" s="184" t="s">
        <v>111</v>
      </c>
      <c r="C1604" s="184" t="s">
        <v>1101</v>
      </c>
      <c r="D1604" s="185" t="s">
        <v>704</v>
      </c>
      <c r="E1604" s="186" t="s">
        <v>906</v>
      </c>
      <c r="F1604" s="186" t="s">
        <v>907</v>
      </c>
      <c r="G1604" s="186" t="s">
        <v>1102</v>
      </c>
      <c r="H1604" s="186" t="s">
        <v>1103</v>
      </c>
      <c r="I1604" s="187" t="s">
        <v>1159</v>
      </c>
      <c r="J1604" s="187" t="s">
        <v>1160</v>
      </c>
      <c r="K1604" s="188"/>
      <c r="L1604" s="188"/>
      <c r="M1604" s="189" t="s">
        <v>847</v>
      </c>
      <c r="N1604" s="190">
        <v>180.78</v>
      </c>
      <c r="O1604" s="190">
        <f t="shared" si="195"/>
        <v>197.05</v>
      </c>
      <c r="P1604" s="191">
        <f t="shared" si="196"/>
        <v>0</v>
      </c>
      <c r="Q1604" s="192">
        <f t="shared" si="197"/>
        <v>0</v>
      </c>
      <c r="R1604" s="193"/>
      <c r="S1604" s="194"/>
      <c r="T1604" s="195">
        <f t="shared" si="198"/>
        <v>0</v>
      </c>
      <c r="U1604" s="195">
        <f t="shared" si="199"/>
        <v>0</v>
      </c>
      <c r="V1604" s="195">
        <f t="shared" si="200"/>
        <v>0</v>
      </c>
      <c r="W1604" s="196" t="e">
        <f t="shared" si="201"/>
        <v>#DIV/0!</v>
      </c>
      <c r="X1604" s="197" t="e">
        <f t="shared" si="202"/>
        <v>#DIV/0!</v>
      </c>
    </row>
    <row r="1605" ht="11.4" hidden="1" customHeight="1" spans="1:24">
      <c r="A1605" s="184" t="s">
        <v>3183</v>
      </c>
      <c r="B1605" s="184" t="s">
        <v>111</v>
      </c>
      <c r="C1605" s="184" t="s">
        <v>1101</v>
      </c>
      <c r="D1605" s="185" t="s">
        <v>704</v>
      </c>
      <c r="E1605" s="186" t="s">
        <v>906</v>
      </c>
      <c r="F1605" s="186" t="s">
        <v>907</v>
      </c>
      <c r="G1605" s="186" t="s">
        <v>1102</v>
      </c>
      <c r="H1605" s="186" t="s">
        <v>1103</v>
      </c>
      <c r="I1605" s="187" t="s">
        <v>1161</v>
      </c>
      <c r="J1605" s="187" t="s">
        <v>1162</v>
      </c>
      <c r="K1605" s="188"/>
      <c r="L1605" s="188"/>
      <c r="M1605" s="189" t="s">
        <v>847</v>
      </c>
      <c r="N1605" s="190">
        <v>162.63</v>
      </c>
      <c r="O1605" s="190">
        <f t="shared" si="195"/>
        <v>177.27</v>
      </c>
      <c r="P1605" s="191">
        <f t="shared" si="196"/>
        <v>0</v>
      </c>
      <c r="Q1605" s="192">
        <f t="shared" si="197"/>
        <v>0</v>
      </c>
      <c r="R1605" s="193"/>
      <c r="S1605" s="194"/>
      <c r="T1605" s="195">
        <f t="shared" si="198"/>
        <v>0</v>
      </c>
      <c r="U1605" s="195">
        <f t="shared" si="199"/>
        <v>0</v>
      </c>
      <c r="V1605" s="195">
        <f t="shared" si="200"/>
        <v>0</v>
      </c>
      <c r="W1605" s="196" t="e">
        <f t="shared" si="201"/>
        <v>#DIV/0!</v>
      </c>
      <c r="X1605" s="197" t="e">
        <f t="shared" si="202"/>
        <v>#DIV/0!</v>
      </c>
    </row>
    <row r="1606" ht="11.4" hidden="1" customHeight="1" spans="1:24">
      <c r="A1606" s="184" t="s">
        <v>3183</v>
      </c>
      <c r="B1606" s="184" t="s">
        <v>111</v>
      </c>
      <c r="C1606" s="184" t="s">
        <v>1101</v>
      </c>
      <c r="D1606" s="185" t="s">
        <v>704</v>
      </c>
      <c r="E1606" s="186" t="s">
        <v>906</v>
      </c>
      <c r="F1606" s="186" t="s">
        <v>907</v>
      </c>
      <c r="G1606" s="186" t="s">
        <v>1102</v>
      </c>
      <c r="H1606" s="186" t="s">
        <v>1103</v>
      </c>
      <c r="I1606" s="187" t="s">
        <v>1163</v>
      </c>
      <c r="J1606" s="187" t="s">
        <v>1164</v>
      </c>
      <c r="K1606" s="188"/>
      <c r="L1606" s="188"/>
      <c r="M1606" s="189" t="s">
        <v>847</v>
      </c>
      <c r="N1606" s="190">
        <v>183.2</v>
      </c>
      <c r="O1606" s="190">
        <f t="shared" si="195"/>
        <v>199.69</v>
      </c>
      <c r="P1606" s="191">
        <f t="shared" si="196"/>
        <v>0</v>
      </c>
      <c r="Q1606" s="192">
        <f t="shared" si="197"/>
        <v>0</v>
      </c>
      <c r="R1606" s="193"/>
      <c r="S1606" s="194"/>
      <c r="T1606" s="195">
        <f t="shared" si="198"/>
        <v>0</v>
      </c>
      <c r="U1606" s="195">
        <f t="shared" si="199"/>
        <v>0</v>
      </c>
      <c r="V1606" s="195">
        <f t="shared" si="200"/>
        <v>0</v>
      </c>
      <c r="W1606" s="196" t="e">
        <f t="shared" si="201"/>
        <v>#DIV/0!</v>
      </c>
      <c r="X1606" s="197" t="e">
        <f t="shared" si="202"/>
        <v>#DIV/0!</v>
      </c>
    </row>
    <row r="1607" ht="11.4" hidden="1" customHeight="1" spans="1:24">
      <c r="A1607" s="184" t="s">
        <v>3183</v>
      </c>
      <c r="B1607" s="184" t="s">
        <v>111</v>
      </c>
      <c r="C1607" s="184" t="s">
        <v>1101</v>
      </c>
      <c r="D1607" s="185" t="s">
        <v>704</v>
      </c>
      <c r="E1607" s="186" t="s">
        <v>906</v>
      </c>
      <c r="F1607" s="186" t="s">
        <v>907</v>
      </c>
      <c r="G1607" s="186" t="s">
        <v>1102</v>
      </c>
      <c r="H1607" s="186" t="s">
        <v>1103</v>
      </c>
      <c r="I1607" s="187" t="s">
        <v>1165</v>
      </c>
      <c r="J1607" s="187" t="s">
        <v>1166</v>
      </c>
      <c r="K1607" s="188"/>
      <c r="L1607" s="188"/>
      <c r="M1607" s="189" t="s">
        <v>847</v>
      </c>
      <c r="N1607" s="190">
        <v>205.46</v>
      </c>
      <c r="O1607" s="190">
        <f t="shared" si="195"/>
        <v>223.95</v>
      </c>
      <c r="P1607" s="191">
        <f t="shared" si="196"/>
        <v>0</v>
      </c>
      <c r="Q1607" s="192">
        <f t="shared" si="197"/>
        <v>0</v>
      </c>
      <c r="R1607" s="193"/>
      <c r="S1607" s="194"/>
      <c r="T1607" s="195">
        <f t="shared" si="198"/>
        <v>0</v>
      </c>
      <c r="U1607" s="195">
        <f t="shared" si="199"/>
        <v>0</v>
      </c>
      <c r="V1607" s="195">
        <f t="shared" si="200"/>
        <v>0</v>
      </c>
      <c r="W1607" s="196" t="e">
        <f t="shared" si="201"/>
        <v>#DIV/0!</v>
      </c>
      <c r="X1607" s="197" t="e">
        <f t="shared" si="202"/>
        <v>#DIV/0!</v>
      </c>
    </row>
    <row r="1608" ht="11.4" hidden="1" customHeight="1" spans="1:24">
      <c r="A1608" s="184" t="s">
        <v>3183</v>
      </c>
      <c r="B1608" s="184" t="s">
        <v>111</v>
      </c>
      <c r="C1608" s="184" t="s">
        <v>1101</v>
      </c>
      <c r="D1608" s="185" t="s">
        <v>704</v>
      </c>
      <c r="E1608" s="186" t="s">
        <v>906</v>
      </c>
      <c r="F1608" s="186" t="s">
        <v>907</v>
      </c>
      <c r="G1608" s="186" t="s">
        <v>1102</v>
      </c>
      <c r="H1608" s="186" t="s">
        <v>1103</v>
      </c>
      <c r="I1608" s="187" t="s">
        <v>1167</v>
      </c>
      <c r="J1608" s="187" t="s">
        <v>1168</v>
      </c>
      <c r="K1608" s="188"/>
      <c r="L1608" s="188"/>
      <c r="M1608" s="189" t="s">
        <v>847</v>
      </c>
      <c r="N1608" s="190">
        <v>195.26</v>
      </c>
      <c r="O1608" s="190">
        <f t="shared" si="195"/>
        <v>212.83</v>
      </c>
      <c r="P1608" s="191">
        <f t="shared" si="196"/>
        <v>0</v>
      </c>
      <c r="Q1608" s="192">
        <f t="shared" si="197"/>
        <v>0</v>
      </c>
      <c r="R1608" s="193"/>
      <c r="S1608" s="194"/>
      <c r="T1608" s="195">
        <f t="shared" si="198"/>
        <v>0</v>
      </c>
      <c r="U1608" s="195">
        <f t="shared" si="199"/>
        <v>0</v>
      </c>
      <c r="V1608" s="195">
        <f t="shared" si="200"/>
        <v>0</v>
      </c>
      <c r="W1608" s="196" t="e">
        <f t="shared" si="201"/>
        <v>#DIV/0!</v>
      </c>
      <c r="X1608" s="197" t="e">
        <f t="shared" si="202"/>
        <v>#DIV/0!</v>
      </c>
    </row>
    <row r="1609" ht="11.4" hidden="1" customHeight="1" spans="1:24">
      <c r="A1609" s="184" t="s">
        <v>3183</v>
      </c>
      <c r="B1609" s="184" t="s">
        <v>111</v>
      </c>
      <c r="C1609" s="184" t="s">
        <v>1101</v>
      </c>
      <c r="D1609" s="185" t="s">
        <v>704</v>
      </c>
      <c r="E1609" s="186" t="s">
        <v>906</v>
      </c>
      <c r="F1609" s="186" t="s">
        <v>907</v>
      </c>
      <c r="G1609" s="186" t="s">
        <v>1102</v>
      </c>
      <c r="H1609" s="186" t="s">
        <v>1103</v>
      </c>
      <c r="I1609" s="187" t="s">
        <v>1169</v>
      </c>
      <c r="J1609" s="187" t="s">
        <v>1170</v>
      </c>
      <c r="K1609" s="188"/>
      <c r="L1609" s="188"/>
      <c r="M1609" s="189" t="s">
        <v>847</v>
      </c>
      <c r="N1609" s="190">
        <v>205.46</v>
      </c>
      <c r="O1609" s="190">
        <f t="shared" si="195"/>
        <v>223.95</v>
      </c>
      <c r="P1609" s="191">
        <f t="shared" si="196"/>
        <v>0</v>
      </c>
      <c r="Q1609" s="192">
        <f t="shared" si="197"/>
        <v>0</v>
      </c>
      <c r="R1609" s="193"/>
      <c r="S1609" s="194"/>
      <c r="T1609" s="195">
        <f t="shared" si="198"/>
        <v>0</v>
      </c>
      <c r="U1609" s="195">
        <f t="shared" si="199"/>
        <v>0</v>
      </c>
      <c r="V1609" s="195">
        <f t="shared" si="200"/>
        <v>0</v>
      </c>
      <c r="W1609" s="196" t="e">
        <f t="shared" si="201"/>
        <v>#DIV/0!</v>
      </c>
      <c r="X1609" s="197" t="e">
        <f t="shared" si="202"/>
        <v>#DIV/0!</v>
      </c>
    </row>
    <row r="1610" ht="11.4" hidden="1" customHeight="1" spans="1:24">
      <c r="A1610" s="184" t="s">
        <v>3183</v>
      </c>
      <c r="B1610" s="184" t="s">
        <v>111</v>
      </c>
      <c r="C1610" s="184" t="s">
        <v>1101</v>
      </c>
      <c r="D1610" s="185" t="s">
        <v>704</v>
      </c>
      <c r="E1610" s="186" t="s">
        <v>906</v>
      </c>
      <c r="F1610" s="186" t="s">
        <v>907</v>
      </c>
      <c r="G1610" s="186" t="s">
        <v>1102</v>
      </c>
      <c r="H1610" s="186" t="s">
        <v>1103</v>
      </c>
      <c r="I1610" s="187" t="s">
        <v>1171</v>
      </c>
      <c r="J1610" s="187" t="s">
        <v>1172</v>
      </c>
      <c r="K1610" s="188"/>
      <c r="L1610" s="188"/>
      <c r="M1610" s="189" t="s">
        <v>847</v>
      </c>
      <c r="N1610" s="190">
        <v>607.91</v>
      </c>
      <c r="O1610" s="190">
        <f t="shared" si="195"/>
        <v>662.62</v>
      </c>
      <c r="P1610" s="191">
        <f t="shared" si="196"/>
        <v>0</v>
      </c>
      <c r="Q1610" s="192">
        <f t="shared" si="197"/>
        <v>0</v>
      </c>
      <c r="R1610" s="193"/>
      <c r="S1610" s="194"/>
      <c r="T1610" s="195">
        <f t="shared" si="198"/>
        <v>0</v>
      </c>
      <c r="U1610" s="195">
        <f t="shared" si="199"/>
        <v>0</v>
      </c>
      <c r="V1610" s="195">
        <f t="shared" si="200"/>
        <v>0</v>
      </c>
      <c r="W1610" s="196" t="e">
        <f t="shared" si="201"/>
        <v>#DIV/0!</v>
      </c>
      <c r="X1610" s="197" t="e">
        <f t="shared" si="202"/>
        <v>#DIV/0!</v>
      </c>
    </row>
    <row r="1611" ht="11.4" hidden="1" customHeight="1" spans="1:24">
      <c r="A1611" s="184" t="s">
        <v>3184</v>
      </c>
      <c r="B1611" s="184" t="s">
        <v>113</v>
      </c>
      <c r="C1611" s="184" t="s">
        <v>1101</v>
      </c>
      <c r="D1611" s="185" t="s">
        <v>704</v>
      </c>
      <c r="E1611" s="186" t="s">
        <v>906</v>
      </c>
      <c r="F1611" s="186" t="s">
        <v>907</v>
      </c>
      <c r="G1611" s="186" t="s">
        <v>1102</v>
      </c>
      <c r="H1611" s="186" t="s">
        <v>1174</v>
      </c>
      <c r="I1611" s="187" t="s">
        <v>1175</v>
      </c>
      <c r="J1611" s="187" t="s">
        <v>1176</v>
      </c>
      <c r="K1611" s="188"/>
      <c r="L1611" s="188"/>
      <c r="M1611" s="189" t="s">
        <v>847</v>
      </c>
      <c r="N1611" s="190">
        <v>114.06</v>
      </c>
      <c r="O1611" s="190">
        <f t="shared" si="195"/>
        <v>124.33</v>
      </c>
      <c r="P1611" s="191">
        <f t="shared" si="196"/>
        <v>0</v>
      </c>
      <c r="Q1611" s="192">
        <f t="shared" si="197"/>
        <v>0</v>
      </c>
      <c r="R1611" s="193"/>
      <c r="S1611" s="194"/>
      <c r="T1611" s="195">
        <f t="shared" si="198"/>
        <v>0</v>
      </c>
      <c r="U1611" s="195">
        <f t="shared" si="199"/>
        <v>0</v>
      </c>
      <c r="V1611" s="195">
        <f t="shared" si="200"/>
        <v>0</v>
      </c>
      <c r="W1611" s="196" t="e">
        <f t="shared" si="201"/>
        <v>#DIV/0!</v>
      </c>
      <c r="X1611" s="197" t="e">
        <f t="shared" si="202"/>
        <v>#DIV/0!</v>
      </c>
    </row>
    <row r="1612" ht="11.4" hidden="1" customHeight="1" spans="1:24">
      <c r="A1612" s="184" t="s">
        <v>3184</v>
      </c>
      <c r="B1612" s="184" t="s">
        <v>113</v>
      </c>
      <c r="C1612" s="184" t="s">
        <v>1101</v>
      </c>
      <c r="D1612" s="185" t="s">
        <v>704</v>
      </c>
      <c r="E1612" s="186" t="s">
        <v>906</v>
      </c>
      <c r="F1612" s="186" t="s">
        <v>907</v>
      </c>
      <c r="G1612" s="186" t="s">
        <v>1102</v>
      </c>
      <c r="H1612" s="186" t="s">
        <v>1174</v>
      </c>
      <c r="I1612" s="187" t="s">
        <v>1178</v>
      </c>
      <c r="J1612" s="187" t="s">
        <v>1179</v>
      </c>
      <c r="K1612" s="188"/>
      <c r="L1612" s="188"/>
      <c r="M1612" s="189" t="s">
        <v>847</v>
      </c>
      <c r="N1612" s="190">
        <v>197.83</v>
      </c>
      <c r="O1612" s="190">
        <f t="shared" si="195"/>
        <v>215.63</v>
      </c>
      <c r="P1612" s="191">
        <f t="shared" si="196"/>
        <v>0</v>
      </c>
      <c r="Q1612" s="192">
        <f t="shared" si="197"/>
        <v>0</v>
      </c>
      <c r="R1612" s="193"/>
      <c r="S1612" s="194"/>
      <c r="T1612" s="195">
        <f t="shared" si="198"/>
        <v>0</v>
      </c>
      <c r="U1612" s="195">
        <f t="shared" si="199"/>
        <v>0</v>
      </c>
      <c r="V1612" s="195">
        <f t="shared" si="200"/>
        <v>0</v>
      </c>
      <c r="W1612" s="196" t="e">
        <f t="shared" si="201"/>
        <v>#DIV/0!</v>
      </c>
      <c r="X1612" s="197" t="e">
        <f t="shared" si="202"/>
        <v>#DIV/0!</v>
      </c>
    </row>
    <row r="1613" ht="11.4" hidden="1" customHeight="1" spans="1:24">
      <c r="A1613" s="184" t="s">
        <v>3184</v>
      </c>
      <c r="B1613" s="184" t="s">
        <v>113</v>
      </c>
      <c r="C1613" s="184" t="s">
        <v>1101</v>
      </c>
      <c r="D1613" s="185" t="s">
        <v>704</v>
      </c>
      <c r="E1613" s="186" t="s">
        <v>906</v>
      </c>
      <c r="F1613" s="186" t="s">
        <v>907</v>
      </c>
      <c r="G1613" s="186" t="s">
        <v>1102</v>
      </c>
      <c r="H1613" s="186" t="s">
        <v>1174</v>
      </c>
      <c r="I1613" s="187" t="s">
        <v>1181</v>
      </c>
      <c r="J1613" s="187" t="s">
        <v>1182</v>
      </c>
      <c r="K1613" s="188"/>
      <c r="L1613" s="188"/>
      <c r="M1613" s="189" t="s">
        <v>847</v>
      </c>
      <c r="N1613" s="190">
        <v>182.9</v>
      </c>
      <c r="O1613" s="190">
        <f t="shared" ref="O1613:O1676" si="203">ROUND(N1613*(1+$F$10),2)</f>
        <v>199.36</v>
      </c>
      <c r="P1613" s="191">
        <f t="shared" ref="P1613:P1676" si="204">ROUND(K1613*N1613,2)</f>
        <v>0</v>
      </c>
      <c r="Q1613" s="192">
        <f t="shared" ref="Q1613:Q1676" si="205">ROUND(L1613*N1613,2)</f>
        <v>0</v>
      </c>
      <c r="R1613" s="193"/>
      <c r="S1613" s="194"/>
      <c r="T1613" s="195">
        <f t="shared" ref="T1613:T1676" si="206">K1613-L1613</f>
        <v>0</v>
      </c>
      <c r="U1613" s="195">
        <f t="shared" ref="U1613:U1676" si="207">P1613-Q1613</f>
        <v>0</v>
      </c>
      <c r="V1613" s="195">
        <f t="shared" ref="V1613:V1676" si="208">ABS(U1613)</f>
        <v>0</v>
      </c>
      <c r="W1613" s="196" t="e">
        <f t="shared" ref="W1613:W1676" si="209">T1613/L1613</f>
        <v>#DIV/0!</v>
      </c>
      <c r="X1613" s="197" t="e">
        <f t="shared" ref="X1613:X1676" si="210">ABS(W1613)</f>
        <v>#DIV/0!</v>
      </c>
    </row>
    <row r="1614" ht="11.4" hidden="1" customHeight="1" spans="1:24">
      <c r="A1614" s="184" t="s">
        <v>3184</v>
      </c>
      <c r="B1614" s="184" t="s">
        <v>113</v>
      </c>
      <c r="C1614" s="184" t="s">
        <v>1101</v>
      </c>
      <c r="D1614" s="185" t="s">
        <v>704</v>
      </c>
      <c r="E1614" s="186" t="s">
        <v>906</v>
      </c>
      <c r="F1614" s="186" t="s">
        <v>907</v>
      </c>
      <c r="G1614" s="186" t="s">
        <v>1102</v>
      </c>
      <c r="H1614" s="186" t="s">
        <v>1174</v>
      </c>
      <c r="I1614" s="187" t="s">
        <v>1183</v>
      </c>
      <c r="J1614" s="187" t="s">
        <v>1184</v>
      </c>
      <c r="K1614" s="188"/>
      <c r="L1614" s="188"/>
      <c r="M1614" s="189" t="s">
        <v>847</v>
      </c>
      <c r="N1614" s="190">
        <v>186.66</v>
      </c>
      <c r="O1614" s="190">
        <f t="shared" si="203"/>
        <v>203.46</v>
      </c>
      <c r="P1614" s="191">
        <f t="shared" si="204"/>
        <v>0</v>
      </c>
      <c r="Q1614" s="192">
        <f t="shared" si="205"/>
        <v>0</v>
      </c>
      <c r="R1614" s="193"/>
      <c r="S1614" s="194"/>
      <c r="T1614" s="195">
        <f t="shared" si="206"/>
        <v>0</v>
      </c>
      <c r="U1614" s="195">
        <f t="shared" si="207"/>
        <v>0</v>
      </c>
      <c r="V1614" s="195">
        <f t="shared" si="208"/>
        <v>0</v>
      </c>
      <c r="W1614" s="196" t="e">
        <f t="shared" si="209"/>
        <v>#DIV/0!</v>
      </c>
      <c r="X1614" s="197" t="e">
        <f t="shared" si="210"/>
        <v>#DIV/0!</v>
      </c>
    </row>
    <row r="1615" ht="11.4" hidden="1" customHeight="1" spans="1:24">
      <c r="A1615" s="184" t="s">
        <v>3184</v>
      </c>
      <c r="B1615" s="184" t="s">
        <v>113</v>
      </c>
      <c r="C1615" s="184" t="s">
        <v>1101</v>
      </c>
      <c r="D1615" s="185" t="s">
        <v>704</v>
      </c>
      <c r="E1615" s="186" t="s">
        <v>906</v>
      </c>
      <c r="F1615" s="186" t="s">
        <v>907</v>
      </c>
      <c r="G1615" s="186" t="s">
        <v>1102</v>
      </c>
      <c r="H1615" s="186" t="s">
        <v>1174</v>
      </c>
      <c r="I1615" s="187" t="s">
        <v>1185</v>
      </c>
      <c r="J1615" s="187" t="s">
        <v>1186</v>
      </c>
      <c r="K1615" s="188"/>
      <c r="L1615" s="188"/>
      <c r="M1615" s="189" t="s">
        <v>847</v>
      </c>
      <c r="N1615" s="190">
        <v>174.35</v>
      </c>
      <c r="O1615" s="190">
        <f t="shared" si="203"/>
        <v>190.04</v>
      </c>
      <c r="P1615" s="191">
        <f t="shared" si="204"/>
        <v>0</v>
      </c>
      <c r="Q1615" s="192">
        <f t="shared" si="205"/>
        <v>0</v>
      </c>
      <c r="R1615" s="193"/>
      <c r="S1615" s="194"/>
      <c r="T1615" s="195">
        <f t="shared" si="206"/>
        <v>0</v>
      </c>
      <c r="U1615" s="195">
        <f t="shared" si="207"/>
        <v>0</v>
      </c>
      <c r="V1615" s="195">
        <f t="shared" si="208"/>
        <v>0</v>
      </c>
      <c r="W1615" s="196" t="e">
        <f t="shared" si="209"/>
        <v>#DIV/0!</v>
      </c>
      <c r="X1615" s="197" t="e">
        <f t="shared" si="210"/>
        <v>#DIV/0!</v>
      </c>
    </row>
    <row r="1616" ht="11.4" hidden="1" customHeight="1" spans="1:24">
      <c r="A1616" s="184" t="s">
        <v>3184</v>
      </c>
      <c r="B1616" s="184" t="s">
        <v>113</v>
      </c>
      <c r="C1616" s="184" t="s">
        <v>1101</v>
      </c>
      <c r="D1616" s="185" t="s">
        <v>704</v>
      </c>
      <c r="E1616" s="186" t="s">
        <v>906</v>
      </c>
      <c r="F1616" s="186" t="s">
        <v>907</v>
      </c>
      <c r="G1616" s="186" t="s">
        <v>1102</v>
      </c>
      <c r="H1616" s="186" t="s">
        <v>1174</v>
      </c>
      <c r="I1616" s="187" t="s">
        <v>1187</v>
      </c>
      <c r="J1616" s="187" t="s">
        <v>1188</v>
      </c>
      <c r="K1616" s="188"/>
      <c r="L1616" s="188"/>
      <c r="M1616" s="189" t="s">
        <v>847</v>
      </c>
      <c r="N1616" s="190">
        <v>379.89</v>
      </c>
      <c r="O1616" s="190">
        <f t="shared" si="203"/>
        <v>414.08</v>
      </c>
      <c r="P1616" s="191">
        <f t="shared" si="204"/>
        <v>0</v>
      </c>
      <c r="Q1616" s="192">
        <f t="shared" si="205"/>
        <v>0</v>
      </c>
      <c r="R1616" s="193"/>
      <c r="S1616" s="194"/>
      <c r="T1616" s="195">
        <f t="shared" si="206"/>
        <v>0</v>
      </c>
      <c r="U1616" s="195">
        <f t="shared" si="207"/>
        <v>0</v>
      </c>
      <c r="V1616" s="195">
        <f t="shared" si="208"/>
        <v>0</v>
      </c>
      <c r="W1616" s="196" t="e">
        <f t="shared" si="209"/>
        <v>#DIV/0!</v>
      </c>
      <c r="X1616" s="197" t="e">
        <f t="shared" si="210"/>
        <v>#DIV/0!</v>
      </c>
    </row>
    <row r="1617" ht="11.4" hidden="1" customHeight="1" spans="1:24">
      <c r="A1617" s="184" t="s">
        <v>3184</v>
      </c>
      <c r="B1617" s="184" t="s">
        <v>113</v>
      </c>
      <c r="C1617" s="184" t="s">
        <v>1101</v>
      </c>
      <c r="D1617" s="185" t="s">
        <v>704</v>
      </c>
      <c r="E1617" s="186" t="s">
        <v>906</v>
      </c>
      <c r="F1617" s="186" t="s">
        <v>907</v>
      </c>
      <c r="G1617" s="186" t="s">
        <v>1102</v>
      </c>
      <c r="H1617" s="186" t="s">
        <v>1174</v>
      </c>
      <c r="I1617" s="187" t="s">
        <v>1189</v>
      </c>
      <c r="J1617" s="187" t="s">
        <v>1190</v>
      </c>
      <c r="K1617" s="188"/>
      <c r="L1617" s="188"/>
      <c r="M1617" s="189" t="s">
        <v>847</v>
      </c>
      <c r="N1617" s="190">
        <v>219.2</v>
      </c>
      <c r="O1617" s="190">
        <f t="shared" si="203"/>
        <v>238.93</v>
      </c>
      <c r="P1617" s="191">
        <f t="shared" si="204"/>
        <v>0</v>
      </c>
      <c r="Q1617" s="192">
        <f t="shared" si="205"/>
        <v>0</v>
      </c>
      <c r="R1617" s="193"/>
      <c r="S1617" s="194"/>
      <c r="T1617" s="195">
        <f t="shared" si="206"/>
        <v>0</v>
      </c>
      <c r="U1617" s="195">
        <f t="shared" si="207"/>
        <v>0</v>
      </c>
      <c r="V1617" s="195">
        <f t="shared" si="208"/>
        <v>0</v>
      </c>
      <c r="W1617" s="196" t="e">
        <f t="shared" si="209"/>
        <v>#DIV/0!</v>
      </c>
      <c r="X1617" s="197" t="e">
        <f t="shared" si="210"/>
        <v>#DIV/0!</v>
      </c>
    </row>
    <row r="1618" ht="11.4" hidden="1" customHeight="1" spans="1:24">
      <c r="A1618" s="184" t="s">
        <v>3184</v>
      </c>
      <c r="B1618" s="184" t="s">
        <v>113</v>
      </c>
      <c r="C1618" s="184" t="s">
        <v>1101</v>
      </c>
      <c r="D1618" s="185" t="s">
        <v>704</v>
      </c>
      <c r="E1618" s="186" t="s">
        <v>906</v>
      </c>
      <c r="F1618" s="186" t="s">
        <v>907</v>
      </c>
      <c r="G1618" s="186" t="s">
        <v>1102</v>
      </c>
      <c r="H1618" s="186" t="s">
        <v>1174</v>
      </c>
      <c r="I1618" s="187" t="s">
        <v>1191</v>
      </c>
      <c r="J1618" s="187" t="s">
        <v>1192</v>
      </c>
      <c r="K1618" s="188"/>
      <c r="L1618" s="188"/>
      <c r="M1618" s="189" t="s">
        <v>847</v>
      </c>
      <c r="N1618" s="190">
        <v>402.43</v>
      </c>
      <c r="O1618" s="190">
        <f t="shared" si="203"/>
        <v>438.65</v>
      </c>
      <c r="P1618" s="191">
        <f t="shared" si="204"/>
        <v>0</v>
      </c>
      <c r="Q1618" s="192">
        <f t="shared" si="205"/>
        <v>0</v>
      </c>
      <c r="R1618" s="193"/>
      <c r="S1618" s="194"/>
      <c r="T1618" s="195">
        <f t="shared" si="206"/>
        <v>0</v>
      </c>
      <c r="U1618" s="195">
        <f t="shared" si="207"/>
        <v>0</v>
      </c>
      <c r="V1618" s="195">
        <f t="shared" si="208"/>
        <v>0</v>
      </c>
      <c r="W1618" s="196" t="e">
        <f t="shared" si="209"/>
        <v>#DIV/0!</v>
      </c>
      <c r="X1618" s="197" t="e">
        <f t="shared" si="210"/>
        <v>#DIV/0!</v>
      </c>
    </row>
    <row r="1619" ht="11.4" hidden="1" customHeight="1" spans="1:24">
      <c r="A1619" s="184" t="s">
        <v>3184</v>
      </c>
      <c r="B1619" s="184" t="s">
        <v>113</v>
      </c>
      <c r="C1619" s="184" t="s">
        <v>1101</v>
      </c>
      <c r="D1619" s="185" t="s">
        <v>704</v>
      </c>
      <c r="E1619" s="186" t="s">
        <v>906</v>
      </c>
      <c r="F1619" s="186" t="s">
        <v>907</v>
      </c>
      <c r="G1619" s="186" t="s">
        <v>1102</v>
      </c>
      <c r="H1619" s="186" t="s">
        <v>1174</v>
      </c>
      <c r="I1619" s="187" t="s">
        <v>1193</v>
      </c>
      <c r="J1619" s="187" t="s">
        <v>1194</v>
      </c>
      <c r="K1619" s="188"/>
      <c r="L1619" s="188"/>
      <c r="M1619" s="189" t="s">
        <v>847</v>
      </c>
      <c r="N1619" s="190">
        <v>70.85</v>
      </c>
      <c r="O1619" s="190">
        <f t="shared" si="203"/>
        <v>77.23</v>
      </c>
      <c r="P1619" s="191">
        <f t="shared" si="204"/>
        <v>0</v>
      </c>
      <c r="Q1619" s="192">
        <f t="shared" si="205"/>
        <v>0</v>
      </c>
      <c r="R1619" s="193"/>
      <c r="S1619" s="194"/>
      <c r="T1619" s="195">
        <f t="shared" si="206"/>
        <v>0</v>
      </c>
      <c r="U1619" s="195">
        <f t="shared" si="207"/>
        <v>0</v>
      </c>
      <c r="V1619" s="195">
        <f t="shared" si="208"/>
        <v>0</v>
      </c>
      <c r="W1619" s="196" t="e">
        <f t="shared" si="209"/>
        <v>#DIV/0!</v>
      </c>
      <c r="X1619" s="197" t="e">
        <f t="shared" si="210"/>
        <v>#DIV/0!</v>
      </c>
    </row>
    <row r="1620" ht="11.4" hidden="1" customHeight="1" spans="1:24">
      <c r="A1620" s="184" t="s">
        <v>3184</v>
      </c>
      <c r="B1620" s="184" t="s">
        <v>113</v>
      </c>
      <c r="C1620" s="184" t="s">
        <v>1101</v>
      </c>
      <c r="D1620" s="185" t="s">
        <v>704</v>
      </c>
      <c r="E1620" s="186" t="s">
        <v>906</v>
      </c>
      <c r="F1620" s="186" t="s">
        <v>907</v>
      </c>
      <c r="G1620" s="186" t="s">
        <v>1102</v>
      </c>
      <c r="H1620" s="186" t="s">
        <v>1174</v>
      </c>
      <c r="I1620" s="187" t="s">
        <v>1195</v>
      </c>
      <c r="J1620" s="187" t="s">
        <v>1196</v>
      </c>
      <c r="K1620" s="188"/>
      <c r="L1620" s="188"/>
      <c r="M1620" s="189" t="s">
        <v>847</v>
      </c>
      <c r="N1620" s="190">
        <v>307.56</v>
      </c>
      <c r="O1620" s="190">
        <f t="shared" si="203"/>
        <v>335.24</v>
      </c>
      <c r="P1620" s="191">
        <f t="shared" si="204"/>
        <v>0</v>
      </c>
      <c r="Q1620" s="192">
        <f t="shared" si="205"/>
        <v>0</v>
      </c>
      <c r="R1620" s="193"/>
      <c r="S1620" s="194"/>
      <c r="T1620" s="195">
        <f t="shared" si="206"/>
        <v>0</v>
      </c>
      <c r="U1620" s="195">
        <f t="shared" si="207"/>
        <v>0</v>
      </c>
      <c r="V1620" s="195">
        <f t="shared" si="208"/>
        <v>0</v>
      </c>
      <c r="W1620" s="196" t="e">
        <f t="shared" si="209"/>
        <v>#DIV/0!</v>
      </c>
      <c r="X1620" s="197" t="e">
        <f t="shared" si="210"/>
        <v>#DIV/0!</v>
      </c>
    </row>
    <row r="1621" ht="11.4" hidden="1" customHeight="1" spans="1:24">
      <c r="A1621" s="184" t="s">
        <v>3184</v>
      </c>
      <c r="B1621" s="184" t="s">
        <v>113</v>
      </c>
      <c r="C1621" s="184" t="s">
        <v>1101</v>
      </c>
      <c r="D1621" s="185" t="s">
        <v>704</v>
      </c>
      <c r="E1621" s="186" t="s">
        <v>906</v>
      </c>
      <c r="F1621" s="186" t="s">
        <v>907</v>
      </c>
      <c r="G1621" s="186" t="s">
        <v>1102</v>
      </c>
      <c r="H1621" s="186" t="s">
        <v>1174</v>
      </c>
      <c r="I1621" s="187" t="s">
        <v>1197</v>
      </c>
      <c r="J1621" s="187" t="s">
        <v>1198</v>
      </c>
      <c r="K1621" s="188"/>
      <c r="L1621" s="188"/>
      <c r="M1621" s="189" t="s">
        <v>847</v>
      </c>
      <c r="N1621" s="190">
        <v>39.59</v>
      </c>
      <c r="O1621" s="190">
        <f t="shared" si="203"/>
        <v>43.15</v>
      </c>
      <c r="P1621" s="191">
        <f t="shared" si="204"/>
        <v>0</v>
      </c>
      <c r="Q1621" s="192">
        <f t="shared" si="205"/>
        <v>0</v>
      </c>
      <c r="R1621" s="193"/>
      <c r="S1621" s="194"/>
      <c r="T1621" s="195">
        <f t="shared" si="206"/>
        <v>0</v>
      </c>
      <c r="U1621" s="195">
        <f t="shared" si="207"/>
        <v>0</v>
      </c>
      <c r="V1621" s="195">
        <f t="shared" si="208"/>
        <v>0</v>
      </c>
      <c r="W1621" s="196" t="e">
        <f t="shared" si="209"/>
        <v>#DIV/0!</v>
      </c>
      <c r="X1621" s="197" t="e">
        <f t="shared" si="210"/>
        <v>#DIV/0!</v>
      </c>
    </row>
    <row r="1622" ht="11.4" hidden="1" customHeight="1" spans="1:24">
      <c r="A1622" s="184" t="s">
        <v>3184</v>
      </c>
      <c r="B1622" s="184" t="s">
        <v>113</v>
      </c>
      <c r="C1622" s="184" t="s">
        <v>1101</v>
      </c>
      <c r="D1622" s="185" t="s">
        <v>704</v>
      </c>
      <c r="E1622" s="186" t="s">
        <v>906</v>
      </c>
      <c r="F1622" s="186" t="s">
        <v>907</v>
      </c>
      <c r="G1622" s="186" t="s">
        <v>1102</v>
      </c>
      <c r="H1622" s="186" t="s">
        <v>1174</v>
      </c>
      <c r="I1622" s="187" t="s">
        <v>1199</v>
      </c>
      <c r="J1622" s="187" t="s">
        <v>1200</v>
      </c>
      <c r="K1622" s="188"/>
      <c r="L1622" s="188"/>
      <c r="M1622" s="189" t="s">
        <v>847</v>
      </c>
      <c r="N1622" s="190">
        <v>203.22</v>
      </c>
      <c r="O1622" s="190">
        <f t="shared" si="203"/>
        <v>221.51</v>
      </c>
      <c r="P1622" s="191">
        <f t="shared" si="204"/>
        <v>0</v>
      </c>
      <c r="Q1622" s="192">
        <f t="shared" si="205"/>
        <v>0</v>
      </c>
      <c r="R1622" s="193"/>
      <c r="S1622" s="194"/>
      <c r="T1622" s="195">
        <f t="shared" si="206"/>
        <v>0</v>
      </c>
      <c r="U1622" s="195">
        <f t="shared" si="207"/>
        <v>0</v>
      </c>
      <c r="V1622" s="195">
        <f t="shared" si="208"/>
        <v>0</v>
      </c>
      <c r="W1622" s="196" t="e">
        <f t="shared" si="209"/>
        <v>#DIV/0!</v>
      </c>
      <c r="X1622" s="197" t="e">
        <f t="shared" si="210"/>
        <v>#DIV/0!</v>
      </c>
    </row>
    <row r="1623" ht="11.4" hidden="1" customHeight="1" spans="1:24">
      <c r="A1623" s="184" t="s">
        <v>3184</v>
      </c>
      <c r="B1623" s="184" t="s">
        <v>113</v>
      </c>
      <c r="C1623" s="184" t="s">
        <v>1101</v>
      </c>
      <c r="D1623" s="185" t="s">
        <v>704</v>
      </c>
      <c r="E1623" s="186" t="s">
        <v>906</v>
      </c>
      <c r="F1623" s="186" t="s">
        <v>907</v>
      </c>
      <c r="G1623" s="186" t="s">
        <v>1102</v>
      </c>
      <c r="H1623" s="186" t="s">
        <v>1174</v>
      </c>
      <c r="I1623" s="187" t="s">
        <v>1201</v>
      </c>
      <c r="J1623" s="187" t="s">
        <v>1202</v>
      </c>
      <c r="K1623" s="188"/>
      <c r="L1623" s="188"/>
      <c r="M1623" s="189" t="s">
        <v>847</v>
      </c>
      <c r="N1623" s="190">
        <v>268.9</v>
      </c>
      <c r="O1623" s="190">
        <f t="shared" si="203"/>
        <v>293.1</v>
      </c>
      <c r="P1623" s="191">
        <f t="shared" si="204"/>
        <v>0</v>
      </c>
      <c r="Q1623" s="192">
        <f t="shared" si="205"/>
        <v>0</v>
      </c>
      <c r="R1623" s="193"/>
      <c r="S1623" s="194"/>
      <c r="T1623" s="195">
        <f t="shared" si="206"/>
        <v>0</v>
      </c>
      <c r="U1623" s="195">
        <f t="shared" si="207"/>
        <v>0</v>
      </c>
      <c r="V1623" s="195">
        <f t="shared" si="208"/>
        <v>0</v>
      </c>
      <c r="W1623" s="196" t="e">
        <f t="shared" si="209"/>
        <v>#DIV/0!</v>
      </c>
      <c r="X1623" s="197" t="e">
        <f t="shared" si="210"/>
        <v>#DIV/0!</v>
      </c>
    </row>
    <row r="1624" ht="11.4" hidden="1" customHeight="1" spans="1:24">
      <c r="A1624" s="184" t="s">
        <v>3184</v>
      </c>
      <c r="B1624" s="184" t="s">
        <v>113</v>
      </c>
      <c r="C1624" s="184" t="s">
        <v>1101</v>
      </c>
      <c r="D1624" s="185" t="s">
        <v>704</v>
      </c>
      <c r="E1624" s="186" t="s">
        <v>906</v>
      </c>
      <c r="F1624" s="186" t="s">
        <v>907</v>
      </c>
      <c r="G1624" s="186" t="s">
        <v>1102</v>
      </c>
      <c r="H1624" s="186" t="s">
        <v>1174</v>
      </c>
      <c r="I1624" s="187" t="s">
        <v>1203</v>
      </c>
      <c r="J1624" s="187" t="s">
        <v>1204</v>
      </c>
      <c r="K1624" s="188"/>
      <c r="L1624" s="188"/>
      <c r="M1624" s="189" t="s">
        <v>847</v>
      </c>
      <c r="N1624" s="190">
        <v>17.39</v>
      </c>
      <c r="O1624" s="190">
        <f t="shared" si="203"/>
        <v>18.96</v>
      </c>
      <c r="P1624" s="191">
        <f t="shared" si="204"/>
        <v>0</v>
      </c>
      <c r="Q1624" s="192">
        <f t="shared" si="205"/>
        <v>0</v>
      </c>
      <c r="R1624" s="193"/>
      <c r="S1624" s="194"/>
      <c r="T1624" s="195">
        <f t="shared" si="206"/>
        <v>0</v>
      </c>
      <c r="U1624" s="195">
        <f t="shared" si="207"/>
        <v>0</v>
      </c>
      <c r="V1624" s="195">
        <f t="shared" si="208"/>
        <v>0</v>
      </c>
      <c r="W1624" s="196" t="e">
        <f t="shared" si="209"/>
        <v>#DIV/0!</v>
      </c>
      <c r="X1624" s="197" t="e">
        <f t="shared" si="210"/>
        <v>#DIV/0!</v>
      </c>
    </row>
    <row r="1625" ht="11.4" hidden="1" customHeight="1" spans="1:24">
      <c r="A1625" s="184" t="s">
        <v>3184</v>
      </c>
      <c r="B1625" s="184" t="s">
        <v>113</v>
      </c>
      <c r="C1625" s="184" t="s">
        <v>1101</v>
      </c>
      <c r="D1625" s="185" t="s">
        <v>704</v>
      </c>
      <c r="E1625" s="186" t="s">
        <v>906</v>
      </c>
      <c r="F1625" s="186" t="s">
        <v>907</v>
      </c>
      <c r="G1625" s="186" t="s">
        <v>1102</v>
      </c>
      <c r="H1625" s="186" t="s">
        <v>1174</v>
      </c>
      <c r="I1625" s="187" t="s">
        <v>1206</v>
      </c>
      <c r="J1625" s="187" t="s">
        <v>1207</v>
      </c>
      <c r="K1625" s="188"/>
      <c r="L1625" s="188"/>
      <c r="M1625" s="189" t="s">
        <v>847</v>
      </c>
      <c r="N1625" s="190">
        <v>266.78</v>
      </c>
      <c r="O1625" s="190">
        <f t="shared" si="203"/>
        <v>290.79</v>
      </c>
      <c r="P1625" s="191">
        <f t="shared" si="204"/>
        <v>0</v>
      </c>
      <c r="Q1625" s="192">
        <f t="shared" si="205"/>
        <v>0</v>
      </c>
      <c r="R1625" s="193"/>
      <c r="S1625" s="194"/>
      <c r="T1625" s="195">
        <f t="shared" si="206"/>
        <v>0</v>
      </c>
      <c r="U1625" s="195">
        <f t="shared" si="207"/>
        <v>0</v>
      </c>
      <c r="V1625" s="195">
        <f t="shared" si="208"/>
        <v>0</v>
      </c>
      <c r="W1625" s="196" t="e">
        <f t="shared" si="209"/>
        <v>#DIV/0!</v>
      </c>
      <c r="X1625" s="197" t="e">
        <f t="shared" si="210"/>
        <v>#DIV/0!</v>
      </c>
    </row>
    <row r="1626" ht="11.4" hidden="1" customHeight="1" spans="1:24">
      <c r="A1626" s="184" t="s">
        <v>3184</v>
      </c>
      <c r="B1626" s="184" t="s">
        <v>113</v>
      </c>
      <c r="C1626" s="184" t="s">
        <v>1101</v>
      </c>
      <c r="D1626" s="185" t="s">
        <v>704</v>
      </c>
      <c r="E1626" s="186" t="s">
        <v>906</v>
      </c>
      <c r="F1626" s="186" t="s">
        <v>907</v>
      </c>
      <c r="G1626" s="186" t="s">
        <v>1102</v>
      </c>
      <c r="H1626" s="186" t="s">
        <v>1174</v>
      </c>
      <c r="I1626" s="187" t="s">
        <v>1208</v>
      </c>
      <c r="J1626" s="187" t="s">
        <v>1209</v>
      </c>
      <c r="K1626" s="188"/>
      <c r="L1626" s="188"/>
      <c r="M1626" s="189" t="s">
        <v>847</v>
      </c>
      <c r="N1626" s="190">
        <v>283.28</v>
      </c>
      <c r="O1626" s="190">
        <f t="shared" si="203"/>
        <v>308.78</v>
      </c>
      <c r="P1626" s="191">
        <f t="shared" si="204"/>
        <v>0</v>
      </c>
      <c r="Q1626" s="192">
        <f t="shared" si="205"/>
        <v>0</v>
      </c>
      <c r="R1626" s="193"/>
      <c r="S1626" s="194"/>
      <c r="T1626" s="195">
        <f t="shared" si="206"/>
        <v>0</v>
      </c>
      <c r="U1626" s="195">
        <f t="shared" si="207"/>
        <v>0</v>
      </c>
      <c r="V1626" s="195">
        <f t="shared" si="208"/>
        <v>0</v>
      </c>
      <c r="W1626" s="196" t="e">
        <f t="shared" si="209"/>
        <v>#DIV/0!</v>
      </c>
      <c r="X1626" s="197" t="e">
        <f t="shared" si="210"/>
        <v>#DIV/0!</v>
      </c>
    </row>
    <row r="1627" ht="11.4" hidden="1" customHeight="1" spans="1:24">
      <c r="A1627" s="184" t="s">
        <v>3184</v>
      </c>
      <c r="B1627" s="184" t="s">
        <v>113</v>
      </c>
      <c r="C1627" s="184" t="s">
        <v>1101</v>
      </c>
      <c r="D1627" s="185" t="s">
        <v>704</v>
      </c>
      <c r="E1627" s="186" t="s">
        <v>906</v>
      </c>
      <c r="F1627" s="186" t="s">
        <v>907</v>
      </c>
      <c r="G1627" s="186" t="s">
        <v>1102</v>
      </c>
      <c r="H1627" s="186" t="s">
        <v>1174</v>
      </c>
      <c r="I1627" s="187" t="s">
        <v>1210</v>
      </c>
      <c r="J1627" s="187" t="s">
        <v>1211</v>
      </c>
      <c r="K1627" s="188"/>
      <c r="L1627" s="188"/>
      <c r="M1627" s="189" t="s">
        <v>847</v>
      </c>
      <c r="N1627" s="190">
        <v>288.72</v>
      </c>
      <c r="O1627" s="190">
        <f t="shared" si="203"/>
        <v>314.7</v>
      </c>
      <c r="P1627" s="191">
        <f t="shared" si="204"/>
        <v>0</v>
      </c>
      <c r="Q1627" s="192">
        <f t="shared" si="205"/>
        <v>0</v>
      </c>
      <c r="R1627" s="193"/>
      <c r="S1627" s="194"/>
      <c r="T1627" s="195">
        <f t="shared" si="206"/>
        <v>0</v>
      </c>
      <c r="U1627" s="195">
        <f t="shared" si="207"/>
        <v>0</v>
      </c>
      <c r="V1627" s="195">
        <f t="shared" si="208"/>
        <v>0</v>
      </c>
      <c r="W1627" s="196" t="e">
        <f t="shared" si="209"/>
        <v>#DIV/0!</v>
      </c>
      <c r="X1627" s="197" t="e">
        <f t="shared" si="210"/>
        <v>#DIV/0!</v>
      </c>
    </row>
    <row r="1628" ht="11.4" hidden="1" customHeight="1" spans="1:24">
      <c r="A1628" s="184" t="s">
        <v>3184</v>
      </c>
      <c r="B1628" s="184" t="s">
        <v>113</v>
      </c>
      <c r="C1628" s="184" t="s">
        <v>1101</v>
      </c>
      <c r="D1628" s="185" t="s">
        <v>704</v>
      </c>
      <c r="E1628" s="186" t="s">
        <v>906</v>
      </c>
      <c r="F1628" s="186" t="s">
        <v>907</v>
      </c>
      <c r="G1628" s="186" t="s">
        <v>1102</v>
      </c>
      <c r="H1628" s="186" t="s">
        <v>1174</v>
      </c>
      <c r="I1628" s="187" t="s">
        <v>1212</v>
      </c>
      <c r="J1628" s="187" t="s">
        <v>1213</v>
      </c>
      <c r="K1628" s="188"/>
      <c r="L1628" s="188"/>
      <c r="M1628" s="189" t="s">
        <v>847</v>
      </c>
      <c r="N1628" s="190">
        <v>267.97</v>
      </c>
      <c r="O1628" s="190">
        <f t="shared" si="203"/>
        <v>292.09</v>
      </c>
      <c r="P1628" s="191">
        <f t="shared" si="204"/>
        <v>0</v>
      </c>
      <c r="Q1628" s="192">
        <f t="shared" si="205"/>
        <v>0</v>
      </c>
      <c r="R1628" s="193"/>
      <c r="S1628" s="194"/>
      <c r="T1628" s="195">
        <f t="shared" si="206"/>
        <v>0</v>
      </c>
      <c r="U1628" s="195">
        <f t="shared" si="207"/>
        <v>0</v>
      </c>
      <c r="V1628" s="195">
        <f t="shared" si="208"/>
        <v>0</v>
      </c>
      <c r="W1628" s="196" t="e">
        <f t="shared" si="209"/>
        <v>#DIV/0!</v>
      </c>
      <c r="X1628" s="197" t="e">
        <f t="shared" si="210"/>
        <v>#DIV/0!</v>
      </c>
    </row>
    <row r="1629" ht="11.4" hidden="1" customHeight="1" spans="1:24">
      <c r="A1629" s="184" t="s">
        <v>3184</v>
      </c>
      <c r="B1629" s="184" t="s">
        <v>113</v>
      </c>
      <c r="C1629" s="184" t="s">
        <v>1101</v>
      </c>
      <c r="D1629" s="185" t="s">
        <v>704</v>
      </c>
      <c r="E1629" s="186" t="s">
        <v>906</v>
      </c>
      <c r="F1629" s="186" t="s">
        <v>907</v>
      </c>
      <c r="G1629" s="186" t="s">
        <v>1102</v>
      </c>
      <c r="H1629" s="186" t="s">
        <v>1174</v>
      </c>
      <c r="I1629" s="187" t="s">
        <v>1214</v>
      </c>
      <c r="J1629" s="187" t="s">
        <v>1215</v>
      </c>
      <c r="K1629" s="188"/>
      <c r="L1629" s="188"/>
      <c r="M1629" s="189" t="s">
        <v>847</v>
      </c>
      <c r="N1629" s="190">
        <v>284.47</v>
      </c>
      <c r="O1629" s="190">
        <f t="shared" si="203"/>
        <v>310.07</v>
      </c>
      <c r="P1629" s="191">
        <f t="shared" si="204"/>
        <v>0</v>
      </c>
      <c r="Q1629" s="192">
        <f t="shared" si="205"/>
        <v>0</v>
      </c>
      <c r="R1629" s="193"/>
      <c r="S1629" s="194"/>
      <c r="T1629" s="195">
        <f t="shared" si="206"/>
        <v>0</v>
      </c>
      <c r="U1629" s="195">
        <f t="shared" si="207"/>
        <v>0</v>
      </c>
      <c r="V1629" s="195">
        <f t="shared" si="208"/>
        <v>0</v>
      </c>
      <c r="W1629" s="196" t="e">
        <f t="shared" si="209"/>
        <v>#DIV/0!</v>
      </c>
      <c r="X1629" s="197" t="e">
        <f t="shared" si="210"/>
        <v>#DIV/0!</v>
      </c>
    </row>
    <row r="1630" ht="11.4" hidden="1" customHeight="1" spans="1:24">
      <c r="A1630" s="184" t="s">
        <v>3184</v>
      </c>
      <c r="B1630" s="184" t="s">
        <v>113</v>
      </c>
      <c r="C1630" s="184" t="s">
        <v>1101</v>
      </c>
      <c r="D1630" s="185" t="s">
        <v>704</v>
      </c>
      <c r="E1630" s="186" t="s">
        <v>906</v>
      </c>
      <c r="F1630" s="186" t="s">
        <v>907</v>
      </c>
      <c r="G1630" s="186" t="s">
        <v>1102</v>
      </c>
      <c r="H1630" s="186" t="s">
        <v>1174</v>
      </c>
      <c r="I1630" s="187" t="s">
        <v>1216</v>
      </c>
      <c r="J1630" s="187" t="s">
        <v>1217</v>
      </c>
      <c r="K1630" s="188"/>
      <c r="L1630" s="188"/>
      <c r="M1630" s="189" t="s">
        <v>847</v>
      </c>
      <c r="N1630" s="190">
        <v>288.72</v>
      </c>
      <c r="O1630" s="190">
        <f t="shared" si="203"/>
        <v>314.7</v>
      </c>
      <c r="P1630" s="191">
        <f t="shared" si="204"/>
        <v>0</v>
      </c>
      <c r="Q1630" s="192">
        <f t="shared" si="205"/>
        <v>0</v>
      </c>
      <c r="R1630" s="193"/>
      <c r="S1630" s="194"/>
      <c r="T1630" s="195">
        <f t="shared" si="206"/>
        <v>0</v>
      </c>
      <c r="U1630" s="195">
        <f t="shared" si="207"/>
        <v>0</v>
      </c>
      <c r="V1630" s="195">
        <f t="shared" si="208"/>
        <v>0</v>
      </c>
      <c r="W1630" s="196" t="e">
        <f t="shared" si="209"/>
        <v>#DIV/0!</v>
      </c>
      <c r="X1630" s="197" t="e">
        <f t="shared" si="210"/>
        <v>#DIV/0!</v>
      </c>
    </row>
    <row r="1631" ht="11.4" hidden="1" customHeight="1" spans="1:24">
      <c r="A1631" s="184" t="s">
        <v>3184</v>
      </c>
      <c r="B1631" s="184" t="s">
        <v>113</v>
      </c>
      <c r="C1631" s="184" t="s">
        <v>1101</v>
      </c>
      <c r="D1631" s="185" t="s">
        <v>704</v>
      </c>
      <c r="E1631" s="186" t="s">
        <v>906</v>
      </c>
      <c r="F1631" s="186" t="s">
        <v>907</v>
      </c>
      <c r="G1631" s="186" t="s">
        <v>1102</v>
      </c>
      <c r="H1631" s="186" t="s">
        <v>1174</v>
      </c>
      <c r="I1631" s="187" t="s">
        <v>1218</v>
      </c>
      <c r="J1631" s="187" t="s">
        <v>1219</v>
      </c>
      <c r="K1631" s="188"/>
      <c r="L1631" s="188"/>
      <c r="M1631" s="189" t="s">
        <v>847</v>
      </c>
      <c r="N1631" s="190">
        <v>250.15</v>
      </c>
      <c r="O1631" s="190">
        <f t="shared" si="203"/>
        <v>272.66</v>
      </c>
      <c r="P1631" s="191">
        <f t="shared" si="204"/>
        <v>0</v>
      </c>
      <c r="Q1631" s="192">
        <f t="shared" si="205"/>
        <v>0</v>
      </c>
      <c r="R1631" s="193"/>
      <c r="S1631" s="194"/>
      <c r="T1631" s="195">
        <f t="shared" si="206"/>
        <v>0</v>
      </c>
      <c r="U1631" s="195">
        <f t="shared" si="207"/>
        <v>0</v>
      </c>
      <c r="V1631" s="195">
        <f t="shared" si="208"/>
        <v>0</v>
      </c>
      <c r="W1631" s="196" t="e">
        <f t="shared" si="209"/>
        <v>#DIV/0!</v>
      </c>
      <c r="X1631" s="197" t="e">
        <f t="shared" si="210"/>
        <v>#DIV/0!</v>
      </c>
    </row>
    <row r="1632" ht="11.4" hidden="1" customHeight="1" spans="1:24">
      <c r="A1632" s="184" t="s">
        <v>3184</v>
      </c>
      <c r="B1632" s="184" t="s">
        <v>113</v>
      </c>
      <c r="C1632" s="184" t="s">
        <v>1101</v>
      </c>
      <c r="D1632" s="185" t="s">
        <v>704</v>
      </c>
      <c r="E1632" s="186" t="s">
        <v>906</v>
      </c>
      <c r="F1632" s="186" t="s">
        <v>907</v>
      </c>
      <c r="G1632" s="186" t="s">
        <v>1102</v>
      </c>
      <c r="H1632" s="186" t="s">
        <v>1174</v>
      </c>
      <c r="I1632" s="187" t="s">
        <v>1220</v>
      </c>
      <c r="J1632" s="187" t="s">
        <v>1221</v>
      </c>
      <c r="K1632" s="188"/>
      <c r="L1632" s="188"/>
      <c r="M1632" s="189" t="s">
        <v>847</v>
      </c>
      <c r="N1632" s="190">
        <v>288.04</v>
      </c>
      <c r="O1632" s="190">
        <f t="shared" si="203"/>
        <v>313.96</v>
      </c>
      <c r="P1632" s="191">
        <f t="shared" si="204"/>
        <v>0</v>
      </c>
      <c r="Q1632" s="192">
        <f t="shared" si="205"/>
        <v>0</v>
      </c>
      <c r="R1632" s="193"/>
      <c r="S1632" s="194"/>
      <c r="T1632" s="195">
        <f t="shared" si="206"/>
        <v>0</v>
      </c>
      <c r="U1632" s="195">
        <f t="shared" si="207"/>
        <v>0</v>
      </c>
      <c r="V1632" s="195">
        <f t="shared" si="208"/>
        <v>0</v>
      </c>
      <c r="W1632" s="196" t="e">
        <f t="shared" si="209"/>
        <v>#DIV/0!</v>
      </c>
      <c r="X1632" s="197" t="e">
        <f t="shared" si="210"/>
        <v>#DIV/0!</v>
      </c>
    </row>
    <row r="1633" ht="11.4" hidden="1" customHeight="1" spans="1:24">
      <c r="A1633" s="184" t="s">
        <v>3184</v>
      </c>
      <c r="B1633" s="184" t="s">
        <v>113</v>
      </c>
      <c r="C1633" s="184" t="s">
        <v>1101</v>
      </c>
      <c r="D1633" s="185" t="s">
        <v>704</v>
      </c>
      <c r="E1633" s="186" t="s">
        <v>906</v>
      </c>
      <c r="F1633" s="186" t="s">
        <v>907</v>
      </c>
      <c r="G1633" s="186" t="s">
        <v>1102</v>
      </c>
      <c r="H1633" s="186" t="s">
        <v>1174</v>
      </c>
      <c r="I1633" s="187" t="s">
        <v>1222</v>
      </c>
      <c r="J1633" s="187" t="s">
        <v>1223</v>
      </c>
      <c r="K1633" s="188"/>
      <c r="L1633" s="188"/>
      <c r="M1633" s="189" t="s">
        <v>847</v>
      </c>
      <c r="N1633" s="190">
        <v>270.9</v>
      </c>
      <c r="O1633" s="190">
        <f t="shared" si="203"/>
        <v>295.28</v>
      </c>
      <c r="P1633" s="191">
        <f t="shared" si="204"/>
        <v>0</v>
      </c>
      <c r="Q1633" s="192">
        <f t="shared" si="205"/>
        <v>0</v>
      </c>
      <c r="R1633" s="193"/>
      <c r="S1633" s="194"/>
      <c r="T1633" s="195">
        <f t="shared" si="206"/>
        <v>0</v>
      </c>
      <c r="U1633" s="195">
        <f t="shared" si="207"/>
        <v>0</v>
      </c>
      <c r="V1633" s="195">
        <f t="shared" si="208"/>
        <v>0</v>
      </c>
      <c r="W1633" s="196" t="e">
        <f t="shared" si="209"/>
        <v>#DIV/0!</v>
      </c>
      <c r="X1633" s="197" t="e">
        <f t="shared" si="210"/>
        <v>#DIV/0!</v>
      </c>
    </row>
    <row r="1634" ht="11.4" hidden="1" customHeight="1" spans="1:24">
      <c r="A1634" s="184" t="s">
        <v>3184</v>
      </c>
      <c r="B1634" s="184" t="s">
        <v>113</v>
      </c>
      <c r="C1634" s="184" t="s">
        <v>1101</v>
      </c>
      <c r="D1634" s="185" t="s">
        <v>704</v>
      </c>
      <c r="E1634" s="186" t="s">
        <v>906</v>
      </c>
      <c r="F1634" s="186" t="s">
        <v>907</v>
      </c>
      <c r="G1634" s="186" t="s">
        <v>1102</v>
      </c>
      <c r="H1634" s="186" t="s">
        <v>1174</v>
      </c>
      <c r="I1634" s="187" t="s">
        <v>1224</v>
      </c>
      <c r="J1634" s="187" t="s">
        <v>1225</v>
      </c>
      <c r="K1634" s="188"/>
      <c r="L1634" s="188"/>
      <c r="M1634" s="189" t="s">
        <v>847</v>
      </c>
      <c r="N1634" s="190">
        <v>385.58</v>
      </c>
      <c r="O1634" s="190">
        <f t="shared" si="203"/>
        <v>420.28</v>
      </c>
      <c r="P1634" s="191">
        <f t="shared" si="204"/>
        <v>0</v>
      </c>
      <c r="Q1634" s="192">
        <f t="shared" si="205"/>
        <v>0</v>
      </c>
      <c r="R1634" s="193"/>
      <c r="S1634" s="194"/>
      <c r="T1634" s="195">
        <f t="shared" si="206"/>
        <v>0</v>
      </c>
      <c r="U1634" s="195">
        <f t="shared" si="207"/>
        <v>0</v>
      </c>
      <c r="V1634" s="195">
        <f t="shared" si="208"/>
        <v>0</v>
      </c>
      <c r="W1634" s="196" t="e">
        <f t="shared" si="209"/>
        <v>#DIV/0!</v>
      </c>
      <c r="X1634" s="197" t="e">
        <f t="shared" si="210"/>
        <v>#DIV/0!</v>
      </c>
    </row>
    <row r="1635" ht="11.4" hidden="1" customHeight="1" spans="1:24">
      <c r="A1635" s="184" t="s">
        <v>3184</v>
      </c>
      <c r="B1635" s="184" t="s">
        <v>113</v>
      </c>
      <c r="C1635" s="184" t="s">
        <v>1101</v>
      </c>
      <c r="D1635" s="185" t="s">
        <v>704</v>
      </c>
      <c r="E1635" s="186" t="s">
        <v>906</v>
      </c>
      <c r="F1635" s="186" t="s">
        <v>907</v>
      </c>
      <c r="G1635" s="186" t="s">
        <v>1102</v>
      </c>
      <c r="H1635" s="186" t="s">
        <v>1174</v>
      </c>
      <c r="I1635" s="187" t="s">
        <v>1226</v>
      </c>
      <c r="J1635" s="187" t="s">
        <v>1227</v>
      </c>
      <c r="K1635" s="188"/>
      <c r="L1635" s="188"/>
      <c r="M1635" s="189" t="s">
        <v>847</v>
      </c>
      <c r="N1635" s="190">
        <v>454.36</v>
      </c>
      <c r="O1635" s="190">
        <f t="shared" si="203"/>
        <v>495.25</v>
      </c>
      <c r="P1635" s="191">
        <f t="shared" si="204"/>
        <v>0</v>
      </c>
      <c r="Q1635" s="192">
        <f t="shared" si="205"/>
        <v>0</v>
      </c>
      <c r="R1635" s="193"/>
      <c r="S1635" s="194"/>
      <c r="T1635" s="195">
        <f t="shared" si="206"/>
        <v>0</v>
      </c>
      <c r="U1635" s="195">
        <f t="shared" si="207"/>
        <v>0</v>
      </c>
      <c r="V1635" s="195">
        <f t="shared" si="208"/>
        <v>0</v>
      </c>
      <c r="W1635" s="196" t="e">
        <f t="shared" si="209"/>
        <v>#DIV/0!</v>
      </c>
      <c r="X1635" s="197" t="e">
        <f t="shared" si="210"/>
        <v>#DIV/0!</v>
      </c>
    </row>
    <row r="1636" ht="11.4" hidden="1" customHeight="1" spans="1:24">
      <c r="A1636" s="184" t="s">
        <v>3184</v>
      </c>
      <c r="B1636" s="184" t="s">
        <v>113</v>
      </c>
      <c r="C1636" s="184" t="s">
        <v>1101</v>
      </c>
      <c r="D1636" s="185" t="s">
        <v>704</v>
      </c>
      <c r="E1636" s="186" t="s">
        <v>906</v>
      </c>
      <c r="F1636" s="186" t="s">
        <v>907</v>
      </c>
      <c r="G1636" s="186" t="s">
        <v>1102</v>
      </c>
      <c r="H1636" s="186" t="s">
        <v>1174</v>
      </c>
      <c r="I1636" s="187" t="s">
        <v>1228</v>
      </c>
      <c r="J1636" s="187" t="s">
        <v>1229</v>
      </c>
      <c r="K1636" s="188"/>
      <c r="L1636" s="188"/>
      <c r="M1636" s="189" t="s">
        <v>847</v>
      </c>
      <c r="N1636" s="190">
        <v>406.33</v>
      </c>
      <c r="O1636" s="190">
        <f t="shared" si="203"/>
        <v>442.9</v>
      </c>
      <c r="P1636" s="191">
        <f t="shared" si="204"/>
        <v>0</v>
      </c>
      <c r="Q1636" s="192">
        <f t="shared" si="205"/>
        <v>0</v>
      </c>
      <c r="R1636" s="193"/>
      <c r="S1636" s="194"/>
      <c r="T1636" s="195">
        <f t="shared" si="206"/>
        <v>0</v>
      </c>
      <c r="U1636" s="195">
        <f t="shared" si="207"/>
        <v>0</v>
      </c>
      <c r="V1636" s="195">
        <f t="shared" si="208"/>
        <v>0</v>
      </c>
      <c r="W1636" s="196" t="e">
        <f t="shared" si="209"/>
        <v>#DIV/0!</v>
      </c>
      <c r="X1636" s="197" t="e">
        <f t="shared" si="210"/>
        <v>#DIV/0!</v>
      </c>
    </row>
    <row r="1637" ht="11.4" hidden="1" customHeight="1" spans="1:24">
      <c r="A1637" s="184" t="s">
        <v>3184</v>
      </c>
      <c r="B1637" s="184" t="s">
        <v>113</v>
      </c>
      <c r="C1637" s="184" t="s">
        <v>1101</v>
      </c>
      <c r="D1637" s="185" t="s">
        <v>704</v>
      </c>
      <c r="E1637" s="186" t="s">
        <v>906</v>
      </c>
      <c r="F1637" s="186" t="s">
        <v>907</v>
      </c>
      <c r="G1637" s="186" t="s">
        <v>1102</v>
      </c>
      <c r="H1637" s="186" t="s">
        <v>1174</v>
      </c>
      <c r="I1637" s="187" t="s">
        <v>1230</v>
      </c>
      <c r="J1637" s="187" t="s">
        <v>1231</v>
      </c>
      <c r="K1637" s="188"/>
      <c r="L1637" s="188"/>
      <c r="M1637" s="189" t="s">
        <v>847</v>
      </c>
      <c r="N1637" s="190">
        <v>387.96</v>
      </c>
      <c r="O1637" s="190">
        <f t="shared" si="203"/>
        <v>422.88</v>
      </c>
      <c r="P1637" s="191">
        <f t="shared" si="204"/>
        <v>0</v>
      </c>
      <c r="Q1637" s="192">
        <f t="shared" si="205"/>
        <v>0</v>
      </c>
      <c r="R1637" s="193"/>
      <c r="S1637" s="194"/>
      <c r="T1637" s="195">
        <f t="shared" si="206"/>
        <v>0</v>
      </c>
      <c r="U1637" s="195">
        <f t="shared" si="207"/>
        <v>0</v>
      </c>
      <c r="V1637" s="195">
        <f t="shared" si="208"/>
        <v>0</v>
      </c>
      <c r="W1637" s="196" t="e">
        <f t="shared" si="209"/>
        <v>#DIV/0!</v>
      </c>
      <c r="X1637" s="197" t="e">
        <f t="shared" si="210"/>
        <v>#DIV/0!</v>
      </c>
    </row>
    <row r="1638" ht="11.4" hidden="1" customHeight="1" spans="1:24">
      <c r="A1638" s="184" t="s">
        <v>3184</v>
      </c>
      <c r="B1638" s="184" t="s">
        <v>113</v>
      </c>
      <c r="C1638" s="184" t="s">
        <v>1101</v>
      </c>
      <c r="D1638" s="185" t="s">
        <v>704</v>
      </c>
      <c r="E1638" s="186" t="s">
        <v>906</v>
      </c>
      <c r="F1638" s="186" t="s">
        <v>907</v>
      </c>
      <c r="G1638" s="186" t="s">
        <v>1102</v>
      </c>
      <c r="H1638" s="186" t="s">
        <v>1174</v>
      </c>
      <c r="I1638" s="187" t="s">
        <v>1232</v>
      </c>
      <c r="J1638" s="187" t="s">
        <v>1233</v>
      </c>
      <c r="K1638" s="188"/>
      <c r="L1638" s="188"/>
      <c r="M1638" s="189" t="s">
        <v>847</v>
      </c>
      <c r="N1638" s="190">
        <v>404.46</v>
      </c>
      <c r="O1638" s="190">
        <f t="shared" si="203"/>
        <v>440.86</v>
      </c>
      <c r="P1638" s="191">
        <f t="shared" si="204"/>
        <v>0</v>
      </c>
      <c r="Q1638" s="192">
        <f t="shared" si="205"/>
        <v>0</v>
      </c>
      <c r="R1638" s="193"/>
      <c r="S1638" s="194"/>
      <c r="T1638" s="195">
        <f t="shared" si="206"/>
        <v>0</v>
      </c>
      <c r="U1638" s="195">
        <f t="shared" si="207"/>
        <v>0</v>
      </c>
      <c r="V1638" s="195">
        <f t="shared" si="208"/>
        <v>0</v>
      </c>
      <c r="W1638" s="196" t="e">
        <f t="shared" si="209"/>
        <v>#DIV/0!</v>
      </c>
      <c r="X1638" s="197" t="e">
        <f t="shared" si="210"/>
        <v>#DIV/0!</v>
      </c>
    </row>
    <row r="1639" ht="11.4" hidden="1" customHeight="1" spans="1:24">
      <c r="A1639" s="184" t="s">
        <v>3184</v>
      </c>
      <c r="B1639" s="184" t="s">
        <v>113</v>
      </c>
      <c r="C1639" s="184" t="s">
        <v>1101</v>
      </c>
      <c r="D1639" s="185" t="s">
        <v>704</v>
      </c>
      <c r="E1639" s="186" t="s">
        <v>906</v>
      </c>
      <c r="F1639" s="186" t="s">
        <v>907</v>
      </c>
      <c r="G1639" s="186" t="s">
        <v>1102</v>
      </c>
      <c r="H1639" s="186" t="s">
        <v>1174</v>
      </c>
      <c r="I1639" s="187" t="s">
        <v>1234</v>
      </c>
      <c r="J1639" s="187" t="s">
        <v>1235</v>
      </c>
      <c r="K1639" s="188"/>
      <c r="L1639" s="188"/>
      <c r="M1639" s="189" t="s">
        <v>847</v>
      </c>
      <c r="N1639" s="190">
        <v>408.71</v>
      </c>
      <c r="O1639" s="190">
        <f t="shared" si="203"/>
        <v>445.49</v>
      </c>
      <c r="P1639" s="191">
        <f t="shared" si="204"/>
        <v>0</v>
      </c>
      <c r="Q1639" s="192">
        <f t="shared" si="205"/>
        <v>0</v>
      </c>
      <c r="R1639" s="193"/>
      <c r="S1639" s="194"/>
      <c r="T1639" s="195">
        <f t="shared" si="206"/>
        <v>0</v>
      </c>
      <c r="U1639" s="195">
        <f t="shared" si="207"/>
        <v>0</v>
      </c>
      <c r="V1639" s="195">
        <f t="shared" si="208"/>
        <v>0</v>
      </c>
      <c r="W1639" s="196" t="e">
        <f t="shared" si="209"/>
        <v>#DIV/0!</v>
      </c>
      <c r="X1639" s="197" t="e">
        <f t="shared" si="210"/>
        <v>#DIV/0!</v>
      </c>
    </row>
    <row r="1640" ht="11.4" hidden="1" customHeight="1" spans="1:24">
      <c r="A1640" s="184" t="s">
        <v>3184</v>
      </c>
      <c r="B1640" s="184" t="s">
        <v>113</v>
      </c>
      <c r="C1640" s="184" t="s">
        <v>1101</v>
      </c>
      <c r="D1640" s="185" t="s">
        <v>704</v>
      </c>
      <c r="E1640" s="186" t="s">
        <v>906</v>
      </c>
      <c r="F1640" s="186" t="s">
        <v>907</v>
      </c>
      <c r="G1640" s="186" t="s">
        <v>1102</v>
      </c>
      <c r="H1640" s="186" t="s">
        <v>1174</v>
      </c>
      <c r="I1640" s="187" t="s">
        <v>1236</v>
      </c>
      <c r="J1640" s="187" t="s">
        <v>1237</v>
      </c>
      <c r="K1640" s="188"/>
      <c r="L1640" s="188"/>
      <c r="M1640" s="189" t="s">
        <v>847</v>
      </c>
      <c r="N1640" s="190">
        <v>385.58</v>
      </c>
      <c r="O1640" s="190">
        <f t="shared" si="203"/>
        <v>420.28</v>
      </c>
      <c r="P1640" s="191">
        <f t="shared" si="204"/>
        <v>0</v>
      </c>
      <c r="Q1640" s="192">
        <f t="shared" si="205"/>
        <v>0</v>
      </c>
      <c r="R1640" s="193"/>
      <c r="S1640" s="194"/>
      <c r="T1640" s="195">
        <f t="shared" si="206"/>
        <v>0</v>
      </c>
      <c r="U1640" s="195">
        <f t="shared" si="207"/>
        <v>0</v>
      </c>
      <c r="V1640" s="195">
        <f t="shared" si="208"/>
        <v>0</v>
      </c>
      <c r="W1640" s="196" t="e">
        <f t="shared" si="209"/>
        <v>#DIV/0!</v>
      </c>
      <c r="X1640" s="197" t="e">
        <f t="shared" si="210"/>
        <v>#DIV/0!</v>
      </c>
    </row>
    <row r="1641" ht="11.4" hidden="1" customHeight="1" spans="1:24">
      <c r="A1641" s="184" t="s">
        <v>3184</v>
      </c>
      <c r="B1641" s="184" t="s">
        <v>113</v>
      </c>
      <c r="C1641" s="184" t="s">
        <v>1101</v>
      </c>
      <c r="D1641" s="185" t="s">
        <v>704</v>
      </c>
      <c r="E1641" s="186" t="s">
        <v>906</v>
      </c>
      <c r="F1641" s="186" t="s">
        <v>907</v>
      </c>
      <c r="G1641" s="186" t="s">
        <v>1102</v>
      </c>
      <c r="H1641" s="186" t="s">
        <v>1174</v>
      </c>
      <c r="I1641" s="187" t="s">
        <v>1238</v>
      </c>
      <c r="J1641" s="187" t="s">
        <v>1239</v>
      </c>
      <c r="K1641" s="188"/>
      <c r="L1641" s="188"/>
      <c r="M1641" s="189" t="s">
        <v>847</v>
      </c>
      <c r="N1641" s="190">
        <v>402.08</v>
      </c>
      <c r="O1641" s="190">
        <f t="shared" si="203"/>
        <v>438.27</v>
      </c>
      <c r="P1641" s="191">
        <f t="shared" si="204"/>
        <v>0</v>
      </c>
      <c r="Q1641" s="192">
        <f t="shared" si="205"/>
        <v>0</v>
      </c>
      <c r="R1641" s="193"/>
      <c r="S1641" s="194"/>
      <c r="T1641" s="195">
        <f t="shared" si="206"/>
        <v>0</v>
      </c>
      <c r="U1641" s="195">
        <f t="shared" si="207"/>
        <v>0</v>
      </c>
      <c r="V1641" s="195">
        <f t="shared" si="208"/>
        <v>0</v>
      </c>
      <c r="W1641" s="196" t="e">
        <f t="shared" si="209"/>
        <v>#DIV/0!</v>
      </c>
      <c r="X1641" s="197" t="e">
        <f t="shared" si="210"/>
        <v>#DIV/0!</v>
      </c>
    </row>
    <row r="1642" ht="11.4" hidden="1" customHeight="1" spans="1:24">
      <c r="A1642" s="184" t="s">
        <v>3184</v>
      </c>
      <c r="B1642" s="184" t="s">
        <v>113</v>
      </c>
      <c r="C1642" s="184" t="s">
        <v>1101</v>
      </c>
      <c r="D1642" s="185" t="s">
        <v>704</v>
      </c>
      <c r="E1642" s="186" t="s">
        <v>906</v>
      </c>
      <c r="F1642" s="186" t="s">
        <v>907</v>
      </c>
      <c r="G1642" s="186" t="s">
        <v>1102</v>
      </c>
      <c r="H1642" s="186" t="s">
        <v>1174</v>
      </c>
      <c r="I1642" s="187" t="s">
        <v>1240</v>
      </c>
      <c r="J1642" s="187" t="s">
        <v>1241</v>
      </c>
      <c r="K1642" s="188"/>
      <c r="L1642" s="188"/>
      <c r="M1642" s="189" t="s">
        <v>847</v>
      </c>
      <c r="N1642" s="190">
        <v>406.33</v>
      </c>
      <c r="O1642" s="190">
        <f t="shared" si="203"/>
        <v>442.9</v>
      </c>
      <c r="P1642" s="191">
        <f t="shared" si="204"/>
        <v>0</v>
      </c>
      <c r="Q1642" s="192">
        <f t="shared" si="205"/>
        <v>0</v>
      </c>
      <c r="R1642" s="193"/>
      <c r="S1642" s="194"/>
      <c r="T1642" s="195">
        <f t="shared" si="206"/>
        <v>0</v>
      </c>
      <c r="U1642" s="195">
        <f t="shared" si="207"/>
        <v>0</v>
      </c>
      <c r="V1642" s="195">
        <f t="shared" si="208"/>
        <v>0</v>
      </c>
      <c r="W1642" s="196" t="e">
        <f t="shared" si="209"/>
        <v>#DIV/0!</v>
      </c>
      <c r="X1642" s="197" t="e">
        <f t="shared" si="210"/>
        <v>#DIV/0!</v>
      </c>
    </row>
    <row r="1643" ht="11.4" hidden="1" customHeight="1" spans="1:24">
      <c r="A1643" s="184" t="s">
        <v>3184</v>
      </c>
      <c r="B1643" s="184" t="s">
        <v>113</v>
      </c>
      <c r="C1643" s="184" t="s">
        <v>1101</v>
      </c>
      <c r="D1643" s="185" t="s">
        <v>704</v>
      </c>
      <c r="E1643" s="186" t="s">
        <v>906</v>
      </c>
      <c r="F1643" s="186" t="s">
        <v>907</v>
      </c>
      <c r="G1643" s="186" t="s">
        <v>1102</v>
      </c>
      <c r="H1643" s="186" t="s">
        <v>1174</v>
      </c>
      <c r="I1643" s="187" t="s">
        <v>1242</v>
      </c>
      <c r="J1643" s="187" t="s">
        <v>1243</v>
      </c>
      <c r="K1643" s="188"/>
      <c r="L1643" s="188"/>
      <c r="M1643" s="189" t="s">
        <v>847</v>
      </c>
      <c r="N1643" s="190">
        <v>676.14</v>
      </c>
      <c r="O1643" s="190">
        <f t="shared" si="203"/>
        <v>736.99</v>
      </c>
      <c r="P1643" s="191">
        <f t="shared" si="204"/>
        <v>0</v>
      </c>
      <c r="Q1643" s="192">
        <f t="shared" si="205"/>
        <v>0</v>
      </c>
      <c r="R1643" s="193"/>
      <c r="S1643" s="194"/>
      <c r="T1643" s="195">
        <f t="shared" si="206"/>
        <v>0</v>
      </c>
      <c r="U1643" s="195">
        <f t="shared" si="207"/>
        <v>0</v>
      </c>
      <c r="V1643" s="195">
        <f t="shared" si="208"/>
        <v>0</v>
      </c>
      <c r="W1643" s="196" t="e">
        <f t="shared" si="209"/>
        <v>#DIV/0!</v>
      </c>
      <c r="X1643" s="197" t="e">
        <f t="shared" si="210"/>
        <v>#DIV/0!</v>
      </c>
    </row>
    <row r="1644" ht="11.4" hidden="1" customHeight="1" spans="1:24">
      <c r="A1644" s="184" t="s">
        <v>3184</v>
      </c>
      <c r="B1644" s="184" t="s">
        <v>113</v>
      </c>
      <c r="C1644" s="184" t="s">
        <v>1101</v>
      </c>
      <c r="D1644" s="185" t="s">
        <v>704</v>
      </c>
      <c r="E1644" s="186" t="s">
        <v>906</v>
      </c>
      <c r="F1644" s="186" t="s">
        <v>907</v>
      </c>
      <c r="G1644" s="186" t="s">
        <v>1102</v>
      </c>
      <c r="H1644" s="186" t="s">
        <v>1174</v>
      </c>
      <c r="I1644" s="187" t="s">
        <v>1244</v>
      </c>
      <c r="J1644" s="187" t="s">
        <v>1245</v>
      </c>
      <c r="K1644" s="188"/>
      <c r="L1644" s="188"/>
      <c r="M1644" s="189" t="s">
        <v>847</v>
      </c>
      <c r="N1644" s="190">
        <v>214.82</v>
      </c>
      <c r="O1644" s="190">
        <f t="shared" si="203"/>
        <v>234.15</v>
      </c>
      <c r="P1644" s="191">
        <f t="shared" si="204"/>
        <v>0</v>
      </c>
      <c r="Q1644" s="192">
        <f t="shared" si="205"/>
        <v>0</v>
      </c>
      <c r="R1644" s="193"/>
      <c r="S1644" s="194"/>
      <c r="T1644" s="195">
        <f t="shared" si="206"/>
        <v>0</v>
      </c>
      <c r="U1644" s="195">
        <f t="shared" si="207"/>
        <v>0</v>
      </c>
      <c r="V1644" s="195">
        <f t="shared" si="208"/>
        <v>0</v>
      </c>
      <c r="W1644" s="196" t="e">
        <f t="shared" si="209"/>
        <v>#DIV/0!</v>
      </c>
      <c r="X1644" s="197" t="e">
        <f t="shared" si="210"/>
        <v>#DIV/0!</v>
      </c>
    </row>
    <row r="1645" ht="11.4" hidden="1" customHeight="1" spans="1:24">
      <c r="A1645" s="184" t="s">
        <v>3184</v>
      </c>
      <c r="B1645" s="184" t="s">
        <v>113</v>
      </c>
      <c r="C1645" s="184" t="s">
        <v>1101</v>
      </c>
      <c r="D1645" s="185" t="s">
        <v>704</v>
      </c>
      <c r="E1645" s="186" t="s">
        <v>906</v>
      </c>
      <c r="F1645" s="186" t="s">
        <v>907</v>
      </c>
      <c r="G1645" s="186" t="s">
        <v>1102</v>
      </c>
      <c r="H1645" s="186" t="s">
        <v>1174</v>
      </c>
      <c r="I1645" s="187" t="s">
        <v>1246</v>
      </c>
      <c r="J1645" s="187" t="s">
        <v>1247</v>
      </c>
      <c r="K1645" s="188"/>
      <c r="L1645" s="188"/>
      <c r="M1645" s="189" t="s">
        <v>847</v>
      </c>
      <c r="N1645" s="190">
        <v>241.44</v>
      </c>
      <c r="O1645" s="190">
        <f t="shared" si="203"/>
        <v>263.17</v>
      </c>
      <c r="P1645" s="191">
        <f t="shared" si="204"/>
        <v>0</v>
      </c>
      <c r="Q1645" s="192">
        <f t="shared" si="205"/>
        <v>0</v>
      </c>
      <c r="R1645" s="193"/>
      <c r="S1645" s="194"/>
      <c r="T1645" s="195">
        <f t="shared" si="206"/>
        <v>0</v>
      </c>
      <c r="U1645" s="195">
        <f t="shared" si="207"/>
        <v>0</v>
      </c>
      <c r="V1645" s="195">
        <f t="shared" si="208"/>
        <v>0</v>
      </c>
      <c r="W1645" s="196" t="e">
        <f t="shared" si="209"/>
        <v>#DIV/0!</v>
      </c>
      <c r="X1645" s="197" t="e">
        <f t="shared" si="210"/>
        <v>#DIV/0!</v>
      </c>
    </row>
    <row r="1646" ht="11.4" hidden="1" customHeight="1" spans="1:24">
      <c r="A1646" s="184" t="s">
        <v>3184</v>
      </c>
      <c r="B1646" s="184" t="s">
        <v>113</v>
      </c>
      <c r="C1646" s="184" t="s">
        <v>1101</v>
      </c>
      <c r="D1646" s="185" t="s">
        <v>704</v>
      </c>
      <c r="E1646" s="186" t="s">
        <v>906</v>
      </c>
      <c r="F1646" s="186" t="s">
        <v>907</v>
      </c>
      <c r="G1646" s="186" t="s">
        <v>1102</v>
      </c>
      <c r="H1646" s="186" t="s">
        <v>1174</v>
      </c>
      <c r="I1646" s="187" t="s">
        <v>1248</v>
      </c>
      <c r="J1646" s="187" t="s">
        <v>1249</v>
      </c>
      <c r="K1646" s="188"/>
      <c r="L1646" s="188"/>
      <c r="M1646" s="189" t="s">
        <v>847</v>
      </c>
      <c r="N1646" s="190">
        <v>224.5</v>
      </c>
      <c r="O1646" s="190">
        <f t="shared" si="203"/>
        <v>244.71</v>
      </c>
      <c r="P1646" s="191">
        <f t="shared" si="204"/>
        <v>0</v>
      </c>
      <c r="Q1646" s="192">
        <f t="shared" si="205"/>
        <v>0</v>
      </c>
      <c r="R1646" s="193"/>
      <c r="S1646" s="194"/>
      <c r="T1646" s="195">
        <f t="shared" si="206"/>
        <v>0</v>
      </c>
      <c r="U1646" s="195">
        <f t="shared" si="207"/>
        <v>0</v>
      </c>
      <c r="V1646" s="195">
        <f t="shared" si="208"/>
        <v>0</v>
      </c>
      <c r="W1646" s="196" t="e">
        <f t="shared" si="209"/>
        <v>#DIV/0!</v>
      </c>
      <c r="X1646" s="197" t="e">
        <f t="shared" si="210"/>
        <v>#DIV/0!</v>
      </c>
    </row>
    <row r="1647" ht="11.4" hidden="1" customHeight="1" spans="1:24">
      <c r="A1647" s="184" t="s">
        <v>3184</v>
      </c>
      <c r="B1647" s="184" t="s">
        <v>113</v>
      </c>
      <c r="C1647" s="184" t="s">
        <v>1101</v>
      </c>
      <c r="D1647" s="185" t="s">
        <v>704</v>
      </c>
      <c r="E1647" s="186" t="s">
        <v>906</v>
      </c>
      <c r="F1647" s="186" t="s">
        <v>907</v>
      </c>
      <c r="G1647" s="186" t="s">
        <v>1102</v>
      </c>
      <c r="H1647" s="186" t="s">
        <v>1174</v>
      </c>
      <c r="I1647" s="187" t="s">
        <v>1250</v>
      </c>
      <c r="J1647" s="187" t="s">
        <v>1251</v>
      </c>
      <c r="K1647" s="188"/>
      <c r="L1647" s="188"/>
      <c r="M1647" s="189" t="s">
        <v>847</v>
      </c>
      <c r="N1647" s="190">
        <v>195.76</v>
      </c>
      <c r="O1647" s="190">
        <f t="shared" si="203"/>
        <v>213.38</v>
      </c>
      <c r="P1647" s="191">
        <f t="shared" si="204"/>
        <v>0</v>
      </c>
      <c r="Q1647" s="192">
        <f t="shared" si="205"/>
        <v>0</v>
      </c>
      <c r="R1647" s="193"/>
      <c r="S1647" s="194"/>
      <c r="T1647" s="195">
        <f t="shared" si="206"/>
        <v>0</v>
      </c>
      <c r="U1647" s="195">
        <f t="shared" si="207"/>
        <v>0</v>
      </c>
      <c r="V1647" s="195">
        <f t="shared" si="208"/>
        <v>0</v>
      </c>
      <c r="W1647" s="196" t="e">
        <f t="shared" si="209"/>
        <v>#DIV/0!</v>
      </c>
      <c r="X1647" s="197" t="e">
        <f t="shared" si="210"/>
        <v>#DIV/0!</v>
      </c>
    </row>
    <row r="1648" ht="11.4" hidden="1" customHeight="1" spans="1:24">
      <c r="A1648" s="184" t="s">
        <v>3184</v>
      </c>
      <c r="B1648" s="184" t="s">
        <v>113</v>
      </c>
      <c r="C1648" s="184" t="s">
        <v>1101</v>
      </c>
      <c r="D1648" s="185" t="s">
        <v>704</v>
      </c>
      <c r="E1648" s="186" t="s">
        <v>906</v>
      </c>
      <c r="F1648" s="186" t="s">
        <v>907</v>
      </c>
      <c r="G1648" s="186" t="s">
        <v>1102</v>
      </c>
      <c r="H1648" s="186" t="s">
        <v>1174</v>
      </c>
      <c r="I1648" s="187" t="s">
        <v>1252</v>
      </c>
      <c r="J1648" s="187" t="s">
        <v>1253</v>
      </c>
      <c r="K1648" s="188"/>
      <c r="L1648" s="188"/>
      <c r="M1648" s="189" t="s">
        <v>847</v>
      </c>
      <c r="N1648" s="190">
        <v>223.29</v>
      </c>
      <c r="O1648" s="190">
        <f t="shared" si="203"/>
        <v>243.39</v>
      </c>
      <c r="P1648" s="191">
        <f t="shared" si="204"/>
        <v>0</v>
      </c>
      <c r="Q1648" s="192">
        <f t="shared" si="205"/>
        <v>0</v>
      </c>
      <c r="R1648" s="193"/>
      <c r="S1648" s="194"/>
      <c r="T1648" s="195">
        <f t="shared" si="206"/>
        <v>0</v>
      </c>
      <c r="U1648" s="195">
        <f t="shared" si="207"/>
        <v>0</v>
      </c>
      <c r="V1648" s="195">
        <f t="shared" si="208"/>
        <v>0</v>
      </c>
      <c r="W1648" s="196" t="e">
        <f t="shared" si="209"/>
        <v>#DIV/0!</v>
      </c>
      <c r="X1648" s="197" t="e">
        <f t="shared" si="210"/>
        <v>#DIV/0!</v>
      </c>
    </row>
    <row r="1649" ht="11.4" hidden="1" customHeight="1" spans="1:24">
      <c r="A1649" s="184" t="s">
        <v>3184</v>
      </c>
      <c r="B1649" s="184" t="s">
        <v>113</v>
      </c>
      <c r="C1649" s="184" t="s">
        <v>1101</v>
      </c>
      <c r="D1649" s="185" t="s">
        <v>704</v>
      </c>
      <c r="E1649" s="186" t="s">
        <v>906</v>
      </c>
      <c r="F1649" s="186" t="s">
        <v>907</v>
      </c>
      <c r="G1649" s="186" t="s">
        <v>1102</v>
      </c>
      <c r="H1649" s="186" t="s">
        <v>1174</v>
      </c>
      <c r="I1649" s="187" t="s">
        <v>1254</v>
      </c>
      <c r="J1649" s="187" t="s">
        <v>1255</v>
      </c>
      <c r="K1649" s="188"/>
      <c r="L1649" s="188"/>
      <c r="M1649" s="189" t="s">
        <v>847</v>
      </c>
      <c r="N1649" s="190">
        <v>195.76</v>
      </c>
      <c r="O1649" s="190">
        <f t="shared" si="203"/>
        <v>213.38</v>
      </c>
      <c r="P1649" s="191">
        <f t="shared" si="204"/>
        <v>0</v>
      </c>
      <c r="Q1649" s="192">
        <f t="shared" si="205"/>
        <v>0</v>
      </c>
      <c r="R1649" s="193"/>
      <c r="S1649" s="194"/>
      <c r="T1649" s="195">
        <f t="shared" si="206"/>
        <v>0</v>
      </c>
      <c r="U1649" s="195">
        <f t="shared" si="207"/>
        <v>0</v>
      </c>
      <c r="V1649" s="195">
        <f t="shared" si="208"/>
        <v>0</v>
      </c>
      <c r="W1649" s="196" t="e">
        <f t="shared" si="209"/>
        <v>#DIV/0!</v>
      </c>
      <c r="X1649" s="197" t="e">
        <f t="shared" si="210"/>
        <v>#DIV/0!</v>
      </c>
    </row>
    <row r="1650" ht="11.4" hidden="1" customHeight="1" spans="1:24">
      <c r="A1650" s="184" t="s">
        <v>3184</v>
      </c>
      <c r="B1650" s="184" t="s">
        <v>113</v>
      </c>
      <c r="C1650" s="184" t="s">
        <v>1101</v>
      </c>
      <c r="D1650" s="185" t="s">
        <v>704</v>
      </c>
      <c r="E1650" s="186" t="s">
        <v>906</v>
      </c>
      <c r="F1650" s="186" t="s">
        <v>907</v>
      </c>
      <c r="G1650" s="186" t="s">
        <v>1102</v>
      </c>
      <c r="H1650" s="186" t="s">
        <v>1174</v>
      </c>
      <c r="I1650" s="187" t="s">
        <v>1256</v>
      </c>
      <c r="J1650" s="187" t="s">
        <v>1257</v>
      </c>
      <c r="K1650" s="188"/>
      <c r="L1650" s="188"/>
      <c r="M1650" s="189" t="s">
        <v>847</v>
      </c>
      <c r="N1650" s="190">
        <v>214.82</v>
      </c>
      <c r="O1650" s="190">
        <f t="shared" si="203"/>
        <v>234.15</v>
      </c>
      <c r="P1650" s="191">
        <f t="shared" si="204"/>
        <v>0</v>
      </c>
      <c r="Q1650" s="192">
        <f t="shared" si="205"/>
        <v>0</v>
      </c>
      <c r="R1650" s="193"/>
      <c r="S1650" s="194"/>
      <c r="T1650" s="195">
        <f t="shared" si="206"/>
        <v>0</v>
      </c>
      <c r="U1650" s="195">
        <f t="shared" si="207"/>
        <v>0</v>
      </c>
      <c r="V1650" s="195">
        <f t="shared" si="208"/>
        <v>0</v>
      </c>
      <c r="W1650" s="196" t="e">
        <f t="shared" si="209"/>
        <v>#DIV/0!</v>
      </c>
      <c r="X1650" s="197" t="e">
        <f t="shared" si="210"/>
        <v>#DIV/0!</v>
      </c>
    </row>
    <row r="1651" ht="11.4" hidden="1" customHeight="1" spans="1:24">
      <c r="A1651" s="184" t="s">
        <v>3184</v>
      </c>
      <c r="B1651" s="184" t="s">
        <v>113</v>
      </c>
      <c r="C1651" s="184" t="s">
        <v>1101</v>
      </c>
      <c r="D1651" s="185" t="s">
        <v>704</v>
      </c>
      <c r="E1651" s="186" t="s">
        <v>906</v>
      </c>
      <c r="F1651" s="186" t="s">
        <v>907</v>
      </c>
      <c r="G1651" s="186" t="s">
        <v>1102</v>
      </c>
      <c r="H1651" s="186" t="s">
        <v>1174</v>
      </c>
      <c r="I1651" s="187" t="s">
        <v>1258</v>
      </c>
      <c r="J1651" s="187" t="s">
        <v>1259</v>
      </c>
      <c r="K1651" s="188"/>
      <c r="L1651" s="188"/>
      <c r="M1651" s="189" t="s">
        <v>847</v>
      </c>
      <c r="N1651" s="190">
        <v>236.6</v>
      </c>
      <c r="O1651" s="190">
        <f t="shared" si="203"/>
        <v>257.89</v>
      </c>
      <c r="P1651" s="191">
        <f t="shared" si="204"/>
        <v>0</v>
      </c>
      <c r="Q1651" s="192">
        <f t="shared" si="205"/>
        <v>0</v>
      </c>
      <c r="R1651" s="193"/>
      <c r="S1651" s="194"/>
      <c r="T1651" s="195">
        <f t="shared" si="206"/>
        <v>0</v>
      </c>
      <c r="U1651" s="195">
        <f t="shared" si="207"/>
        <v>0</v>
      </c>
      <c r="V1651" s="195">
        <f t="shared" si="208"/>
        <v>0</v>
      </c>
      <c r="W1651" s="196" t="e">
        <f t="shared" si="209"/>
        <v>#DIV/0!</v>
      </c>
      <c r="X1651" s="197" t="e">
        <f t="shared" si="210"/>
        <v>#DIV/0!</v>
      </c>
    </row>
    <row r="1652" ht="11.4" hidden="1" customHeight="1" spans="1:24">
      <c r="A1652" s="184" t="s">
        <v>3184</v>
      </c>
      <c r="B1652" s="184" t="s">
        <v>113</v>
      </c>
      <c r="C1652" s="184" t="s">
        <v>1101</v>
      </c>
      <c r="D1652" s="185" t="s">
        <v>704</v>
      </c>
      <c r="E1652" s="186" t="s">
        <v>906</v>
      </c>
      <c r="F1652" s="186" t="s">
        <v>907</v>
      </c>
      <c r="G1652" s="186" t="s">
        <v>1102</v>
      </c>
      <c r="H1652" s="186" t="s">
        <v>1174</v>
      </c>
      <c r="I1652" s="187" t="s">
        <v>1260</v>
      </c>
      <c r="J1652" s="187" t="s">
        <v>1261</v>
      </c>
      <c r="K1652" s="188"/>
      <c r="L1652" s="188"/>
      <c r="M1652" s="189" t="s">
        <v>847</v>
      </c>
      <c r="N1652" s="190">
        <v>224.5</v>
      </c>
      <c r="O1652" s="190">
        <f t="shared" si="203"/>
        <v>244.71</v>
      </c>
      <c r="P1652" s="191">
        <f t="shared" si="204"/>
        <v>0</v>
      </c>
      <c r="Q1652" s="192">
        <f t="shared" si="205"/>
        <v>0</v>
      </c>
      <c r="R1652" s="193"/>
      <c r="S1652" s="194"/>
      <c r="T1652" s="195">
        <f t="shared" si="206"/>
        <v>0</v>
      </c>
      <c r="U1652" s="195">
        <f t="shared" si="207"/>
        <v>0</v>
      </c>
      <c r="V1652" s="195">
        <f t="shared" si="208"/>
        <v>0</v>
      </c>
      <c r="W1652" s="196" t="e">
        <f t="shared" si="209"/>
        <v>#DIV/0!</v>
      </c>
      <c r="X1652" s="197" t="e">
        <f t="shared" si="210"/>
        <v>#DIV/0!</v>
      </c>
    </row>
    <row r="1653" ht="11.4" hidden="1" customHeight="1" spans="1:24">
      <c r="A1653" s="184" t="s">
        <v>3184</v>
      </c>
      <c r="B1653" s="184" t="s">
        <v>113</v>
      </c>
      <c r="C1653" s="184" t="s">
        <v>1101</v>
      </c>
      <c r="D1653" s="185" t="s">
        <v>704</v>
      </c>
      <c r="E1653" s="186" t="s">
        <v>906</v>
      </c>
      <c r="F1653" s="186" t="s">
        <v>907</v>
      </c>
      <c r="G1653" s="186" t="s">
        <v>1102</v>
      </c>
      <c r="H1653" s="186" t="s">
        <v>1174</v>
      </c>
      <c r="I1653" s="187" t="s">
        <v>1262</v>
      </c>
      <c r="J1653" s="187" t="s">
        <v>1263</v>
      </c>
      <c r="K1653" s="188"/>
      <c r="L1653" s="188"/>
      <c r="M1653" s="189" t="s">
        <v>807</v>
      </c>
      <c r="N1653" s="190">
        <v>56.04</v>
      </c>
      <c r="O1653" s="190">
        <f t="shared" si="203"/>
        <v>61.08</v>
      </c>
      <c r="P1653" s="191">
        <f t="shared" si="204"/>
        <v>0</v>
      </c>
      <c r="Q1653" s="192">
        <f t="shared" si="205"/>
        <v>0</v>
      </c>
      <c r="R1653" s="193"/>
      <c r="S1653" s="194"/>
      <c r="T1653" s="195">
        <f t="shared" si="206"/>
        <v>0</v>
      </c>
      <c r="U1653" s="195">
        <f t="shared" si="207"/>
        <v>0</v>
      </c>
      <c r="V1653" s="195">
        <f t="shared" si="208"/>
        <v>0</v>
      </c>
      <c r="W1653" s="196" t="e">
        <f t="shared" si="209"/>
        <v>#DIV/0!</v>
      </c>
      <c r="X1653" s="197" t="e">
        <f t="shared" si="210"/>
        <v>#DIV/0!</v>
      </c>
    </row>
    <row r="1654" ht="11.4" hidden="1" customHeight="1" spans="1:24">
      <c r="A1654" s="184" t="s">
        <v>3184</v>
      </c>
      <c r="B1654" s="184" t="s">
        <v>113</v>
      </c>
      <c r="C1654" s="184" t="s">
        <v>1101</v>
      </c>
      <c r="D1654" s="185" t="s">
        <v>704</v>
      </c>
      <c r="E1654" s="186" t="s">
        <v>906</v>
      </c>
      <c r="F1654" s="186" t="s">
        <v>907</v>
      </c>
      <c r="G1654" s="186" t="s">
        <v>1102</v>
      </c>
      <c r="H1654" s="186" t="s">
        <v>1174</v>
      </c>
      <c r="I1654" s="187" t="s">
        <v>1264</v>
      </c>
      <c r="J1654" s="187" t="s">
        <v>1265</v>
      </c>
      <c r="K1654" s="188"/>
      <c r="L1654" s="188"/>
      <c r="M1654" s="189" t="s">
        <v>847</v>
      </c>
      <c r="N1654" s="190">
        <v>93.15</v>
      </c>
      <c r="O1654" s="190">
        <f t="shared" si="203"/>
        <v>101.53</v>
      </c>
      <c r="P1654" s="191">
        <f t="shared" si="204"/>
        <v>0</v>
      </c>
      <c r="Q1654" s="192">
        <f t="shared" si="205"/>
        <v>0</v>
      </c>
      <c r="R1654" s="193"/>
      <c r="S1654" s="194"/>
      <c r="T1654" s="195">
        <f t="shared" si="206"/>
        <v>0</v>
      </c>
      <c r="U1654" s="195">
        <f t="shared" si="207"/>
        <v>0</v>
      </c>
      <c r="V1654" s="195">
        <f t="shared" si="208"/>
        <v>0</v>
      </c>
      <c r="W1654" s="196" t="e">
        <f t="shared" si="209"/>
        <v>#DIV/0!</v>
      </c>
      <c r="X1654" s="197" t="e">
        <f t="shared" si="210"/>
        <v>#DIV/0!</v>
      </c>
    </row>
    <row r="1655" ht="11.4" hidden="1" customHeight="1" spans="1:24">
      <c r="A1655" s="184" t="s">
        <v>3184</v>
      </c>
      <c r="B1655" s="184" t="s">
        <v>113</v>
      </c>
      <c r="C1655" s="184" t="s">
        <v>1101</v>
      </c>
      <c r="D1655" s="185" t="s">
        <v>704</v>
      </c>
      <c r="E1655" s="186" t="s">
        <v>906</v>
      </c>
      <c r="F1655" s="186" t="s">
        <v>907</v>
      </c>
      <c r="G1655" s="186" t="s">
        <v>1102</v>
      </c>
      <c r="H1655" s="186" t="s">
        <v>1174</v>
      </c>
      <c r="I1655" s="187" t="s">
        <v>1266</v>
      </c>
      <c r="J1655" s="187" t="s">
        <v>1267</v>
      </c>
      <c r="K1655" s="188"/>
      <c r="L1655" s="188"/>
      <c r="M1655" s="189" t="s">
        <v>847</v>
      </c>
      <c r="N1655" s="190">
        <v>197.35</v>
      </c>
      <c r="O1655" s="190">
        <f t="shared" si="203"/>
        <v>215.11</v>
      </c>
      <c r="P1655" s="191">
        <f t="shared" si="204"/>
        <v>0</v>
      </c>
      <c r="Q1655" s="192">
        <f t="shared" si="205"/>
        <v>0</v>
      </c>
      <c r="R1655" s="193"/>
      <c r="S1655" s="194"/>
      <c r="T1655" s="195">
        <f t="shared" si="206"/>
        <v>0</v>
      </c>
      <c r="U1655" s="195">
        <f t="shared" si="207"/>
        <v>0</v>
      </c>
      <c r="V1655" s="195">
        <f t="shared" si="208"/>
        <v>0</v>
      </c>
      <c r="W1655" s="196" t="e">
        <f t="shared" si="209"/>
        <v>#DIV/0!</v>
      </c>
      <c r="X1655" s="197" t="e">
        <f t="shared" si="210"/>
        <v>#DIV/0!</v>
      </c>
    </row>
    <row r="1656" ht="11.4" hidden="1" customHeight="1" spans="1:24">
      <c r="A1656" s="184" t="s">
        <v>3184</v>
      </c>
      <c r="B1656" s="184" t="s">
        <v>113</v>
      </c>
      <c r="C1656" s="184" t="s">
        <v>1101</v>
      </c>
      <c r="D1656" s="185" t="s">
        <v>704</v>
      </c>
      <c r="E1656" s="186" t="s">
        <v>906</v>
      </c>
      <c r="F1656" s="186" t="s">
        <v>907</v>
      </c>
      <c r="G1656" s="186" t="s">
        <v>1102</v>
      </c>
      <c r="H1656" s="186" t="s">
        <v>1174</v>
      </c>
      <c r="I1656" s="187" t="s">
        <v>1268</v>
      </c>
      <c r="J1656" s="187" t="s">
        <v>1269</v>
      </c>
      <c r="K1656" s="188"/>
      <c r="L1656" s="188"/>
      <c r="M1656" s="189" t="s">
        <v>847</v>
      </c>
      <c r="N1656" s="190">
        <v>189.53</v>
      </c>
      <c r="O1656" s="190">
        <f t="shared" si="203"/>
        <v>206.59</v>
      </c>
      <c r="P1656" s="191">
        <f t="shared" si="204"/>
        <v>0</v>
      </c>
      <c r="Q1656" s="192">
        <f t="shared" si="205"/>
        <v>0</v>
      </c>
      <c r="R1656" s="193"/>
      <c r="S1656" s="194"/>
      <c r="T1656" s="195">
        <f t="shared" si="206"/>
        <v>0</v>
      </c>
      <c r="U1656" s="195">
        <f t="shared" si="207"/>
        <v>0</v>
      </c>
      <c r="V1656" s="195">
        <f t="shared" si="208"/>
        <v>0</v>
      </c>
      <c r="W1656" s="196" t="e">
        <f t="shared" si="209"/>
        <v>#DIV/0!</v>
      </c>
      <c r="X1656" s="197" t="e">
        <f t="shared" si="210"/>
        <v>#DIV/0!</v>
      </c>
    </row>
    <row r="1657" ht="11.4" hidden="1" customHeight="1" spans="1:24">
      <c r="A1657" s="184" t="s">
        <v>3184</v>
      </c>
      <c r="B1657" s="184" t="s">
        <v>113</v>
      </c>
      <c r="C1657" s="184" t="s">
        <v>1101</v>
      </c>
      <c r="D1657" s="185" t="s">
        <v>704</v>
      </c>
      <c r="E1657" s="186" t="s">
        <v>906</v>
      </c>
      <c r="F1657" s="186" t="s">
        <v>907</v>
      </c>
      <c r="G1657" s="186" t="s">
        <v>1102</v>
      </c>
      <c r="H1657" s="186" t="s">
        <v>1174</v>
      </c>
      <c r="I1657" s="187" t="s">
        <v>1270</v>
      </c>
      <c r="J1657" s="187" t="s">
        <v>1271</v>
      </c>
      <c r="K1657" s="188"/>
      <c r="L1657" s="188"/>
      <c r="M1657" s="189" t="s">
        <v>847</v>
      </c>
      <c r="N1657" s="190">
        <v>200.98</v>
      </c>
      <c r="O1657" s="190">
        <f t="shared" si="203"/>
        <v>219.07</v>
      </c>
      <c r="P1657" s="191">
        <f t="shared" si="204"/>
        <v>0</v>
      </c>
      <c r="Q1657" s="192">
        <f t="shared" si="205"/>
        <v>0</v>
      </c>
      <c r="R1657" s="193"/>
      <c r="S1657" s="194"/>
      <c r="T1657" s="195">
        <f t="shared" si="206"/>
        <v>0</v>
      </c>
      <c r="U1657" s="195">
        <f t="shared" si="207"/>
        <v>0</v>
      </c>
      <c r="V1657" s="195">
        <f t="shared" si="208"/>
        <v>0</v>
      </c>
      <c r="W1657" s="196" t="e">
        <f t="shared" si="209"/>
        <v>#DIV/0!</v>
      </c>
      <c r="X1657" s="197" t="e">
        <f t="shared" si="210"/>
        <v>#DIV/0!</v>
      </c>
    </row>
    <row r="1658" ht="11.4" hidden="1" customHeight="1" spans="1:24">
      <c r="A1658" s="184" t="s">
        <v>3184</v>
      </c>
      <c r="B1658" s="184" t="s">
        <v>113</v>
      </c>
      <c r="C1658" s="184" t="s">
        <v>1101</v>
      </c>
      <c r="D1658" s="185" t="s">
        <v>704</v>
      </c>
      <c r="E1658" s="186" t="s">
        <v>906</v>
      </c>
      <c r="F1658" s="186" t="s">
        <v>907</v>
      </c>
      <c r="G1658" s="186" t="s">
        <v>1102</v>
      </c>
      <c r="H1658" s="186" t="s">
        <v>1174</v>
      </c>
      <c r="I1658" s="187" t="s">
        <v>1272</v>
      </c>
      <c r="J1658" s="187" t="s">
        <v>1273</v>
      </c>
      <c r="K1658" s="188"/>
      <c r="L1658" s="188"/>
      <c r="M1658" s="189" t="s">
        <v>847</v>
      </c>
      <c r="N1658" s="190">
        <v>187.67</v>
      </c>
      <c r="O1658" s="190">
        <f t="shared" si="203"/>
        <v>204.56</v>
      </c>
      <c r="P1658" s="191">
        <f t="shared" si="204"/>
        <v>0</v>
      </c>
      <c r="Q1658" s="192">
        <f t="shared" si="205"/>
        <v>0</v>
      </c>
      <c r="R1658" s="193"/>
      <c r="S1658" s="194"/>
      <c r="T1658" s="195">
        <f t="shared" si="206"/>
        <v>0</v>
      </c>
      <c r="U1658" s="195">
        <f t="shared" si="207"/>
        <v>0</v>
      </c>
      <c r="V1658" s="195">
        <f t="shared" si="208"/>
        <v>0</v>
      </c>
      <c r="W1658" s="196" t="e">
        <f t="shared" si="209"/>
        <v>#DIV/0!</v>
      </c>
      <c r="X1658" s="197" t="e">
        <f t="shared" si="210"/>
        <v>#DIV/0!</v>
      </c>
    </row>
    <row r="1659" ht="11.4" hidden="1" customHeight="1" spans="1:24">
      <c r="A1659" s="184" t="s">
        <v>3184</v>
      </c>
      <c r="B1659" s="184" t="s">
        <v>113</v>
      </c>
      <c r="C1659" s="184" t="s">
        <v>1101</v>
      </c>
      <c r="D1659" s="185" t="s">
        <v>704</v>
      </c>
      <c r="E1659" s="186" t="s">
        <v>906</v>
      </c>
      <c r="F1659" s="186" t="s">
        <v>907</v>
      </c>
      <c r="G1659" s="186" t="s">
        <v>1102</v>
      </c>
      <c r="H1659" s="186" t="s">
        <v>1174</v>
      </c>
      <c r="I1659" s="187" t="s">
        <v>1274</v>
      </c>
      <c r="J1659" s="187" t="s">
        <v>1275</v>
      </c>
      <c r="K1659" s="188"/>
      <c r="L1659" s="188"/>
      <c r="M1659" s="189" t="s">
        <v>847</v>
      </c>
      <c r="N1659" s="190">
        <v>187.67</v>
      </c>
      <c r="O1659" s="190">
        <f t="shared" si="203"/>
        <v>204.56</v>
      </c>
      <c r="P1659" s="191">
        <f t="shared" si="204"/>
        <v>0</v>
      </c>
      <c r="Q1659" s="192">
        <f t="shared" si="205"/>
        <v>0</v>
      </c>
      <c r="R1659" s="193"/>
      <c r="S1659" s="194"/>
      <c r="T1659" s="195">
        <f t="shared" si="206"/>
        <v>0</v>
      </c>
      <c r="U1659" s="195">
        <f t="shared" si="207"/>
        <v>0</v>
      </c>
      <c r="V1659" s="195">
        <f t="shared" si="208"/>
        <v>0</v>
      </c>
      <c r="W1659" s="196" t="e">
        <f t="shared" si="209"/>
        <v>#DIV/0!</v>
      </c>
      <c r="X1659" s="197" t="e">
        <f t="shared" si="210"/>
        <v>#DIV/0!</v>
      </c>
    </row>
    <row r="1660" ht="11.4" hidden="1" customHeight="1" spans="1:24">
      <c r="A1660" s="184" t="s">
        <v>3184</v>
      </c>
      <c r="B1660" s="184" t="s">
        <v>113</v>
      </c>
      <c r="C1660" s="184" t="s">
        <v>1101</v>
      </c>
      <c r="D1660" s="185" t="s">
        <v>704</v>
      </c>
      <c r="E1660" s="186" t="s">
        <v>906</v>
      </c>
      <c r="F1660" s="186" t="s">
        <v>907</v>
      </c>
      <c r="G1660" s="186" t="s">
        <v>1102</v>
      </c>
      <c r="H1660" s="186" t="s">
        <v>1174</v>
      </c>
      <c r="I1660" s="187" t="s">
        <v>1276</v>
      </c>
      <c r="J1660" s="187" t="s">
        <v>1277</v>
      </c>
      <c r="K1660" s="188"/>
      <c r="L1660" s="188"/>
      <c r="M1660" s="189" t="s">
        <v>847</v>
      </c>
      <c r="N1660" s="190">
        <v>187.67</v>
      </c>
      <c r="O1660" s="190">
        <f t="shared" si="203"/>
        <v>204.56</v>
      </c>
      <c r="P1660" s="191">
        <f t="shared" si="204"/>
        <v>0</v>
      </c>
      <c r="Q1660" s="192">
        <f t="shared" si="205"/>
        <v>0</v>
      </c>
      <c r="R1660" s="193"/>
      <c r="S1660" s="194"/>
      <c r="T1660" s="195">
        <f t="shared" si="206"/>
        <v>0</v>
      </c>
      <c r="U1660" s="195">
        <f t="shared" si="207"/>
        <v>0</v>
      </c>
      <c r="V1660" s="195">
        <f t="shared" si="208"/>
        <v>0</v>
      </c>
      <c r="W1660" s="196" t="e">
        <f t="shared" si="209"/>
        <v>#DIV/0!</v>
      </c>
      <c r="X1660" s="197" t="e">
        <f t="shared" si="210"/>
        <v>#DIV/0!</v>
      </c>
    </row>
    <row r="1661" ht="11.4" hidden="1" customHeight="1" spans="1:24">
      <c r="A1661" s="184" t="s">
        <v>3184</v>
      </c>
      <c r="B1661" s="184" t="s">
        <v>113</v>
      </c>
      <c r="C1661" s="184" t="s">
        <v>1101</v>
      </c>
      <c r="D1661" s="185" t="s">
        <v>704</v>
      </c>
      <c r="E1661" s="186" t="s">
        <v>906</v>
      </c>
      <c r="F1661" s="186" t="s">
        <v>907</v>
      </c>
      <c r="G1661" s="186" t="s">
        <v>1102</v>
      </c>
      <c r="H1661" s="186" t="s">
        <v>1174</v>
      </c>
      <c r="I1661" s="187" t="s">
        <v>1278</v>
      </c>
      <c r="J1661" s="187" t="s">
        <v>1279</v>
      </c>
      <c r="K1661" s="188"/>
      <c r="L1661" s="188"/>
      <c r="M1661" s="189" t="s">
        <v>847</v>
      </c>
      <c r="N1661" s="190">
        <v>127.13</v>
      </c>
      <c r="O1661" s="190">
        <f t="shared" si="203"/>
        <v>138.57</v>
      </c>
      <c r="P1661" s="191">
        <f t="shared" si="204"/>
        <v>0</v>
      </c>
      <c r="Q1661" s="192">
        <f t="shared" si="205"/>
        <v>0</v>
      </c>
      <c r="R1661" s="193"/>
      <c r="S1661" s="194"/>
      <c r="T1661" s="195">
        <f t="shared" si="206"/>
        <v>0</v>
      </c>
      <c r="U1661" s="195">
        <f t="shared" si="207"/>
        <v>0</v>
      </c>
      <c r="V1661" s="195">
        <f t="shared" si="208"/>
        <v>0</v>
      </c>
      <c r="W1661" s="196" t="e">
        <f t="shared" si="209"/>
        <v>#DIV/0!</v>
      </c>
      <c r="X1661" s="197" t="e">
        <f t="shared" si="210"/>
        <v>#DIV/0!</v>
      </c>
    </row>
    <row r="1662" ht="11.4" hidden="1" customHeight="1" spans="1:24">
      <c r="A1662" s="184" t="s">
        <v>3184</v>
      </c>
      <c r="B1662" s="184" t="s">
        <v>113</v>
      </c>
      <c r="C1662" s="184" t="s">
        <v>1101</v>
      </c>
      <c r="D1662" s="185" t="s">
        <v>704</v>
      </c>
      <c r="E1662" s="186" t="s">
        <v>906</v>
      </c>
      <c r="F1662" s="186" t="s">
        <v>907</v>
      </c>
      <c r="G1662" s="186" t="s">
        <v>1102</v>
      </c>
      <c r="H1662" s="186" t="s">
        <v>1174</v>
      </c>
      <c r="I1662" s="187" t="s">
        <v>1280</v>
      </c>
      <c r="J1662" s="187" t="s">
        <v>1281</v>
      </c>
      <c r="K1662" s="188"/>
      <c r="L1662" s="188"/>
      <c r="M1662" s="189" t="s">
        <v>847</v>
      </c>
      <c r="N1662" s="190">
        <v>115.53</v>
      </c>
      <c r="O1662" s="190">
        <f t="shared" si="203"/>
        <v>125.93</v>
      </c>
      <c r="P1662" s="191">
        <f t="shared" si="204"/>
        <v>0</v>
      </c>
      <c r="Q1662" s="192">
        <f t="shared" si="205"/>
        <v>0</v>
      </c>
      <c r="R1662" s="193"/>
      <c r="S1662" s="194"/>
      <c r="T1662" s="195">
        <f t="shared" si="206"/>
        <v>0</v>
      </c>
      <c r="U1662" s="195">
        <f t="shared" si="207"/>
        <v>0</v>
      </c>
      <c r="V1662" s="195">
        <f t="shared" si="208"/>
        <v>0</v>
      </c>
      <c r="W1662" s="196" t="e">
        <f t="shared" si="209"/>
        <v>#DIV/0!</v>
      </c>
      <c r="X1662" s="197" t="e">
        <f t="shared" si="210"/>
        <v>#DIV/0!</v>
      </c>
    </row>
    <row r="1663" ht="11.4" hidden="1" customHeight="1" spans="1:24">
      <c r="A1663" s="184" t="s">
        <v>3184</v>
      </c>
      <c r="B1663" s="184" t="s">
        <v>113</v>
      </c>
      <c r="C1663" s="184" t="s">
        <v>1101</v>
      </c>
      <c r="D1663" s="185" t="s">
        <v>704</v>
      </c>
      <c r="E1663" s="186" t="s">
        <v>906</v>
      </c>
      <c r="F1663" s="186" t="s">
        <v>907</v>
      </c>
      <c r="G1663" s="186" t="s">
        <v>1102</v>
      </c>
      <c r="H1663" s="186" t="s">
        <v>1174</v>
      </c>
      <c r="I1663" s="187" t="s">
        <v>1282</v>
      </c>
      <c r="J1663" s="187" t="s">
        <v>1283</v>
      </c>
      <c r="K1663" s="188"/>
      <c r="L1663" s="188"/>
      <c r="M1663" s="189" t="s">
        <v>847</v>
      </c>
      <c r="N1663" s="190">
        <v>131.37</v>
      </c>
      <c r="O1663" s="190">
        <f t="shared" si="203"/>
        <v>143.19</v>
      </c>
      <c r="P1663" s="191">
        <f t="shared" si="204"/>
        <v>0</v>
      </c>
      <c r="Q1663" s="192">
        <f t="shared" si="205"/>
        <v>0</v>
      </c>
      <c r="R1663" s="193"/>
      <c r="S1663" s="194"/>
      <c r="T1663" s="195">
        <f t="shared" si="206"/>
        <v>0</v>
      </c>
      <c r="U1663" s="195">
        <f t="shared" si="207"/>
        <v>0</v>
      </c>
      <c r="V1663" s="195">
        <f t="shared" si="208"/>
        <v>0</v>
      </c>
      <c r="W1663" s="196" t="e">
        <f t="shared" si="209"/>
        <v>#DIV/0!</v>
      </c>
      <c r="X1663" s="197" t="e">
        <f t="shared" si="210"/>
        <v>#DIV/0!</v>
      </c>
    </row>
    <row r="1664" ht="11.4" customHeight="1" spans="1:24">
      <c r="A1664" s="184" t="s">
        <v>3184</v>
      </c>
      <c r="B1664" s="184" t="s">
        <v>113</v>
      </c>
      <c r="C1664" s="184" t="s">
        <v>1101</v>
      </c>
      <c r="D1664" s="185" t="s">
        <v>704</v>
      </c>
      <c r="E1664" s="186" t="s">
        <v>906</v>
      </c>
      <c r="F1664" s="186" t="s">
        <v>907</v>
      </c>
      <c r="G1664" s="186" t="s">
        <v>1102</v>
      </c>
      <c r="H1664" s="186" t="s">
        <v>1174</v>
      </c>
      <c r="I1664" s="187" t="s">
        <v>1284</v>
      </c>
      <c r="J1664" s="187" t="s">
        <v>1285</v>
      </c>
      <c r="K1664" s="188"/>
      <c r="L1664" s="188"/>
      <c r="M1664" s="189" t="s">
        <v>847</v>
      </c>
      <c r="N1664" s="190">
        <v>139.83</v>
      </c>
      <c r="O1664" s="190">
        <f t="shared" si="203"/>
        <v>152.41</v>
      </c>
      <c r="P1664" s="191">
        <f t="shared" si="204"/>
        <v>0</v>
      </c>
      <c r="Q1664" s="192">
        <f t="shared" si="205"/>
        <v>0</v>
      </c>
      <c r="R1664" s="193"/>
      <c r="S1664" s="194"/>
      <c r="T1664" s="195">
        <f t="shared" si="206"/>
        <v>0</v>
      </c>
      <c r="U1664" s="195">
        <f t="shared" si="207"/>
        <v>0</v>
      </c>
      <c r="V1664" s="195">
        <f t="shared" si="208"/>
        <v>0</v>
      </c>
      <c r="W1664" s="196" t="e">
        <f t="shared" si="209"/>
        <v>#DIV/0!</v>
      </c>
      <c r="X1664" s="197" t="e">
        <f t="shared" si="210"/>
        <v>#DIV/0!</v>
      </c>
    </row>
    <row r="1665" ht="11.4" customHeight="1" spans="1:24">
      <c r="A1665" s="184" t="s">
        <v>3184</v>
      </c>
      <c r="B1665" s="184" t="s">
        <v>113</v>
      </c>
      <c r="C1665" s="184" t="s">
        <v>1101</v>
      </c>
      <c r="D1665" s="185" t="s">
        <v>704</v>
      </c>
      <c r="E1665" s="186" t="s">
        <v>906</v>
      </c>
      <c r="F1665" s="186" t="s">
        <v>907</v>
      </c>
      <c r="G1665" s="186" t="s">
        <v>1102</v>
      </c>
      <c r="H1665" s="186" t="s">
        <v>1174</v>
      </c>
      <c r="I1665" s="187" t="s">
        <v>1286</v>
      </c>
      <c r="J1665" s="187" t="s">
        <v>1287</v>
      </c>
      <c r="K1665" s="188"/>
      <c r="L1665" s="188"/>
      <c r="M1665" s="189" t="s">
        <v>847</v>
      </c>
      <c r="N1665" s="190">
        <v>129.44</v>
      </c>
      <c r="O1665" s="190">
        <f t="shared" si="203"/>
        <v>141.09</v>
      </c>
      <c r="P1665" s="191">
        <f t="shared" si="204"/>
        <v>0</v>
      </c>
      <c r="Q1665" s="192">
        <f t="shared" si="205"/>
        <v>0</v>
      </c>
      <c r="R1665" s="193"/>
      <c r="S1665" s="194"/>
      <c r="T1665" s="195">
        <f t="shared" si="206"/>
        <v>0</v>
      </c>
      <c r="U1665" s="195">
        <f t="shared" si="207"/>
        <v>0</v>
      </c>
      <c r="V1665" s="195">
        <f t="shared" si="208"/>
        <v>0</v>
      </c>
      <c r="W1665" s="196" t="e">
        <f t="shared" si="209"/>
        <v>#DIV/0!</v>
      </c>
      <c r="X1665" s="197" t="e">
        <f t="shared" si="210"/>
        <v>#DIV/0!</v>
      </c>
    </row>
    <row r="1666" ht="11.4" customHeight="1" spans="1:24">
      <c r="A1666" s="184" t="s">
        <v>3184</v>
      </c>
      <c r="B1666" s="184" t="s">
        <v>113</v>
      </c>
      <c r="C1666" s="184" t="s">
        <v>1101</v>
      </c>
      <c r="D1666" s="185" t="s">
        <v>704</v>
      </c>
      <c r="E1666" s="186" t="s">
        <v>906</v>
      </c>
      <c r="F1666" s="186" t="s">
        <v>907</v>
      </c>
      <c r="G1666" s="186" t="s">
        <v>1102</v>
      </c>
      <c r="H1666" s="186" t="s">
        <v>1174</v>
      </c>
      <c r="I1666" s="187" t="s">
        <v>1288</v>
      </c>
      <c r="J1666" s="187" t="s">
        <v>1289</v>
      </c>
      <c r="K1666" s="188"/>
      <c r="L1666" s="188"/>
      <c r="M1666" s="189" t="s">
        <v>847</v>
      </c>
      <c r="N1666" s="190">
        <v>139.83</v>
      </c>
      <c r="O1666" s="190">
        <f t="shared" si="203"/>
        <v>152.41</v>
      </c>
      <c r="P1666" s="191">
        <f t="shared" si="204"/>
        <v>0</v>
      </c>
      <c r="Q1666" s="192">
        <f t="shared" si="205"/>
        <v>0</v>
      </c>
      <c r="R1666" s="193"/>
      <c r="S1666" s="194"/>
      <c r="T1666" s="195">
        <f t="shared" si="206"/>
        <v>0</v>
      </c>
      <c r="U1666" s="195">
        <f t="shared" si="207"/>
        <v>0</v>
      </c>
      <c r="V1666" s="195">
        <f t="shared" si="208"/>
        <v>0</v>
      </c>
      <c r="W1666" s="196" t="e">
        <f t="shared" si="209"/>
        <v>#DIV/0!</v>
      </c>
      <c r="X1666" s="197" t="e">
        <f t="shared" si="210"/>
        <v>#DIV/0!</v>
      </c>
    </row>
    <row r="1667" ht="11.4" hidden="1" customHeight="1" spans="1:24">
      <c r="A1667" s="184" t="s">
        <v>3184</v>
      </c>
      <c r="B1667" s="184" t="s">
        <v>113</v>
      </c>
      <c r="C1667" s="184" t="s">
        <v>1101</v>
      </c>
      <c r="D1667" s="185" t="s">
        <v>704</v>
      </c>
      <c r="E1667" s="186" t="s">
        <v>906</v>
      </c>
      <c r="F1667" s="186" t="s">
        <v>907</v>
      </c>
      <c r="G1667" s="186" t="s">
        <v>1102</v>
      </c>
      <c r="H1667" s="186" t="s">
        <v>1174</v>
      </c>
      <c r="I1667" s="187" t="s">
        <v>1290</v>
      </c>
      <c r="J1667" s="187" t="s">
        <v>1291</v>
      </c>
      <c r="K1667" s="188"/>
      <c r="L1667" s="188"/>
      <c r="M1667" s="189" t="s">
        <v>847</v>
      </c>
      <c r="N1667" s="190">
        <v>167.98</v>
      </c>
      <c r="O1667" s="190">
        <f t="shared" si="203"/>
        <v>183.1</v>
      </c>
      <c r="P1667" s="191">
        <f t="shared" si="204"/>
        <v>0</v>
      </c>
      <c r="Q1667" s="192">
        <f t="shared" si="205"/>
        <v>0</v>
      </c>
      <c r="R1667" s="193"/>
      <c r="S1667" s="194"/>
      <c r="T1667" s="195">
        <f t="shared" si="206"/>
        <v>0</v>
      </c>
      <c r="U1667" s="195">
        <f t="shared" si="207"/>
        <v>0</v>
      </c>
      <c r="V1667" s="195">
        <f t="shared" si="208"/>
        <v>0</v>
      </c>
      <c r="W1667" s="196" t="e">
        <f t="shared" si="209"/>
        <v>#DIV/0!</v>
      </c>
      <c r="X1667" s="197" t="e">
        <f t="shared" si="210"/>
        <v>#DIV/0!</v>
      </c>
    </row>
    <row r="1668" ht="11.4" hidden="1" customHeight="1" spans="1:24">
      <c r="A1668" s="184" t="s">
        <v>3184</v>
      </c>
      <c r="B1668" s="184" t="s">
        <v>113</v>
      </c>
      <c r="C1668" s="184" t="s">
        <v>1101</v>
      </c>
      <c r="D1668" s="185" t="s">
        <v>704</v>
      </c>
      <c r="E1668" s="186" t="s">
        <v>906</v>
      </c>
      <c r="F1668" s="186" t="s">
        <v>907</v>
      </c>
      <c r="G1668" s="186" t="s">
        <v>1102</v>
      </c>
      <c r="H1668" s="186" t="s">
        <v>1174</v>
      </c>
      <c r="I1668" s="187" t="s">
        <v>1292</v>
      </c>
      <c r="J1668" s="187" t="s">
        <v>1293</v>
      </c>
      <c r="K1668" s="188"/>
      <c r="L1668" s="188"/>
      <c r="M1668" s="189" t="s">
        <v>847</v>
      </c>
      <c r="N1668" s="190">
        <v>147.41</v>
      </c>
      <c r="O1668" s="190">
        <f t="shared" si="203"/>
        <v>160.68</v>
      </c>
      <c r="P1668" s="191">
        <f t="shared" si="204"/>
        <v>0</v>
      </c>
      <c r="Q1668" s="192">
        <f t="shared" si="205"/>
        <v>0</v>
      </c>
      <c r="R1668" s="193"/>
      <c r="S1668" s="194"/>
      <c r="T1668" s="195">
        <f t="shared" si="206"/>
        <v>0</v>
      </c>
      <c r="U1668" s="195">
        <f t="shared" si="207"/>
        <v>0</v>
      </c>
      <c r="V1668" s="195">
        <f t="shared" si="208"/>
        <v>0</v>
      </c>
      <c r="W1668" s="196" t="e">
        <f t="shared" si="209"/>
        <v>#DIV/0!</v>
      </c>
      <c r="X1668" s="197" t="e">
        <f t="shared" si="210"/>
        <v>#DIV/0!</v>
      </c>
    </row>
    <row r="1669" ht="11.4" hidden="1" customHeight="1" spans="1:24">
      <c r="A1669" s="184" t="s">
        <v>3184</v>
      </c>
      <c r="B1669" s="184" t="s">
        <v>113</v>
      </c>
      <c r="C1669" s="184" t="s">
        <v>1101</v>
      </c>
      <c r="D1669" s="185" t="s">
        <v>704</v>
      </c>
      <c r="E1669" s="186" t="s">
        <v>906</v>
      </c>
      <c r="F1669" s="186" t="s">
        <v>907</v>
      </c>
      <c r="G1669" s="186" t="s">
        <v>1102</v>
      </c>
      <c r="H1669" s="186" t="s">
        <v>1174</v>
      </c>
      <c r="I1669" s="187" t="s">
        <v>1294</v>
      </c>
      <c r="J1669" s="187" t="s">
        <v>1295</v>
      </c>
      <c r="K1669" s="188"/>
      <c r="L1669" s="188"/>
      <c r="M1669" s="189" t="s">
        <v>847</v>
      </c>
      <c r="N1669" s="190">
        <v>169.19</v>
      </c>
      <c r="O1669" s="190">
        <f t="shared" si="203"/>
        <v>184.42</v>
      </c>
      <c r="P1669" s="191">
        <f t="shared" si="204"/>
        <v>0</v>
      </c>
      <c r="Q1669" s="192">
        <f t="shared" si="205"/>
        <v>0</v>
      </c>
      <c r="R1669" s="193"/>
      <c r="S1669" s="194"/>
      <c r="T1669" s="195">
        <f t="shared" si="206"/>
        <v>0</v>
      </c>
      <c r="U1669" s="195">
        <f t="shared" si="207"/>
        <v>0</v>
      </c>
      <c r="V1669" s="195">
        <f t="shared" si="208"/>
        <v>0</v>
      </c>
      <c r="W1669" s="196" t="e">
        <f t="shared" si="209"/>
        <v>#DIV/0!</v>
      </c>
      <c r="X1669" s="197" t="e">
        <f t="shared" si="210"/>
        <v>#DIV/0!</v>
      </c>
    </row>
    <row r="1670" ht="11.4" hidden="1" customHeight="1" spans="1:24">
      <c r="A1670" s="184" t="s">
        <v>3184</v>
      </c>
      <c r="B1670" s="184" t="s">
        <v>113</v>
      </c>
      <c r="C1670" s="184" t="s">
        <v>1101</v>
      </c>
      <c r="D1670" s="185" t="s">
        <v>704</v>
      </c>
      <c r="E1670" s="186" t="s">
        <v>906</v>
      </c>
      <c r="F1670" s="186" t="s">
        <v>907</v>
      </c>
      <c r="G1670" s="186" t="s">
        <v>1102</v>
      </c>
      <c r="H1670" s="186" t="s">
        <v>1174</v>
      </c>
      <c r="I1670" s="187" t="s">
        <v>1296</v>
      </c>
      <c r="J1670" s="187" t="s">
        <v>1297</v>
      </c>
      <c r="K1670" s="188"/>
      <c r="L1670" s="188"/>
      <c r="M1670" s="189" t="s">
        <v>847</v>
      </c>
      <c r="N1670" s="190">
        <v>194.93</v>
      </c>
      <c r="O1670" s="190">
        <f t="shared" si="203"/>
        <v>212.47</v>
      </c>
      <c r="P1670" s="191">
        <f t="shared" si="204"/>
        <v>0</v>
      </c>
      <c r="Q1670" s="192">
        <f t="shared" si="205"/>
        <v>0</v>
      </c>
      <c r="R1670" s="193"/>
      <c r="S1670" s="194"/>
      <c r="T1670" s="195">
        <f t="shared" si="206"/>
        <v>0</v>
      </c>
      <c r="U1670" s="195">
        <f t="shared" si="207"/>
        <v>0</v>
      </c>
      <c r="V1670" s="195">
        <f t="shared" si="208"/>
        <v>0</v>
      </c>
      <c r="W1670" s="196" t="e">
        <f t="shared" si="209"/>
        <v>#DIV/0!</v>
      </c>
      <c r="X1670" s="197" t="e">
        <f t="shared" si="210"/>
        <v>#DIV/0!</v>
      </c>
    </row>
    <row r="1671" ht="11.4" hidden="1" customHeight="1" spans="1:24">
      <c r="A1671" s="184" t="s">
        <v>3184</v>
      </c>
      <c r="B1671" s="184" t="s">
        <v>113</v>
      </c>
      <c r="C1671" s="184" t="s">
        <v>1101</v>
      </c>
      <c r="D1671" s="185" t="s">
        <v>704</v>
      </c>
      <c r="E1671" s="186" t="s">
        <v>906</v>
      </c>
      <c r="F1671" s="186" t="s">
        <v>907</v>
      </c>
      <c r="G1671" s="186" t="s">
        <v>1102</v>
      </c>
      <c r="H1671" s="186" t="s">
        <v>1174</v>
      </c>
      <c r="I1671" s="187" t="s">
        <v>1298</v>
      </c>
      <c r="J1671" s="187" t="s">
        <v>1299</v>
      </c>
      <c r="K1671" s="188"/>
      <c r="L1671" s="188"/>
      <c r="M1671" s="189" t="s">
        <v>847</v>
      </c>
      <c r="N1671" s="190">
        <v>177.99</v>
      </c>
      <c r="O1671" s="190">
        <f t="shared" si="203"/>
        <v>194.01</v>
      </c>
      <c r="P1671" s="191">
        <f t="shared" si="204"/>
        <v>0</v>
      </c>
      <c r="Q1671" s="192">
        <f t="shared" si="205"/>
        <v>0</v>
      </c>
      <c r="R1671" s="193"/>
      <c r="S1671" s="194"/>
      <c r="T1671" s="195">
        <f t="shared" si="206"/>
        <v>0</v>
      </c>
      <c r="U1671" s="195">
        <f t="shared" si="207"/>
        <v>0</v>
      </c>
      <c r="V1671" s="195">
        <f t="shared" si="208"/>
        <v>0</v>
      </c>
      <c r="W1671" s="196" t="e">
        <f t="shared" si="209"/>
        <v>#DIV/0!</v>
      </c>
      <c r="X1671" s="197" t="e">
        <f t="shared" si="210"/>
        <v>#DIV/0!</v>
      </c>
    </row>
    <row r="1672" ht="11.4" hidden="1" customHeight="1" spans="1:24">
      <c r="A1672" s="184" t="s">
        <v>3184</v>
      </c>
      <c r="B1672" s="184" t="s">
        <v>113</v>
      </c>
      <c r="C1672" s="184" t="s">
        <v>1101</v>
      </c>
      <c r="D1672" s="185" t="s">
        <v>704</v>
      </c>
      <c r="E1672" s="186" t="s">
        <v>906</v>
      </c>
      <c r="F1672" s="186" t="s">
        <v>907</v>
      </c>
      <c r="G1672" s="186" t="s">
        <v>1102</v>
      </c>
      <c r="H1672" s="186" t="s">
        <v>1174</v>
      </c>
      <c r="I1672" s="187" t="s">
        <v>1300</v>
      </c>
      <c r="J1672" s="187" t="s">
        <v>1301</v>
      </c>
      <c r="K1672" s="188"/>
      <c r="L1672" s="188"/>
      <c r="M1672" s="189" t="s">
        <v>847</v>
      </c>
      <c r="N1672" s="190">
        <v>196.14</v>
      </c>
      <c r="O1672" s="190">
        <f t="shared" si="203"/>
        <v>213.79</v>
      </c>
      <c r="P1672" s="191">
        <f t="shared" si="204"/>
        <v>0</v>
      </c>
      <c r="Q1672" s="192">
        <f t="shared" si="205"/>
        <v>0</v>
      </c>
      <c r="R1672" s="193"/>
      <c r="S1672" s="194"/>
      <c r="T1672" s="195">
        <f t="shared" si="206"/>
        <v>0</v>
      </c>
      <c r="U1672" s="195">
        <f t="shared" si="207"/>
        <v>0</v>
      </c>
      <c r="V1672" s="195">
        <f t="shared" si="208"/>
        <v>0</v>
      </c>
      <c r="W1672" s="196" t="e">
        <f t="shared" si="209"/>
        <v>#DIV/0!</v>
      </c>
      <c r="X1672" s="197" t="e">
        <f t="shared" si="210"/>
        <v>#DIV/0!</v>
      </c>
    </row>
    <row r="1673" ht="11.4" hidden="1" customHeight="1" spans="1:24">
      <c r="A1673" s="184" t="s">
        <v>3184</v>
      </c>
      <c r="B1673" s="184" t="s">
        <v>113</v>
      </c>
      <c r="C1673" s="184" t="s">
        <v>1101</v>
      </c>
      <c r="D1673" s="185" t="s">
        <v>704</v>
      </c>
      <c r="E1673" s="186" t="s">
        <v>906</v>
      </c>
      <c r="F1673" s="186" t="s">
        <v>907</v>
      </c>
      <c r="G1673" s="186" t="s">
        <v>1102</v>
      </c>
      <c r="H1673" s="186" t="s">
        <v>1174</v>
      </c>
      <c r="I1673" s="187" t="s">
        <v>1302</v>
      </c>
      <c r="J1673" s="187" t="s">
        <v>1303</v>
      </c>
      <c r="K1673" s="188"/>
      <c r="L1673" s="188"/>
      <c r="M1673" s="189" t="s">
        <v>847</v>
      </c>
      <c r="N1673" s="190">
        <v>194.93</v>
      </c>
      <c r="O1673" s="190">
        <f t="shared" si="203"/>
        <v>212.47</v>
      </c>
      <c r="P1673" s="191">
        <f t="shared" si="204"/>
        <v>0</v>
      </c>
      <c r="Q1673" s="192">
        <f t="shared" si="205"/>
        <v>0</v>
      </c>
      <c r="R1673" s="193"/>
      <c r="S1673" s="194"/>
      <c r="T1673" s="195">
        <f t="shared" si="206"/>
        <v>0</v>
      </c>
      <c r="U1673" s="195">
        <f t="shared" si="207"/>
        <v>0</v>
      </c>
      <c r="V1673" s="195">
        <f t="shared" si="208"/>
        <v>0</v>
      </c>
      <c r="W1673" s="196" t="e">
        <f t="shared" si="209"/>
        <v>#DIV/0!</v>
      </c>
      <c r="X1673" s="197" t="e">
        <f t="shared" si="210"/>
        <v>#DIV/0!</v>
      </c>
    </row>
    <row r="1674" ht="11.4" hidden="1" customHeight="1" spans="1:24">
      <c r="A1674" s="184" t="s">
        <v>3184</v>
      </c>
      <c r="B1674" s="184" t="s">
        <v>113</v>
      </c>
      <c r="C1674" s="184" t="s">
        <v>1101</v>
      </c>
      <c r="D1674" s="185" t="s">
        <v>704</v>
      </c>
      <c r="E1674" s="186" t="s">
        <v>906</v>
      </c>
      <c r="F1674" s="186" t="s">
        <v>907</v>
      </c>
      <c r="G1674" s="186" t="s">
        <v>1102</v>
      </c>
      <c r="H1674" s="186" t="s">
        <v>1174</v>
      </c>
      <c r="I1674" s="187" t="s">
        <v>1304</v>
      </c>
      <c r="J1674" s="187" t="s">
        <v>1305</v>
      </c>
      <c r="K1674" s="188"/>
      <c r="L1674" s="188"/>
      <c r="M1674" s="189" t="s">
        <v>847</v>
      </c>
      <c r="N1674" s="190">
        <v>180.41</v>
      </c>
      <c r="O1674" s="190">
        <f t="shared" si="203"/>
        <v>196.65</v>
      </c>
      <c r="P1674" s="191">
        <f t="shared" si="204"/>
        <v>0</v>
      </c>
      <c r="Q1674" s="192">
        <f t="shared" si="205"/>
        <v>0</v>
      </c>
      <c r="R1674" s="193"/>
      <c r="S1674" s="194"/>
      <c r="T1674" s="195">
        <f t="shared" si="206"/>
        <v>0</v>
      </c>
      <c r="U1674" s="195">
        <f t="shared" si="207"/>
        <v>0</v>
      </c>
      <c r="V1674" s="195">
        <f t="shared" si="208"/>
        <v>0</v>
      </c>
      <c r="W1674" s="196" t="e">
        <f t="shared" si="209"/>
        <v>#DIV/0!</v>
      </c>
      <c r="X1674" s="197" t="e">
        <f t="shared" si="210"/>
        <v>#DIV/0!</v>
      </c>
    </row>
    <row r="1675" ht="11.4" hidden="1" customHeight="1" spans="1:24">
      <c r="A1675" s="184" t="s">
        <v>3184</v>
      </c>
      <c r="B1675" s="184" t="s">
        <v>113</v>
      </c>
      <c r="C1675" s="184" t="s">
        <v>1101</v>
      </c>
      <c r="D1675" s="185" t="s">
        <v>704</v>
      </c>
      <c r="E1675" s="186" t="s">
        <v>906</v>
      </c>
      <c r="F1675" s="186" t="s">
        <v>907</v>
      </c>
      <c r="G1675" s="186" t="s">
        <v>1102</v>
      </c>
      <c r="H1675" s="186" t="s">
        <v>1174</v>
      </c>
      <c r="I1675" s="187" t="s">
        <v>1306</v>
      </c>
      <c r="J1675" s="187" t="s">
        <v>1307</v>
      </c>
      <c r="K1675" s="188"/>
      <c r="L1675" s="188"/>
      <c r="M1675" s="189" t="s">
        <v>847</v>
      </c>
      <c r="N1675" s="190">
        <v>194.93</v>
      </c>
      <c r="O1675" s="190">
        <f t="shared" si="203"/>
        <v>212.47</v>
      </c>
      <c r="P1675" s="191">
        <f t="shared" si="204"/>
        <v>0</v>
      </c>
      <c r="Q1675" s="192">
        <f t="shared" si="205"/>
        <v>0</v>
      </c>
      <c r="R1675" s="193"/>
      <c r="S1675" s="194"/>
      <c r="T1675" s="195">
        <f t="shared" si="206"/>
        <v>0</v>
      </c>
      <c r="U1675" s="195">
        <f t="shared" si="207"/>
        <v>0</v>
      </c>
      <c r="V1675" s="195">
        <f t="shared" si="208"/>
        <v>0</v>
      </c>
      <c r="W1675" s="196" t="e">
        <f t="shared" si="209"/>
        <v>#DIV/0!</v>
      </c>
      <c r="X1675" s="197" t="e">
        <f t="shared" si="210"/>
        <v>#DIV/0!</v>
      </c>
    </row>
    <row r="1676" ht="11.4" hidden="1" customHeight="1" spans="1:24">
      <c r="A1676" s="184" t="s">
        <v>3184</v>
      </c>
      <c r="B1676" s="184" t="s">
        <v>113</v>
      </c>
      <c r="C1676" s="184" t="s">
        <v>1101</v>
      </c>
      <c r="D1676" s="185" t="s">
        <v>704</v>
      </c>
      <c r="E1676" s="186" t="s">
        <v>906</v>
      </c>
      <c r="F1676" s="186" t="s">
        <v>907</v>
      </c>
      <c r="G1676" s="186" t="s">
        <v>1102</v>
      </c>
      <c r="H1676" s="186" t="s">
        <v>1174</v>
      </c>
      <c r="I1676" s="187" t="s">
        <v>1308</v>
      </c>
      <c r="J1676" s="187" t="s">
        <v>1309</v>
      </c>
      <c r="K1676" s="188"/>
      <c r="L1676" s="188"/>
      <c r="M1676" s="189" t="s">
        <v>847</v>
      </c>
      <c r="N1676" s="190">
        <v>237.28</v>
      </c>
      <c r="O1676" s="190">
        <f t="shared" si="203"/>
        <v>258.64</v>
      </c>
      <c r="P1676" s="191">
        <f t="shared" si="204"/>
        <v>0</v>
      </c>
      <c r="Q1676" s="192">
        <f t="shared" si="205"/>
        <v>0</v>
      </c>
      <c r="R1676" s="193"/>
      <c r="S1676" s="194"/>
      <c r="T1676" s="195">
        <f t="shared" si="206"/>
        <v>0</v>
      </c>
      <c r="U1676" s="195">
        <f t="shared" si="207"/>
        <v>0</v>
      </c>
      <c r="V1676" s="195">
        <f t="shared" si="208"/>
        <v>0</v>
      </c>
      <c r="W1676" s="196" t="e">
        <f t="shared" si="209"/>
        <v>#DIV/0!</v>
      </c>
      <c r="X1676" s="197" t="e">
        <f t="shared" si="210"/>
        <v>#DIV/0!</v>
      </c>
    </row>
    <row r="1677" ht="11.4" hidden="1" customHeight="1" spans="1:24">
      <c r="A1677" s="184" t="s">
        <v>3184</v>
      </c>
      <c r="B1677" s="184" t="s">
        <v>113</v>
      </c>
      <c r="C1677" s="184" t="s">
        <v>1101</v>
      </c>
      <c r="D1677" s="185" t="s">
        <v>704</v>
      </c>
      <c r="E1677" s="186" t="s">
        <v>906</v>
      </c>
      <c r="F1677" s="186" t="s">
        <v>907</v>
      </c>
      <c r="G1677" s="186" t="s">
        <v>1102</v>
      </c>
      <c r="H1677" s="186" t="s">
        <v>1174</v>
      </c>
      <c r="I1677" s="187" t="s">
        <v>1310</v>
      </c>
      <c r="J1677" s="187" t="s">
        <v>1311</v>
      </c>
      <c r="K1677" s="188"/>
      <c r="L1677" s="188"/>
      <c r="M1677" s="189" t="s">
        <v>847</v>
      </c>
      <c r="N1677" s="190">
        <v>208.24</v>
      </c>
      <c r="O1677" s="190">
        <f t="shared" ref="O1677:O1740" si="211">ROUND(N1677*(1+$F$10),2)</f>
        <v>226.98</v>
      </c>
      <c r="P1677" s="191">
        <f t="shared" ref="P1677:P1740" si="212">ROUND(K1677*N1677,2)</f>
        <v>0</v>
      </c>
      <c r="Q1677" s="192">
        <f t="shared" ref="Q1677:Q1740" si="213">ROUND(L1677*N1677,2)</f>
        <v>0</v>
      </c>
      <c r="R1677" s="193"/>
      <c r="S1677" s="194"/>
      <c r="T1677" s="195">
        <f t="shared" ref="T1677:T1740" si="214">K1677-L1677</f>
        <v>0</v>
      </c>
      <c r="U1677" s="195">
        <f t="shared" ref="U1677:U1740" si="215">P1677-Q1677</f>
        <v>0</v>
      </c>
      <c r="V1677" s="195">
        <f t="shared" ref="V1677:V1740" si="216">ABS(U1677)</f>
        <v>0</v>
      </c>
      <c r="W1677" s="196" t="e">
        <f t="shared" ref="W1677:W1740" si="217">T1677/L1677</f>
        <v>#DIV/0!</v>
      </c>
      <c r="X1677" s="197" t="e">
        <f t="shared" ref="X1677:X1740" si="218">ABS(W1677)</f>
        <v>#DIV/0!</v>
      </c>
    </row>
    <row r="1678" ht="11.4" hidden="1" customHeight="1" spans="1:24">
      <c r="A1678" s="184" t="s">
        <v>3184</v>
      </c>
      <c r="B1678" s="184" t="s">
        <v>113</v>
      </c>
      <c r="C1678" s="184" t="s">
        <v>1101</v>
      </c>
      <c r="D1678" s="185" t="s">
        <v>704</v>
      </c>
      <c r="E1678" s="186" t="s">
        <v>906</v>
      </c>
      <c r="F1678" s="186" t="s">
        <v>907</v>
      </c>
      <c r="G1678" s="186" t="s">
        <v>1102</v>
      </c>
      <c r="H1678" s="186" t="s">
        <v>1174</v>
      </c>
      <c r="I1678" s="187" t="s">
        <v>1312</v>
      </c>
      <c r="J1678" s="187" t="s">
        <v>1313</v>
      </c>
      <c r="K1678" s="188"/>
      <c r="L1678" s="188"/>
      <c r="M1678" s="189" t="s">
        <v>847</v>
      </c>
      <c r="N1678" s="190">
        <v>237.28</v>
      </c>
      <c r="O1678" s="190">
        <f t="shared" si="211"/>
        <v>258.64</v>
      </c>
      <c r="P1678" s="191">
        <f t="shared" si="212"/>
        <v>0</v>
      </c>
      <c r="Q1678" s="192">
        <f t="shared" si="213"/>
        <v>0</v>
      </c>
      <c r="R1678" s="193"/>
      <c r="S1678" s="194"/>
      <c r="T1678" s="195">
        <f t="shared" si="214"/>
        <v>0</v>
      </c>
      <c r="U1678" s="195">
        <f t="shared" si="215"/>
        <v>0</v>
      </c>
      <c r="V1678" s="195">
        <f t="shared" si="216"/>
        <v>0</v>
      </c>
      <c r="W1678" s="196" t="e">
        <f t="shared" si="217"/>
        <v>#DIV/0!</v>
      </c>
      <c r="X1678" s="197" t="e">
        <f t="shared" si="218"/>
        <v>#DIV/0!</v>
      </c>
    </row>
    <row r="1679" ht="11.4" hidden="1" customHeight="1" spans="1:24">
      <c r="A1679" s="184" t="s">
        <v>3184</v>
      </c>
      <c r="B1679" s="184" t="s">
        <v>113</v>
      </c>
      <c r="C1679" s="184" t="s">
        <v>1101</v>
      </c>
      <c r="D1679" s="185" t="s">
        <v>704</v>
      </c>
      <c r="E1679" s="186" t="s">
        <v>906</v>
      </c>
      <c r="F1679" s="186" t="s">
        <v>907</v>
      </c>
      <c r="G1679" s="186" t="s">
        <v>1102</v>
      </c>
      <c r="H1679" s="186" t="s">
        <v>1174</v>
      </c>
      <c r="I1679" s="187" t="s">
        <v>1314</v>
      </c>
      <c r="J1679" s="187" t="s">
        <v>1315</v>
      </c>
      <c r="K1679" s="188"/>
      <c r="L1679" s="188"/>
      <c r="M1679" s="189" t="s">
        <v>847</v>
      </c>
      <c r="N1679" s="190">
        <v>179.53</v>
      </c>
      <c r="O1679" s="190">
        <f t="shared" si="211"/>
        <v>195.69</v>
      </c>
      <c r="P1679" s="191">
        <f t="shared" si="212"/>
        <v>0</v>
      </c>
      <c r="Q1679" s="192">
        <f t="shared" si="213"/>
        <v>0</v>
      </c>
      <c r="R1679" s="193"/>
      <c r="S1679" s="194"/>
      <c r="T1679" s="195">
        <f t="shared" si="214"/>
        <v>0</v>
      </c>
      <c r="U1679" s="195">
        <f t="shared" si="215"/>
        <v>0</v>
      </c>
      <c r="V1679" s="195">
        <f t="shared" si="216"/>
        <v>0</v>
      </c>
      <c r="W1679" s="196" t="e">
        <f t="shared" si="217"/>
        <v>#DIV/0!</v>
      </c>
      <c r="X1679" s="197" t="e">
        <f t="shared" si="218"/>
        <v>#DIV/0!</v>
      </c>
    </row>
    <row r="1680" ht="11.4" hidden="1" customHeight="1" spans="1:24">
      <c r="A1680" s="184" t="s">
        <v>3184</v>
      </c>
      <c r="B1680" s="184" t="s">
        <v>113</v>
      </c>
      <c r="C1680" s="184" t="s">
        <v>1101</v>
      </c>
      <c r="D1680" s="185" t="s">
        <v>704</v>
      </c>
      <c r="E1680" s="186" t="s">
        <v>906</v>
      </c>
      <c r="F1680" s="186" t="s">
        <v>907</v>
      </c>
      <c r="G1680" s="186" t="s">
        <v>1102</v>
      </c>
      <c r="H1680" s="186" t="s">
        <v>1174</v>
      </c>
      <c r="I1680" s="187" t="s">
        <v>1316</v>
      </c>
      <c r="J1680" s="187" t="s">
        <v>1317</v>
      </c>
      <c r="K1680" s="188"/>
      <c r="L1680" s="188"/>
      <c r="M1680" s="189" t="s">
        <v>847</v>
      </c>
      <c r="N1680" s="190">
        <v>168.64</v>
      </c>
      <c r="O1680" s="190">
        <f t="shared" si="211"/>
        <v>183.82</v>
      </c>
      <c r="P1680" s="191">
        <f t="shared" si="212"/>
        <v>0</v>
      </c>
      <c r="Q1680" s="192">
        <f t="shared" si="213"/>
        <v>0</v>
      </c>
      <c r="R1680" s="193"/>
      <c r="S1680" s="194"/>
      <c r="T1680" s="195">
        <f t="shared" si="214"/>
        <v>0</v>
      </c>
      <c r="U1680" s="195">
        <f t="shared" si="215"/>
        <v>0</v>
      </c>
      <c r="V1680" s="195">
        <f t="shared" si="216"/>
        <v>0</v>
      </c>
      <c r="W1680" s="196" t="e">
        <f t="shared" si="217"/>
        <v>#DIV/0!</v>
      </c>
      <c r="X1680" s="197" t="e">
        <f t="shared" si="218"/>
        <v>#DIV/0!</v>
      </c>
    </row>
    <row r="1681" ht="11.4" hidden="1" customHeight="1" spans="1:24">
      <c r="A1681" s="184" t="s">
        <v>3184</v>
      </c>
      <c r="B1681" s="184" t="s">
        <v>113</v>
      </c>
      <c r="C1681" s="184" t="s">
        <v>1101</v>
      </c>
      <c r="D1681" s="185" t="s">
        <v>704</v>
      </c>
      <c r="E1681" s="186" t="s">
        <v>906</v>
      </c>
      <c r="F1681" s="186" t="s">
        <v>907</v>
      </c>
      <c r="G1681" s="186" t="s">
        <v>1102</v>
      </c>
      <c r="H1681" s="186" t="s">
        <v>1174</v>
      </c>
      <c r="I1681" s="187" t="s">
        <v>1318</v>
      </c>
      <c r="J1681" s="187" t="s">
        <v>1319</v>
      </c>
      <c r="K1681" s="188"/>
      <c r="L1681" s="188"/>
      <c r="M1681" s="189" t="s">
        <v>847</v>
      </c>
      <c r="N1681" s="190">
        <v>179.53</v>
      </c>
      <c r="O1681" s="190">
        <f t="shared" si="211"/>
        <v>195.69</v>
      </c>
      <c r="P1681" s="191">
        <f t="shared" si="212"/>
        <v>0</v>
      </c>
      <c r="Q1681" s="192">
        <f t="shared" si="213"/>
        <v>0</v>
      </c>
      <c r="R1681" s="193"/>
      <c r="S1681" s="194"/>
      <c r="T1681" s="195">
        <f t="shared" si="214"/>
        <v>0</v>
      </c>
      <c r="U1681" s="195">
        <f t="shared" si="215"/>
        <v>0</v>
      </c>
      <c r="V1681" s="195">
        <f t="shared" si="216"/>
        <v>0</v>
      </c>
      <c r="W1681" s="196" t="e">
        <f t="shared" si="217"/>
        <v>#DIV/0!</v>
      </c>
      <c r="X1681" s="197" t="e">
        <f t="shared" si="218"/>
        <v>#DIV/0!</v>
      </c>
    </row>
    <row r="1682" ht="11.4" hidden="1" customHeight="1" spans="1:24">
      <c r="A1682" s="184" t="s">
        <v>3184</v>
      </c>
      <c r="B1682" s="184" t="s">
        <v>113</v>
      </c>
      <c r="C1682" s="184" t="s">
        <v>1101</v>
      </c>
      <c r="D1682" s="185" t="s">
        <v>704</v>
      </c>
      <c r="E1682" s="186" t="s">
        <v>906</v>
      </c>
      <c r="F1682" s="186" t="s">
        <v>907</v>
      </c>
      <c r="G1682" s="186" t="s">
        <v>1102</v>
      </c>
      <c r="H1682" s="186" t="s">
        <v>1174</v>
      </c>
      <c r="I1682" s="187" t="s">
        <v>1320</v>
      </c>
      <c r="J1682" s="187" t="s">
        <v>1321</v>
      </c>
      <c r="K1682" s="188"/>
      <c r="L1682" s="188"/>
      <c r="M1682" s="189" t="s">
        <v>847</v>
      </c>
      <c r="N1682" s="190">
        <v>169.85</v>
      </c>
      <c r="O1682" s="190">
        <f t="shared" si="211"/>
        <v>185.14</v>
      </c>
      <c r="P1682" s="191">
        <f t="shared" si="212"/>
        <v>0</v>
      </c>
      <c r="Q1682" s="192">
        <f t="shared" si="213"/>
        <v>0</v>
      </c>
      <c r="R1682" s="193"/>
      <c r="S1682" s="194"/>
      <c r="T1682" s="195">
        <f t="shared" si="214"/>
        <v>0</v>
      </c>
      <c r="U1682" s="195">
        <f t="shared" si="215"/>
        <v>0</v>
      </c>
      <c r="V1682" s="195">
        <f t="shared" si="216"/>
        <v>0</v>
      </c>
      <c r="W1682" s="196" t="e">
        <f t="shared" si="217"/>
        <v>#DIV/0!</v>
      </c>
      <c r="X1682" s="197" t="e">
        <f t="shared" si="218"/>
        <v>#DIV/0!</v>
      </c>
    </row>
    <row r="1683" ht="11.4" hidden="1" customHeight="1" spans="1:24">
      <c r="A1683" s="184" t="s">
        <v>3184</v>
      </c>
      <c r="B1683" s="184" t="s">
        <v>113</v>
      </c>
      <c r="C1683" s="184" t="s">
        <v>1101</v>
      </c>
      <c r="D1683" s="185" t="s">
        <v>704</v>
      </c>
      <c r="E1683" s="186" t="s">
        <v>906</v>
      </c>
      <c r="F1683" s="186" t="s">
        <v>907</v>
      </c>
      <c r="G1683" s="186" t="s">
        <v>1102</v>
      </c>
      <c r="H1683" s="186" t="s">
        <v>1174</v>
      </c>
      <c r="I1683" s="187" t="s">
        <v>1322</v>
      </c>
      <c r="J1683" s="187" t="s">
        <v>1323</v>
      </c>
      <c r="K1683" s="188"/>
      <c r="L1683" s="188"/>
      <c r="M1683" s="189" t="s">
        <v>847</v>
      </c>
      <c r="N1683" s="190">
        <v>165.01</v>
      </c>
      <c r="O1683" s="190">
        <f t="shared" si="211"/>
        <v>179.86</v>
      </c>
      <c r="P1683" s="191">
        <f t="shared" si="212"/>
        <v>0</v>
      </c>
      <c r="Q1683" s="192">
        <f t="shared" si="213"/>
        <v>0</v>
      </c>
      <c r="R1683" s="193"/>
      <c r="S1683" s="194"/>
      <c r="T1683" s="195">
        <f t="shared" si="214"/>
        <v>0</v>
      </c>
      <c r="U1683" s="195">
        <f t="shared" si="215"/>
        <v>0</v>
      </c>
      <c r="V1683" s="195">
        <f t="shared" si="216"/>
        <v>0</v>
      </c>
      <c r="W1683" s="196" t="e">
        <f t="shared" si="217"/>
        <v>#DIV/0!</v>
      </c>
      <c r="X1683" s="197" t="e">
        <f t="shared" si="218"/>
        <v>#DIV/0!</v>
      </c>
    </row>
    <row r="1684" ht="11.4" hidden="1" customHeight="1" spans="1:24">
      <c r="A1684" s="184" t="s">
        <v>3184</v>
      </c>
      <c r="B1684" s="184" t="s">
        <v>113</v>
      </c>
      <c r="C1684" s="184" t="s">
        <v>1101</v>
      </c>
      <c r="D1684" s="185" t="s">
        <v>704</v>
      </c>
      <c r="E1684" s="186" t="s">
        <v>906</v>
      </c>
      <c r="F1684" s="186" t="s">
        <v>907</v>
      </c>
      <c r="G1684" s="186" t="s">
        <v>1102</v>
      </c>
      <c r="H1684" s="186" t="s">
        <v>1174</v>
      </c>
      <c r="I1684" s="187" t="s">
        <v>1324</v>
      </c>
      <c r="J1684" s="187" t="s">
        <v>1325</v>
      </c>
      <c r="K1684" s="188"/>
      <c r="L1684" s="188"/>
      <c r="M1684" s="189" t="s">
        <v>847</v>
      </c>
      <c r="N1684" s="190">
        <v>169.85</v>
      </c>
      <c r="O1684" s="190">
        <f t="shared" si="211"/>
        <v>185.14</v>
      </c>
      <c r="P1684" s="191">
        <f t="shared" si="212"/>
        <v>0</v>
      </c>
      <c r="Q1684" s="192">
        <f t="shared" si="213"/>
        <v>0</v>
      </c>
      <c r="R1684" s="193"/>
      <c r="S1684" s="194"/>
      <c r="T1684" s="195">
        <f t="shared" si="214"/>
        <v>0</v>
      </c>
      <c r="U1684" s="195">
        <f t="shared" si="215"/>
        <v>0</v>
      </c>
      <c r="V1684" s="195">
        <f t="shared" si="216"/>
        <v>0</v>
      </c>
      <c r="W1684" s="196" t="e">
        <f t="shared" si="217"/>
        <v>#DIV/0!</v>
      </c>
      <c r="X1684" s="197" t="e">
        <f t="shared" si="218"/>
        <v>#DIV/0!</v>
      </c>
    </row>
    <row r="1685" ht="11.4" hidden="1" customHeight="1" spans="1:24">
      <c r="A1685" s="184" t="s">
        <v>3184</v>
      </c>
      <c r="B1685" s="184" t="s">
        <v>113</v>
      </c>
      <c r="C1685" s="184" t="s">
        <v>1101</v>
      </c>
      <c r="D1685" s="185" t="s">
        <v>704</v>
      </c>
      <c r="E1685" s="186" t="s">
        <v>906</v>
      </c>
      <c r="F1685" s="186" t="s">
        <v>907</v>
      </c>
      <c r="G1685" s="186" t="s">
        <v>1102</v>
      </c>
      <c r="H1685" s="186" t="s">
        <v>1174</v>
      </c>
      <c r="I1685" s="187" t="s">
        <v>1326</v>
      </c>
      <c r="J1685" s="187" t="s">
        <v>1327</v>
      </c>
      <c r="K1685" s="188"/>
      <c r="L1685" s="188"/>
      <c r="M1685" s="189" t="s">
        <v>847</v>
      </c>
      <c r="N1685" s="190">
        <v>206.06</v>
      </c>
      <c r="O1685" s="190">
        <f t="shared" si="211"/>
        <v>224.61</v>
      </c>
      <c r="P1685" s="191">
        <f t="shared" si="212"/>
        <v>0</v>
      </c>
      <c r="Q1685" s="192">
        <f t="shared" si="213"/>
        <v>0</v>
      </c>
      <c r="R1685" s="193"/>
      <c r="S1685" s="194"/>
      <c r="T1685" s="195">
        <f t="shared" si="214"/>
        <v>0</v>
      </c>
      <c r="U1685" s="195">
        <f t="shared" si="215"/>
        <v>0</v>
      </c>
      <c r="V1685" s="195">
        <f t="shared" si="216"/>
        <v>0</v>
      </c>
      <c r="W1685" s="196" t="e">
        <f t="shared" si="217"/>
        <v>#DIV/0!</v>
      </c>
      <c r="X1685" s="197" t="e">
        <f t="shared" si="218"/>
        <v>#DIV/0!</v>
      </c>
    </row>
    <row r="1686" ht="11.4" hidden="1" customHeight="1" spans="1:24">
      <c r="A1686" s="184" t="s">
        <v>3184</v>
      </c>
      <c r="B1686" s="184" t="s">
        <v>113</v>
      </c>
      <c r="C1686" s="184" t="s">
        <v>1101</v>
      </c>
      <c r="D1686" s="185" t="s">
        <v>704</v>
      </c>
      <c r="E1686" s="186" t="s">
        <v>906</v>
      </c>
      <c r="F1686" s="186" t="s">
        <v>907</v>
      </c>
      <c r="G1686" s="186" t="s">
        <v>1102</v>
      </c>
      <c r="H1686" s="186" t="s">
        <v>1174</v>
      </c>
      <c r="I1686" s="187" t="s">
        <v>1328</v>
      </c>
      <c r="J1686" s="187" t="s">
        <v>1329</v>
      </c>
      <c r="K1686" s="188"/>
      <c r="L1686" s="188"/>
      <c r="M1686" s="189" t="s">
        <v>847</v>
      </c>
      <c r="N1686" s="190">
        <v>193.96</v>
      </c>
      <c r="O1686" s="190">
        <f t="shared" si="211"/>
        <v>211.42</v>
      </c>
      <c r="P1686" s="191">
        <f t="shared" si="212"/>
        <v>0</v>
      </c>
      <c r="Q1686" s="192">
        <f t="shared" si="213"/>
        <v>0</v>
      </c>
      <c r="R1686" s="193"/>
      <c r="S1686" s="194"/>
      <c r="T1686" s="195">
        <f t="shared" si="214"/>
        <v>0</v>
      </c>
      <c r="U1686" s="195">
        <f t="shared" si="215"/>
        <v>0</v>
      </c>
      <c r="V1686" s="195">
        <f t="shared" si="216"/>
        <v>0</v>
      </c>
      <c r="W1686" s="196" t="e">
        <f t="shared" si="217"/>
        <v>#DIV/0!</v>
      </c>
      <c r="X1686" s="197" t="e">
        <f t="shared" si="218"/>
        <v>#DIV/0!</v>
      </c>
    </row>
    <row r="1687" ht="11.4" hidden="1" customHeight="1" spans="1:24">
      <c r="A1687" s="184" t="s">
        <v>3184</v>
      </c>
      <c r="B1687" s="184" t="s">
        <v>113</v>
      </c>
      <c r="C1687" s="184" t="s">
        <v>1101</v>
      </c>
      <c r="D1687" s="185" t="s">
        <v>704</v>
      </c>
      <c r="E1687" s="186" t="s">
        <v>906</v>
      </c>
      <c r="F1687" s="186" t="s">
        <v>907</v>
      </c>
      <c r="G1687" s="186" t="s">
        <v>1102</v>
      </c>
      <c r="H1687" s="186" t="s">
        <v>1174</v>
      </c>
      <c r="I1687" s="187" t="s">
        <v>1330</v>
      </c>
      <c r="J1687" s="187" t="s">
        <v>1331</v>
      </c>
      <c r="K1687" s="188"/>
      <c r="L1687" s="188"/>
      <c r="M1687" s="189" t="s">
        <v>847</v>
      </c>
      <c r="N1687" s="190">
        <v>215.74</v>
      </c>
      <c r="O1687" s="190">
        <f t="shared" si="211"/>
        <v>235.16</v>
      </c>
      <c r="P1687" s="191">
        <f t="shared" si="212"/>
        <v>0</v>
      </c>
      <c r="Q1687" s="192">
        <f t="shared" si="213"/>
        <v>0</v>
      </c>
      <c r="R1687" s="193"/>
      <c r="S1687" s="194"/>
      <c r="T1687" s="195">
        <f t="shared" si="214"/>
        <v>0</v>
      </c>
      <c r="U1687" s="195">
        <f t="shared" si="215"/>
        <v>0</v>
      </c>
      <c r="V1687" s="195">
        <f t="shared" si="216"/>
        <v>0</v>
      </c>
      <c r="W1687" s="196" t="e">
        <f t="shared" si="217"/>
        <v>#DIV/0!</v>
      </c>
      <c r="X1687" s="197" t="e">
        <f t="shared" si="218"/>
        <v>#DIV/0!</v>
      </c>
    </row>
    <row r="1688" ht="11.4" hidden="1" customHeight="1" spans="1:24">
      <c r="A1688" s="184" t="s">
        <v>3184</v>
      </c>
      <c r="B1688" s="184" t="s">
        <v>113</v>
      </c>
      <c r="C1688" s="184" t="s">
        <v>1101</v>
      </c>
      <c r="D1688" s="185" t="s">
        <v>704</v>
      </c>
      <c r="E1688" s="186" t="s">
        <v>906</v>
      </c>
      <c r="F1688" s="186" t="s">
        <v>907</v>
      </c>
      <c r="G1688" s="186" t="s">
        <v>1102</v>
      </c>
      <c r="H1688" s="186" t="s">
        <v>1174</v>
      </c>
      <c r="I1688" s="187" t="s">
        <v>1332</v>
      </c>
      <c r="J1688" s="187" t="s">
        <v>1333</v>
      </c>
      <c r="K1688" s="188"/>
      <c r="L1688" s="188"/>
      <c r="M1688" s="189" t="s">
        <v>793</v>
      </c>
      <c r="N1688" s="190">
        <v>1376</v>
      </c>
      <c r="O1688" s="190">
        <f t="shared" si="211"/>
        <v>1499.84</v>
      </c>
      <c r="P1688" s="191">
        <f t="shared" si="212"/>
        <v>0</v>
      </c>
      <c r="Q1688" s="192">
        <f t="shared" si="213"/>
        <v>0</v>
      </c>
      <c r="R1688" s="193"/>
      <c r="S1688" s="194"/>
      <c r="T1688" s="195">
        <f t="shared" si="214"/>
        <v>0</v>
      </c>
      <c r="U1688" s="195">
        <f t="shared" si="215"/>
        <v>0</v>
      </c>
      <c r="V1688" s="195">
        <f t="shared" si="216"/>
        <v>0</v>
      </c>
      <c r="W1688" s="196" t="e">
        <f t="shared" si="217"/>
        <v>#DIV/0!</v>
      </c>
      <c r="X1688" s="197" t="e">
        <f t="shared" si="218"/>
        <v>#DIV/0!</v>
      </c>
    </row>
    <row r="1689" ht="11.4" hidden="1" customHeight="1" spans="1:24">
      <c r="A1689" s="184" t="s">
        <v>3184</v>
      </c>
      <c r="B1689" s="184" t="s">
        <v>113</v>
      </c>
      <c r="C1689" s="184" t="s">
        <v>1101</v>
      </c>
      <c r="D1689" s="185" t="s">
        <v>704</v>
      </c>
      <c r="E1689" s="186" t="s">
        <v>906</v>
      </c>
      <c r="F1689" s="186" t="s">
        <v>907</v>
      </c>
      <c r="G1689" s="186" t="s">
        <v>1102</v>
      </c>
      <c r="H1689" s="186" t="s">
        <v>1174</v>
      </c>
      <c r="I1689" s="187" t="s">
        <v>1334</v>
      </c>
      <c r="J1689" s="187" t="s">
        <v>1335</v>
      </c>
      <c r="K1689" s="188"/>
      <c r="L1689" s="188"/>
      <c r="M1689" s="189" t="s">
        <v>847</v>
      </c>
      <c r="N1689" s="190">
        <v>1134.73</v>
      </c>
      <c r="O1689" s="190">
        <f t="shared" si="211"/>
        <v>1236.86</v>
      </c>
      <c r="P1689" s="191">
        <f t="shared" si="212"/>
        <v>0</v>
      </c>
      <c r="Q1689" s="192">
        <f t="shared" si="213"/>
        <v>0</v>
      </c>
      <c r="R1689" s="193"/>
      <c r="S1689" s="194"/>
      <c r="T1689" s="195">
        <f t="shared" si="214"/>
        <v>0</v>
      </c>
      <c r="U1689" s="195">
        <f t="shared" si="215"/>
        <v>0</v>
      </c>
      <c r="V1689" s="195">
        <f t="shared" si="216"/>
        <v>0</v>
      </c>
      <c r="W1689" s="196" t="e">
        <f t="shared" si="217"/>
        <v>#DIV/0!</v>
      </c>
      <c r="X1689" s="197" t="e">
        <f t="shared" si="218"/>
        <v>#DIV/0!</v>
      </c>
    </row>
    <row r="1690" ht="11.4" hidden="1" customHeight="1" spans="1:24">
      <c r="A1690" s="184" t="s">
        <v>3184</v>
      </c>
      <c r="B1690" s="184" t="s">
        <v>113</v>
      </c>
      <c r="C1690" s="184" t="s">
        <v>1101</v>
      </c>
      <c r="D1690" s="185" t="s">
        <v>704</v>
      </c>
      <c r="E1690" s="186" t="s">
        <v>906</v>
      </c>
      <c r="F1690" s="186" t="s">
        <v>907</v>
      </c>
      <c r="G1690" s="186" t="s">
        <v>1102</v>
      </c>
      <c r="H1690" s="186" t="s">
        <v>1174</v>
      </c>
      <c r="I1690" s="187" t="s">
        <v>1336</v>
      </c>
      <c r="J1690" s="187" t="s">
        <v>1337</v>
      </c>
      <c r="K1690" s="188"/>
      <c r="L1690" s="188"/>
      <c r="M1690" s="189" t="s">
        <v>847</v>
      </c>
      <c r="N1690" s="190">
        <v>62.19</v>
      </c>
      <c r="O1690" s="190">
        <f t="shared" si="211"/>
        <v>67.79</v>
      </c>
      <c r="P1690" s="191">
        <f t="shared" si="212"/>
        <v>0</v>
      </c>
      <c r="Q1690" s="192">
        <f t="shared" si="213"/>
        <v>0</v>
      </c>
      <c r="R1690" s="193"/>
      <c r="S1690" s="194"/>
      <c r="T1690" s="195">
        <f t="shared" si="214"/>
        <v>0</v>
      </c>
      <c r="U1690" s="195">
        <f t="shared" si="215"/>
        <v>0</v>
      </c>
      <c r="V1690" s="195">
        <f t="shared" si="216"/>
        <v>0</v>
      </c>
      <c r="W1690" s="196" t="e">
        <f t="shared" si="217"/>
        <v>#DIV/0!</v>
      </c>
      <c r="X1690" s="197" t="e">
        <f t="shared" si="218"/>
        <v>#DIV/0!</v>
      </c>
    </row>
    <row r="1691" ht="11.4" hidden="1" customHeight="1" spans="1:24">
      <c r="A1691" s="184" t="s">
        <v>3184</v>
      </c>
      <c r="B1691" s="184" t="s">
        <v>113</v>
      </c>
      <c r="C1691" s="184" t="s">
        <v>1101</v>
      </c>
      <c r="D1691" s="185" t="s">
        <v>704</v>
      </c>
      <c r="E1691" s="186" t="s">
        <v>906</v>
      </c>
      <c r="F1691" s="186" t="s">
        <v>907</v>
      </c>
      <c r="G1691" s="186" t="s">
        <v>1102</v>
      </c>
      <c r="H1691" s="186" t="s">
        <v>1174</v>
      </c>
      <c r="I1691" s="187" t="s">
        <v>1338</v>
      </c>
      <c r="J1691" s="187" t="s">
        <v>1339</v>
      </c>
      <c r="K1691" s="188"/>
      <c r="L1691" s="188"/>
      <c r="M1691" s="189" t="s">
        <v>847</v>
      </c>
      <c r="N1691" s="190">
        <v>205.04</v>
      </c>
      <c r="O1691" s="190">
        <f t="shared" si="211"/>
        <v>223.49</v>
      </c>
      <c r="P1691" s="191">
        <f t="shared" si="212"/>
        <v>0</v>
      </c>
      <c r="Q1691" s="192">
        <f t="shared" si="213"/>
        <v>0</v>
      </c>
      <c r="R1691" s="193"/>
      <c r="S1691" s="194"/>
      <c r="T1691" s="195">
        <f t="shared" si="214"/>
        <v>0</v>
      </c>
      <c r="U1691" s="195">
        <f t="shared" si="215"/>
        <v>0</v>
      </c>
      <c r="V1691" s="195">
        <f t="shared" si="216"/>
        <v>0</v>
      </c>
      <c r="W1691" s="196" t="e">
        <f t="shared" si="217"/>
        <v>#DIV/0!</v>
      </c>
      <c r="X1691" s="197" t="e">
        <f t="shared" si="218"/>
        <v>#DIV/0!</v>
      </c>
    </row>
    <row r="1692" ht="11.4" hidden="1" customHeight="1" spans="1:24">
      <c r="A1692" s="184" t="s">
        <v>3185</v>
      </c>
      <c r="B1692" s="184" t="s">
        <v>133</v>
      </c>
      <c r="C1692" s="184" t="s">
        <v>1341</v>
      </c>
      <c r="D1692" s="185" t="s">
        <v>704</v>
      </c>
      <c r="E1692" s="186" t="s">
        <v>906</v>
      </c>
      <c r="F1692" s="186" t="s">
        <v>907</v>
      </c>
      <c r="G1692" s="186" t="s">
        <v>1102</v>
      </c>
      <c r="H1692" s="186" t="s">
        <v>1342</v>
      </c>
      <c r="I1692" s="187" t="s">
        <v>1343</v>
      </c>
      <c r="J1692" s="187" t="s">
        <v>1344</v>
      </c>
      <c r="K1692" s="188"/>
      <c r="L1692" s="188"/>
      <c r="M1692" s="189" t="s">
        <v>847</v>
      </c>
      <c r="N1692" s="190"/>
      <c r="O1692" s="190">
        <f t="shared" si="211"/>
        <v>0</v>
      </c>
      <c r="P1692" s="191">
        <f t="shared" si="212"/>
        <v>0</v>
      </c>
      <c r="Q1692" s="192">
        <f t="shared" si="213"/>
        <v>0</v>
      </c>
      <c r="R1692" s="193"/>
      <c r="S1692" s="194"/>
      <c r="T1692" s="195">
        <f t="shared" si="214"/>
        <v>0</v>
      </c>
      <c r="U1692" s="195">
        <f t="shared" si="215"/>
        <v>0</v>
      </c>
      <c r="V1692" s="195">
        <f t="shared" si="216"/>
        <v>0</v>
      </c>
      <c r="W1692" s="196" t="e">
        <f t="shared" si="217"/>
        <v>#DIV/0!</v>
      </c>
      <c r="X1692" s="197" t="e">
        <f t="shared" si="218"/>
        <v>#DIV/0!</v>
      </c>
    </row>
    <row r="1693" ht="11.4" hidden="1" customHeight="1" spans="1:24">
      <c r="A1693" s="184" t="s">
        <v>3185</v>
      </c>
      <c r="B1693" s="184" t="s">
        <v>133</v>
      </c>
      <c r="C1693" s="184" t="s">
        <v>1341</v>
      </c>
      <c r="D1693" s="185" t="s">
        <v>704</v>
      </c>
      <c r="E1693" s="186" t="s">
        <v>906</v>
      </c>
      <c r="F1693" s="186" t="s">
        <v>907</v>
      </c>
      <c r="G1693" s="186" t="s">
        <v>1102</v>
      </c>
      <c r="H1693" s="186" t="s">
        <v>1342</v>
      </c>
      <c r="I1693" s="187" t="s">
        <v>1345</v>
      </c>
      <c r="J1693" s="187" t="s">
        <v>1346</v>
      </c>
      <c r="K1693" s="188"/>
      <c r="L1693" s="188"/>
      <c r="M1693" s="189" t="s">
        <v>847</v>
      </c>
      <c r="N1693" s="190"/>
      <c r="O1693" s="190">
        <f t="shared" si="211"/>
        <v>0</v>
      </c>
      <c r="P1693" s="191">
        <f t="shared" si="212"/>
        <v>0</v>
      </c>
      <c r="Q1693" s="192">
        <f t="shared" si="213"/>
        <v>0</v>
      </c>
      <c r="R1693" s="193"/>
      <c r="S1693" s="194"/>
      <c r="T1693" s="195">
        <f t="shared" si="214"/>
        <v>0</v>
      </c>
      <c r="U1693" s="195">
        <f t="shared" si="215"/>
        <v>0</v>
      </c>
      <c r="V1693" s="195">
        <f t="shared" si="216"/>
        <v>0</v>
      </c>
      <c r="W1693" s="196" t="e">
        <f t="shared" si="217"/>
        <v>#DIV/0!</v>
      </c>
      <c r="X1693" s="197" t="e">
        <f t="shared" si="218"/>
        <v>#DIV/0!</v>
      </c>
    </row>
    <row r="1694" ht="11.4" hidden="1" customHeight="1" spans="1:24">
      <c r="A1694" s="184" t="s">
        <v>3185</v>
      </c>
      <c r="B1694" s="184" t="s">
        <v>133</v>
      </c>
      <c r="C1694" s="184" t="s">
        <v>1341</v>
      </c>
      <c r="D1694" s="185" t="s">
        <v>704</v>
      </c>
      <c r="E1694" s="186" t="s">
        <v>906</v>
      </c>
      <c r="F1694" s="186" t="s">
        <v>907</v>
      </c>
      <c r="G1694" s="186" t="s">
        <v>1102</v>
      </c>
      <c r="H1694" s="186" t="s">
        <v>1342</v>
      </c>
      <c r="I1694" s="187" t="s">
        <v>1347</v>
      </c>
      <c r="J1694" s="187" t="s">
        <v>1348</v>
      </c>
      <c r="K1694" s="188"/>
      <c r="L1694" s="188"/>
      <c r="M1694" s="189" t="s">
        <v>847</v>
      </c>
      <c r="N1694" s="190"/>
      <c r="O1694" s="190">
        <f t="shared" si="211"/>
        <v>0</v>
      </c>
      <c r="P1694" s="191">
        <f t="shared" si="212"/>
        <v>0</v>
      </c>
      <c r="Q1694" s="192">
        <f t="shared" si="213"/>
        <v>0</v>
      </c>
      <c r="R1694" s="193"/>
      <c r="S1694" s="194"/>
      <c r="T1694" s="195">
        <f t="shared" si="214"/>
        <v>0</v>
      </c>
      <c r="U1694" s="195">
        <f t="shared" si="215"/>
        <v>0</v>
      </c>
      <c r="V1694" s="195">
        <f t="shared" si="216"/>
        <v>0</v>
      </c>
      <c r="W1694" s="196" t="e">
        <f t="shared" si="217"/>
        <v>#DIV/0!</v>
      </c>
      <c r="X1694" s="197" t="e">
        <f t="shared" si="218"/>
        <v>#DIV/0!</v>
      </c>
    </row>
    <row r="1695" ht="11.4" hidden="1" customHeight="1" spans="1:24">
      <c r="A1695" s="184" t="s">
        <v>3185</v>
      </c>
      <c r="B1695" s="184" t="s">
        <v>133</v>
      </c>
      <c r="C1695" s="184" t="s">
        <v>1341</v>
      </c>
      <c r="D1695" s="185" t="s">
        <v>704</v>
      </c>
      <c r="E1695" s="186" t="s">
        <v>906</v>
      </c>
      <c r="F1695" s="186" t="s">
        <v>907</v>
      </c>
      <c r="G1695" s="186" t="s">
        <v>1102</v>
      </c>
      <c r="H1695" s="186" t="s">
        <v>1342</v>
      </c>
      <c r="I1695" s="187" t="s">
        <v>1349</v>
      </c>
      <c r="J1695" s="187" t="s">
        <v>1350</v>
      </c>
      <c r="K1695" s="188"/>
      <c r="L1695" s="188"/>
      <c r="M1695" s="189" t="s">
        <v>847</v>
      </c>
      <c r="N1695" s="190">
        <v>58</v>
      </c>
      <c r="O1695" s="190">
        <f t="shared" si="211"/>
        <v>63.22</v>
      </c>
      <c r="P1695" s="191">
        <f t="shared" si="212"/>
        <v>0</v>
      </c>
      <c r="Q1695" s="192">
        <f t="shared" si="213"/>
        <v>0</v>
      </c>
      <c r="R1695" s="193"/>
      <c r="S1695" s="194"/>
      <c r="T1695" s="195">
        <f t="shared" si="214"/>
        <v>0</v>
      </c>
      <c r="U1695" s="195">
        <f t="shared" si="215"/>
        <v>0</v>
      </c>
      <c r="V1695" s="195">
        <f t="shared" si="216"/>
        <v>0</v>
      </c>
      <c r="W1695" s="196" t="e">
        <f t="shared" si="217"/>
        <v>#DIV/0!</v>
      </c>
      <c r="X1695" s="197" t="e">
        <f t="shared" si="218"/>
        <v>#DIV/0!</v>
      </c>
    </row>
    <row r="1696" ht="11.4" hidden="1" customHeight="1" spans="1:24">
      <c r="A1696" s="184" t="s">
        <v>3185</v>
      </c>
      <c r="B1696" s="184" t="s">
        <v>133</v>
      </c>
      <c r="C1696" s="184" t="s">
        <v>1341</v>
      </c>
      <c r="D1696" s="185" t="s">
        <v>704</v>
      </c>
      <c r="E1696" s="186" t="s">
        <v>906</v>
      </c>
      <c r="F1696" s="186" t="s">
        <v>907</v>
      </c>
      <c r="G1696" s="186" t="s">
        <v>1102</v>
      </c>
      <c r="H1696" s="186" t="s">
        <v>1342</v>
      </c>
      <c r="I1696" s="187" t="s">
        <v>1351</v>
      </c>
      <c r="J1696" s="187" t="s">
        <v>1352</v>
      </c>
      <c r="K1696" s="188"/>
      <c r="L1696" s="188"/>
      <c r="M1696" s="189" t="s">
        <v>847</v>
      </c>
      <c r="N1696" s="190"/>
      <c r="O1696" s="190">
        <f t="shared" si="211"/>
        <v>0</v>
      </c>
      <c r="P1696" s="191">
        <f t="shared" si="212"/>
        <v>0</v>
      </c>
      <c r="Q1696" s="192">
        <f t="shared" si="213"/>
        <v>0</v>
      </c>
      <c r="R1696" s="193"/>
      <c r="S1696" s="194"/>
      <c r="T1696" s="195">
        <f t="shared" si="214"/>
        <v>0</v>
      </c>
      <c r="U1696" s="195">
        <f t="shared" si="215"/>
        <v>0</v>
      </c>
      <c r="V1696" s="195">
        <f t="shared" si="216"/>
        <v>0</v>
      </c>
      <c r="W1696" s="196" t="e">
        <f t="shared" si="217"/>
        <v>#DIV/0!</v>
      </c>
      <c r="X1696" s="197" t="e">
        <f t="shared" si="218"/>
        <v>#DIV/0!</v>
      </c>
    </row>
    <row r="1697" ht="11.4" hidden="1" customHeight="1" spans="1:24">
      <c r="A1697" s="184" t="s">
        <v>3185</v>
      </c>
      <c r="B1697" s="184" t="s">
        <v>133</v>
      </c>
      <c r="C1697" s="184" t="s">
        <v>1341</v>
      </c>
      <c r="D1697" s="185" t="s">
        <v>704</v>
      </c>
      <c r="E1697" s="186" t="s">
        <v>906</v>
      </c>
      <c r="F1697" s="186" t="s">
        <v>907</v>
      </c>
      <c r="G1697" s="186" t="s">
        <v>1102</v>
      </c>
      <c r="H1697" s="186" t="s">
        <v>1342</v>
      </c>
      <c r="I1697" s="187" t="s">
        <v>1353</v>
      </c>
      <c r="J1697" s="187" t="s">
        <v>1354</v>
      </c>
      <c r="K1697" s="188"/>
      <c r="L1697" s="188"/>
      <c r="M1697" s="189" t="s">
        <v>847</v>
      </c>
      <c r="N1697" s="190">
        <v>78.07</v>
      </c>
      <c r="O1697" s="190">
        <f t="shared" si="211"/>
        <v>85.1</v>
      </c>
      <c r="P1697" s="191">
        <f t="shared" si="212"/>
        <v>0</v>
      </c>
      <c r="Q1697" s="192">
        <f t="shared" si="213"/>
        <v>0</v>
      </c>
      <c r="R1697" s="193"/>
      <c r="S1697" s="194"/>
      <c r="T1697" s="195">
        <f t="shared" si="214"/>
        <v>0</v>
      </c>
      <c r="U1697" s="195">
        <f t="shared" si="215"/>
        <v>0</v>
      </c>
      <c r="V1697" s="195">
        <f t="shared" si="216"/>
        <v>0</v>
      </c>
      <c r="W1697" s="196" t="e">
        <f t="shared" si="217"/>
        <v>#DIV/0!</v>
      </c>
      <c r="X1697" s="197" t="e">
        <f t="shared" si="218"/>
        <v>#DIV/0!</v>
      </c>
    </row>
    <row r="1698" ht="11.4" hidden="1" customHeight="1" spans="1:24">
      <c r="A1698" s="184" t="s">
        <v>3185</v>
      </c>
      <c r="B1698" s="184" t="s">
        <v>133</v>
      </c>
      <c r="C1698" s="184" t="s">
        <v>1341</v>
      </c>
      <c r="D1698" s="185" t="s">
        <v>704</v>
      </c>
      <c r="E1698" s="186" t="s">
        <v>906</v>
      </c>
      <c r="F1698" s="186" t="s">
        <v>907</v>
      </c>
      <c r="G1698" s="186" t="s">
        <v>1102</v>
      </c>
      <c r="H1698" s="186" t="s">
        <v>1342</v>
      </c>
      <c r="I1698" s="187" t="s">
        <v>1355</v>
      </c>
      <c r="J1698" s="187" t="s">
        <v>1356</v>
      </c>
      <c r="K1698" s="188"/>
      <c r="L1698" s="188"/>
      <c r="M1698" s="189" t="s">
        <v>847</v>
      </c>
      <c r="N1698" s="190">
        <v>358.52</v>
      </c>
      <c r="O1698" s="190">
        <f t="shared" si="211"/>
        <v>390.79</v>
      </c>
      <c r="P1698" s="191">
        <f t="shared" si="212"/>
        <v>0</v>
      </c>
      <c r="Q1698" s="192">
        <f t="shared" si="213"/>
        <v>0</v>
      </c>
      <c r="R1698" s="193"/>
      <c r="S1698" s="194"/>
      <c r="T1698" s="195">
        <f t="shared" si="214"/>
        <v>0</v>
      </c>
      <c r="U1698" s="195">
        <f t="shared" si="215"/>
        <v>0</v>
      </c>
      <c r="V1698" s="195">
        <f t="shared" si="216"/>
        <v>0</v>
      </c>
      <c r="W1698" s="196" t="e">
        <f t="shared" si="217"/>
        <v>#DIV/0!</v>
      </c>
      <c r="X1698" s="197" t="e">
        <f t="shared" si="218"/>
        <v>#DIV/0!</v>
      </c>
    </row>
    <row r="1699" ht="11.4" hidden="1" customHeight="1" spans="1:24">
      <c r="A1699" s="184" t="s">
        <v>3186</v>
      </c>
      <c r="B1699" s="184" t="s">
        <v>115</v>
      </c>
      <c r="C1699" s="184" t="s">
        <v>1101</v>
      </c>
      <c r="D1699" s="185" t="s">
        <v>704</v>
      </c>
      <c r="E1699" s="186" t="s">
        <v>906</v>
      </c>
      <c r="F1699" s="186" t="s">
        <v>907</v>
      </c>
      <c r="G1699" s="186" t="s">
        <v>1102</v>
      </c>
      <c r="H1699" s="186" t="s">
        <v>1358</v>
      </c>
      <c r="I1699" s="187" t="s">
        <v>1359</v>
      </c>
      <c r="J1699" s="187" t="s">
        <v>1360</v>
      </c>
      <c r="K1699" s="188"/>
      <c r="L1699" s="188"/>
      <c r="M1699" s="189" t="s">
        <v>847</v>
      </c>
      <c r="N1699" s="190">
        <v>127.36</v>
      </c>
      <c r="O1699" s="190">
        <f t="shared" si="211"/>
        <v>138.82</v>
      </c>
      <c r="P1699" s="191">
        <f t="shared" si="212"/>
        <v>0</v>
      </c>
      <c r="Q1699" s="192">
        <f t="shared" si="213"/>
        <v>0</v>
      </c>
      <c r="R1699" s="193"/>
      <c r="S1699" s="194"/>
      <c r="T1699" s="195">
        <f t="shared" si="214"/>
        <v>0</v>
      </c>
      <c r="U1699" s="195">
        <f t="shared" si="215"/>
        <v>0</v>
      </c>
      <c r="V1699" s="195">
        <f t="shared" si="216"/>
        <v>0</v>
      </c>
      <c r="W1699" s="196" t="e">
        <f t="shared" si="217"/>
        <v>#DIV/0!</v>
      </c>
      <c r="X1699" s="197" t="e">
        <f t="shared" si="218"/>
        <v>#DIV/0!</v>
      </c>
    </row>
    <row r="1700" ht="11.4" hidden="1" customHeight="1" spans="1:24">
      <c r="A1700" s="184" t="s">
        <v>3186</v>
      </c>
      <c r="B1700" s="184" t="s">
        <v>115</v>
      </c>
      <c r="C1700" s="184" t="s">
        <v>1101</v>
      </c>
      <c r="D1700" s="185" t="s">
        <v>704</v>
      </c>
      <c r="E1700" s="186" t="s">
        <v>906</v>
      </c>
      <c r="F1700" s="186" t="s">
        <v>907</v>
      </c>
      <c r="G1700" s="186" t="s">
        <v>1102</v>
      </c>
      <c r="H1700" s="186" t="s">
        <v>1358</v>
      </c>
      <c r="I1700" s="187" t="s">
        <v>1362</v>
      </c>
      <c r="J1700" s="187" t="s">
        <v>1363</v>
      </c>
      <c r="K1700" s="188"/>
      <c r="L1700" s="188"/>
      <c r="M1700" s="189" t="s">
        <v>847</v>
      </c>
      <c r="N1700" s="190">
        <v>138.36</v>
      </c>
      <c r="O1700" s="190">
        <f t="shared" si="211"/>
        <v>150.81</v>
      </c>
      <c r="P1700" s="191">
        <f t="shared" si="212"/>
        <v>0</v>
      </c>
      <c r="Q1700" s="192">
        <f t="shared" si="213"/>
        <v>0</v>
      </c>
      <c r="R1700" s="193"/>
      <c r="S1700" s="194"/>
      <c r="T1700" s="195">
        <f t="shared" si="214"/>
        <v>0</v>
      </c>
      <c r="U1700" s="195">
        <f t="shared" si="215"/>
        <v>0</v>
      </c>
      <c r="V1700" s="195">
        <f t="shared" si="216"/>
        <v>0</v>
      </c>
      <c r="W1700" s="196" t="e">
        <f t="shared" si="217"/>
        <v>#DIV/0!</v>
      </c>
      <c r="X1700" s="197" t="e">
        <f t="shared" si="218"/>
        <v>#DIV/0!</v>
      </c>
    </row>
    <row r="1701" ht="11.4" hidden="1" customHeight="1" spans="1:24">
      <c r="A1701" s="184" t="s">
        <v>3186</v>
      </c>
      <c r="B1701" s="184" t="s">
        <v>115</v>
      </c>
      <c r="C1701" s="184" t="s">
        <v>1101</v>
      </c>
      <c r="D1701" s="185" t="s">
        <v>704</v>
      </c>
      <c r="E1701" s="186" t="s">
        <v>906</v>
      </c>
      <c r="F1701" s="186" t="s">
        <v>907</v>
      </c>
      <c r="G1701" s="186" t="s">
        <v>1102</v>
      </c>
      <c r="H1701" s="186" t="s">
        <v>1358</v>
      </c>
      <c r="I1701" s="187" t="s">
        <v>1364</v>
      </c>
      <c r="J1701" s="187" t="s">
        <v>1365</v>
      </c>
      <c r="K1701" s="188"/>
      <c r="L1701" s="188"/>
      <c r="M1701" s="189" t="s">
        <v>847</v>
      </c>
      <c r="N1701" s="190">
        <v>138.36</v>
      </c>
      <c r="O1701" s="190">
        <f t="shared" si="211"/>
        <v>150.81</v>
      </c>
      <c r="P1701" s="191">
        <f t="shared" si="212"/>
        <v>0</v>
      </c>
      <c r="Q1701" s="192">
        <f t="shared" si="213"/>
        <v>0</v>
      </c>
      <c r="R1701" s="193"/>
      <c r="S1701" s="194"/>
      <c r="T1701" s="195">
        <f t="shared" si="214"/>
        <v>0</v>
      </c>
      <c r="U1701" s="195">
        <f t="shared" si="215"/>
        <v>0</v>
      </c>
      <c r="V1701" s="195">
        <f t="shared" si="216"/>
        <v>0</v>
      </c>
      <c r="W1701" s="196" t="e">
        <f t="shared" si="217"/>
        <v>#DIV/0!</v>
      </c>
      <c r="X1701" s="197" t="e">
        <f t="shared" si="218"/>
        <v>#DIV/0!</v>
      </c>
    </row>
    <row r="1702" ht="11.4" hidden="1" customHeight="1" spans="1:24">
      <c r="A1702" s="184" t="s">
        <v>3186</v>
      </c>
      <c r="B1702" s="184" t="s">
        <v>115</v>
      </c>
      <c r="C1702" s="184" t="s">
        <v>1101</v>
      </c>
      <c r="D1702" s="185" t="s">
        <v>704</v>
      </c>
      <c r="E1702" s="186" t="s">
        <v>906</v>
      </c>
      <c r="F1702" s="186" t="s">
        <v>907</v>
      </c>
      <c r="G1702" s="186" t="s">
        <v>1102</v>
      </c>
      <c r="H1702" s="186" t="s">
        <v>1358</v>
      </c>
      <c r="I1702" s="187" t="s">
        <v>1366</v>
      </c>
      <c r="J1702" s="187" t="s">
        <v>1367</v>
      </c>
      <c r="K1702" s="188"/>
      <c r="L1702" s="188"/>
      <c r="M1702" s="189" t="s">
        <v>847</v>
      </c>
      <c r="N1702" s="190">
        <v>205.49</v>
      </c>
      <c r="O1702" s="190">
        <f t="shared" si="211"/>
        <v>223.98</v>
      </c>
      <c r="P1702" s="191">
        <f t="shared" si="212"/>
        <v>0</v>
      </c>
      <c r="Q1702" s="192">
        <f t="shared" si="213"/>
        <v>0</v>
      </c>
      <c r="R1702" s="193"/>
      <c r="S1702" s="194"/>
      <c r="T1702" s="195">
        <f t="shared" si="214"/>
        <v>0</v>
      </c>
      <c r="U1702" s="195">
        <f t="shared" si="215"/>
        <v>0</v>
      </c>
      <c r="V1702" s="195">
        <f t="shared" si="216"/>
        <v>0</v>
      </c>
      <c r="W1702" s="196" t="e">
        <f t="shared" si="217"/>
        <v>#DIV/0!</v>
      </c>
      <c r="X1702" s="197" t="e">
        <f t="shared" si="218"/>
        <v>#DIV/0!</v>
      </c>
    </row>
    <row r="1703" ht="11.4" hidden="1" customHeight="1" spans="1:24">
      <c r="A1703" s="184" t="s">
        <v>3186</v>
      </c>
      <c r="B1703" s="184" t="s">
        <v>115</v>
      </c>
      <c r="C1703" s="184" t="s">
        <v>1101</v>
      </c>
      <c r="D1703" s="185" t="s">
        <v>704</v>
      </c>
      <c r="E1703" s="186" t="s">
        <v>906</v>
      </c>
      <c r="F1703" s="186" t="s">
        <v>907</v>
      </c>
      <c r="G1703" s="186" t="s">
        <v>1102</v>
      </c>
      <c r="H1703" s="186" t="s">
        <v>1358</v>
      </c>
      <c r="I1703" s="187" t="s">
        <v>1368</v>
      </c>
      <c r="J1703" s="187" t="s">
        <v>1369</v>
      </c>
      <c r="K1703" s="188"/>
      <c r="L1703" s="188"/>
      <c r="M1703" s="189" t="s">
        <v>847</v>
      </c>
      <c r="N1703" s="190">
        <v>263.1</v>
      </c>
      <c r="O1703" s="190">
        <f t="shared" si="211"/>
        <v>286.78</v>
      </c>
      <c r="P1703" s="191">
        <f t="shared" si="212"/>
        <v>0</v>
      </c>
      <c r="Q1703" s="192">
        <f t="shared" si="213"/>
        <v>0</v>
      </c>
      <c r="R1703" s="193"/>
      <c r="S1703" s="194"/>
      <c r="T1703" s="195">
        <f t="shared" si="214"/>
        <v>0</v>
      </c>
      <c r="U1703" s="195">
        <f t="shared" si="215"/>
        <v>0</v>
      </c>
      <c r="V1703" s="195">
        <f t="shared" si="216"/>
        <v>0</v>
      </c>
      <c r="W1703" s="196" t="e">
        <f t="shared" si="217"/>
        <v>#DIV/0!</v>
      </c>
      <c r="X1703" s="197" t="e">
        <f t="shared" si="218"/>
        <v>#DIV/0!</v>
      </c>
    </row>
    <row r="1704" ht="11.4" hidden="1" customHeight="1" spans="1:24">
      <c r="A1704" s="184" t="s">
        <v>3186</v>
      </c>
      <c r="B1704" s="184" t="s">
        <v>115</v>
      </c>
      <c r="C1704" s="184" t="s">
        <v>1101</v>
      </c>
      <c r="D1704" s="185" t="s">
        <v>704</v>
      </c>
      <c r="E1704" s="186" t="s">
        <v>906</v>
      </c>
      <c r="F1704" s="186" t="s">
        <v>907</v>
      </c>
      <c r="G1704" s="186" t="s">
        <v>1102</v>
      </c>
      <c r="H1704" s="186" t="s">
        <v>1358</v>
      </c>
      <c r="I1704" s="187" t="s">
        <v>1370</v>
      </c>
      <c r="J1704" s="187" t="s">
        <v>1371</v>
      </c>
      <c r="K1704" s="188"/>
      <c r="L1704" s="188"/>
      <c r="M1704" s="189" t="s">
        <v>847</v>
      </c>
      <c r="N1704" s="190">
        <v>2280.18</v>
      </c>
      <c r="O1704" s="190">
        <f t="shared" si="211"/>
        <v>2485.4</v>
      </c>
      <c r="P1704" s="191">
        <f t="shared" si="212"/>
        <v>0</v>
      </c>
      <c r="Q1704" s="192">
        <f t="shared" si="213"/>
        <v>0</v>
      </c>
      <c r="R1704" s="193"/>
      <c r="S1704" s="194"/>
      <c r="T1704" s="195">
        <f t="shared" si="214"/>
        <v>0</v>
      </c>
      <c r="U1704" s="195">
        <f t="shared" si="215"/>
        <v>0</v>
      </c>
      <c r="V1704" s="195">
        <f t="shared" si="216"/>
        <v>0</v>
      </c>
      <c r="W1704" s="196" t="e">
        <f t="shared" si="217"/>
        <v>#DIV/0!</v>
      </c>
      <c r="X1704" s="197" t="e">
        <f t="shared" si="218"/>
        <v>#DIV/0!</v>
      </c>
    </row>
    <row r="1705" ht="11.4" hidden="1" customHeight="1" spans="1:24">
      <c r="A1705" s="184" t="s">
        <v>3186</v>
      </c>
      <c r="B1705" s="184" t="s">
        <v>115</v>
      </c>
      <c r="C1705" s="184" t="s">
        <v>1101</v>
      </c>
      <c r="D1705" s="185" t="s">
        <v>704</v>
      </c>
      <c r="E1705" s="186" t="s">
        <v>906</v>
      </c>
      <c r="F1705" s="186" t="s">
        <v>907</v>
      </c>
      <c r="G1705" s="186" t="s">
        <v>1102</v>
      </c>
      <c r="H1705" s="186" t="s">
        <v>1358</v>
      </c>
      <c r="I1705" s="187" t="s">
        <v>1372</v>
      </c>
      <c r="J1705" s="187" t="s">
        <v>1373</v>
      </c>
      <c r="K1705" s="188"/>
      <c r="L1705" s="188"/>
      <c r="M1705" s="189" t="s">
        <v>847</v>
      </c>
      <c r="N1705" s="190">
        <v>508.7</v>
      </c>
      <c r="O1705" s="190">
        <f t="shared" si="211"/>
        <v>554.48</v>
      </c>
      <c r="P1705" s="191">
        <f t="shared" si="212"/>
        <v>0</v>
      </c>
      <c r="Q1705" s="192">
        <f t="shared" si="213"/>
        <v>0</v>
      </c>
      <c r="R1705" s="193"/>
      <c r="S1705" s="194"/>
      <c r="T1705" s="195">
        <f t="shared" si="214"/>
        <v>0</v>
      </c>
      <c r="U1705" s="195">
        <f t="shared" si="215"/>
        <v>0</v>
      </c>
      <c r="V1705" s="195">
        <f t="shared" si="216"/>
        <v>0</v>
      </c>
      <c r="W1705" s="196" t="e">
        <f t="shared" si="217"/>
        <v>#DIV/0!</v>
      </c>
      <c r="X1705" s="197" t="e">
        <f t="shared" si="218"/>
        <v>#DIV/0!</v>
      </c>
    </row>
    <row r="1706" ht="11.4" hidden="1" customHeight="1" spans="1:24">
      <c r="A1706" s="184" t="s">
        <v>3186</v>
      </c>
      <c r="B1706" s="184" t="s">
        <v>115</v>
      </c>
      <c r="C1706" s="184" t="s">
        <v>1101</v>
      </c>
      <c r="D1706" s="185" t="s">
        <v>704</v>
      </c>
      <c r="E1706" s="186" t="s">
        <v>906</v>
      </c>
      <c r="F1706" s="186" t="s">
        <v>907</v>
      </c>
      <c r="G1706" s="186" t="s">
        <v>1102</v>
      </c>
      <c r="H1706" s="186" t="s">
        <v>1358</v>
      </c>
      <c r="I1706" s="187" t="s">
        <v>1374</v>
      </c>
      <c r="J1706" s="187" t="s">
        <v>1375</v>
      </c>
      <c r="K1706" s="188"/>
      <c r="L1706" s="188"/>
      <c r="M1706" s="189" t="s">
        <v>847</v>
      </c>
      <c r="N1706" s="190">
        <v>479.98</v>
      </c>
      <c r="O1706" s="190">
        <f t="shared" si="211"/>
        <v>523.18</v>
      </c>
      <c r="P1706" s="191">
        <f t="shared" si="212"/>
        <v>0</v>
      </c>
      <c r="Q1706" s="192">
        <f t="shared" si="213"/>
        <v>0</v>
      </c>
      <c r="R1706" s="193"/>
      <c r="S1706" s="194"/>
      <c r="T1706" s="195">
        <f t="shared" si="214"/>
        <v>0</v>
      </c>
      <c r="U1706" s="195">
        <f t="shared" si="215"/>
        <v>0</v>
      </c>
      <c r="V1706" s="195">
        <f t="shared" si="216"/>
        <v>0</v>
      </c>
      <c r="W1706" s="196" t="e">
        <f t="shared" si="217"/>
        <v>#DIV/0!</v>
      </c>
      <c r="X1706" s="197" t="e">
        <f t="shared" si="218"/>
        <v>#DIV/0!</v>
      </c>
    </row>
    <row r="1707" ht="11.4" hidden="1" customHeight="1" spans="1:24">
      <c r="A1707" s="184" t="s">
        <v>3186</v>
      </c>
      <c r="B1707" s="184" t="s">
        <v>115</v>
      </c>
      <c r="C1707" s="184" t="s">
        <v>1101</v>
      </c>
      <c r="D1707" s="185" t="s">
        <v>704</v>
      </c>
      <c r="E1707" s="186" t="s">
        <v>906</v>
      </c>
      <c r="F1707" s="186" t="s">
        <v>907</v>
      </c>
      <c r="G1707" s="186" t="s">
        <v>1102</v>
      </c>
      <c r="H1707" s="186" t="s">
        <v>1358</v>
      </c>
      <c r="I1707" s="187" t="s">
        <v>1376</v>
      </c>
      <c r="J1707" s="187" t="s">
        <v>1377</v>
      </c>
      <c r="K1707" s="188"/>
      <c r="L1707" s="188"/>
      <c r="M1707" s="189" t="s">
        <v>847</v>
      </c>
      <c r="N1707" s="190">
        <v>362.28</v>
      </c>
      <c r="O1707" s="190">
        <f t="shared" si="211"/>
        <v>394.89</v>
      </c>
      <c r="P1707" s="191">
        <f t="shared" si="212"/>
        <v>0</v>
      </c>
      <c r="Q1707" s="192">
        <f t="shared" si="213"/>
        <v>0</v>
      </c>
      <c r="R1707" s="193"/>
      <c r="S1707" s="194"/>
      <c r="T1707" s="195">
        <f t="shared" si="214"/>
        <v>0</v>
      </c>
      <c r="U1707" s="195">
        <f t="shared" si="215"/>
        <v>0</v>
      </c>
      <c r="V1707" s="195">
        <f t="shared" si="216"/>
        <v>0</v>
      </c>
      <c r="W1707" s="196" t="e">
        <f t="shared" si="217"/>
        <v>#DIV/0!</v>
      </c>
      <c r="X1707" s="197" t="e">
        <f t="shared" si="218"/>
        <v>#DIV/0!</v>
      </c>
    </row>
    <row r="1708" ht="11.4" hidden="1" customHeight="1" spans="1:24">
      <c r="A1708" s="184" t="s">
        <v>3186</v>
      </c>
      <c r="B1708" s="184" t="s">
        <v>115</v>
      </c>
      <c r="C1708" s="184" t="s">
        <v>1101</v>
      </c>
      <c r="D1708" s="185" t="s">
        <v>704</v>
      </c>
      <c r="E1708" s="186" t="s">
        <v>906</v>
      </c>
      <c r="F1708" s="186" t="s">
        <v>907</v>
      </c>
      <c r="G1708" s="186" t="s">
        <v>1102</v>
      </c>
      <c r="H1708" s="186" t="s">
        <v>1358</v>
      </c>
      <c r="I1708" s="187" t="s">
        <v>1379</v>
      </c>
      <c r="J1708" s="187" t="s">
        <v>1380</v>
      </c>
      <c r="K1708" s="188"/>
      <c r="L1708" s="188"/>
      <c r="M1708" s="189" t="s">
        <v>847</v>
      </c>
      <c r="N1708" s="190">
        <v>1804.45</v>
      </c>
      <c r="O1708" s="190">
        <f t="shared" si="211"/>
        <v>1966.85</v>
      </c>
      <c r="P1708" s="191">
        <f t="shared" si="212"/>
        <v>0</v>
      </c>
      <c r="Q1708" s="192">
        <f t="shared" si="213"/>
        <v>0</v>
      </c>
      <c r="R1708" s="193"/>
      <c r="S1708" s="194"/>
      <c r="T1708" s="195">
        <f t="shared" si="214"/>
        <v>0</v>
      </c>
      <c r="U1708" s="195">
        <f t="shared" si="215"/>
        <v>0</v>
      </c>
      <c r="V1708" s="195">
        <f t="shared" si="216"/>
        <v>0</v>
      </c>
      <c r="W1708" s="196" t="e">
        <f t="shared" si="217"/>
        <v>#DIV/0!</v>
      </c>
      <c r="X1708" s="197" t="e">
        <f t="shared" si="218"/>
        <v>#DIV/0!</v>
      </c>
    </row>
    <row r="1709" ht="11.4" hidden="1" customHeight="1" spans="1:24">
      <c r="A1709" s="184" t="s">
        <v>3186</v>
      </c>
      <c r="B1709" s="184" t="s">
        <v>115</v>
      </c>
      <c r="C1709" s="184" t="s">
        <v>1101</v>
      </c>
      <c r="D1709" s="185" t="s">
        <v>704</v>
      </c>
      <c r="E1709" s="186" t="s">
        <v>906</v>
      </c>
      <c r="F1709" s="186" t="s">
        <v>907</v>
      </c>
      <c r="G1709" s="186" t="s">
        <v>1102</v>
      </c>
      <c r="H1709" s="186" t="s">
        <v>1358</v>
      </c>
      <c r="I1709" s="187" t="s">
        <v>1381</v>
      </c>
      <c r="J1709" s="187" t="s">
        <v>1382</v>
      </c>
      <c r="K1709" s="188"/>
      <c r="L1709" s="188"/>
      <c r="M1709" s="189" t="s">
        <v>847</v>
      </c>
      <c r="N1709" s="190">
        <v>250.08</v>
      </c>
      <c r="O1709" s="190">
        <f t="shared" si="211"/>
        <v>272.59</v>
      </c>
      <c r="P1709" s="191">
        <f t="shared" si="212"/>
        <v>0</v>
      </c>
      <c r="Q1709" s="192">
        <f t="shared" si="213"/>
        <v>0</v>
      </c>
      <c r="R1709" s="193"/>
      <c r="S1709" s="194"/>
      <c r="T1709" s="195">
        <f t="shared" si="214"/>
        <v>0</v>
      </c>
      <c r="U1709" s="195">
        <f t="shared" si="215"/>
        <v>0</v>
      </c>
      <c r="V1709" s="195">
        <f t="shared" si="216"/>
        <v>0</v>
      </c>
      <c r="W1709" s="196" t="e">
        <f t="shared" si="217"/>
        <v>#DIV/0!</v>
      </c>
      <c r="X1709" s="197" t="e">
        <f t="shared" si="218"/>
        <v>#DIV/0!</v>
      </c>
    </row>
    <row r="1710" ht="11.4" hidden="1" customHeight="1" spans="1:24">
      <c r="A1710" s="184" t="s">
        <v>3186</v>
      </c>
      <c r="B1710" s="184" t="s">
        <v>115</v>
      </c>
      <c r="C1710" s="184" t="s">
        <v>1101</v>
      </c>
      <c r="D1710" s="185" t="s">
        <v>704</v>
      </c>
      <c r="E1710" s="186" t="s">
        <v>906</v>
      </c>
      <c r="F1710" s="186" t="s">
        <v>907</v>
      </c>
      <c r="G1710" s="186" t="s">
        <v>1102</v>
      </c>
      <c r="H1710" s="186" t="s">
        <v>1358</v>
      </c>
      <c r="I1710" s="187" t="s">
        <v>1384</v>
      </c>
      <c r="J1710" s="187" t="s">
        <v>1385</v>
      </c>
      <c r="K1710" s="188"/>
      <c r="L1710" s="188"/>
      <c r="M1710" s="189" t="s">
        <v>847</v>
      </c>
      <c r="N1710" s="190">
        <v>139.73</v>
      </c>
      <c r="O1710" s="190">
        <f t="shared" si="211"/>
        <v>152.31</v>
      </c>
      <c r="P1710" s="191">
        <f t="shared" si="212"/>
        <v>0</v>
      </c>
      <c r="Q1710" s="192">
        <f t="shared" si="213"/>
        <v>0</v>
      </c>
      <c r="R1710" s="193"/>
      <c r="S1710" s="194"/>
      <c r="T1710" s="195">
        <f t="shared" si="214"/>
        <v>0</v>
      </c>
      <c r="U1710" s="195">
        <f t="shared" si="215"/>
        <v>0</v>
      </c>
      <c r="V1710" s="195">
        <f t="shared" si="216"/>
        <v>0</v>
      </c>
      <c r="W1710" s="196" t="e">
        <f t="shared" si="217"/>
        <v>#DIV/0!</v>
      </c>
      <c r="X1710" s="197" t="e">
        <f t="shared" si="218"/>
        <v>#DIV/0!</v>
      </c>
    </row>
    <row r="1711" ht="11.4" hidden="1" customHeight="1" spans="1:24">
      <c r="A1711" s="184" t="s">
        <v>3186</v>
      </c>
      <c r="B1711" s="184" t="s">
        <v>115</v>
      </c>
      <c r="C1711" s="184" t="s">
        <v>1101</v>
      </c>
      <c r="D1711" s="185" t="s">
        <v>704</v>
      </c>
      <c r="E1711" s="186" t="s">
        <v>906</v>
      </c>
      <c r="F1711" s="186" t="s">
        <v>907</v>
      </c>
      <c r="G1711" s="186" t="s">
        <v>1102</v>
      </c>
      <c r="H1711" s="186" t="s">
        <v>1358</v>
      </c>
      <c r="I1711" s="187" t="s">
        <v>1387</v>
      </c>
      <c r="J1711" s="187" t="s">
        <v>1388</v>
      </c>
      <c r="K1711" s="188"/>
      <c r="L1711" s="188"/>
      <c r="M1711" s="189" t="s">
        <v>847</v>
      </c>
      <c r="N1711" s="190">
        <v>480.14</v>
      </c>
      <c r="O1711" s="190">
        <f t="shared" si="211"/>
        <v>523.35</v>
      </c>
      <c r="P1711" s="191">
        <f t="shared" si="212"/>
        <v>0</v>
      </c>
      <c r="Q1711" s="192">
        <f t="shared" si="213"/>
        <v>0</v>
      </c>
      <c r="R1711" s="193"/>
      <c r="S1711" s="194"/>
      <c r="T1711" s="195">
        <f t="shared" si="214"/>
        <v>0</v>
      </c>
      <c r="U1711" s="195">
        <f t="shared" si="215"/>
        <v>0</v>
      </c>
      <c r="V1711" s="195">
        <f t="shared" si="216"/>
        <v>0</v>
      </c>
      <c r="W1711" s="196" t="e">
        <f t="shared" si="217"/>
        <v>#DIV/0!</v>
      </c>
      <c r="X1711" s="197" t="e">
        <f t="shared" si="218"/>
        <v>#DIV/0!</v>
      </c>
    </row>
    <row r="1712" ht="11.4" hidden="1" customHeight="1" spans="1:24">
      <c r="A1712" s="184" t="s">
        <v>3186</v>
      </c>
      <c r="B1712" s="184" t="s">
        <v>115</v>
      </c>
      <c r="C1712" s="184" t="s">
        <v>1101</v>
      </c>
      <c r="D1712" s="185" t="s">
        <v>704</v>
      </c>
      <c r="E1712" s="186" t="s">
        <v>906</v>
      </c>
      <c r="F1712" s="186" t="s">
        <v>907</v>
      </c>
      <c r="G1712" s="186" t="s">
        <v>1102</v>
      </c>
      <c r="H1712" s="186" t="s">
        <v>1358</v>
      </c>
      <c r="I1712" s="187" t="s">
        <v>1336</v>
      </c>
      <c r="J1712" s="187" t="s">
        <v>1337</v>
      </c>
      <c r="K1712" s="188"/>
      <c r="L1712" s="188"/>
      <c r="M1712" s="189" t="s">
        <v>847</v>
      </c>
      <c r="N1712" s="190">
        <v>62.19</v>
      </c>
      <c r="O1712" s="190">
        <f t="shared" si="211"/>
        <v>67.79</v>
      </c>
      <c r="P1712" s="191">
        <f t="shared" si="212"/>
        <v>0</v>
      </c>
      <c r="Q1712" s="192">
        <f t="shared" si="213"/>
        <v>0</v>
      </c>
      <c r="R1712" s="193"/>
      <c r="S1712" s="194"/>
      <c r="T1712" s="195">
        <f t="shared" si="214"/>
        <v>0</v>
      </c>
      <c r="U1712" s="195">
        <f t="shared" si="215"/>
        <v>0</v>
      </c>
      <c r="V1712" s="195">
        <f t="shared" si="216"/>
        <v>0</v>
      </c>
      <c r="W1712" s="196" t="e">
        <f t="shared" si="217"/>
        <v>#DIV/0!</v>
      </c>
      <c r="X1712" s="197" t="e">
        <f t="shared" si="218"/>
        <v>#DIV/0!</v>
      </c>
    </row>
    <row r="1713" ht="11.4" hidden="1" customHeight="1" spans="1:24">
      <c r="A1713" s="184" t="s">
        <v>3186</v>
      </c>
      <c r="B1713" s="184" t="s">
        <v>115</v>
      </c>
      <c r="C1713" s="184" t="s">
        <v>1101</v>
      </c>
      <c r="D1713" s="185" t="s">
        <v>704</v>
      </c>
      <c r="E1713" s="186" t="s">
        <v>906</v>
      </c>
      <c r="F1713" s="186" t="s">
        <v>907</v>
      </c>
      <c r="G1713" s="186" t="s">
        <v>1102</v>
      </c>
      <c r="H1713" s="186" t="s">
        <v>1358</v>
      </c>
      <c r="I1713" s="187" t="s">
        <v>1391</v>
      </c>
      <c r="J1713" s="187" t="s">
        <v>3187</v>
      </c>
      <c r="K1713" s="188"/>
      <c r="L1713" s="188"/>
      <c r="M1713" s="189" t="s">
        <v>847</v>
      </c>
      <c r="N1713" s="190">
        <v>54.37</v>
      </c>
      <c r="O1713" s="190">
        <f t="shared" si="211"/>
        <v>59.26</v>
      </c>
      <c r="P1713" s="191">
        <f t="shared" si="212"/>
        <v>0</v>
      </c>
      <c r="Q1713" s="192">
        <f t="shared" si="213"/>
        <v>0</v>
      </c>
      <c r="R1713" s="193"/>
      <c r="S1713" s="194"/>
      <c r="T1713" s="195">
        <f t="shared" si="214"/>
        <v>0</v>
      </c>
      <c r="U1713" s="195">
        <f t="shared" si="215"/>
        <v>0</v>
      </c>
      <c r="V1713" s="195">
        <f t="shared" si="216"/>
        <v>0</v>
      </c>
      <c r="W1713" s="196" t="e">
        <f t="shared" si="217"/>
        <v>#DIV/0!</v>
      </c>
      <c r="X1713" s="197" t="e">
        <f t="shared" si="218"/>
        <v>#DIV/0!</v>
      </c>
    </row>
    <row r="1714" ht="11.4" hidden="1" customHeight="1" spans="1:24">
      <c r="A1714" s="184" t="s">
        <v>3186</v>
      </c>
      <c r="B1714" s="184" t="s">
        <v>115</v>
      </c>
      <c r="C1714" s="184" t="s">
        <v>1101</v>
      </c>
      <c r="D1714" s="185" t="s">
        <v>704</v>
      </c>
      <c r="E1714" s="186" t="s">
        <v>906</v>
      </c>
      <c r="F1714" s="186" t="s">
        <v>907</v>
      </c>
      <c r="G1714" s="186" t="s">
        <v>1102</v>
      </c>
      <c r="H1714" s="186" t="s">
        <v>1358</v>
      </c>
      <c r="I1714" s="187" t="s">
        <v>1393</v>
      </c>
      <c r="J1714" s="187" t="s">
        <v>1394</v>
      </c>
      <c r="K1714" s="188"/>
      <c r="L1714" s="188"/>
      <c r="M1714" s="189" t="s">
        <v>807</v>
      </c>
      <c r="N1714" s="190">
        <v>146.58</v>
      </c>
      <c r="O1714" s="190">
        <f t="shared" si="211"/>
        <v>159.77</v>
      </c>
      <c r="P1714" s="191">
        <f t="shared" si="212"/>
        <v>0</v>
      </c>
      <c r="Q1714" s="192">
        <f t="shared" si="213"/>
        <v>0</v>
      </c>
      <c r="R1714" s="193"/>
      <c r="S1714" s="194"/>
      <c r="T1714" s="195">
        <f t="shared" si="214"/>
        <v>0</v>
      </c>
      <c r="U1714" s="195">
        <f t="shared" si="215"/>
        <v>0</v>
      </c>
      <c r="V1714" s="195">
        <f t="shared" si="216"/>
        <v>0</v>
      </c>
      <c r="W1714" s="196" t="e">
        <f t="shared" si="217"/>
        <v>#DIV/0!</v>
      </c>
      <c r="X1714" s="197" t="e">
        <f t="shared" si="218"/>
        <v>#DIV/0!</v>
      </c>
    </row>
    <row r="1715" ht="11.4" hidden="1" customHeight="1" spans="1:24">
      <c r="A1715" s="184" t="s">
        <v>3186</v>
      </c>
      <c r="B1715" s="184" t="s">
        <v>115</v>
      </c>
      <c r="C1715" s="184" t="s">
        <v>1101</v>
      </c>
      <c r="D1715" s="185" t="s">
        <v>704</v>
      </c>
      <c r="E1715" s="186" t="s">
        <v>906</v>
      </c>
      <c r="F1715" s="186" t="s">
        <v>907</v>
      </c>
      <c r="G1715" s="186" t="s">
        <v>1102</v>
      </c>
      <c r="H1715" s="186" t="s">
        <v>1358</v>
      </c>
      <c r="I1715" s="187" t="s">
        <v>1396</v>
      </c>
      <c r="J1715" s="187" t="s">
        <v>1397</v>
      </c>
      <c r="K1715" s="188"/>
      <c r="L1715" s="188"/>
      <c r="M1715" s="189" t="s">
        <v>807</v>
      </c>
      <c r="N1715" s="190">
        <v>87.81</v>
      </c>
      <c r="O1715" s="190">
        <f t="shared" si="211"/>
        <v>95.71</v>
      </c>
      <c r="P1715" s="191">
        <f t="shared" si="212"/>
        <v>0</v>
      </c>
      <c r="Q1715" s="192">
        <f t="shared" si="213"/>
        <v>0</v>
      </c>
      <c r="R1715" s="193"/>
      <c r="S1715" s="194"/>
      <c r="T1715" s="195">
        <f t="shared" si="214"/>
        <v>0</v>
      </c>
      <c r="U1715" s="195">
        <f t="shared" si="215"/>
        <v>0</v>
      </c>
      <c r="V1715" s="195">
        <f t="shared" si="216"/>
        <v>0</v>
      </c>
      <c r="W1715" s="196" t="e">
        <f t="shared" si="217"/>
        <v>#DIV/0!</v>
      </c>
      <c r="X1715" s="197" t="e">
        <f t="shared" si="218"/>
        <v>#DIV/0!</v>
      </c>
    </row>
    <row r="1716" ht="11.4" hidden="1" customHeight="1" spans="1:24">
      <c r="A1716" s="184" t="s">
        <v>3188</v>
      </c>
      <c r="B1716" s="184" t="s">
        <v>117</v>
      </c>
      <c r="C1716" s="184" t="s">
        <v>1101</v>
      </c>
      <c r="D1716" s="185" t="s">
        <v>704</v>
      </c>
      <c r="E1716" s="186" t="s">
        <v>789</v>
      </c>
      <c r="F1716" s="186" t="s">
        <v>790</v>
      </c>
      <c r="G1716" s="186" t="s">
        <v>1400</v>
      </c>
      <c r="H1716" s="186" t="s">
        <v>1400</v>
      </c>
      <c r="I1716" s="187" t="s">
        <v>1401</v>
      </c>
      <c r="J1716" s="187" t="s">
        <v>1402</v>
      </c>
      <c r="K1716" s="188"/>
      <c r="L1716" s="188"/>
      <c r="M1716" s="189" t="s">
        <v>847</v>
      </c>
      <c r="N1716" s="190">
        <v>170.01</v>
      </c>
      <c r="O1716" s="190">
        <f t="shared" si="211"/>
        <v>185.31</v>
      </c>
      <c r="P1716" s="191">
        <f t="shared" si="212"/>
        <v>0</v>
      </c>
      <c r="Q1716" s="192">
        <f t="shared" si="213"/>
        <v>0</v>
      </c>
      <c r="R1716" s="193"/>
      <c r="S1716" s="194"/>
      <c r="T1716" s="195">
        <f t="shared" si="214"/>
        <v>0</v>
      </c>
      <c r="U1716" s="195">
        <f t="shared" si="215"/>
        <v>0</v>
      </c>
      <c r="V1716" s="195">
        <f t="shared" si="216"/>
        <v>0</v>
      </c>
      <c r="W1716" s="196" t="e">
        <f t="shared" si="217"/>
        <v>#DIV/0!</v>
      </c>
      <c r="X1716" s="197" t="e">
        <f t="shared" si="218"/>
        <v>#DIV/0!</v>
      </c>
    </row>
    <row r="1717" ht="11.4" hidden="1" customHeight="1" spans="1:24">
      <c r="A1717" s="184" t="s">
        <v>3188</v>
      </c>
      <c r="B1717" s="184" t="s">
        <v>117</v>
      </c>
      <c r="C1717" s="184" t="s">
        <v>1101</v>
      </c>
      <c r="D1717" s="185" t="s">
        <v>704</v>
      </c>
      <c r="E1717" s="186" t="s">
        <v>789</v>
      </c>
      <c r="F1717" s="186" t="s">
        <v>790</v>
      </c>
      <c r="G1717" s="186" t="s">
        <v>1400</v>
      </c>
      <c r="H1717" s="186" t="s">
        <v>1400</v>
      </c>
      <c r="I1717" s="187" t="s">
        <v>1403</v>
      </c>
      <c r="J1717" s="187" t="s">
        <v>1404</v>
      </c>
      <c r="K1717" s="188"/>
      <c r="L1717" s="188"/>
      <c r="M1717" s="189" t="s">
        <v>963</v>
      </c>
      <c r="N1717" s="190">
        <v>3717.71</v>
      </c>
      <c r="O1717" s="190">
        <f t="shared" si="211"/>
        <v>4052.3</v>
      </c>
      <c r="P1717" s="191">
        <f t="shared" si="212"/>
        <v>0</v>
      </c>
      <c r="Q1717" s="192">
        <f t="shared" si="213"/>
        <v>0</v>
      </c>
      <c r="R1717" s="193"/>
      <c r="S1717" s="194"/>
      <c r="T1717" s="195">
        <f t="shared" si="214"/>
        <v>0</v>
      </c>
      <c r="U1717" s="195">
        <f t="shared" si="215"/>
        <v>0</v>
      </c>
      <c r="V1717" s="195">
        <f t="shared" si="216"/>
        <v>0</v>
      </c>
      <c r="W1717" s="196" t="e">
        <f t="shared" si="217"/>
        <v>#DIV/0!</v>
      </c>
      <c r="X1717" s="197" t="e">
        <f t="shared" si="218"/>
        <v>#DIV/0!</v>
      </c>
    </row>
    <row r="1718" ht="11.4" hidden="1" customHeight="1" spans="1:24">
      <c r="A1718" s="184" t="s">
        <v>3188</v>
      </c>
      <c r="B1718" s="184" t="s">
        <v>117</v>
      </c>
      <c r="C1718" s="184" t="s">
        <v>1101</v>
      </c>
      <c r="D1718" s="185" t="s">
        <v>704</v>
      </c>
      <c r="E1718" s="186" t="s">
        <v>789</v>
      </c>
      <c r="F1718" s="186" t="s">
        <v>790</v>
      </c>
      <c r="G1718" s="186" t="s">
        <v>1400</v>
      </c>
      <c r="H1718" s="186" t="s">
        <v>1400</v>
      </c>
      <c r="I1718" s="187" t="s">
        <v>1405</v>
      </c>
      <c r="J1718" s="187" t="s">
        <v>1406</v>
      </c>
      <c r="K1718" s="188"/>
      <c r="L1718" s="188"/>
      <c r="M1718" s="189" t="s">
        <v>963</v>
      </c>
      <c r="N1718" s="190">
        <v>3717.71</v>
      </c>
      <c r="O1718" s="190">
        <f t="shared" si="211"/>
        <v>4052.3</v>
      </c>
      <c r="P1718" s="191">
        <f t="shared" si="212"/>
        <v>0</v>
      </c>
      <c r="Q1718" s="192">
        <f t="shared" si="213"/>
        <v>0</v>
      </c>
      <c r="R1718" s="193"/>
      <c r="S1718" s="194"/>
      <c r="T1718" s="195">
        <f t="shared" si="214"/>
        <v>0</v>
      </c>
      <c r="U1718" s="195">
        <f t="shared" si="215"/>
        <v>0</v>
      </c>
      <c r="V1718" s="195">
        <f t="shared" si="216"/>
        <v>0</v>
      </c>
      <c r="W1718" s="196" t="e">
        <f t="shared" si="217"/>
        <v>#DIV/0!</v>
      </c>
      <c r="X1718" s="197" t="e">
        <f t="shared" si="218"/>
        <v>#DIV/0!</v>
      </c>
    </row>
    <row r="1719" ht="11.4" hidden="1" customHeight="1" spans="1:24">
      <c r="A1719" s="184" t="s">
        <v>3188</v>
      </c>
      <c r="B1719" s="184" t="s">
        <v>117</v>
      </c>
      <c r="C1719" s="184" t="s">
        <v>1101</v>
      </c>
      <c r="D1719" s="185" t="s">
        <v>704</v>
      </c>
      <c r="E1719" s="186" t="s">
        <v>789</v>
      </c>
      <c r="F1719" s="186" t="s">
        <v>790</v>
      </c>
      <c r="G1719" s="186" t="s">
        <v>1400</v>
      </c>
      <c r="H1719" s="186" t="s">
        <v>1400</v>
      </c>
      <c r="I1719" s="187" t="s">
        <v>1407</v>
      </c>
      <c r="J1719" s="187" t="s">
        <v>1408</v>
      </c>
      <c r="K1719" s="188"/>
      <c r="L1719" s="188"/>
      <c r="M1719" s="189" t="s">
        <v>963</v>
      </c>
      <c r="N1719" s="190">
        <v>3717.71</v>
      </c>
      <c r="O1719" s="190">
        <f t="shared" si="211"/>
        <v>4052.3</v>
      </c>
      <c r="P1719" s="191">
        <f t="shared" si="212"/>
        <v>0</v>
      </c>
      <c r="Q1719" s="192">
        <f t="shared" si="213"/>
        <v>0</v>
      </c>
      <c r="R1719" s="193"/>
      <c r="S1719" s="194"/>
      <c r="T1719" s="195">
        <f t="shared" si="214"/>
        <v>0</v>
      </c>
      <c r="U1719" s="195">
        <f t="shared" si="215"/>
        <v>0</v>
      </c>
      <c r="V1719" s="195">
        <f t="shared" si="216"/>
        <v>0</v>
      </c>
      <c r="W1719" s="196" t="e">
        <f t="shared" si="217"/>
        <v>#DIV/0!</v>
      </c>
      <c r="X1719" s="197" t="e">
        <f t="shared" si="218"/>
        <v>#DIV/0!</v>
      </c>
    </row>
    <row r="1720" ht="11.4" hidden="1" customHeight="1" spans="1:24">
      <c r="A1720" s="184" t="s">
        <v>3188</v>
      </c>
      <c r="B1720" s="184" t="s">
        <v>117</v>
      </c>
      <c r="C1720" s="184" t="s">
        <v>1101</v>
      </c>
      <c r="D1720" s="185" t="s">
        <v>704</v>
      </c>
      <c r="E1720" s="186" t="s">
        <v>789</v>
      </c>
      <c r="F1720" s="186" t="s">
        <v>790</v>
      </c>
      <c r="G1720" s="186" t="s">
        <v>1400</v>
      </c>
      <c r="H1720" s="186" t="s">
        <v>1400</v>
      </c>
      <c r="I1720" s="187" t="s">
        <v>1409</v>
      </c>
      <c r="J1720" s="187" t="s">
        <v>1410</v>
      </c>
      <c r="K1720" s="188"/>
      <c r="L1720" s="188"/>
      <c r="M1720" s="189" t="s">
        <v>963</v>
      </c>
      <c r="N1720" s="190">
        <v>3717.71</v>
      </c>
      <c r="O1720" s="190">
        <f t="shared" si="211"/>
        <v>4052.3</v>
      </c>
      <c r="P1720" s="191">
        <f t="shared" si="212"/>
        <v>0</v>
      </c>
      <c r="Q1720" s="192">
        <f t="shared" si="213"/>
        <v>0</v>
      </c>
      <c r="R1720" s="193"/>
      <c r="S1720" s="194"/>
      <c r="T1720" s="195">
        <f t="shared" si="214"/>
        <v>0</v>
      </c>
      <c r="U1720" s="195">
        <f t="shared" si="215"/>
        <v>0</v>
      </c>
      <c r="V1720" s="195">
        <f t="shared" si="216"/>
        <v>0</v>
      </c>
      <c r="W1720" s="196" t="e">
        <f t="shared" si="217"/>
        <v>#DIV/0!</v>
      </c>
      <c r="X1720" s="197" t="e">
        <f t="shared" si="218"/>
        <v>#DIV/0!</v>
      </c>
    </row>
    <row r="1721" ht="11.4" hidden="1" customHeight="1" spans="1:24">
      <c r="A1721" s="184" t="s">
        <v>3188</v>
      </c>
      <c r="B1721" s="184" t="s">
        <v>117</v>
      </c>
      <c r="C1721" s="184" t="s">
        <v>1101</v>
      </c>
      <c r="D1721" s="185" t="s">
        <v>704</v>
      </c>
      <c r="E1721" s="186" t="s">
        <v>789</v>
      </c>
      <c r="F1721" s="186" t="s">
        <v>790</v>
      </c>
      <c r="G1721" s="186" t="s">
        <v>1400</v>
      </c>
      <c r="H1721" s="186" t="s">
        <v>1400</v>
      </c>
      <c r="I1721" s="187" t="s">
        <v>1411</v>
      </c>
      <c r="J1721" s="187" t="s">
        <v>1412</v>
      </c>
      <c r="K1721" s="188"/>
      <c r="L1721" s="188"/>
      <c r="M1721" s="189" t="s">
        <v>807</v>
      </c>
      <c r="N1721" s="190">
        <v>241.33</v>
      </c>
      <c r="O1721" s="190">
        <f t="shared" si="211"/>
        <v>263.05</v>
      </c>
      <c r="P1721" s="191">
        <f t="shared" si="212"/>
        <v>0</v>
      </c>
      <c r="Q1721" s="192">
        <f t="shared" si="213"/>
        <v>0</v>
      </c>
      <c r="R1721" s="193"/>
      <c r="S1721" s="194"/>
      <c r="T1721" s="195">
        <f t="shared" si="214"/>
        <v>0</v>
      </c>
      <c r="U1721" s="195">
        <f t="shared" si="215"/>
        <v>0</v>
      </c>
      <c r="V1721" s="195">
        <f t="shared" si="216"/>
        <v>0</v>
      </c>
      <c r="W1721" s="196" t="e">
        <f t="shared" si="217"/>
        <v>#DIV/0!</v>
      </c>
      <c r="X1721" s="197" t="e">
        <f t="shared" si="218"/>
        <v>#DIV/0!</v>
      </c>
    </row>
    <row r="1722" ht="11.4" hidden="1" customHeight="1" spans="1:24">
      <c r="A1722" s="184" t="s">
        <v>3188</v>
      </c>
      <c r="B1722" s="184" t="s">
        <v>117</v>
      </c>
      <c r="C1722" s="184" t="s">
        <v>1101</v>
      </c>
      <c r="D1722" s="185" t="s">
        <v>704</v>
      </c>
      <c r="E1722" s="186" t="s">
        <v>789</v>
      </c>
      <c r="F1722" s="186" t="s">
        <v>790</v>
      </c>
      <c r="G1722" s="186" t="s">
        <v>1400</v>
      </c>
      <c r="H1722" s="186" t="s">
        <v>1400</v>
      </c>
      <c r="I1722" s="187" t="s">
        <v>1414</v>
      </c>
      <c r="J1722" s="187" t="s">
        <v>1415</v>
      </c>
      <c r="K1722" s="188"/>
      <c r="L1722" s="188"/>
      <c r="M1722" s="189" t="s">
        <v>793</v>
      </c>
      <c r="N1722" s="190">
        <v>4598.62</v>
      </c>
      <c r="O1722" s="190">
        <f t="shared" si="211"/>
        <v>5012.5</v>
      </c>
      <c r="P1722" s="191">
        <f t="shared" si="212"/>
        <v>0</v>
      </c>
      <c r="Q1722" s="192">
        <f t="shared" si="213"/>
        <v>0</v>
      </c>
      <c r="R1722" s="193"/>
      <c r="S1722" s="194"/>
      <c r="T1722" s="195">
        <f t="shared" si="214"/>
        <v>0</v>
      </c>
      <c r="U1722" s="195">
        <f t="shared" si="215"/>
        <v>0</v>
      </c>
      <c r="V1722" s="195">
        <f t="shared" si="216"/>
        <v>0</v>
      </c>
      <c r="W1722" s="196" t="e">
        <f t="shared" si="217"/>
        <v>#DIV/0!</v>
      </c>
      <c r="X1722" s="197" t="e">
        <f t="shared" si="218"/>
        <v>#DIV/0!</v>
      </c>
    </row>
    <row r="1723" ht="11.4" hidden="1" customHeight="1" spans="1:24">
      <c r="A1723" s="184" t="s">
        <v>3188</v>
      </c>
      <c r="B1723" s="184" t="s">
        <v>117</v>
      </c>
      <c r="C1723" s="184" t="s">
        <v>1101</v>
      </c>
      <c r="D1723" s="185" t="s">
        <v>704</v>
      </c>
      <c r="E1723" s="186" t="s">
        <v>789</v>
      </c>
      <c r="F1723" s="186" t="s">
        <v>790</v>
      </c>
      <c r="G1723" s="186" t="s">
        <v>1416</v>
      </c>
      <c r="H1723" s="186" t="s">
        <v>1416</v>
      </c>
      <c r="I1723" s="187" t="s">
        <v>1417</v>
      </c>
      <c r="J1723" s="187" t="s">
        <v>3189</v>
      </c>
      <c r="K1723" s="188"/>
      <c r="L1723" s="188"/>
      <c r="M1723" s="189" t="s">
        <v>895</v>
      </c>
      <c r="N1723" s="190">
        <v>9866.1</v>
      </c>
      <c r="O1723" s="190">
        <f t="shared" si="211"/>
        <v>10754.05</v>
      </c>
      <c r="P1723" s="191">
        <f t="shared" si="212"/>
        <v>0</v>
      </c>
      <c r="Q1723" s="192">
        <f t="shared" si="213"/>
        <v>0</v>
      </c>
      <c r="R1723" s="193"/>
      <c r="S1723" s="194"/>
      <c r="T1723" s="195">
        <f t="shared" si="214"/>
        <v>0</v>
      </c>
      <c r="U1723" s="195">
        <f t="shared" si="215"/>
        <v>0</v>
      </c>
      <c r="V1723" s="195">
        <f t="shared" si="216"/>
        <v>0</v>
      </c>
      <c r="W1723" s="196" t="e">
        <f t="shared" si="217"/>
        <v>#DIV/0!</v>
      </c>
      <c r="X1723" s="197" t="e">
        <f t="shared" si="218"/>
        <v>#DIV/0!</v>
      </c>
    </row>
    <row r="1724" ht="11.4" hidden="1" customHeight="1" spans="1:24">
      <c r="A1724" s="184" t="s">
        <v>3188</v>
      </c>
      <c r="B1724" s="184" t="s">
        <v>117</v>
      </c>
      <c r="C1724" s="184" t="s">
        <v>1101</v>
      </c>
      <c r="D1724" s="185" t="s">
        <v>704</v>
      </c>
      <c r="E1724" s="186" t="s">
        <v>789</v>
      </c>
      <c r="F1724" s="186" t="s">
        <v>790</v>
      </c>
      <c r="G1724" s="186" t="s">
        <v>1416</v>
      </c>
      <c r="H1724" s="186" t="s">
        <v>1416</v>
      </c>
      <c r="I1724" s="187" t="s">
        <v>1419</v>
      </c>
      <c r="J1724" s="187" t="s">
        <v>1420</v>
      </c>
      <c r="K1724" s="188"/>
      <c r="L1724" s="188"/>
      <c r="M1724" s="189" t="s">
        <v>807</v>
      </c>
      <c r="N1724" s="190">
        <v>2570.99</v>
      </c>
      <c r="O1724" s="190">
        <f t="shared" si="211"/>
        <v>2802.38</v>
      </c>
      <c r="P1724" s="191">
        <f t="shared" si="212"/>
        <v>0</v>
      </c>
      <c r="Q1724" s="192">
        <f t="shared" si="213"/>
        <v>0</v>
      </c>
      <c r="R1724" s="193"/>
      <c r="S1724" s="194"/>
      <c r="T1724" s="195">
        <f t="shared" si="214"/>
        <v>0</v>
      </c>
      <c r="U1724" s="195">
        <f t="shared" si="215"/>
        <v>0</v>
      </c>
      <c r="V1724" s="195">
        <f t="shared" si="216"/>
        <v>0</v>
      </c>
      <c r="W1724" s="196" t="e">
        <f t="shared" si="217"/>
        <v>#DIV/0!</v>
      </c>
      <c r="X1724" s="197" t="e">
        <f t="shared" si="218"/>
        <v>#DIV/0!</v>
      </c>
    </row>
    <row r="1725" ht="11.4" hidden="1" customHeight="1" spans="1:24">
      <c r="A1725" s="184" t="s">
        <v>3188</v>
      </c>
      <c r="B1725" s="184" t="s">
        <v>117</v>
      </c>
      <c r="C1725" s="184" t="s">
        <v>1101</v>
      </c>
      <c r="D1725" s="185" t="s">
        <v>704</v>
      </c>
      <c r="E1725" s="186" t="s">
        <v>789</v>
      </c>
      <c r="F1725" s="186" t="s">
        <v>790</v>
      </c>
      <c r="G1725" s="186" t="s">
        <v>1416</v>
      </c>
      <c r="H1725" s="186" t="s">
        <v>1416</v>
      </c>
      <c r="I1725" s="187" t="s">
        <v>1421</v>
      </c>
      <c r="J1725" s="187" t="s">
        <v>1422</v>
      </c>
      <c r="K1725" s="188"/>
      <c r="L1725" s="188"/>
      <c r="M1725" s="189" t="s">
        <v>847</v>
      </c>
      <c r="N1725" s="190">
        <v>465.14</v>
      </c>
      <c r="O1725" s="190">
        <f t="shared" si="211"/>
        <v>507</v>
      </c>
      <c r="P1725" s="191">
        <f t="shared" si="212"/>
        <v>0</v>
      </c>
      <c r="Q1725" s="192">
        <f t="shared" si="213"/>
        <v>0</v>
      </c>
      <c r="R1725" s="193"/>
      <c r="S1725" s="194"/>
      <c r="T1725" s="195">
        <f t="shared" si="214"/>
        <v>0</v>
      </c>
      <c r="U1725" s="195">
        <f t="shared" si="215"/>
        <v>0</v>
      </c>
      <c r="V1725" s="195">
        <f t="shared" si="216"/>
        <v>0</v>
      </c>
      <c r="W1725" s="196" t="e">
        <f t="shared" si="217"/>
        <v>#DIV/0!</v>
      </c>
      <c r="X1725" s="197" t="e">
        <f t="shared" si="218"/>
        <v>#DIV/0!</v>
      </c>
    </row>
    <row r="1726" ht="11.4" hidden="1" customHeight="1" spans="1:24">
      <c r="A1726" s="184" t="s">
        <v>3188</v>
      </c>
      <c r="B1726" s="184" t="s">
        <v>117</v>
      </c>
      <c r="C1726" s="184" t="s">
        <v>1101</v>
      </c>
      <c r="D1726" s="185" t="s">
        <v>704</v>
      </c>
      <c r="E1726" s="186" t="s">
        <v>789</v>
      </c>
      <c r="F1726" s="186" t="s">
        <v>790</v>
      </c>
      <c r="G1726" s="186" t="s">
        <v>1416</v>
      </c>
      <c r="H1726" s="186" t="s">
        <v>1416</v>
      </c>
      <c r="I1726" s="187" t="s">
        <v>1423</v>
      </c>
      <c r="J1726" s="187" t="s">
        <v>1424</v>
      </c>
      <c r="K1726" s="188"/>
      <c r="L1726" s="188"/>
      <c r="M1726" s="189" t="s">
        <v>847</v>
      </c>
      <c r="N1726" s="190">
        <v>979.44</v>
      </c>
      <c r="O1726" s="190">
        <f t="shared" si="211"/>
        <v>1067.59</v>
      </c>
      <c r="P1726" s="191">
        <f t="shared" si="212"/>
        <v>0</v>
      </c>
      <c r="Q1726" s="192">
        <f t="shared" si="213"/>
        <v>0</v>
      </c>
      <c r="R1726" s="193"/>
      <c r="S1726" s="194"/>
      <c r="T1726" s="195">
        <f t="shared" si="214"/>
        <v>0</v>
      </c>
      <c r="U1726" s="195">
        <f t="shared" si="215"/>
        <v>0</v>
      </c>
      <c r="V1726" s="195">
        <f t="shared" si="216"/>
        <v>0</v>
      </c>
      <c r="W1726" s="196" t="e">
        <f t="shared" si="217"/>
        <v>#DIV/0!</v>
      </c>
      <c r="X1726" s="197" t="e">
        <f t="shared" si="218"/>
        <v>#DIV/0!</v>
      </c>
    </row>
    <row r="1727" ht="11.4" hidden="1" customHeight="1" spans="1:24">
      <c r="A1727" s="184" t="s">
        <v>3188</v>
      </c>
      <c r="B1727" s="184" t="s">
        <v>117</v>
      </c>
      <c r="C1727" s="184" t="s">
        <v>1101</v>
      </c>
      <c r="D1727" s="185" t="s">
        <v>704</v>
      </c>
      <c r="E1727" s="186" t="s">
        <v>906</v>
      </c>
      <c r="F1727" s="186" t="s">
        <v>907</v>
      </c>
      <c r="G1727" s="186" t="s">
        <v>1102</v>
      </c>
      <c r="H1727" s="186" t="s">
        <v>1425</v>
      </c>
      <c r="I1727" s="187" t="s">
        <v>1426</v>
      </c>
      <c r="J1727" s="187" t="s">
        <v>1427</v>
      </c>
      <c r="K1727" s="188"/>
      <c r="L1727" s="188"/>
      <c r="M1727" s="189" t="s">
        <v>847</v>
      </c>
      <c r="N1727" s="190">
        <v>465.88</v>
      </c>
      <c r="O1727" s="190">
        <f t="shared" si="211"/>
        <v>507.81</v>
      </c>
      <c r="P1727" s="191">
        <f t="shared" si="212"/>
        <v>0</v>
      </c>
      <c r="Q1727" s="192">
        <f t="shared" si="213"/>
        <v>0</v>
      </c>
      <c r="R1727" s="193"/>
      <c r="S1727" s="194"/>
      <c r="T1727" s="195">
        <f t="shared" si="214"/>
        <v>0</v>
      </c>
      <c r="U1727" s="195">
        <f t="shared" si="215"/>
        <v>0</v>
      </c>
      <c r="V1727" s="195">
        <f t="shared" si="216"/>
        <v>0</v>
      </c>
      <c r="W1727" s="196" t="e">
        <f t="shared" si="217"/>
        <v>#DIV/0!</v>
      </c>
      <c r="X1727" s="197" t="e">
        <f t="shared" si="218"/>
        <v>#DIV/0!</v>
      </c>
    </row>
    <row r="1728" ht="11.4" hidden="1" customHeight="1" spans="1:24">
      <c r="A1728" s="184" t="s">
        <v>3188</v>
      </c>
      <c r="B1728" s="184" t="s">
        <v>117</v>
      </c>
      <c r="C1728" s="184" t="s">
        <v>1101</v>
      </c>
      <c r="D1728" s="185" t="s">
        <v>704</v>
      </c>
      <c r="E1728" s="186" t="s">
        <v>906</v>
      </c>
      <c r="F1728" s="186" t="s">
        <v>907</v>
      </c>
      <c r="G1728" s="186" t="s">
        <v>1102</v>
      </c>
      <c r="H1728" s="186" t="s">
        <v>1425</v>
      </c>
      <c r="I1728" s="187" t="s">
        <v>1429</v>
      </c>
      <c r="J1728" s="187" t="s">
        <v>1430</v>
      </c>
      <c r="K1728" s="188"/>
      <c r="L1728" s="188"/>
      <c r="M1728" s="189" t="s">
        <v>847</v>
      </c>
      <c r="N1728" s="190">
        <v>674.21</v>
      </c>
      <c r="O1728" s="190">
        <f t="shared" si="211"/>
        <v>734.89</v>
      </c>
      <c r="P1728" s="191">
        <f t="shared" si="212"/>
        <v>0</v>
      </c>
      <c r="Q1728" s="192">
        <f t="shared" si="213"/>
        <v>0</v>
      </c>
      <c r="R1728" s="193"/>
      <c r="S1728" s="194"/>
      <c r="T1728" s="195">
        <f t="shared" si="214"/>
        <v>0</v>
      </c>
      <c r="U1728" s="195">
        <f t="shared" si="215"/>
        <v>0</v>
      </c>
      <c r="V1728" s="195">
        <f t="shared" si="216"/>
        <v>0</v>
      </c>
      <c r="W1728" s="196" t="e">
        <f t="shared" si="217"/>
        <v>#DIV/0!</v>
      </c>
      <c r="X1728" s="197" t="e">
        <f t="shared" si="218"/>
        <v>#DIV/0!</v>
      </c>
    </row>
    <row r="1729" ht="11.4" hidden="1" customHeight="1" spans="1:24">
      <c r="A1729" s="184" t="s">
        <v>3188</v>
      </c>
      <c r="B1729" s="184" t="s">
        <v>117</v>
      </c>
      <c r="C1729" s="184" t="s">
        <v>1101</v>
      </c>
      <c r="D1729" s="185" t="s">
        <v>704</v>
      </c>
      <c r="E1729" s="186" t="s">
        <v>906</v>
      </c>
      <c r="F1729" s="186" t="s">
        <v>907</v>
      </c>
      <c r="G1729" s="186" t="s">
        <v>1102</v>
      </c>
      <c r="H1729" s="186" t="s">
        <v>1425</v>
      </c>
      <c r="I1729" s="187" t="s">
        <v>1431</v>
      </c>
      <c r="J1729" s="187" t="s">
        <v>1432</v>
      </c>
      <c r="K1729" s="188"/>
      <c r="L1729" s="188"/>
      <c r="M1729" s="189" t="s">
        <v>847</v>
      </c>
      <c r="N1729" s="190">
        <v>592.51</v>
      </c>
      <c r="O1729" s="190">
        <f t="shared" si="211"/>
        <v>645.84</v>
      </c>
      <c r="P1729" s="191">
        <f t="shared" si="212"/>
        <v>0</v>
      </c>
      <c r="Q1729" s="192">
        <f t="shared" si="213"/>
        <v>0</v>
      </c>
      <c r="R1729" s="193"/>
      <c r="S1729" s="194"/>
      <c r="T1729" s="195">
        <f t="shared" si="214"/>
        <v>0</v>
      </c>
      <c r="U1729" s="195">
        <f t="shared" si="215"/>
        <v>0</v>
      </c>
      <c r="V1729" s="195">
        <f t="shared" si="216"/>
        <v>0</v>
      </c>
      <c r="W1729" s="196" t="e">
        <f t="shared" si="217"/>
        <v>#DIV/0!</v>
      </c>
      <c r="X1729" s="197" t="e">
        <f t="shared" si="218"/>
        <v>#DIV/0!</v>
      </c>
    </row>
    <row r="1730" ht="11.4" hidden="1" customHeight="1" spans="1:24">
      <c r="A1730" s="184" t="s">
        <v>3188</v>
      </c>
      <c r="B1730" s="184" t="s">
        <v>117</v>
      </c>
      <c r="C1730" s="184" t="s">
        <v>1101</v>
      </c>
      <c r="D1730" s="185" t="s">
        <v>704</v>
      </c>
      <c r="E1730" s="186" t="s">
        <v>906</v>
      </c>
      <c r="F1730" s="186" t="s">
        <v>907</v>
      </c>
      <c r="G1730" s="186" t="s">
        <v>1102</v>
      </c>
      <c r="H1730" s="186" t="s">
        <v>1425</v>
      </c>
      <c r="I1730" s="187" t="s">
        <v>1433</v>
      </c>
      <c r="J1730" s="187" t="s">
        <v>1434</v>
      </c>
      <c r="K1730" s="188"/>
      <c r="L1730" s="188"/>
      <c r="M1730" s="189" t="s">
        <v>847</v>
      </c>
      <c r="N1730" s="190">
        <v>763.01</v>
      </c>
      <c r="O1730" s="190">
        <f t="shared" si="211"/>
        <v>831.68</v>
      </c>
      <c r="P1730" s="191">
        <f t="shared" si="212"/>
        <v>0</v>
      </c>
      <c r="Q1730" s="192">
        <f t="shared" si="213"/>
        <v>0</v>
      </c>
      <c r="R1730" s="193"/>
      <c r="S1730" s="194"/>
      <c r="T1730" s="195">
        <f t="shared" si="214"/>
        <v>0</v>
      </c>
      <c r="U1730" s="195">
        <f t="shared" si="215"/>
        <v>0</v>
      </c>
      <c r="V1730" s="195">
        <f t="shared" si="216"/>
        <v>0</v>
      </c>
      <c r="W1730" s="196" t="e">
        <f t="shared" si="217"/>
        <v>#DIV/0!</v>
      </c>
      <c r="X1730" s="197" t="e">
        <f t="shared" si="218"/>
        <v>#DIV/0!</v>
      </c>
    </row>
    <row r="1731" ht="11.4" hidden="1" customHeight="1" spans="1:24">
      <c r="A1731" s="184" t="s">
        <v>3188</v>
      </c>
      <c r="B1731" s="184" t="s">
        <v>117</v>
      </c>
      <c r="C1731" s="184" t="s">
        <v>1101</v>
      </c>
      <c r="D1731" s="185" t="s">
        <v>704</v>
      </c>
      <c r="E1731" s="186" t="s">
        <v>906</v>
      </c>
      <c r="F1731" s="186" t="s">
        <v>907</v>
      </c>
      <c r="G1731" s="186" t="s">
        <v>1102</v>
      </c>
      <c r="H1731" s="186" t="s">
        <v>1425</v>
      </c>
      <c r="I1731" s="187" t="s">
        <v>1435</v>
      </c>
      <c r="J1731" s="187" t="s">
        <v>1436</v>
      </c>
      <c r="K1731" s="188"/>
      <c r="L1731" s="188"/>
      <c r="M1731" s="189" t="s">
        <v>847</v>
      </c>
      <c r="N1731" s="190">
        <v>229.85</v>
      </c>
      <c r="O1731" s="190">
        <f t="shared" si="211"/>
        <v>250.54</v>
      </c>
      <c r="P1731" s="191">
        <f t="shared" si="212"/>
        <v>0</v>
      </c>
      <c r="Q1731" s="192">
        <f t="shared" si="213"/>
        <v>0</v>
      </c>
      <c r="R1731" s="193"/>
      <c r="S1731" s="194"/>
      <c r="T1731" s="195">
        <f t="shared" si="214"/>
        <v>0</v>
      </c>
      <c r="U1731" s="195">
        <f t="shared" si="215"/>
        <v>0</v>
      </c>
      <c r="V1731" s="195">
        <f t="shared" si="216"/>
        <v>0</v>
      </c>
      <c r="W1731" s="196" t="e">
        <f t="shared" si="217"/>
        <v>#DIV/0!</v>
      </c>
      <c r="X1731" s="197" t="e">
        <f t="shared" si="218"/>
        <v>#DIV/0!</v>
      </c>
    </row>
    <row r="1732" ht="11.4" hidden="1" customHeight="1" spans="1:24">
      <c r="A1732" s="184" t="s">
        <v>3188</v>
      </c>
      <c r="B1732" s="184" t="s">
        <v>117</v>
      </c>
      <c r="C1732" s="184" t="s">
        <v>1101</v>
      </c>
      <c r="D1732" s="185" t="s">
        <v>704</v>
      </c>
      <c r="E1732" s="186" t="s">
        <v>906</v>
      </c>
      <c r="F1732" s="186" t="s">
        <v>907</v>
      </c>
      <c r="G1732" s="186" t="s">
        <v>1102</v>
      </c>
      <c r="H1732" s="186" t="s">
        <v>1425</v>
      </c>
      <c r="I1732" s="187" t="s">
        <v>1437</v>
      </c>
      <c r="J1732" s="187" t="s">
        <v>1438</v>
      </c>
      <c r="K1732" s="188"/>
      <c r="L1732" s="188"/>
      <c r="M1732" s="189" t="s">
        <v>847</v>
      </c>
      <c r="N1732" s="190">
        <v>36.96</v>
      </c>
      <c r="O1732" s="190">
        <f t="shared" si="211"/>
        <v>40.29</v>
      </c>
      <c r="P1732" s="191">
        <f t="shared" si="212"/>
        <v>0</v>
      </c>
      <c r="Q1732" s="192">
        <f t="shared" si="213"/>
        <v>0</v>
      </c>
      <c r="R1732" s="193"/>
      <c r="S1732" s="194"/>
      <c r="T1732" s="195">
        <f t="shared" si="214"/>
        <v>0</v>
      </c>
      <c r="U1732" s="195">
        <f t="shared" si="215"/>
        <v>0</v>
      </c>
      <c r="V1732" s="195">
        <f t="shared" si="216"/>
        <v>0</v>
      </c>
      <c r="W1732" s="196" t="e">
        <f t="shared" si="217"/>
        <v>#DIV/0!</v>
      </c>
      <c r="X1732" s="197" t="e">
        <f t="shared" si="218"/>
        <v>#DIV/0!</v>
      </c>
    </row>
    <row r="1733" ht="11.4" hidden="1" customHeight="1" spans="1:24">
      <c r="A1733" s="184" t="s">
        <v>3188</v>
      </c>
      <c r="B1733" s="184" t="s">
        <v>117</v>
      </c>
      <c r="C1733" s="184" t="s">
        <v>1101</v>
      </c>
      <c r="D1733" s="185" t="s">
        <v>704</v>
      </c>
      <c r="E1733" s="186" t="s">
        <v>906</v>
      </c>
      <c r="F1733" s="186" t="s">
        <v>907</v>
      </c>
      <c r="G1733" s="186" t="s">
        <v>1102</v>
      </c>
      <c r="H1733" s="186" t="s">
        <v>1425</v>
      </c>
      <c r="I1733" s="187" t="s">
        <v>1439</v>
      </c>
      <c r="J1733" s="187" t="s">
        <v>1440</v>
      </c>
      <c r="K1733" s="188"/>
      <c r="L1733" s="188"/>
      <c r="M1733" s="189" t="s">
        <v>847</v>
      </c>
      <c r="N1733" s="190">
        <v>958.97</v>
      </c>
      <c r="O1733" s="190">
        <f t="shared" si="211"/>
        <v>1045.28</v>
      </c>
      <c r="P1733" s="191">
        <f t="shared" si="212"/>
        <v>0</v>
      </c>
      <c r="Q1733" s="192">
        <f t="shared" si="213"/>
        <v>0</v>
      </c>
      <c r="R1733" s="193"/>
      <c r="S1733" s="194"/>
      <c r="T1733" s="195">
        <f t="shared" si="214"/>
        <v>0</v>
      </c>
      <c r="U1733" s="195">
        <f t="shared" si="215"/>
        <v>0</v>
      </c>
      <c r="V1733" s="195">
        <f t="shared" si="216"/>
        <v>0</v>
      </c>
      <c r="W1733" s="196" t="e">
        <f t="shared" si="217"/>
        <v>#DIV/0!</v>
      </c>
      <c r="X1733" s="197" t="e">
        <f t="shared" si="218"/>
        <v>#DIV/0!</v>
      </c>
    </row>
    <row r="1734" ht="11.4" hidden="1" customHeight="1" spans="1:24">
      <c r="A1734" s="184" t="s">
        <v>3188</v>
      </c>
      <c r="B1734" s="184" t="s">
        <v>117</v>
      </c>
      <c r="C1734" s="184" t="s">
        <v>1101</v>
      </c>
      <c r="D1734" s="185" t="s">
        <v>704</v>
      </c>
      <c r="E1734" s="186" t="s">
        <v>906</v>
      </c>
      <c r="F1734" s="186" t="s">
        <v>907</v>
      </c>
      <c r="G1734" s="186" t="s">
        <v>1102</v>
      </c>
      <c r="H1734" s="186" t="s">
        <v>1425</v>
      </c>
      <c r="I1734" s="187" t="s">
        <v>1442</v>
      </c>
      <c r="J1734" s="187" t="s">
        <v>1443</v>
      </c>
      <c r="K1734" s="188"/>
      <c r="L1734" s="188"/>
      <c r="M1734" s="189" t="s">
        <v>847</v>
      </c>
      <c r="N1734" s="190">
        <v>1134.73</v>
      </c>
      <c r="O1734" s="190">
        <f t="shared" si="211"/>
        <v>1236.86</v>
      </c>
      <c r="P1734" s="191">
        <f t="shared" si="212"/>
        <v>0</v>
      </c>
      <c r="Q1734" s="192">
        <f t="shared" si="213"/>
        <v>0</v>
      </c>
      <c r="R1734" s="193"/>
      <c r="S1734" s="194"/>
      <c r="T1734" s="195">
        <f t="shared" si="214"/>
        <v>0</v>
      </c>
      <c r="U1734" s="195">
        <f t="shared" si="215"/>
        <v>0</v>
      </c>
      <c r="V1734" s="195">
        <f t="shared" si="216"/>
        <v>0</v>
      </c>
      <c r="W1734" s="196" t="e">
        <f t="shared" si="217"/>
        <v>#DIV/0!</v>
      </c>
      <c r="X1734" s="197" t="e">
        <f t="shared" si="218"/>
        <v>#DIV/0!</v>
      </c>
    </row>
    <row r="1735" ht="11.4" hidden="1" customHeight="1" spans="1:24">
      <c r="A1735" s="184" t="s">
        <v>3188</v>
      </c>
      <c r="B1735" s="184" t="s">
        <v>117</v>
      </c>
      <c r="C1735" s="184" t="s">
        <v>1101</v>
      </c>
      <c r="D1735" s="185" t="s">
        <v>704</v>
      </c>
      <c r="E1735" s="186" t="s">
        <v>906</v>
      </c>
      <c r="F1735" s="186" t="s">
        <v>907</v>
      </c>
      <c r="G1735" s="186" t="s">
        <v>1102</v>
      </c>
      <c r="H1735" s="186" t="s">
        <v>1425</v>
      </c>
      <c r="I1735" s="187" t="s">
        <v>1445</v>
      </c>
      <c r="J1735" s="187" t="s">
        <v>1446</v>
      </c>
      <c r="K1735" s="188"/>
      <c r="L1735" s="188"/>
      <c r="M1735" s="189" t="s">
        <v>847</v>
      </c>
      <c r="N1735" s="190">
        <v>464.59</v>
      </c>
      <c r="O1735" s="190">
        <f t="shared" si="211"/>
        <v>506.4</v>
      </c>
      <c r="P1735" s="191">
        <f t="shared" si="212"/>
        <v>0</v>
      </c>
      <c r="Q1735" s="192">
        <f t="shared" si="213"/>
        <v>0</v>
      </c>
      <c r="R1735" s="193"/>
      <c r="S1735" s="194"/>
      <c r="T1735" s="195">
        <f t="shared" si="214"/>
        <v>0</v>
      </c>
      <c r="U1735" s="195">
        <f t="shared" si="215"/>
        <v>0</v>
      </c>
      <c r="V1735" s="195">
        <f t="shared" si="216"/>
        <v>0</v>
      </c>
      <c r="W1735" s="196" t="e">
        <f t="shared" si="217"/>
        <v>#DIV/0!</v>
      </c>
      <c r="X1735" s="197" t="e">
        <f t="shared" si="218"/>
        <v>#DIV/0!</v>
      </c>
    </row>
    <row r="1736" ht="11.4" hidden="1" customHeight="1" spans="1:24">
      <c r="A1736" s="184" t="s">
        <v>3188</v>
      </c>
      <c r="B1736" s="184" t="s">
        <v>117</v>
      </c>
      <c r="C1736" s="184" t="s">
        <v>1101</v>
      </c>
      <c r="D1736" s="185" t="s">
        <v>704</v>
      </c>
      <c r="E1736" s="186" t="s">
        <v>906</v>
      </c>
      <c r="F1736" s="186" t="s">
        <v>907</v>
      </c>
      <c r="G1736" s="186" t="s">
        <v>1102</v>
      </c>
      <c r="H1736" s="186" t="s">
        <v>1425</v>
      </c>
      <c r="I1736" s="187" t="s">
        <v>1448</v>
      </c>
      <c r="J1736" s="187" t="s">
        <v>1449</v>
      </c>
      <c r="K1736" s="188"/>
      <c r="L1736" s="188"/>
      <c r="M1736" s="189" t="s">
        <v>847</v>
      </c>
      <c r="N1736" s="190">
        <v>460.58</v>
      </c>
      <c r="O1736" s="190">
        <f t="shared" si="211"/>
        <v>502.03</v>
      </c>
      <c r="P1736" s="191">
        <f t="shared" si="212"/>
        <v>0</v>
      </c>
      <c r="Q1736" s="192">
        <f t="shared" si="213"/>
        <v>0</v>
      </c>
      <c r="R1736" s="193"/>
      <c r="S1736" s="194"/>
      <c r="T1736" s="195">
        <f t="shared" si="214"/>
        <v>0</v>
      </c>
      <c r="U1736" s="195">
        <f t="shared" si="215"/>
        <v>0</v>
      </c>
      <c r="V1736" s="195">
        <f t="shared" si="216"/>
        <v>0</v>
      </c>
      <c r="W1736" s="196" t="e">
        <f t="shared" si="217"/>
        <v>#DIV/0!</v>
      </c>
      <c r="X1736" s="197" t="e">
        <f t="shared" si="218"/>
        <v>#DIV/0!</v>
      </c>
    </row>
    <row r="1737" ht="11.4" hidden="1" customHeight="1" spans="1:24">
      <c r="A1737" s="184" t="s">
        <v>3188</v>
      </c>
      <c r="B1737" s="184" t="s">
        <v>117</v>
      </c>
      <c r="C1737" s="184" t="s">
        <v>1101</v>
      </c>
      <c r="D1737" s="185" t="s">
        <v>704</v>
      </c>
      <c r="E1737" s="186" t="s">
        <v>906</v>
      </c>
      <c r="F1737" s="186" t="s">
        <v>907</v>
      </c>
      <c r="G1737" s="186" t="s">
        <v>1102</v>
      </c>
      <c r="H1737" s="186" t="s">
        <v>1425</v>
      </c>
      <c r="I1737" s="187" t="s">
        <v>1450</v>
      </c>
      <c r="J1737" s="187" t="s">
        <v>1451</v>
      </c>
      <c r="K1737" s="188"/>
      <c r="L1737" s="188"/>
      <c r="M1737" s="189" t="s">
        <v>847</v>
      </c>
      <c r="N1737" s="190">
        <v>464.64</v>
      </c>
      <c r="O1737" s="190">
        <f t="shared" si="211"/>
        <v>506.46</v>
      </c>
      <c r="P1737" s="191">
        <f t="shared" si="212"/>
        <v>0</v>
      </c>
      <c r="Q1737" s="192">
        <f t="shared" si="213"/>
        <v>0</v>
      </c>
      <c r="R1737" s="193"/>
      <c r="S1737" s="194"/>
      <c r="T1737" s="195">
        <f t="shared" si="214"/>
        <v>0</v>
      </c>
      <c r="U1737" s="195">
        <f t="shared" si="215"/>
        <v>0</v>
      </c>
      <c r="V1737" s="195">
        <f t="shared" si="216"/>
        <v>0</v>
      </c>
      <c r="W1737" s="196" t="e">
        <f t="shared" si="217"/>
        <v>#DIV/0!</v>
      </c>
      <c r="X1737" s="197" t="e">
        <f t="shared" si="218"/>
        <v>#DIV/0!</v>
      </c>
    </row>
    <row r="1738" ht="11.4" hidden="1" customHeight="1" spans="1:24">
      <c r="A1738" s="184" t="s">
        <v>3188</v>
      </c>
      <c r="B1738" s="184" t="s">
        <v>117</v>
      </c>
      <c r="C1738" s="184" t="s">
        <v>1101</v>
      </c>
      <c r="D1738" s="185" t="s">
        <v>704</v>
      </c>
      <c r="E1738" s="186" t="s">
        <v>906</v>
      </c>
      <c r="F1738" s="186" t="s">
        <v>907</v>
      </c>
      <c r="G1738" s="186" t="s">
        <v>1102</v>
      </c>
      <c r="H1738" s="186" t="s">
        <v>1425</v>
      </c>
      <c r="I1738" s="187" t="s">
        <v>1452</v>
      </c>
      <c r="J1738" s="187" t="s">
        <v>1453</v>
      </c>
      <c r="K1738" s="188"/>
      <c r="L1738" s="188"/>
      <c r="M1738" s="189" t="s">
        <v>847</v>
      </c>
      <c r="N1738" s="190">
        <v>887.74</v>
      </c>
      <c r="O1738" s="190">
        <f t="shared" si="211"/>
        <v>967.64</v>
      </c>
      <c r="P1738" s="191">
        <f t="shared" si="212"/>
        <v>0</v>
      </c>
      <c r="Q1738" s="192">
        <f t="shared" si="213"/>
        <v>0</v>
      </c>
      <c r="R1738" s="193"/>
      <c r="S1738" s="194"/>
      <c r="T1738" s="195">
        <f t="shared" si="214"/>
        <v>0</v>
      </c>
      <c r="U1738" s="195">
        <f t="shared" si="215"/>
        <v>0</v>
      </c>
      <c r="V1738" s="195">
        <f t="shared" si="216"/>
        <v>0</v>
      </c>
      <c r="W1738" s="196" t="e">
        <f t="shared" si="217"/>
        <v>#DIV/0!</v>
      </c>
      <c r="X1738" s="197" t="e">
        <f t="shared" si="218"/>
        <v>#DIV/0!</v>
      </c>
    </row>
    <row r="1739" ht="11.4" hidden="1" customHeight="1" spans="1:24">
      <c r="A1739" s="184" t="s">
        <v>3188</v>
      </c>
      <c r="B1739" s="184" t="s">
        <v>117</v>
      </c>
      <c r="C1739" s="184" t="s">
        <v>1101</v>
      </c>
      <c r="D1739" s="185" t="s">
        <v>704</v>
      </c>
      <c r="E1739" s="186" t="s">
        <v>906</v>
      </c>
      <c r="F1739" s="186" t="s">
        <v>907</v>
      </c>
      <c r="G1739" s="186" t="s">
        <v>1102</v>
      </c>
      <c r="H1739" s="186" t="s">
        <v>1425</v>
      </c>
      <c r="I1739" s="187" t="s">
        <v>1454</v>
      </c>
      <c r="J1739" s="187" t="s">
        <v>1455</v>
      </c>
      <c r="K1739" s="188"/>
      <c r="L1739" s="188"/>
      <c r="M1739" s="189" t="s">
        <v>847</v>
      </c>
      <c r="N1739" s="190">
        <v>360.47</v>
      </c>
      <c r="O1739" s="190">
        <f t="shared" si="211"/>
        <v>392.91</v>
      </c>
      <c r="P1739" s="191">
        <f t="shared" si="212"/>
        <v>0</v>
      </c>
      <c r="Q1739" s="192">
        <f t="shared" si="213"/>
        <v>0</v>
      </c>
      <c r="R1739" s="193"/>
      <c r="S1739" s="194"/>
      <c r="T1739" s="195">
        <f t="shared" si="214"/>
        <v>0</v>
      </c>
      <c r="U1739" s="195">
        <f t="shared" si="215"/>
        <v>0</v>
      </c>
      <c r="V1739" s="195">
        <f t="shared" si="216"/>
        <v>0</v>
      </c>
      <c r="W1739" s="196" t="e">
        <f t="shared" si="217"/>
        <v>#DIV/0!</v>
      </c>
      <c r="X1739" s="197" t="e">
        <f t="shared" si="218"/>
        <v>#DIV/0!</v>
      </c>
    </row>
    <row r="1740" ht="11.4" hidden="1" customHeight="1" spans="1:24">
      <c r="A1740" s="184" t="s">
        <v>3188</v>
      </c>
      <c r="B1740" s="184" t="s">
        <v>117</v>
      </c>
      <c r="C1740" s="184" t="s">
        <v>1101</v>
      </c>
      <c r="D1740" s="185" t="s">
        <v>704</v>
      </c>
      <c r="E1740" s="186" t="s">
        <v>906</v>
      </c>
      <c r="F1740" s="186" t="s">
        <v>907</v>
      </c>
      <c r="G1740" s="186" t="s">
        <v>1102</v>
      </c>
      <c r="H1740" s="186" t="s">
        <v>1425</v>
      </c>
      <c r="I1740" s="187" t="s">
        <v>1175</v>
      </c>
      <c r="J1740" s="187" t="s">
        <v>1176</v>
      </c>
      <c r="K1740" s="188"/>
      <c r="L1740" s="188"/>
      <c r="M1740" s="189" t="s">
        <v>847</v>
      </c>
      <c r="N1740" s="190">
        <v>114.06</v>
      </c>
      <c r="O1740" s="190">
        <f t="shared" si="211"/>
        <v>124.33</v>
      </c>
      <c r="P1740" s="191">
        <f t="shared" si="212"/>
        <v>0</v>
      </c>
      <c r="Q1740" s="192">
        <f t="shared" si="213"/>
        <v>0</v>
      </c>
      <c r="R1740" s="193"/>
      <c r="S1740" s="194"/>
      <c r="T1740" s="195">
        <f t="shared" si="214"/>
        <v>0</v>
      </c>
      <c r="U1740" s="195">
        <f t="shared" si="215"/>
        <v>0</v>
      </c>
      <c r="V1740" s="195">
        <f t="shared" si="216"/>
        <v>0</v>
      </c>
      <c r="W1740" s="196" t="e">
        <f t="shared" si="217"/>
        <v>#DIV/0!</v>
      </c>
      <c r="X1740" s="197" t="e">
        <f t="shared" si="218"/>
        <v>#DIV/0!</v>
      </c>
    </row>
    <row r="1741" ht="11.4" hidden="1" customHeight="1" spans="1:24">
      <c r="A1741" s="184" t="s">
        <v>3188</v>
      </c>
      <c r="B1741" s="184" t="s">
        <v>117</v>
      </c>
      <c r="C1741" s="184" t="s">
        <v>1101</v>
      </c>
      <c r="D1741" s="185" t="s">
        <v>704</v>
      </c>
      <c r="E1741" s="186" t="s">
        <v>906</v>
      </c>
      <c r="F1741" s="186" t="s">
        <v>907</v>
      </c>
      <c r="G1741" s="186" t="s">
        <v>1102</v>
      </c>
      <c r="H1741" s="186" t="s">
        <v>1425</v>
      </c>
      <c r="I1741" s="187" t="s">
        <v>1457</v>
      </c>
      <c r="J1741" s="187" t="s">
        <v>1458</v>
      </c>
      <c r="K1741" s="188"/>
      <c r="L1741" s="188"/>
      <c r="M1741" s="189" t="s">
        <v>847</v>
      </c>
      <c r="N1741" s="190">
        <v>392.72</v>
      </c>
      <c r="O1741" s="190">
        <f t="shared" ref="O1741:O1804" si="219">ROUND(N1741*(1+$F$10),2)</f>
        <v>428.06</v>
      </c>
      <c r="P1741" s="191">
        <f t="shared" ref="P1741:P1804" si="220">ROUND(K1741*N1741,2)</f>
        <v>0</v>
      </c>
      <c r="Q1741" s="192">
        <f t="shared" ref="Q1741:Q1804" si="221">ROUND(L1741*N1741,2)</f>
        <v>0</v>
      </c>
      <c r="R1741" s="193"/>
      <c r="S1741" s="194"/>
      <c r="T1741" s="195">
        <f t="shared" ref="T1741:T1804" si="222">K1741-L1741</f>
        <v>0</v>
      </c>
      <c r="U1741" s="195">
        <f t="shared" ref="U1741:U1804" si="223">P1741-Q1741</f>
        <v>0</v>
      </c>
      <c r="V1741" s="195">
        <f t="shared" ref="V1741:V1804" si="224">ABS(U1741)</f>
        <v>0</v>
      </c>
      <c r="W1741" s="196" t="e">
        <f t="shared" ref="W1741:W1804" si="225">T1741/L1741</f>
        <v>#DIV/0!</v>
      </c>
      <c r="X1741" s="197" t="e">
        <f t="shared" ref="X1741:X1804" si="226">ABS(W1741)</f>
        <v>#DIV/0!</v>
      </c>
    </row>
    <row r="1742" ht="11.4" hidden="1" customHeight="1" spans="1:24">
      <c r="A1742" s="184" t="s">
        <v>3188</v>
      </c>
      <c r="B1742" s="184" t="s">
        <v>117</v>
      </c>
      <c r="C1742" s="184" t="s">
        <v>1101</v>
      </c>
      <c r="D1742" s="185" t="s">
        <v>704</v>
      </c>
      <c r="E1742" s="186" t="s">
        <v>906</v>
      </c>
      <c r="F1742" s="186" t="s">
        <v>907</v>
      </c>
      <c r="G1742" s="186" t="s">
        <v>1102</v>
      </c>
      <c r="H1742" s="186" t="s">
        <v>1425</v>
      </c>
      <c r="I1742" s="187" t="s">
        <v>1459</v>
      </c>
      <c r="J1742" s="187" t="s">
        <v>1460</v>
      </c>
      <c r="K1742" s="188"/>
      <c r="L1742" s="188"/>
      <c r="M1742" s="189" t="s">
        <v>847</v>
      </c>
      <c r="N1742" s="190">
        <v>635.04</v>
      </c>
      <c r="O1742" s="190">
        <f t="shared" si="219"/>
        <v>692.19</v>
      </c>
      <c r="P1742" s="191">
        <f t="shared" si="220"/>
        <v>0</v>
      </c>
      <c r="Q1742" s="192">
        <f t="shared" si="221"/>
        <v>0</v>
      </c>
      <c r="R1742" s="193"/>
      <c r="S1742" s="194"/>
      <c r="T1742" s="195">
        <f t="shared" si="222"/>
        <v>0</v>
      </c>
      <c r="U1742" s="195">
        <f t="shared" si="223"/>
        <v>0</v>
      </c>
      <c r="V1742" s="195">
        <f t="shared" si="224"/>
        <v>0</v>
      </c>
      <c r="W1742" s="196" t="e">
        <f t="shared" si="225"/>
        <v>#DIV/0!</v>
      </c>
      <c r="X1742" s="197" t="e">
        <f t="shared" si="226"/>
        <v>#DIV/0!</v>
      </c>
    </row>
    <row r="1743" ht="11.4" hidden="1" customHeight="1" spans="1:24">
      <c r="A1743" s="184" t="s">
        <v>3188</v>
      </c>
      <c r="B1743" s="184" t="s">
        <v>117</v>
      </c>
      <c r="C1743" s="184" t="s">
        <v>1101</v>
      </c>
      <c r="D1743" s="185" t="s">
        <v>704</v>
      </c>
      <c r="E1743" s="186" t="s">
        <v>906</v>
      </c>
      <c r="F1743" s="186" t="s">
        <v>907</v>
      </c>
      <c r="G1743" s="186" t="s">
        <v>1102</v>
      </c>
      <c r="H1743" s="186" t="s">
        <v>1425</v>
      </c>
      <c r="I1743" s="187" t="s">
        <v>1461</v>
      </c>
      <c r="J1743" s="187" t="s">
        <v>1462</v>
      </c>
      <c r="K1743" s="188"/>
      <c r="L1743" s="188"/>
      <c r="M1743" s="189" t="s">
        <v>847</v>
      </c>
      <c r="N1743" s="190">
        <v>608.1</v>
      </c>
      <c r="O1743" s="190">
        <f t="shared" si="219"/>
        <v>662.83</v>
      </c>
      <c r="P1743" s="191">
        <f t="shared" si="220"/>
        <v>0</v>
      </c>
      <c r="Q1743" s="192">
        <f t="shared" si="221"/>
        <v>0</v>
      </c>
      <c r="R1743" s="193"/>
      <c r="S1743" s="194"/>
      <c r="T1743" s="195">
        <f t="shared" si="222"/>
        <v>0</v>
      </c>
      <c r="U1743" s="195">
        <f t="shared" si="223"/>
        <v>0</v>
      </c>
      <c r="V1743" s="195">
        <f t="shared" si="224"/>
        <v>0</v>
      </c>
      <c r="W1743" s="196" t="e">
        <f t="shared" si="225"/>
        <v>#DIV/0!</v>
      </c>
      <c r="X1743" s="197" t="e">
        <f t="shared" si="226"/>
        <v>#DIV/0!</v>
      </c>
    </row>
    <row r="1744" ht="11.4" hidden="1" customHeight="1" spans="1:24">
      <c r="A1744" s="184" t="s">
        <v>3188</v>
      </c>
      <c r="B1744" s="184" t="s">
        <v>117</v>
      </c>
      <c r="C1744" s="184" t="s">
        <v>1101</v>
      </c>
      <c r="D1744" s="185" t="s">
        <v>704</v>
      </c>
      <c r="E1744" s="186" t="s">
        <v>906</v>
      </c>
      <c r="F1744" s="186" t="s">
        <v>907</v>
      </c>
      <c r="G1744" s="186" t="s">
        <v>1102</v>
      </c>
      <c r="H1744" s="186" t="s">
        <v>1425</v>
      </c>
      <c r="I1744" s="187" t="s">
        <v>1463</v>
      </c>
      <c r="J1744" s="187" t="s">
        <v>1464</v>
      </c>
      <c r="K1744" s="188"/>
      <c r="L1744" s="188"/>
      <c r="M1744" s="189" t="s">
        <v>847</v>
      </c>
      <c r="N1744" s="190">
        <v>727.77</v>
      </c>
      <c r="O1744" s="190">
        <f t="shared" si="219"/>
        <v>793.27</v>
      </c>
      <c r="P1744" s="191">
        <f t="shared" si="220"/>
        <v>0</v>
      </c>
      <c r="Q1744" s="192">
        <f t="shared" si="221"/>
        <v>0</v>
      </c>
      <c r="R1744" s="193"/>
      <c r="S1744" s="194"/>
      <c r="T1744" s="195">
        <f t="shared" si="222"/>
        <v>0</v>
      </c>
      <c r="U1744" s="195">
        <f t="shared" si="223"/>
        <v>0</v>
      </c>
      <c r="V1744" s="195">
        <f t="shared" si="224"/>
        <v>0</v>
      </c>
      <c r="W1744" s="196" t="e">
        <f t="shared" si="225"/>
        <v>#DIV/0!</v>
      </c>
      <c r="X1744" s="197" t="e">
        <f t="shared" si="226"/>
        <v>#DIV/0!</v>
      </c>
    </row>
    <row r="1745" ht="11.4" hidden="1" customHeight="1" spans="1:24">
      <c r="A1745" s="184" t="s">
        <v>3188</v>
      </c>
      <c r="B1745" s="184" t="s">
        <v>117</v>
      </c>
      <c r="C1745" s="184" t="s">
        <v>1101</v>
      </c>
      <c r="D1745" s="185" t="s">
        <v>704</v>
      </c>
      <c r="E1745" s="186" t="s">
        <v>906</v>
      </c>
      <c r="F1745" s="186" t="s">
        <v>907</v>
      </c>
      <c r="G1745" s="186" t="s">
        <v>1102</v>
      </c>
      <c r="H1745" s="186" t="s">
        <v>1425</v>
      </c>
      <c r="I1745" s="187" t="s">
        <v>1465</v>
      </c>
      <c r="J1745" s="187" t="s">
        <v>1466</v>
      </c>
      <c r="K1745" s="188"/>
      <c r="L1745" s="188"/>
      <c r="M1745" s="189" t="s">
        <v>847</v>
      </c>
      <c r="N1745" s="190">
        <v>234.97</v>
      </c>
      <c r="O1745" s="190">
        <f t="shared" si="219"/>
        <v>256.12</v>
      </c>
      <c r="P1745" s="191">
        <f t="shared" si="220"/>
        <v>0</v>
      </c>
      <c r="Q1745" s="192">
        <f t="shared" si="221"/>
        <v>0</v>
      </c>
      <c r="R1745" s="193"/>
      <c r="S1745" s="194"/>
      <c r="T1745" s="195">
        <f t="shared" si="222"/>
        <v>0</v>
      </c>
      <c r="U1745" s="195">
        <f t="shared" si="223"/>
        <v>0</v>
      </c>
      <c r="V1745" s="195">
        <f t="shared" si="224"/>
        <v>0</v>
      </c>
      <c r="W1745" s="196" t="e">
        <f t="shared" si="225"/>
        <v>#DIV/0!</v>
      </c>
      <c r="X1745" s="197" t="e">
        <f t="shared" si="226"/>
        <v>#DIV/0!</v>
      </c>
    </row>
    <row r="1746" ht="11.4" hidden="1" customHeight="1" spans="1:24">
      <c r="A1746" s="184" t="s">
        <v>3188</v>
      </c>
      <c r="B1746" s="184" t="s">
        <v>117</v>
      </c>
      <c r="C1746" s="184" t="s">
        <v>1101</v>
      </c>
      <c r="D1746" s="185" t="s">
        <v>704</v>
      </c>
      <c r="E1746" s="186" t="s">
        <v>906</v>
      </c>
      <c r="F1746" s="186" t="s">
        <v>907</v>
      </c>
      <c r="G1746" s="186" t="s">
        <v>1102</v>
      </c>
      <c r="H1746" s="186" t="s">
        <v>1425</v>
      </c>
      <c r="I1746" s="187" t="s">
        <v>1467</v>
      </c>
      <c r="J1746" s="187" t="s">
        <v>1468</v>
      </c>
      <c r="K1746" s="188"/>
      <c r="L1746" s="188"/>
      <c r="M1746" s="189" t="s">
        <v>847</v>
      </c>
      <c r="N1746" s="190">
        <v>60.18</v>
      </c>
      <c r="O1746" s="190">
        <f t="shared" si="219"/>
        <v>65.6</v>
      </c>
      <c r="P1746" s="191">
        <f t="shared" si="220"/>
        <v>0</v>
      </c>
      <c r="Q1746" s="192">
        <f t="shared" si="221"/>
        <v>0</v>
      </c>
      <c r="R1746" s="193"/>
      <c r="S1746" s="194"/>
      <c r="T1746" s="195">
        <f t="shared" si="222"/>
        <v>0</v>
      </c>
      <c r="U1746" s="195">
        <f t="shared" si="223"/>
        <v>0</v>
      </c>
      <c r="V1746" s="195">
        <f t="shared" si="224"/>
        <v>0</v>
      </c>
      <c r="W1746" s="196" t="e">
        <f t="shared" si="225"/>
        <v>#DIV/0!</v>
      </c>
      <c r="X1746" s="197" t="e">
        <f t="shared" si="226"/>
        <v>#DIV/0!</v>
      </c>
    </row>
    <row r="1747" ht="11.4" hidden="1" customHeight="1" spans="1:24">
      <c r="A1747" s="184" t="s">
        <v>3188</v>
      </c>
      <c r="B1747" s="184" t="s">
        <v>117</v>
      </c>
      <c r="C1747" s="184" t="s">
        <v>1101</v>
      </c>
      <c r="D1747" s="185" t="s">
        <v>704</v>
      </c>
      <c r="E1747" s="186" t="s">
        <v>906</v>
      </c>
      <c r="F1747" s="186" t="s">
        <v>907</v>
      </c>
      <c r="G1747" s="186" t="s">
        <v>1102</v>
      </c>
      <c r="H1747" s="186" t="s">
        <v>1425</v>
      </c>
      <c r="I1747" s="187" t="s">
        <v>1469</v>
      </c>
      <c r="J1747" s="187" t="s">
        <v>1470</v>
      </c>
      <c r="K1747" s="188"/>
      <c r="L1747" s="188"/>
      <c r="M1747" s="189" t="s">
        <v>847</v>
      </c>
      <c r="N1747" s="190">
        <v>38</v>
      </c>
      <c r="O1747" s="190">
        <f t="shared" si="219"/>
        <v>41.42</v>
      </c>
      <c r="P1747" s="191">
        <f t="shared" si="220"/>
        <v>0</v>
      </c>
      <c r="Q1747" s="192">
        <f t="shared" si="221"/>
        <v>0</v>
      </c>
      <c r="R1747" s="193"/>
      <c r="S1747" s="194"/>
      <c r="T1747" s="195">
        <f t="shared" si="222"/>
        <v>0</v>
      </c>
      <c r="U1747" s="195">
        <f t="shared" si="223"/>
        <v>0</v>
      </c>
      <c r="V1747" s="195">
        <f t="shared" si="224"/>
        <v>0</v>
      </c>
      <c r="W1747" s="196" t="e">
        <f t="shared" si="225"/>
        <v>#DIV/0!</v>
      </c>
      <c r="X1747" s="197" t="e">
        <f t="shared" si="226"/>
        <v>#DIV/0!</v>
      </c>
    </row>
    <row r="1748" ht="11.4" hidden="1" customHeight="1" spans="1:24">
      <c r="A1748" s="184" t="s">
        <v>3188</v>
      </c>
      <c r="B1748" s="184" t="s">
        <v>117</v>
      </c>
      <c r="C1748" s="184" t="s">
        <v>1101</v>
      </c>
      <c r="D1748" s="185" t="s">
        <v>704</v>
      </c>
      <c r="E1748" s="186" t="s">
        <v>906</v>
      </c>
      <c r="F1748" s="186" t="s">
        <v>907</v>
      </c>
      <c r="G1748" s="186" t="s">
        <v>1102</v>
      </c>
      <c r="H1748" s="186" t="s">
        <v>1425</v>
      </c>
      <c r="I1748" s="187" t="s">
        <v>1471</v>
      </c>
      <c r="J1748" s="187" t="s">
        <v>1472</v>
      </c>
      <c r="K1748" s="188"/>
      <c r="L1748" s="188"/>
      <c r="M1748" s="189" t="s">
        <v>847</v>
      </c>
      <c r="N1748" s="190">
        <v>38</v>
      </c>
      <c r="O1748" s="190">
        <f t="shared" si="219"/>
        <v>41.42</v>
      </c>
      <c r="P1748" s="191">
        <f t="shared" si="220"/>
        <v>0</v>
      </c>
      <c r="Q1748" s="192">
        <f t="shared" si="221"/>
        <v>0</v>
      </c>
      <c r="R1748" s="193"/>
      <c r="S1748" s="194"/>
      <c r="T1748" s="195">
        <f t="shared" si="222"/>
        <v>0</v>
      </c>
      <c r="U1748" s="195">
        <f t="shared" si="223"/>
        <v>0</v>
      </c>
      <c r="V1748" s="195">
        <f t="shared" si="224"/>
        <v>0</v>
      </c>
      <c r="W1748" s="196" t="e">
        <f t="shared" si="225"/>
        <v>#DIV/0!</v>
      </c>
      <c r="X1748" s="197" t="e">
        <f t="shared" si="226"/>
        <v>#DIV/0!</v>
      </c>
    </row>
    <row r="1749" ht="11.4" hidden="1" customHeight="1" spans="1:24">
      <c r="A1749" s="184" t="s">
        <v>3188</v>
      </c>
      <c r="B1749" s="184" t="s">
        <v>117</v>
      </c>
      <c r="C1749" s="184" t="s">
        <v>1101</v>
      </c>
      <c r="D1749" s="185" t="s">
        <v>704</v>
      </c>
      <c r="E1749" s="186" t="s">
        <v>906</v>
      </c>
      <c r="F1749" s="186" t="s">
        <v>907</v>
      </c>
      <c r="G1749" s="186" t="s">
        <v>1102</v>
      </c>
      <c r="H1749" s="186" t="s">
        <v>1425</v>
      </c>
      <c r="I1749" s="187" t="s">
        <v>1473</v>
      </c>
      <c r="J1749" s="187" t="s">
        <v>1474</v>
      </c>
      <c r="K1749" s="188"/>
      <c r="L1749" s="188"/>
      <c r="M1749" s="189" t="s">
        <v>847</v>
      </c>
      <c r="N1749" s="190">
        <v>167.98</v>
      </c>
      <c r="O1749" s="190">
        <f t="shared" si="219"/>
        <v>183.1</v>
      </c>
      <c r="P1749" s="191">
        <f t="shared" si="220"/>
        <v>0</v>
      </c>
      <c r="Q1749" s="192">
        <f t="shared" si="221"/>
        <v>0</v>
      </c>
      <c r="R1749" s="193"/>
      <c r="S1749" s="194"/>
      <c r="T1749" s="195">
        <f t="shared" si="222"/>
        <v>0</v>
      </c>
      <c r="U1749" s="195">
        <f t="shared" si="223"/>
        <v>0</v>
      </c>
      <c r="V1749" s="195">
        <f t="shared" si="224"/>
        <v>0</v>
      </c>
      <c r="W1749" s="196" t="e">
        <f t="shared" si="225"/>
        <v>#DIV/0!</v>
      </c>
      <c r="X1749" s="197" t="e">
        <f t="shared" si="226"/>
        <v>#DIV/0!</v>
      </c>
    </row>
    <row r="1750" ht="11.4" hidden="1" customHeight="1" spans="1:24">
      <c r="A1750" s="184" t="s">
        <v>3188</v>
      </c>
      <c r="B1750" s="184" t="s">
        <v>117</v>
      </c>
      <c r="C1750" s="184" t="s">
        <v>1101</v>
      </c>
      <c r="D1750" s="185" t="s">
        <v>704</v>
      </c>
      <c r="E1750" s="186" t="s">
        <v>906</v>
      </c>
      <c r="F1750" s="186" t="s">
        <v>907</v>
      </c>
      <c r="G1750" s="186" t="s">
        <v>1102</v>
      </c>
      <c r="H1750" s="186" t="s">
        <v>1425</v>
      </c>
      <c r="I1750" s="187" t="s">
        <v>1475</v>
      </c>
      <c r="J1750" s="187" t="s">
        <v>1476</v>
      </c>
      <c r="K1750" s="188"/>
      <c r="L1750" s="188"/>
      <c r="M1750" s="189" t="s">
        <v>847</v>
      </c>
      <c r="N1750" s="190">
        <v>147.41</v>
      </c>
      <c r="O1750" s="190">
        <f t="shared" si="219"/>
        <v>160.68</v>
      </c>
      <c r="P1750" s="191">
        <f t="shared" si="220"/>
        <v>0</v>
      </c>
      <c r="Q1750" s="192">
        <f t="shared" si="221"/>
        <v>0</v>
      </c>
      <c r="R1750" s="193"/>
      <c r="S1750" s="194"/>
      <c r="T1750" s="195">
        <f t="shared" si="222"/>
        <v>0</v>
      </c>
      <c r="U1750" s="195">
        <f t="shared" si="223"/>
        <v>0</v>
      </c>
      <c r="V1750" s="195">
        <f t="shared" si="224"/>
        <v>0</v>
      </c>
      <c r="W1750" s="196" t="e">
        <f t="shared" si="225"/>
        <v>#DIV/0!</v>
      </c>
      <c r="X1750" s="197" t="e">
        <f t="shared" si="226"/>
        <v>#DIV/0!</v>
      </c>
    </row>
    <row r="1751" ht="11.4" hidden="1" customHeight="1" spans="1:24">
      <c r="A1751" s="184" t="s">
        <v>3188</v>
      </c>
      <c r="B1751" s="184" t="s">
        <v>117</v>
      </c>
      <c r="C1751" s="184" t="s">
        <v>1101</v>
      </c>
      <c r="D1751" s="185" t="s">
        <v>704</v>
      </c>
      <c r="E1751" s="186" t="s">
        <v>906</v>
      </c>
      <c r="F1751" s="186" t="s">
        <v>907</v>
      </c>
      <c r="G1751" s="186" t="s">
        <v>1102</v>
      </c>
      <c r="H1751" s="186" t="s">
        <v>1425</v>
      </c>
      <c r="I1751" s="187" t="s">
        <v>1477</v>
      </c>
      <c r="J1751" s="187" t="s">
        <v>1478</v>
      </c>
      <c r="K1751" s="188"/>
      <c r="L1751" s="188"/>
      <c r="M1751" s="189" t="s">
        <v>847</v>
      </c>
      <c r="N1751" s="190">
        <v>169.19</v>
      </c>
      <c r="O1751" s="190">
        <f t="shared" si="219"/>
        <v>184.42</v>
      </c>
      <c r="P1751" s="191">
        <f t="shared" si="220"/>
        <v>0</v>
      </c>
      <c r="Q1751" s="192">
        <f t="shared" si="221"/>
        <v>0</v>
      </c>
      <c r="R1751" s="193"/>
      <c r="S1751" s="194"/>
      <c r="T1751" s="195">
        <f t="shared" si="222"/>
        <v>0</v>
      </c>
      <c r="U1751" s="195">
        <f t="shared" si="223"/>
        <v>0</v>
      </c>
      <c r="V1751" s="195">
        <f t="shared" si="224"/>
        <v>0</v>
      </c>
      <c r="W1751" s="196" t="e">
        <f t="shared" si="225"/>
        <v>#DIV/0!</v>
      </c>
      <c r="X1751" s="197" t="e">
        <f t="shared" si="226"/>
        <v>#DIV/0!</v>
      </c>
    </row>
    <row r="1752" ht="11.4" hidden="1" customHeight="1" spans="1:24">
      <c r="A1752" s="184" t="s">
        <v>3188</v>
      </c>
      <c r="B1752" s="184" t="s">
        <v>117</v>
      </c>
      <c r="C1752" s="184" t="s">
        <v>1101</v>
      </c>
      <c r="D1752" s="185" t="s">
        <v>704</v>
      </c>
      <c r="E1752" s="186" t="s">
        <v>906</v>
      </c>
      <c r="F1752" s="186" t="s">
        <v>907</v>
      </c>
      <c r="G1752" s="186" t="s">
        <v>1102</v>
      </c>
      <c r="H1752" s="186" t="s">
        <v>1425</v>
      </c>
      <c r="I1752" s="187" t="s">
        <v>1326</v>
      </c>
      <c r="J1752" s="187" t="s">
        <v>1327</v>
      </c>
      <c r="K1752" s="188"/>
      <c r="L1752" s="188"/>
      <c r="M1752" s="189" t="s">
        <v>847</v>
      </c>
      <c r="N1752" s="190">
        <v>206.06</v>
      </c>
      <c r="O1752" s="190">
        <f t="shared" si="219"/>
        <v>224.61</v>
      </c>
      <c r="P1752" s="191">
        <f t="shared" si="220"/>
        <v>0</v>
      </c>
      <c r="Q1752" s="192">
        <f t="shared" si="221"/>
        <v>0</v>
      </c>
      <c r="R1752" s="193"/>
      <c r="S1752" s="194"/>
      <c r="T1752" s="195">
        <f t="shared" si="222"/>
        <v>0</v>
      </c>
      <c r="U1752" s="195">
        <f t="shared" si="223"/>
        <v>0</v>
      </c>
      <c r="V1752" s="195">
        <f t="shared" si="224"/>
        <v>0</v>
      </c>
      <c r="W1752" s="196" t="e">
        <f t="shared" si="225"/>
        <v>#DIV/0!</v>
      </c>
      <c r="X1752" s="197" t="e">
        <f t="shared" si="226"/>
        <v>#DIV/0!</v>
      </c>
    </row>
    <row r="1753" ht="11.4" hidden="1" customHeight="1" spans="1:24">
      <c r="A1753" s="184" t="s">
        <v>3188</v>
      </c>
      <c r="B1753" s="184" t="s">
        <v>117</v>
      </c>
      <c r="C1753" s="184" t="s">
        <v>1101</v>
      </c>
      <c r="D1753" s="185" t="s">
        <v>704</v>
      </c>
      <c r="E1753" s="186" t="s">
        <v>906</v>
      </c>
      <c r="F1753" s="186" t="s">
        <v>907</v>
      </c>
      <c r="G1753" s="186" t="s">
        <v>1102</v>
      </c>
      <c r="H1753" s="186" t="s">
        <v>1425</v>
      </c>
      <c r="I1753" s="187" t="s">
        <v>1328</v>
      </c>
      <c r="J1753" s="187" t="s">
        <v>1329</v>
      </c>
      <c r="K1753" s="188"/>
      <c r="L1753" s="188"/>
      <c r="M1753" s="189" t="s">
        <v>847</v>
      </c>
      <c r="N1753" s="190">
        <v>193.96</v>
      </c>
      <c r="O1753" s="190">
        <f t="shared" si="219"/>
        <v>211.42</v>
      </c>
      <c r="P1753" s="191">
        <f t="shared" si="220"/>
        <v>0</v>
      </c>
      <c r="Q1753" s="192">
        <f t="shared" si="221"/>
        <v>0</v>
      </c>
      <c r="R1753" s="193"/>
      <c r="S1753" s="194"/>
      <c r="T1753" s="195">
        <f t="shared" si="222"/>
        <v>0</v>
      </c>
      <c r="U1753" s="195">
        <f t="shared" si="223"/>
        <v>0</v>
      </c>
      <c r="V1753" s="195">
        <f t="shared" si="224"/>
        <v>0</v>
      </c>
      <c r="W1753" s="196" t="e">
        <f t="shared" si="225"/>
        <v>#DIV/0!</v>
      </c>
      <c r="X1753" s="197" t="e">
        <f t="shared" si="226"/>
        <v>#DIV/0!</v>
      </c>
    </row>
    <row r="1754" ht="11.4" hidden="1" customHeight="1" spans="1:24">
      <c r="A1754" s="184" t="s">
        <v>3188</v>
      </c>
      <c r="B1754" s="184" t="s">
        <v>117</v>
      </c>
      <c r="C1754" s="184" t="s">
        <v>1101</v>
      </c>
      <c r="D1754" s="185" t="s">
        <v>704</v>
      </c>
      <c r="E1754" s="186" t="s">
        <v>906</v>
      </c>
      <c r="F1754" s="186" t="s">
        <v>907</v>
      </c>
      <c r="G1754" s="186" t="s">
        <v>1102</v>
      </c>
      <c r="H1754" s="186" t="s">
        <v>1425</v>
      </c>
      <c r="I1754" s="187" t="s">
        <v>1330</v>
      </c>
      <c r="J1754" s="187" t="s">
        <v>1331</v>
      </c>
      <c r="K1754" s="188"/>
      <c r="L1754" s="188"/>
      <c r="M1754" s="189" t="s">
        <v>847</v>
      </c>
      <c r="N1754" s="190">
        <v>215.74</v>
      </c>
      <c r="O1754" s="190">
        <f t="shared" si="219"/>
        <v>235.16</v>
      </c>
      <c r="P1754" s="191">
        <f t="shared" si="220"/>
        <v>0</v>
      </c>
      <c r="Q1754" s="192">
        <f t="shared" si="221"/>
        <v>0</v>
      </c>
      <c r="R1754" s="193"/>
      <c r="S1754" s="194"/>
      <c r="T1754" s="195">
        <f t="shared" si="222"/>
        <v>0</v>
      </c>
      <c r="U1754" s="195">
        <f t="shared" si="223"/>
        <v>0</v>
      </c>
      <c r="V1754" s="195">
        <f t="shared" si="224"/>
        <v>0</v>
      </c>
      <c r="W1754" s="196" t="e">
        <f t="shared" si="225"/>
        <v>#DIV/0!</v>
      </c>
      <c r="X1754" s="197" t="e">
        <f t="shared" si="226"/>
        <v>#DIV/0!</v>
      </c>
    </row>
    <row r="1755" ht="11.4" hidden="1" customHeight="1" spans="1:24">
      <c r="A1755" s="184" t="s">
        <v>3188</v>
      </c>
      <c r="B1755" s="184" t="s">
        <v>117</v>
      </c>
      <c r="C1755" s="184" t="s">
        <v>1101</v>
      </c>
      <c r="D1755" s="185" t="s">
        <v>704</v>
      </c>
      <c r="E1755" s="186" t="s">
        <v>906</v>
      </c>
      <c r="F1755" s="186" t="s">
        <v>907</v>
      </c>
      <c r="G1755" s="186" t="s">
        <v>1102</v>
      </c>
      <c r="H1755" s="186" t="s">
        <v>1479</v>
      </c>
      <c r="I1755" s="187" t="s">
        <v>1480</v>
      </c>
      <c r="J1755" s="187" t="s">
        <v>1481</v>
      </c>
      <c r="K1755" s="188"/>
      <c r="L1755" s="188"/>
      <c r="M1755" s="189" t="s">
        <v>847</v>
      </c>
      <c r="N1755" s="190">
        <v>209.13</v>
      </c>
      <c r="O1755" s="190">
        <f t="shared" si="219"/>
        <v>227.95</v>
      </c>
      <c r="P1755" s="191">
        <f t="shared" si="220"/>
        <v>0</v>
      </c>
      <c r="Q1755" s="192">
        <f t="shared" si="221"/>
        <v>0</v>
      </c>
      <c r="R1755" s="193"/>
      <c r="S1755" s="194"/>
      <c r="T1755" s="195">
        <f t="shared" si="222"/>
        <v>0</v>
      </c>
      <c r="U1755" s="195">
        <f t="shared" si="223"/>
        <v>0</v>
      </c>
      <c r="V1755" s="195">
        <f t="shared" si="224"/>
        <v>0</v>
      </c>
      <c r="W1755" s="196" t="e">
        <f t="shared" si="225"/>
        <v>#DIV/0!</v>
      </c>
      <c r="X1755" s="197" t="e">
        <f t="shared" si="226"/>
        <v>#DIV/0!</v>
      </c>
    </row>
    <row r="1756" ht="11.4" hidden="1" customHeight="1" spans="1:24">
      <c r="A1756" s="184" t="s">
        <v>3188</v>
      </c>
      <c r="B1756" s="184" t="s">
        <v>117</v>
      </c>
      <c r="C1756" s="184" t="s">
        <v>1101</v>
      </c>
      <c r="D1756" s="185" t="s">
        <v>704</v>
      </c>
      <c r="E1756" s="186" t="s">
        <v>906</v>
      </c>
      <c r="F1756" s="186" t="s">
        <v>907</v>
      </c>
      <c r="G1756" s="186" t="s">
        <v>1102</v>
      </c>
      <c r="H1756" s="186" t="s">
        <v>1479</v>
      </c>
      <c r="I1756" s="187" t="s">
        <v>1482</v>
      </c>
      <c r="J1756" s="187" t="s">
        <v>1483</v>
      </c>
      <c r="K1756" s="188"/>
      <c r="L1756" s="188"/>
      <c r="M1756" s="189" t="s">
        <v>847</v>
      </c>
      <c r="N1756" s="190">
        <v>203.08</v>
      </c>
      <c r="O1756" s="190">
        <f t="shared" si="219"/>
        <v>221.36</v>
      </c>
      <c r="P1756" s="191">
        <f t="shared" si="220"/>
        <v>0</v>
      </c>
      <c r="Q1756" s="192">
        <f t="shared" si="221"/>
        <v>0</v>
      </c>
      <c r="R1756" s="193"/>
      <c r="S1756" s="194"/>
      <c r="T1756" s="195">
        <f t="shared" si="222"/>
        <v>0</v>
      </c>
      <c r="U1756" s="195">
        <f t="shared" si="223"/>
        <v>0</v>
      </c>
      <c r="V1756" s="195">
        <f t="shared" si="224"/>
        <v>0</v>
      </c>
      <c r="W1756" s="196" t="e">
        <f t="shared" si="225"/>
        <v>#DIV/0!</v>
      </c>
      <c r="X1756" s="197" t="e">
        <f t="shared" si="226"/>
        <v>#DIV/0!</v>
      </c>
    </row>
    <row r="1757" ht="11.4" hidden="1" customHeight="1" spans="1:24">
      <c r="A1757" s="184" t="s">
        <v>3188</v>
      </c>
      <c r="B1757" s="184" t="s">
        <v>117</v>
      </c>
      <c r="C1757" s="184" t="s">
        <v>1101</v>
      </c>
      <c r="D1757" s="185" t="s">
        <v>704</v>
      </c>
      <c r="E1757" s="186" t="s">
        <v>906</v>
      </c>
      <c r="F1757" s="186" t="s">
        <v>907</v>
      </c>
      <c r="G1757" s="186" t="s">
        <v>1102</v>
      </c>
      <c r="H1757" s="186" t="s">
        <v>1479</v>
      </c>
      <c r="I1757" s="187" t="s">
        <v>1484</v>
      </c>
      <c r="J1757" s="187" t="s">
        <v>1485</v>
      </c>
      <c r="K1757" s="188"/>
      <c r="L1757" s="188"/>
      <c r="M1757" s="189" t="s">
        <v>847</v>
      </c>
      <c r="N1757" s="190">
        <v>209.13</v>
      </c>
      <c r="O1757" s="190">
        <f t="shared" si="219"/>
        <v>227.95</v>
      </c>
      <c r="P1757" s="191">
        <f t="shared" si="220"/>
        <v>0</v>
      </c>
      <c r="Q1757" s="192">
        <f t="shared" si="221"/>
        <v>0</v>
      </c>
      <c r="R1757" s="193"/>
      <c r="S1757" s="194"/>
      <c r="T1757" s="195">
        <f t="shared" si="222"/>
        <v>0</v>
      </c>
      <c r="U1757" s="195">
        <f t="shared" si="223"/>
        <v>0</v>
      </c>
      <c r="V1757" s="195">
        <f t="shared" si="224"/>
        <v>0</v>
      </c>
      <c r="W1757" s="196" t="e">
        <f t="shared" si="225"/>
        <v>#DIV/0!</v>
      </c>
      <c r="X1757" s="197" t="e">
        <f t="shared" si="226"/>
        <v>#DIV/0!</v>
      </c>
    </row>
    <row r="1758" ht="11.4" hidden="1" customHeight="1" spans="1:24">
      <c r="A1758" s="184" t="s">
        <v>3188</v>
      </c>
      <c r="B1758" s="184" t="s">
        <v>117</v>
      </c>
      <c r="C1758" s="184" t="s">
        <v>1101</v>
      </c>
      <c r="D1758" s="185" t="s">
        <v>704</v>
      </c>
      <c r="E1758" s="186" t="s">
        <v>906</v>
      </c>
      <c r="F1758" s="186" t="s">
        <v>907</v>
      </c>
      <c r="G1758" s="186" t="s">
        <v>1102</v>
      </c>
      <c r="H1758" s="186" t="s">
        <v>1425</v>
      </c>
      <c r="I1758" s="187" t="s">
        <v>1486</v>
      </c>
      <c r="J1758" s="187" t="s">
        <v>1487</v>
      </c>
      <c r="K1758" s="188"/>
      <c r="L1758" s="188"/>
      <c r="M1758" s="189" t="s">
        <v>847</v>
      </c>
      <c r="N1758" s="190">
        <v>660.97</v>
      </c>
      <c r="O1758" s="190">
        <f t="shared" si="219"/>
        <v>720.46</v>
      </c>
      <c r="P1758" s="191">
        <f t="shared" si="220"/>
        <v>0</v>
      </c>
      <c r="Q1758" s="192">
        <f t="shared" si="221"/>
        <v>0</v>
      </c>
      <c r="R1758" s="193"/>
      <c r="S1758" s="194"/>
      <c r="T1758" s="195">
        <f t="shared" si="222"/>
        <v>0</v>
      </c>
      <c r="U1758" s="195">
        <f t="shared" si="223"/>
        <v>0</v>
      </c>
      <c r="V1758" s="195">
        <f t="shared" si="224"/>
        <v>0</v>
      </c>
      <c r="W1758" s="196" t="e">
        <f t="shared" si="225"/>
        <v>#DIV/0!</v>
      </c>
      <c r="X1758" s="197" t="e">
        <f t="shared" si="226"/>
        <v>#DIV/0!</v>
      </c>
    </row>
    <row r="1759" ht="11.4" hidden="1" customHeight="1" spans="1:24">
      <c r="A1759" s="184" t="s">
        <v>3188</v>
      </c>
      <c r="B1759" s="184" t="s">
        <v>117</v>
      </c>
      <c r="C1759" s="184" t="s">
        <v>1101</v>
      </c>
      <c r="D1759" s="185" t="s">
        <v>704</v>
      </c>
      <c r="E1759" s="186" t="s">
        <v>906</v>
      </c>
      <c r="F1759" s="186" t="s">
        <v>907</v>
      </c>
      <c r="G1759" s="186" t="s">
        <v>1102</v>
      </c>
      <c r="H1759" s="186" t="s">
        <v>1425</v>
      </c>
      <c r="I1759" s="187" t="s">
        <v>1488</v>
      </c>
      <c r="J1759" s="187" t="s">
        <v>1489</v>
      </c>
      <c r="K1759" s="188"/>
      <c r="L1759" s="188"/>
      <c r="M1759" s="189" t="s">
        <v>807</v>
      </c>
      <c r="N1759" s="190">
        <v>68.1</v>
      </c>
      <c r="O1759" s="190">
        <f t="shared" si="219"/>
        <v>74.23</v>
      </c>
      <c r="P1759" s="191">
        <f t="shared" si="220"/>
        <v>0</v>
      </c>
      <c r="Q1759" s="192">
        <f t="shared" si="221"/>
        <v>0</v>
      </c>
      <c r="R1759" s="193"/>
      <c r="S1759" s="194"/>
      <c r="T1759" s="195">
        <f t="shared" si="222"/>
        <v>0</v>
      </c>
      <c r="U1759" s="195">
        <f t="shared" si="223"/>
        <v>0</v>
      </c>
      <c r="V1759" s="195">
        <f t="shared" si="224"/>
        <v>0</v>
      </c>
      <c r="W1759" s="196" t="e">
        <f t="shared" si="225"/>
        <v>#DIV/0!</v>
      </c>
      <c r="X1759" s="197" t="e">
        <f t="shared" si="226"/>
        <v>#DIV/0!</v>
      </c>
    </row>
    <row r="1760" ht="11.4" hidden="1" customHeight="1" spans="1:24">
      <c r="A1760" s="184" t="s">
        <v>3188</v>
      </c>
      <c r="B1760" s="184" t="s">
        <v>117</v>
      </c>
      <c r="C1760" s="184" t="s">
        <v>1101</v>
      </c>
      <c r="D1760" s="185" t="s">
        <v>704</v>
      </c>
      <c r="E1760" s="186" t="s">
        <v>906</v>
      </c>
      <c r="F1760" s="186" t="s">
        <v>907</v>
      </c>
      <c r="G1760" s="186" t="s">
        <v>1102</v>
      </c>
      <c r="H1760" s="186" t="s">
        <v>1425</v>
      </c>
      <c r="I1760" s="187" t="s">
        <v>1490</v>
      </c>
      <c r="J1760" s="187" t="s">
        <v>1491</v>
      </c>
      <c r="K1760" s="188"/>
      <c r="L1760" s="188"/>
      <c r="M1760" s="189" t="s">
        <v>847</v>
      </c>
      <c r="N1760" s="190">
        <v>135.83</v>
      </c>
      <c r="O1760" s="190">
        <f t="shared" si="219"/>
        <v>148.05</v>
      </c>
      <c r="P1760" s="191">
        <f t="shared" si="220"/>
        <v>0</v>
      </c>
      <c r="Q1760" s="192">
        <f t="shared" si="221"/>
        <v>0</v>
      </c>
      <c r="R1760" s="193"/>
      <c r="S1760" s="194"/>
      <c r="T1760" s="195">
        <f t="shared" si="222"/>
        <v>0</v>
      </c>
      <c r="U1760" s="195">
        <f t="shared" si="223"/>
        <v>0</v>
      </c>
      <c r="V1760" s="195">
        <f t="shared" si="224"/>
        <v>0</v>
      </c>
      <c r="W1760" s="196" t="e">
        <f t="shared" si="225"/>
        <v>#DIV/0!</v>
      </c>
      <c r="X1760" s="197" t="e">
        <f t="shared" si="226"/>
        <v>#DIV/0!</v>
      </c>
    </row>
    <row r="1761" ht="11.4" hidden="1" customHeight="1" spans="1:24">
      <c r="A1761" s="184" t="s">
        <v>3188</v>
      </c>
      <c r="B1761" s="184" t="s">
        <v>117</v>
      </c>
      <c r="C1761" s="184" t="s">
        <v>1101</v>
      </c>
      <c r="D1761" s="185" t="s">
        <v>704</v>
      </c>
      <c r="E1761" s="186" t="s">
        <v>906</v>
      </c>
      <c r="F1761" s="186" t="s">
        <v>907</v>
      </c>
      <c r="G1761" s="186" t="s">
        <v>1102</v>
      </c>
      <c r="H1761" s="186" t="s">
        <v>1425</v>
      </c>
      <c r="I1761" s="187" t="s">
        <v>1106</v>
      </c>
      <c r="J1761" s="187" t="s">
        <v>1107</v>
      </c>
      <c r="K1761" s="188"/>
      <c r="L1761" s="188"/>
      <c r="M1761" s="189" t="s">
        <v>807</v>
      </c>
      <c r="N1761" s="190">
        <v>41.36</v>
      </c>
      <c r="O1761" s="190">
        <f t="shared" si="219"/>
        <v>45.08</v>
      </c>
      <c r="P1761" s="191">
        <f t="shared" si="220"/>
        <v>0</v>
      </c>
      <c r="Q1761" s="192">
        <f t="shared" si="221"/>
        <v>0</v>
      </c>
      <c r="R1761" s="193"/>
      <c r="S1761" s="194"/>
      <c r="T1761" s="195">
        <f t="shared" si="222"/>
        <v>0</v>
      </c>
      <c r="U1761" s="195">
        <f t="shared" si="223"/>
        <v>0</v>
      </c>
      <c r="V1761" s="195">
        <f t="shared" si="224"/>
        <v>0</v>
      </c>
      <c r="W1761" s="196" t="e">
        <f t="shared" si="225"/>
        <v>#DIV/0!</v>
      </c>
      <c r="X1761" s="197" t="e">
        <f t="shared" si="226"/>
        <v>#DIV/0!</v>
      </c>
    </row>
    <row r="1762" ht="11.4" hidden="1" customHeight="1" spans="1:24">
      <c r="A1762" s="184" t="s">
        <v>3188</v>
      </c>
      <c r="B1762" s="184" t="s">
        <v>117</v>
      </c>
      <c r="C1762" s="184" t="s">
        <v>1101</v>
      </c>
      <c r="D1762" s="185" t="s">
        <v>704</v>
      </c>
      <c r="E1762" s="186" t="s">
        <v>906</v>
      </c>
      <c r="F1762" s="186" t="s">
        <v>907</v>
      </c>
      <c r="G1762" s="186" t="s">
        <v>1102</v>
      </c>
      <c r="H1762" s="186" t="s">
        <v>1425</v>
      </c>
      <c r="I1762" s="187" t="s">
        <v>1111</v>
      </c>
      <c r="J1762" s="187" t="s">
        <v>1112</v>
      </c>
      <c r="K1762" s="188"/>
      <c r="L1762" s="188"/>
      <c r="M1762" s="189" t="s">
        <v>807</v>
      </c>
      <c r="N1762" s="190">
        <v>38.94</v>
      </c>
      <c r="O1762" s="190">
        <f t="shared" si="219"/>
        <v>42.44</v>
      </c>
      <c r="P1762" s="191">
        <f t="shared" si="220"/>
        <v>0</v>
      </c>
      <c r="Q1762" s="192">
        <f t="shared" si="221"/>
        <v>0</v>
      </c>
      <c r="R1762" s="193"/>
      <c r="S1762" s="194"/>
      <c r="T1762" s="195">
        <f t="shared" si="222"/>
        <v>0</v>
      </c>
      <c r="U1762" s="195">
        <f t="shared" si="223"/>
        <v>0</v>
      </c>
      <c r="V1762" s="195">
        <f t="shared" si="224"/>
        <v>0</v>
      </c>
      <c r="W1762" s="196" t="e">
        <f t="shared" si="225"/>
        <v>#DIV/0!</v>
      </c>
      <c r="X1762" s="197" t="e">
        <f t="shared" si="226"/>
        <v>#DIV/0!</v>
      </c>
    </row>
    <row r="1763" ht="11.4" hidden="1" customHeight="1" spans="1:24">
      <c r="A1763" s="184" t="s">
        <v>3188</v>
      </c>
      <c r="B1763" s="184" t="s">
        <v>117</v>
      </c>
      <c r="C1763" s="184" t="s">
        <v>1101</v>
      </c>
      <c r="D1763" s="185" t="s">
        <v>704</v>
      </c>
      <c r="E1763" s="186" t="s">
        <v>906</v>
      </c>
      <c r="F1763" s="186" t="s">
        <v>907</v>
      </c>
      <c r="G1763" s="186" t="s">
        <v>1102</v>
      </c>
      <c r="H1763" s="186" t="s">
        <v>1425</v>
      </c>
      <c r="I1763" s="187" t="s">
        <v>1115</v>
      </c>
      <c r="J1763" s="187" t="s">
        <v>1116</v>
      </c>
      <c r="K1763" s="188"/>
      <c r="L1763" s="188"/>
      <c r="M1763" s="189" t="s">
        <v>807</v>
      </c>
      <c r="N1763" s="190">
        <v>42.57</v>
      </c>
      <c r="O1763" s="190">
        <f t="shared" si="219"/>
        <v>46.4</v>
      </c>
      <c r="P1763" s="191">
        <f t="shared" si="220"/>
        <v>0</v>
      </c>
      <c r="Q1763" s="192">
        <f t="shared" si="221"/>
        <v>0</v>
      </c>
      <c r="R1763" s="193"/>
      <c r="S1763" s="194"/>
      <c r="T1763" s="195">
        <f t="shared" si="222"/>
        <v>0</v>
      </c>
      <c r="U1763" s="195">
        <f t="shared" si="223"/>
        <v>0</v>
      </c>
      <c r="V1763" s="195">
        <f t="shared" si="224"/>
        <v>0</v>
      </c>
      <c r="W1763" s="196" t="e">
        <f t="shared" si="225"/>
        <v>#DIV/0!</v>
      </c>
      <c r="X1763" s="197" t="e">
        <f t="shared" si="226"/>
        <v>#DIV/0!</v>
      </c>
    </row>
    <row r="1764" ht="11.4" hidden="1" customHeight="1" spans="1:24">
      <c r="A1764" s="184" t="s">
        <v>3188</v>
      </c>
      <c r="B1764" s="184" t="s">
        <v>117</v>
      </c>
      <c r="C1764" s="184" t="s">
        <v>1101</v>
      </c>
      <c r="D1764" s="185" t="s">
        <v>704</v>
      </c>
      <c r="E1764" s="186" t="s">
        <v>906</v>
      </c>
      <c r="F1764" s="186" t="s">
        <v>907</v>
      </c>
      <c r="G1764" s="186" t="s">
        <v>1102</v>
      </c>
      <c r="H1764" s="186" t="s">
        <v>1425</v>
      </c>
      <c r="I1764" s="187" t="s">
        <v>1493</v>
      </c>
      <c r="J1764" s="187" t="s">
        <v>1494</v>
      </c>
      <c r="K1764" s="188"/>
      <c r="L1764" s="188"/>
      <c r="M1764" s="189" t="s">
        <v>807</v>
      </c>
      <c r="N1764" s="190">
        <v>55.41</v>
      </c>
      <c r="O1764" s="190">
        <f t="shared" si="219"/>
        <v>60.4</v>
      </c>
      <c r="P1764" s="191">
        <f t="shared" si="220"/>
        <v>0</v>
      </c>
      <c r="Q1764" s="192">
        <f t="shared" si="221"/>
        <v>0</v>
      </c>
      <c r="R1764" s="193"/>
      <c r="S1764" s="194"/>
      <c r="T1764" s="195">
        <f t="shared" si="222"/>
        <v>0</v>
      </c>
      <c r="U1764" s="195">
        <f t="shared" si="223"/>
        <v>0</v>
      </c>
      <c r="V1764" s="195">
        <f t="shared" si="224"/>
        <v>0</v>
      </c>
      <c r="W1764" s="196" t="e">
        <f t="shared" si="225"/>
        <v>#DIV/0!</v>
      </c>
      <c r="X1764" s="197" t="e">
        <f t="shared" si="226"/>
        <v>#DIV/0!</v>
      </c>
    </row>
    <row r="1765" ht="11.4" hidden="1" customHeight="1" spans="1:24">
      <c r="A1765" s="184" t="s">
        <v>3188</v>
      </c>
      <c r="B1765" s="184" t="s">
        <v>117</v>
      </c>
      <c r="C1765" s="184" t="s">
        <v>1101</v>
      </c>
      <c r="D1765" s="185" t="s">
        <v>704</v>
      </c>
      <c r="E1765" s="186" t="s">
        <v>906</v>
      </c>
      <c r="F1765" s="186" t="s">
        <v>907</v>
      </c>
      <c r="G1765" s="186" t="s">
        <v>1102</v>
      </c>
      <c r="H1765" s="186" t="s">
        <v>1425</v>
      </c>
      <c r="I1765" s="187" t="s">
        <v>1147</v>
      </c>
      <c r="J1765" s="187" t="s">
        <v>1148</v>
      </c>
      <c r="K1765" s="188"/>
      <c r="L1765" s="188"/>
      <c r="M1765" s="189" t="s">
        <v>807</v>
      </c>
      <c r="N1765" s="190">
        <v>37.84</v>
      </c>
      <c r="O1765" s="190">
        <f t="shared" si="219"/>
        <v>41.25</v>
      </c>
      <c r="P1765" s="191">
        <f t="shared" si="220"/>
        <v>0</v>
      </c>
      <c r="Q1765" s="192">
        <f t="shared" si="221"/>
        <v>0</v>
      </c>
      <c r="R1765" s="193"/>
      <c r="S1765" s="194"/>
      <c r="T1765" s="195">
        <f t="shared" si="222"/>
        <v>0</v>
      </c>
      <c r="U1765" s="195">
        <f t="shared" si="223"/>
        <v>0</v>
      </c>
      <c r="V1765" s="195">
        <f t="shared" si="224"/>
        <v>0</v>
      </c>
      <c r="W1765" s="196" t="e">
        <f t="shared" si="225"/>
        <v>#DIV/0!</v>
      </c>
      <c r="X1765" s="197" t="e">
        <f t="shared" si="226"/>
        <v>#DIV/0!</v>
      </c>
    </row>
    <row r="1766" ht="11.4" hidden="1" customHeight="1" spans="1:24">
      <c r="A1766" s="184" t="s">
        <v>3188</v>
      </c>
      <c r="B1766" s="184" t="s">
        <v>117</v>
      </c>
      <c r="C1766" s="184" t="s">
        <v>1101</v>
      </c>
      <c r="D1766" s="185" t="s">
        <v>704</v>
      </c>
      <c r="E1766" s="186" t="s">
        <v>906</v>
      </c>
      <c r="F1766" s="186" t="s">
        <v>907</v>
      </c>
      <c r="G1766" s="186" t="s">
        <v>1102</v>
      </c>
      <c r="H1766" s="186" t="s">
        <v>1425</v>
      </c>
      <c r="I1766" s="187" t="s">
        <v>1495</v>
      </c>
      <c r="J1766" s="187" t="s">
        <v>1496</v>
      </c>
      <c r="K1766" s="188"/>
      <c r="L1766" s="188"/>
      <c r="M1766" s="189" t="s">
        <v>807</v>
      </c>
      <c r="N1766" s="190">
        <v>114.14</v>
      </c>
      <c r="O1766" s="190">
        <f t="shared" si="219"/>
        <v>124.41</v>
      </c>
      <c r="P1766" s="191">
        <f t="shared" si="220"/>
        <v>0</v>
      </c>
      <c r="Q1766" s="192">
        <f t="shared" si="221"/>
        <v>0</v>
      </c>
      <c r="R1766" s="193"/>
      <c r="S1766" s="194"/>
      <c r="T1766" s="195">
        <f t="shared" si="222"/>
        <v>0</v>
      </c>
      <c r="U1766" s="195">
        <f t="shared" si="223"/>
        <v>0</v>
      </c>
      <c r="V1766" s="195">
        <f t="shared" si="224"/>
        <v>0</v>
      </c>
      <c r="W1766" s="196" t="e">
        <f t="shared" si="225"/>
        <v>#DIV/0!</v>
      </c>
      <c r="X1766" s="197" t="e">
        <f t="shared" si="226"/>
        <v>#DIV/0!</v>
      </c>
    </row>
    <row r="1767" ht="11.4" hidden="1" customHeight="1" spans="1:24">
      <c r="A1767" s="184" t="s">
        <v>3190</v>
      </c>
      <c r="B1767" s="184" t="s">
        <v>417</v>
      </c>
      <c r="C1767" s="184" t="s">
        <v>416</v>
      </c>
      <c r="D1767" s="185" t="s">
        <v>704</v>
      </c>
      <c r="E1767" s="186" t="s">
        <v>906</v>
      </c>
      <c r="F1767" s="186" t="s">
        <v>907</v>
      </c>
      <c r="G1767" s="186" t="s">
        <v>1102</v>
      </c>
      <c r="H1767" s="186" t="s">
        <v>1425</v>
      </c>
      <c r="I1767" s="187" t="s">
        <v>1498</v>
      </c>
      <c r="J1767" s="187" t="s">
        <v>1499</v>
      </c>
      <c r="K1767" s="188"/>
      <c r="L1767" s="188"/>
      <c r="M1767" s="189" t="s">
        <v>1500</v>
      </c>
      <c r="N1767" s="190">
        <v>4665.2</v>
      </c>
      <c r="O1767" s="190">
        <f t="shared" si="219"/>
        <v>5085.07</v>
      </c>
      <c r="P1767" s="191">
        <f t="shared" si="220"/>
        <v>0</v>
      </c>
      <c r="Q1767" s="192">
        <f t="shared" si="221"/>
        <v>0</v>
      </c>
      <c r="R1767" s="193"/>
      <c r="S1767" s="194"/>
      <c r="T1767" s="195">
        <f t="shared" si="222"/>
        <v>0</v>
      </c>
      <c r="U1767" s="195">
        <f t="shared" si="223"/>
        <v>0</v>
      </c>
      <c r="V1767" s="195">
        <f t="shared" si="224"/>
        <v>0</v>
      </c>
      <c r="W1767" s="196" t="e">
        <f t="shared" si="225"/>
        <v>#DIV/0!</v>
      </c>
      <c r="X1767" s="197" t="e">
        <f t="shared" si="226"/>
        <v>#DIV/0!</v>
      </c>
    </row>
    <row r="1768" ht="11.4" hidden="1" customHeight="1" spans="1:24">
      <c r="A1768" s="184" t="s">
        <v>3190</v>
      </c>
      <c r="B1768" s="184" t="s">
        <v>417</v>
      </c>
      <c r="C1768" s="184" t="s">
        <v>416</v>
      </c>
      <c r="D1768" s="185" t="s">
        <v>704</v>
      </c>
      <c r="E1768" s="186" t="s">
        <v>906</v>
      </c>
      <c r="F1768" s="186" t="s">
        <v>907</v>
      </c>
      <c r="G1768" s="186" t="s">
        <v>1102</v>
      </c>
      <c r="H1768" s="186" t="s">
        <v>1425</v>
      </c>
      <c r="I1768" s="187" t="s">
        <v>1501</v>
      </c>
      <c r="J1768" s="187" t="s">
        <v>1502</v>
      </c>
      <c r="K1768" s="188"/>
      <c r="L1768" s="188"/>
      <c r="M1768" s="189" t="s">
        <v>1500</v>
      </c>
      <c r="N1768" s="190">
        <v>2712.45</v>
      </c>
      <c r="O1768" s="190">
        <f t="shared" si="219"/>
        <v>2956.57</v>
      </c>
      <c r="P1768" s="191">
        <f t="shared" si="220"/>
        <v>0</v>
      </c>
      <c r="Q1768" s="192">
        <f t="shared" si="221"/>
        <v>0</v>
      </c>
      <c r="R1768" s="193"/>
      <c r="S1768" s="194"/>
      <c r="T1768" s="195">
        <f t="shared" si="222"/>
        <v>0</v>
      </c>
      <c r="U1768" s="195">
        <f t="shared" si="223"/>
        <v>0</v>
      </c>
      <c r="V1768" s="195">
        <f t="shared" si="224"/>
        <v>0</v>
      </c>
      <c r="W1768" s="196" t="e">
        <f t="shared" si="225"/>
        <v>#DIV/0!</v>
      </c>
      <c r="X1768" s="197" t="e">
        <f t="shared" si="226"/>
        <v>#DIV/0!</v>
      </c>
    </row>
    <row r="1769" ht="11.4" hidden="1" customHeight="1" spans="1:24">
      <c r="A1769" s="184" t="s">
        <v>3190</v>
      </c>
      <c r="B1769" s="184" t="s">
        <v>417</v>
      </c>
      <c r="C1769" s="184" t="s">
        <v>416</v>
      </c>
      <c r="D1769" s="185" t="s">
        <v>704</v>
      </c>
      <c r="E1769" s="186" t="s">
        <v>906</v>
      </c>
      <c r="F1769" s="186" t="s">
        <v>907</v>
      </c>
      <c r="G1769" s="186" t="s">
        <v>1102</v>
      </c>
      <c r="H1769" s="186" t="s">
        <v>1425</v>
      </c>
      <c r="I1769" s="187" t="s">
        <v>1503</v>
      </c>
      <c r="J1769" s="187" t="s">
        <v>1504</v>
      </c>
      <c r="K1769" s="188"/>
      <c r="L1769" s="188"/>
      <c r="M1769" s="189" t="s">
        <v>1500</v>
      </c>
      <c r="N1769" s="190">
        <v>4703.72</v>
      </c>
      <c r="O1769" s="190">
        <f t="shared" si="219"/>
        <v>5127.05</v>
      </c>
      <c r="P1769" s="191">
        <f t="shared" si="220"/>
        <v>0</v>
      </c>
      <c r="Q1769" s="192">
        <f t="shared" si="221"/>
        <v>0</v>
      </c>
      <c r="R1769" s="193"/>
      <c r="S1769" s="194"/>
      <c r="T1769" s="195">
        <f t="shared" si="222"/>
        <v>0</v>
      </c>
      <c r="U1769" s="195">
        <f t="shared" si="223"/>
        <v>0</v>
      </c>
      <c r="V1769" s="195">
        <f t="shared" si="224"/>
        <v>0</v>
      </c>
      <c r="W1769" s="196" t="e">
        <f t="shared" si="225"/>
        <v>#DIV/0!</v>
      </c>
      <c r="X1769" s="197" t="e">
        <f t="shared" si="226"/>
        <v>#DIV/0!</v>
      </c>
    </row>
    <row r="1770" ht="11.4" hidden="1" customHeight="1" spans="1:24">
      <c r="A1770" s="184" t="s">
        <v>3190</v>
      </c>
      <c r="B1770" s="184" t="s">
        <v>417</v>
      </c>
      <c r="C1770" s="184" t="s">
        <v>416</v>
      </c>
      <c r="D1770" s="185" t="s">
        <v>704</v>
      </c>
      <c r="E1770" s="186" t="s">
        <v>906</v>
      </c>
      <c r="F1770" s="186" t="s">
        <v>907</v>
      </c>
      <c r="G1770" s="186" t="s">
        <v>1102</v>
      </c>
      <c r="H1770" s="186" t="s">
        <v>1425</v>
      </c>
      <c r="I1770" s="187" t="s">
        <v>1505</v>
      </c>
      <c r="J1770" s="187" t="s">
        <v>1506</v>
      </c>
      <c r="K1770" s="188"/>
      <c r="L1770" s="188"/>
      <c r="M1770" s="189" t="s">
        <v>1500</v>
      </c>
      <c r="N1770" s="190">
        <v>2811.96</v>
      </c>
      <c r="O1770" s="190">
        <f t="shared" si="219"/>
        <v>3065.04</v>
      </c>
      <c r="P1770" s="191">
        <f t="shared" si="220"/>
        <v>0</v>
      </c>
      <c r="Q1770" s="192">
        <f t="shared" si="221"/>
        <v>0</v>
      </c>
      <c r="R1770" s="193"/>
      <c r="S1770" s="194"/>
      <c r="T1770" s="195">
        <f t="shared" si="222"/>
        <v>0</v>
      </c>
      <c r="U1770" s="195">
        <f t="shared" si="223"/>
        <v>0</v>
      </c>
      <c r="V1770" s="195">
        <f t="shared" si="224"/>
        <v>0</v>
      </c>
      <c r="W1770" s="196" t="e">
        <f t="shared" si="225"/>
        <v>#DIV/0!</v>
      </c>
      <c r="X1770" s="197" t="e">
        <f t="shared" si="226"/>
        <v>#DIV/0!</v>
      </c>
    </row>
    <row r="1771" ht="11.4" hidden="1" customHeight="1" spans="1:24">
      <c r="A1771" s="184" t="s">
        <v>3190</v>
      </c>
      <c r="B1771" s="184" t="s">
        <v>417</v>
      </c>
      <c r="C1771" s="184" t="s">
        <v>416</v>
      </c>
      <c r="D1771" s="185" t="s">
        <v>704</v>
      </c>
      <c r="E1771" s="186" t="s">
        <v>906</v>
      </c>
      <c r="F1771" s="186" t="s">
        <v>907</v>
      </c>
      <c r="G1771" s="186" t="s">
        <v>1102</v>
      </c>
      <c r="H1771" s="186" t="s">
        <v>1425</v>
      </c>
      <c r="I1771" s="187" t="s">
        <v>1507</v>
      </c>
      <c r="J1771" s="187" t="s">
        <v>1508</v>
      </c>
      <c r="K1771" s="188"/>
      <c r="L1771" s="188"/>
      <c r="M1771" s="189" t="s">
        <v>1500</v>
      </c>
      <c r="N1771" s="190">
        <v>4636.31</v>
      </c>
      <c r="O1771" s="190">
        <f t="shared" si="219"/>
        <v>5053.58</v>
      </c>
      <c r="P1771" s="191">
        <f t="shared" si="220"/>
        <v>0</v>
      </c>
      <c r="Q1771" s="192">
        <f t="shared" si="221"/>
        <v>0</v>
      </c>
      <c r="R1771" s="193"/>
      <c r="S1771" s="194"/>
      <c r="T1771" s="195">
        <f t="shared" si="222"/>
        <v>0</v>
      </c>
      <c r="U1771" s="195">
        <f t="shared" si="223"/>
        <v>0</v>
      </c>
      <c r="V1771" s="195">
        <f t="shared" si="224"/>
        <v>0</v>
      </c>
      <c r="W1771" s="196" t="e">
        <f t="shared" si="225"/>
        <v>#DIV/0!</v>
      </c>
      <c r="X1771" s="197" t="e">
        <f t="shared" si="226"/>
        <v>#DIV/0!</v>
      </c>
    </row>
    <row r="1772" ht="11.4" hidden="1" customHeight="1" spans="1:24">
      <c r="A1772" s="184" t="s">
        <v>3190</v>
      </c>
      <c r="B1772" s="184" t="s">
        <v>417</v>
      </c>
      <c r="C1772" s="184" t="s">
        <v>416</v>
      </c>
      <c r="D1772" s="185" t="s">
        <v>704</v>
      </c>
      <c r="E1772" s="186" t="s">
        <v>906</v>
      </c>
      <c r="F1772" s="186" t="s">
        <v>907</v>
      </c>
      <c r="G1772" s="186" t="s">
        <v>1102</v>
      </c>
      <c r="H1772" s="186" t="s">
        <v>1425</v>
      </c>
      <c r="I1772" s="187" t="s">
        <v>1509</v>
      </c>
      <c r="J1772" s="187" t="s">
        <v>1510</v>
      </c>
      <c r="K1772" s="188"/>
      <c r="L1772" s="188"/>
      <c r="M1772" s="189" t="s">
        <v>1500</v>
      </c>
      <c r="N1772" s="190">
        <v>2711.38</v>
      </c>
      <c r="O1772" s="190">
        <f t="shared" si="219"/>
        <v>2955.4</v>
      </c>
      <c r="P1772" s="191">
        <f t="shared" si="220"/>
        <v>0</v>
      </c>
      <c r="Q1772" s="192">
        <f t="shared" si="221"/>
        <v>0</v>
      </c>
      <c r="R1772" s="193"/>
      <c r="S1772" s="194"/>
      <c r="T1772" s="195">
        <f t="shared" si="222"/>
        <v>0</v>
      </c>
      <c r="U1772" s="195">
        <f t="shared" si="223"/>
        <v>0</v>
      </c>
      <c r="V1772" s="195">
        <f t="shared" si="224"/>
        <v>0</v>
      </c>
      <c r="W1772" s="196" t="e">
        <f t="shared" si="225"/>
        <v>#DIV/0!</v>
      </c>
      <c r="X1772" s="197" t="e">
        <f t="shared" si="226"/>
        <v>#DIV/0!</v>
      </c>
    </row>
    <row r="1773" ht="11.4" hidden="1" customHeight="1" spans="1:24">
      <c r="A1773" s="184" t="s">
        <v>3190</v>
      </c>
      <c r="B1773" s="184" t="s">
        <v>417</v>
      </c>
      <c r="C1773" s="184" t="s">
        <v>416</v>
      </c>
      <c r="D1773" s="185" t="s">
        <v>704</v>
      </c>
      <c r="E1773" s="186" t="s">
        <v>906</v>
      </c>
      <c r="F1773" s="186" t="s">
        <v>907</v>
      </c>
      <c r="G1773" s="186" t="s">
        <v>1102</v>
      </c>
      <c r="H1773" s="186" t="s">
        <v>1425</v>
      </c>
      <c r="I1773" s="187" t="s">
        <v>1511</v>
      </c>
      <c r="J1773" s="187" t="s">
        <v>1512</v>
      </c>
      <c r="K1773" s="188"/>
      <c r="L1773" s="188"/>
      <c r="M1773" s="189" t="s">
        <v>1500</v>
      </c>
      <c r="N1773" s="190">
        <v>5150.98</v>
      </c>
      <c r="O1773" s="190">
        <f t="shared" si="219"/>
        <v>5614.57</v>
      </c>
      <c r="P1773" s="191">
        <f t="shared" si="220"/>
        <v>0</v>
      </c>
      <c r="Q1773" s="192">
        <f t="shared" si="221"/>
        <v>0</v>
      </c>
      <c r="R1773" s="193"/>
      <c r="S1773" s="194"/>
      <c r="T1773" s="195">
        <f t="shared" si="222"/>
        <v>0</v>
      </c>
      <c r="U1773" s="195">
        <f t="shared" si="223"/>
        <v>0</v>
      </c>
      <c r="V1773" s="195">
        <f t="shared" si="224"/>
        <v>0</v>
      </c>
      <c r="W1773" s="196" t="e">
        <f t="shared" si="225"/>
        <v>#DIV/0!</v>
      </c>
      <c r="X1773" s="197" t="e">
        <f t="shared" si="226"/>
        <v>#DIV/0!</v>
      </c>
    </row>
    <row r="1774" ht="11.4" hidden="1" customHeight="1" spans="1:24">
      <c r="A1774" s="184" t="s">
        <v>3190</v>
      </c>
      <c r="B1774" s="184" t="s">
        <v>417</v>
      </c>
      <c r="C1774" s="184" t="s">
        <v>416</v>
      </c>
      <c r="D1774" s="185" t="s">
        <v>704</v>
      </c>
      <c r="E1774" s="186" t="s">
        <v>906</v>
      </c>
      <c r="F1774" s="186" t="s">
        <v>907</v>
      </c>
      <c r="G1774" s="186" t="s">
        <v>1102</v>
      </c>
      <c r="H1774" s="186" t="s">
        <v>1425</v>
      </c>
      <c r="I1774" s="187" t="s">
        <v>1513</v>
      </c>
      <c r="J1774" s="187" t="s">
        <v>1514</v>
      </c>
      <c r="K1774" s="188"/>
      <c r="L1774" s="188"/>
      <c r="M1774" s="189" t="s">
        <v>1500</v>
      </c>
      <c r="N1774" s="190">
        <v>2853.69</v>
      </c>
      <c r="O1774" s="190">
        <f t="shared" si="219"/>
        <v>3110.52</v>
      </c>
      <c r="P1774" s="191">
        <f t="shared" si="220"/>
        <v>0</v>
      </c>
      <c r="Q1774" s="192">
        <f t="shared" si="221"/>
        <v>0</v>
      </c>
      <c r="R1774" s="193"/>
      <c r="S1774" s="194"/>
      <c r="T1774" s="195">
        <f t="shared" si="222"/>
        <v>0</v>
      </c>
      <c r="U1774" s="195">
        <f t="shared" si="223"/>
        <v>0</v>
      </c>
      <c r="V1774" s="195">
        <f t="shared" si="224"/>
        <v>0</v>
      </c>
      <c r="W1774" s="196" t="e">
        <f t="shared" si="225"/>
        <v>#DIV/0!</v>
      </c>
      <c r="X1774" s="197" t="e">
        <f t="shared" si="226"/>
        <v>#DIV/0!</v>
      </c>
    </row>
    <row r="1775" ht="11.4" hidden="1" customHeight="1" spans="1:24">
      <c r="A1775" s="184" t="s">
        <v>3190</v>
      </c>
      <c r="B1775" s="184" t="s">
        <v>417</v>
      </c>
      <c r="C1775" s="184" t="s">
        <v>416</v>
      </c>
      <c r="D1775" s="185" t="s">
        <v>704</v>
      </c>
      <c r="E1775" s="186" t="s">
        <v>906</v>
      </c>
      <c r="F1775" s="186" t="s">
        <v>907</v>
      </c>
      <c r="G1775" s="186" t="s">
        <v>1102</v>
      </c>
      <c r="H1775" s="186" t="s">
        <v>1425</v>
      </c>
      <c r="I1775" s="187" t="s">
        <v>1519</v>
      </c>
      <c r="J1775" s="187" t="s">
        <v>1520</v>
      </c>
      <c r="K1775" s="188"/>
      <c r="L1775" s="188"/>
      <c r="M1775" s="189" t="s">
        <v>1500</v>
      </c>
      <c r="N1775" s="190">
        <v>6665.03</v>
      </c>
      <c r="O1775" s="190">
        <f t="shared" si="219"/>
        <v>7264.88</v>
      </c>
      <c r="P1775" s="191">
        <f t="shared" si="220"/>
        <v>0</v>
      </c>
      <c r="Q1775" s="192">
        <f t="shared" si="221"/>
        <v>0</v>
      </c>
      <c r="R1775" s="193"/>
      <c r="S1775" s="194"/>
      <c r="T1775" s="195">
        <f t="shared" si="222"/>
        <v>0</v>
      </c>
      <c r="U1775" s="195">
        <f t="shared" si="223"/>
        <v>0</v>
      </c>
      <c r="V1775" s="195">
        <f t="shared" si="224"/>
        <v>0</v>
      </c>
      <c r="W1775" s="196" t="e">
        <f t="shared" si="225"/>
        <v>#DIV/0!</v>
      </c>
      <c r="X1775" s="197" t="e">
        <f t="shared" si="226"/>
        <v>#DIV/0!</v>
      </c>
    </row>
    <row r="1776" ht="11.4" hidden="1" customHeight="1" spans="1:24">
      <c r="A1776" s="184" t="s">
        <v>3190</v>
      </c>
      <c r="B1776" s="184" t="s">
        <v>417</v>
      </c>
      <c r="C1776" s="184" t="s">
        <v>416</v>
      </c>
      <c r="D1776" s="185" t="s">
        <v>704</v>
      </c>
      <c r="E1776" s="186" t="s">
        <v>906</v>
      </c>
      <c r="F1776" s="186" t="s">
        <v>907</v>
      </c>
      <c r="G1776" s="186" t="s">
        <v>1102</v>
      </c>
      <c r="H1776" s="186" t="s">
        <v>1425</v>
      </c>
      <c r="I1776" s="187" t="s">
        <v>1521</v>
      </c>
      <c r="J1776" s="187" t="s">
        <v>1522</v>
      </c>
      <c r="K1776" s="188"/>
      <c r="L1776" s="188"/>
      <c r="M1776" s="189" t="s">
        <v>1500</v>
      </c>
      <c r="N1776" s="190">
        <v>3581.29</v>
      </c>
      <c r="O1776" s="190">
        <f t="shared" si="219"/>
        <v>3903.61</v>
      </c>
      <c r="P1776" s="191">
        <f t="shared" si="220"/>
        <v>0</v>
      </c>
      <c r="Q1776" s="192">
        <f t="shared" si="221"/>
        <v>0</v>
      </c>
      <c r="R1776" s="193"/>
      <c r="S1776" s="194"/>
      <c r="T1776" s="195">
        <f t="shared" si="222"/>
        <v>0</v>
      </c>
      <c r="U1776" s="195">
        <f t="shared" si="223"/>
        <v>0</v>
      </c>
      <c r="V1776" s="195">
        <f t="shared" si="224"/>
        <v>0</v>
      </c>
      <c r="W1776" s="196" t="e">
        <f t="shared" si="225"/>
        <v>#DIV/0!</v>
      </c>
      <c r="X1776" s="197" t="e">
        <f t="shared" si="226"/>
        <v>#DIV/0!</v>
      </c>
    </row>
    <row r="1777" ht="11.4" hidden="1" customHeight="1" spans="1:24">
      <c r="A1777" s="184" t="s">
        <v>3190</v>
      </c>
      <c r="B1777" s="184" t="s">
        <v>417</v>
      </c>
      <c r="C1777" s="184" t="s">
        <v>416</v>
      </c>
      <c r="D1777" s="185" t="s">
        <v>704</v>
      </c>
      <c r="E1777" s="186" t="s">
        <v>906</v>
      </c>
      <c r="F1777" s="186" t="s">
        <v>907</v>
      </c>
      <c r="G1777" s="186" t="s">
        <v>1102</v>
      </c>
      <c r="H1777" s="186" t="s">
        <v>1425</v>
      </c>
      <c r="I1777" s="187" t="s">
        <v>1523</v>
      </c>
      <c r="J1777" s="187" t="s">
        <v>1524</v>
      </c>
      <c r="K1777" s="188"/>
      <c r="L1777" s="188"/>
      <c r="M1777" s="189" t="s">
        <v>1500</v>
      </c>
      <c r="N1777" s="190">
        <v>6335.47</v>
      </c>
      <c r="O1777" s="190">
        <f t="shared" si="219"/>
        <v>6905.66</v>
      </c>
      <c r="P1777" s="191">
        <f t="shared" si="220"/>
        <v>0</v>
      </c>
      <c r="Q1777" s="192">
        <f t="shared" si="221"/>
        <v>0</v>
      </c>
      <c r="R1777" s="193"/>
      <c r="S1777" s="194"/>
      <c r="T1777" s="195">
        <f t="shared" si="222"/>
        <v>0</v>
      </c>
      <c r="U1777" s="195">
        <f t="shared" si="223"/>
        <v>0</v>
      </c>
      <c r="V1777" s="195">
        <f t="shared" si="224"/>
        <v>0</v>
      </c>
      <c r="W1777" s="196" t="e">
        <f t="shared" si="225"/>
        <v>#DIV/0!</v>
      </c>
      <c r="X1777" s="197" t="e">
        <f t="shared" si="226"/>
        <v>#DIV/0!</v>
      </c>
    </row>
    <row r="1778" ht="11.4" hidden="1" customHeight="1" spans="1:24">
      <c r="A1778" s="184" t="s">
        <v>3190</v>
      </c>
      <c r="B1778" s="184" t="s">
        <v>417</v>
      </c>
      <c r="C1778" s="184" t="s">
        <v>416</v>
      </c>
      <c r="D1778" s="185" t="s">
        <v>704</v>
      </c>
      <c r="E1778" s="186" t="s">
        <v>906</v>
      </c>
      <c r="F1778" s="186" t="s">
        <v>907</v>
      </c>
      <c r="G1778" s="186" t="s">
        <v>1102</v>
      </c>
      <c r="H1778" s="186" t="s">
        <v>1425</v>
      </c>
      <c r="I1778" s="187" t="s">
        <v>1525</v>
      </c>
      <c r="J1778" s="187" t="s">
        <v>1526</v>
      </c>
      <c r="K1778" s="188"/>
      <c r="L1778" s="188"/>
      <c r="M1778" s="189" t="s">
        <v>1500</v>
      </c>
      <c r="N1778" s="190">
        <v>3268.85</v>
      </c>
      <c r="O1778" s="190">
        <f t="shared" si="219"/>
        <v>3563.05</v>
      </c>
      <c r="P1778" s="191">
        <f t="shared" si="220"/>
        <v>0</v>
      </c>
      <c r="Q1778" s="192">
        <f t="shared" si="221"/>
        <v>0</v>
      </c>
      <c r="R1778" s="193"/>
      <c r="S1778" s="194"/>
      <c r="T1778" s="195">
        <f t="shared" si="222"/>
        <v>0</v>
      </c>
      <c r="U1778" s="195">
        <f t="shared" si="223"/>
        <v>0</v>
      </c>
      <c r="V1778" s="195">
        <f t="shared" si="224"/>
        <v>0</v>
      </c>
      <c r="W1778" s="196" t="e">
        <f t="shared" si="225"/>
        <v>#DIV/0!</v>
      </c>
      <c r="X1778" s="197" t="e">
        <f t="shared" si="226"/>
        <v>#DIV/0!</v>
      </c>
    </row>
    <row r="1779" ht="11.4" hidden="1" customHeight="1" spans="1:24">
      <c r="A1779" s="184" t="s">
        <v>3190</v>
      </c>
      <c r="B1779" s="184" t="s">
        <v>417</v>
      </c>
      <c r="C1779" s="184" t="s">
        <v>416</v>
      </c>
      <c r="D1779" s="185" t="s">
        <v>704</v>
      </c>
      <c r="E1779" s="186" t="s">
        <v>906</v>
      </c>
      <c r="F1779" s="186" t="s">
        <v>907</v>
      </c>
      <c r="G1779" s="186" t="s">
        <v>1102</v>
      </c>
      <c r="H1779" s="186" t="s">
        <v>1425</v>
      </c>
      <c r="I1779" s="187" t="s">
        <v>1527</v>
      </c>
      <c r="J1779" s="187" t="s">
        <v>1528</v>
      </c>
      <c r="K1779" s="188"/>
      <c r="L1779" s="188"/>
      <c r="M1779" s="189" t="s">
        <v>1500</v>
      </c>
      <c r="N1779" s="190">
        <v>6589.06</v>
      </c>
      <c r="O1779" s="190">
        <f t="shared" si="219"/>
        <v>7182.08</v>
      </c>
      <c r="P1779" s="191">
        <f t="shared" si="220"/>
        <v>0</v>
      </c>
      <c r="Q1779" s="192">
        <f t="shared" si="221"/>
        <v>0</v>
      </c>
      <c r="R1779" s="193"/>
      <c r="S1779" s="194"/>
      <c r="T1779" s="195">
        <f t="shared" si="222"/>
        <v>0</v>
      </c>
      <c r="U1779" s="195">
        <f t="shared" si="223"/>
        <v>0</v>
      </c>
      <c r="V1779" s="195">
        <f t="shared" si="224"/>
        <v>0</v>
      </c>
      <c r="W1779" s="196" t="e">
        <f t="shared" si="225"/>
        <v>#DIV/0!</v>
      </c>
      <c r="X1779" s="197" t="e">
        <f t="shared" si="226"/>
        <v>#DIV/0!</v>
      </c>
    </row>
    <row r="1780" ht="11.4" hidden="1" customHeight="1" spans="1:24">
      <c r="A1780" s="184" t="s">
        <v>3190</v>
      </c>
      <c r="B1780" s="184" t="s">
        <v>417</v>
      </c>
      <c r="C1780" s="184" t="s">
        <v>416</v>
      </c>
      <c r="D1780" s="185" t="s">
        <v>704</v>
      </c>
      <c r="E1780" s="186" t="s">
        <v>906</v>
      </c>
      <c r="F1780" s="186" t="s">
        <v>907</v>
      </c>
      <c r="G1780" s="186" t="s">
        <v>1102</v>
      </c>
      <c r="H1780" s="186" t="s">
        <v>1425</v>
      </c>
      <c r="I1780" s="187" t="s">
        <v>1529</v>
      </c>
      <c r="J1780" s="187" t="s">
        <v>1530</v>
      </c>
      <c r="K1780" s="188"/>
      <c r="L1780" s="188"/>
      <c r="M1780" s="189" t="s">
        <v>1500</v>
      </c>
      <c r="N1780" s="190">
        <v>3398.32</v>
      </c>
      <c r="O1780" s="190">
        <f t="shared" si="219"/>
        <v>3704.17</v>
      </c>
      <c r="P1780" s="191">
        <f t="shared" si="220"/>
        <v>0</v>
      </c>
      <c r="Q1780" s="192">
        <f t="shared" si="221"/>
        <v>0</v>
      </c>
      <c r="R1780" s="193"/>
      <c r="S1780" s="194"/>
      <c r="T1780" s="195">
        <f t="shared" si="222"/>
        <v>0</v>
      </c>
      <c r="U1780" s="195">
        <f t="shared" si="223"/>
        <v>0</v>
      </c>
      <c r="V1780" s="195">
        <f t="shared" si="224"/>
        <v>0</v>
      </c>
      <c r="W1780" s="196" t="e">
        <f t="shared" si="225"/>
        <v>#DIV/0!</v>
      </c>
      <c r="X1780" s="197" t="e">
        <f t="shared" si="226"/>
        <v>#DIV/0!</v>
      </c>
    </row>
    <row r="1781" ht="11.4" hidden="1" customHeight="1" spans="1:24">
      <c r="A1781" s="184" t="s">
        <v>3190</v>
      </c>
      <c r="B1781" s="184" t="s">
        <v>417</v>
      </c>
      <c r="C1781" s="184" t="s">
        <v>416</v>
      </c>
      <c r="D1781" s="185" t="s">
        <v>704</v>
      </c>
      <c r="E1781" s="186" t="s">
        <v>906</v>
      </c>
      <c r="F1781" s="186" t="s">
        <v>907</v>
      </c>
      <c r="G1781" s="186" t="s">
        <v>1102</v>
      </c>
      <c r="H1781" s="186" t="s">
        <v>1425</v>
      </c>
      <c r="I1781" s="187" t="s">
        <v>1515</v>
      </c>
      <c r="J1781" s="187" t="s">
        <v>1516</v>
      </c>
      <c r="K1781" s="188"/>
      <c r="L1781" s="188"/>
      <c r="M1781" s="189" t="s">
        <v>1500</v>
      </c>
      <c r="N1781" s="190">
        <v>6224.4</v>
      </c>
      <c r="O1781" s="190">
        <f t="shared" si="219"/>
        <v>6784.6</v>
      </c>
      <c r="P1781" s="191">
        <f t="shared" si="220"/>
        <v>0</v>
      </c>
      <c r="Q1781" s="192">
        <f t="shared" si="221"/>
        <v>0</v>
      </c>
      <c r="R1781" s="193"/>
      <c r="S1781" s="194"/>
      <c r="T1781" s="195">
        <f t="shared" si="222"/>
        <v>0</v>
      </c>
      <c r="U1781" s="195">
        <f t="shared" si="223"/>
        <v>0</v>
      </c>
      <c r="V1781" s="195">
        <f t="shared" si="224"/>
        <v>0</v>
      </c>
      <c r="W1781" s="196" t="e">
        <f t="shared" si="225"/>
        <v>#DIV/0!</v>
      </c>
      <c r="X1781" s="197" t="e">
        <f t="shared" si="226"/>
        <v>#DIV/0!</v>
      </c>
    </row>
    <row r="1782" ht="11.4" hidden="1" customHeight="1" spans="1:24">
      <c r="A1782" s="184" t="s">
        <v>3190</v>
      </c>
      <c r="B1782" s="184" t="s">
        <v>417</v>
      </c>
      <c r="C1782" s="184" t="s">
        <v>416</v>
      </c>
      <c r="D1782" s="185" t="s">
        <v>704</v>
      </c>
      <c r="E1782" s="186" t="s">
        <v>906</v>
      </c>
      <c r="F1782" s="186" t="s">
        <v>907</v>
      </c>
      <c r="G1782" s="186" t="s">
        <v>1102</v>
      </c>
      <c r="H1782" s="186" t="s">
        <v>1425</v>
      </c>
      <c r="I1782" s="187" t="s">
        <v>1517</v>
      </c>
      <c r="J1782" s="187" t="s">
        <v>1518</v>
      </c>
      <c r="K1782" s="188"/>
      <c r="L1782" s="188"/>
      <c r="M1782" s="189" t="s">
        <v>1500</v>
      </c>
      <c r="N1782" s="190">
        <v>3400.95</v>
      </c>
      <c r="O1782" s="190">
        <f t="shared" si="219"/>
        <v>3707.04</v>
      </c>
      <c r="P1782" s="191">
        <f t="shared" si="220"/>
        <v>0</v>
      </c>
      <c r="Q1782" s="192">
        <f t="shared" si="221"/>
        <v>0</v>
      </c>
      <c r="R1782" s="193"/>
      <c r="S1782" s="194"/>
      <c r="T1782" s="195">
        <f t="shared" si="222"/>
        <v>0</v>
      </c>
      <c r="U1782" s="195">
        <f t="shared" si="223"/>
        <v>0</v>
      </c>
      <c r="V1782" s="195">
        <f t="shared" si="224"/>
        <v>0</v>
      </c>
      <c r="W1782" s="196" t="e">
        <f t="shared" si="225"/>
        <v>#DIV/0!</v>
      </c>
      <c r="X1782" s="197" t="e">
        <f t="shared" si="226"/>
        <v>#DIV/0!</v>
      </c>
    </row>
    <row r="1783" ht="11.4" hidden="1" customHeight="1" spans="1:24">
      <c r="A1783" s="184" t="s">
        <v>3188</v>
      </c>
      <c r="B1783" s="184" t="s">
        <v>117</v>
      </c>
      <c r="C1783" s="184" t="s">
        <v>1101</v>
      </c>
      <c r="D1783" s="185" t="s">
        <v>704</v>
      </c>
      <c r="E1783" s="186" t="s">
        <v>906</v>
      </c>
      <c r="F1783" s="186" t="s">
        <v>907</v>
      </c>
      <c r="G1783" s="186" t="s">
        <v>1102</v>
      </c>
      <c r="H1783" s="186" t="s">
        <v>1425</v>
      </c>
      <c r="I1783" s="187" t="s">
        <v>1531</v>
      </c>
      <c r="J1783" s="187" t="s">
        <v>1532</v>
      </c>
      <c r="K1783" s="188"/>
      <c r="L1783" s="188"/>
      <c r="M1783" s="189" t="s">
        <v>1500</v>
      </c>
      <c r="N1783" s="190">
        <v>539.86</v>
      </c>
      <c r="O1783" s="190">
        <f t="shared" si="219"/>
        <v>588.45</v>
      </c>
      <c r="P1783" s="191">
        <f t="shared" si="220"/>
        <v>0</v>
      </c>
      <c r="Q1783" s="192">
        <f t="shared" si="221"/>
        <v>0</v>
      </c>
      <c r="R1783" s="193"/>
      <c r="S1783" s="194"/>
      <c r="T1783" s="195">
        <f t="shared" si="222"/>
        <v>0</v>
      </c>
      <c r="U1783" s="195">
        <f t="shared" si="223"/>
        <v>0</v>
      </c>
      <c r="V1783" s="195">
        <f t="shared" si="224"/>
        <v>0</v>
      </c>
      <c r="W1783" s="196" t="e">
        <f t="shared" si="225"/>
        <v>#DIV/0!</v>
      </c>
      <c r="X1783" s="197" t="e">
        <f t="shared" si="226"/>
        <v>#DIV/0!</v>
      </c>
    </row>
    <row r="1784" ht="11.4" hidden="1" customHeight="1" spans="1:24">
      <c r="A1784" s="184" t="s">
        <v>3188</v>
      </c>
      <c r="B1784" s="184" t="s">
        <v>117</v>
      </c>
      <c r="C1784" s="184" t="s">
        <v>1101</v>
      </c>
      <c r="D1784" s="185" t="s">
        <v>704</v>
      </c>
      <c r="E1784" s="186" t="s">
        <v>906</v>
      </c>
      <c r="F1784" s="186" t="s">
        <v>907</v>
      </c>
      <c r="G1784" s="186" t="s">
        <v>1102</v>
      </c>
      <c r="H1784" s="186" t="s">
        <v>1425</v>
      </c>
      <c r="I1784" s="187" t="s">
        <v>1533</v>
      </c>
      <c r="J1784" s="187" t="s">
        <v>1534</v>
      </c>
      <c r="K1784" s="188"/>
      <c r="L1784" s="188"/>
      <c r="M1784" s="189" t="s">
        <v>1500</v>
      </c>
      <c r="N1784" s="190">
        <v>311.29</v>
      </c>
      <c r="O1784" s="190">
        <f t="shared" si="219"/>
        <v>339.31</v>
      </c>
      <c r="P1784" s="191">
        <f t="shared" si="220"/>
        <v>0</v>
      </c>
      <c r="Q1784" s="192">
        <f t="shared" si="221"/>
        <v>0</v>
      </c>
      <c r="R1784" s="193"/>
      <c r="S1784" s="194"/>
      <c r="T1784" s="195">
        <f t="shared" si="222"/>
        <v>0</v>
      </c>
      <c r="U1784" s="195">
        <f t="shared" si="223"/>
        <v>0</v>
      </c>
      <c r="V1784" s="195">
        <f t="shared" si="224"/>
        <v>0</v>
      </c>
      <c r="W1784" s="196" t="e">
        <f t="shared" si="225"/>
        <v>#DIV/0!</v>
      </c>
      <c r="X1784" s="197" t="e">
        <f t="shared" si="226"/>
        <v>#DIV/0!</v>
      </c>
    </row>
    <row r="1785" ht="11.4" hidden="1" customHeight="1" spans="1:24">
      <c r="A1785" s="184" t="s">
        <v>3188</v>
      </c>
      <c r="B1785" s="184" t="s">
        <v>117</v>
      </c>
      <c r="C1785" s="184" t="s">
        <v>1101</v>
      </c>
      <c r="D1785" s="185" t="s">
        <v>704</v>
      </c>
      <c r="E1785" s="186" t="s">
        <v>906</v>
      </c>
      <c r="F1785" s="186" t="s">
        <v>907</v>
      </c>
      <c r="G1785" s="186" t="s">
        <v>1102</v>
      </c>
      <c r="H1785" s="186" t="s">
        <v>1425</v>
      </c>
      <c r="I1785" s="187" t="s">
        <v>1535</v>
      </c>
      <c r="J1785" s="187" t="s">
        <v>1536</v>
      </c>
      <c r="K1785" s="188"/>
      <c r="L1785" s="188"/>
      <c r="M1785" s="189" t="s">
        <v>807</v>
      </c>
      <c r="N1785" s="190">
        <v>308.83</v>
      </c>
      <c r="O1785" s="190">
        <f t="shared" si="219"/>
        <v>336.62</v>
      </c>
      <c r="P1785" s="191">
        <f t="shared" si="220"/>
        <v>0</v>
      </c>
      <c r="Q1785" s="192">
        <f t="shared" si="221"/>
        <v>0</v>
      </c>
      <c r="R1785" s="193"/>
      <c r="S1785" s="194"/>
      <c r="T1785" s="195">
        <f t="shared" si="222"/>
        <v>0</v>
      </c>
      <c r="U1785" s="195">
        <f t="shared" si="223"/>
        <v>0</v>
      </c>
      <c r="V1785" s="195">
        <f t="shared" si="224"/>
        <v>0</v>
      </c>
      <c r="W1785" s="196" t="e">
        <f t="shared" si="225"/>
        <v>#DIV/0!</v>
      </c>
      <c r="X1785" s="197" t="e">
        <f t="shared" si="226"/>
        <v>#DIV/0!</v>
      </c>
    </row>
    <row r="1786" ht="11.4" hidden="1" customHeight="1" spans="1:24">
      <c r="A1786" s="184" t="s">
        <v>3191</v>
      </c>
      <c r="B1786" s="184" t="s">
        <v>119</v>
      </c>
      <c r="C1786" s="184" t="s">
        <v>1101</v>
      </c>
      <c r="D1786" s="185" t="s">
        <v>704</v>
      </c>
      <c r="E1786" s="186" t="s">
        <v>906</v>
      </c>
      <c r="F1786" s="186" t="s">
        <v>907</v>
      </c>
      <c r="G1786" s="186" t="s">
        <v>1102</v>
      </c>
      <c r="H1786" s="186" t="s">
        <v>545</v>
      </c>
      <c r="I1786" s="187" t="s">
        <v>1539</v>
      </c>
      <c r="J1786" s="187" t="s">
        <v>1540</v>
      </c>
      <c r="K1786" s="188"/>
      <c r="L1786" s="188"/>
      <c r="M1786" s="189" t="s">
        <v>807</v>
      </c>
      <c r="N1786" s="190">
        <v>4211.65</v>
      </c>
      <c r="O1786" s="190">
        <f t="shared" si="219"/>
        <v>4590.7</v>
      </c>
      <c r="P1786" s="191">
        <f t="shared" si="220"/>
        <v>0</v>
      </c>
      <c r="Q1786" s="192">
        <f t="shared" si="221"/>
        <v>0</v>
      </c>
      <c r="R1786" s="193"/>
      <c r="S1786" s="194"/>
      <c r="T1786" s="195">
        <f t="shared" si="222"/>
        <v>0</v>
      </c>
      <c r="U1786" s="195">
        <f t="shared" si="223"/>
        <v>0</v>
      </c>
      <c r="V1786" s="195">
        <f t="shared" si="224"/>
        <v>0</v>
      </c>
      <c r="W1786" s="196" t="e">
        <f t="shared" si="225"/>
        <v>#DIV/0!</v>
      </c>
      <c r="X1786" s="197" t="e">
        <f t="shared" si="226"/>
        <v>#DIV/0!</v>
      </c>
    </row>
    <row r="1787" ht="11.4" hidden="1" customHeight="1" spans="1:24">
      <c r="A1787" s="184" t="s">
        <v>3191</v>
      </c>
      <c r="B1787" s="184" t="s">
        <v>119</v>
      </c>
      <c r="C1787" s="184" t="s">
        <v>1101</v>
      </c>
      <c r="D1787" s="185" t="s">
        <v>704</v>
      </c>
      <c r="E1787" s="186" t="s">
        <v>906</v>
      </c>
      <c r="F1787" s="186" t="s">
        <v>907</v>
      </c>
      <c r="G1787" s="186" t="s">
        <v>1102</v>
      </c>
      <c r="H1787" s="186" t="s">
        <v>545</v>
      </c>
      <c r="I1787" s="187" t="s">
        <v>1541</v>
      </c>
      <c r="J1787" s="187" t="s">
        <v>1542</v>
      </c>
      <c r="K1787" s="188"/>
      <c r="L1787" s="188"/>
      <c r="M1787" s="189" t="s">
        <v>793</v>
      </c>
      <c r="N1787" s="190">
        <v>1130</v>
      </c>
      <c r="O1787" s="190">
        <f t="shared" si="219"/>
        <v>1231.7</v>
      </c>
      <c r="P1787" s="191">
        <f t="shared" si="220"/>
        <v>0</v>
      </c>
      <c r="Q1787" s="192">
        <f t="shared" si="221"/>
        <v>0</v>
      </c>
      <c r="R1787" s="193"/>
      <c r="S1787" s="194"/>
      <c r="T1787" s="195">
        <f t="shared" si="222"/>
        <v>0</v>
      </c>
      <c r="U1787" s="195">
        <f t="shared" si="223"/>
        <v>0</v>
      </c>
      <c r="V1787" s="195">
        <f t="shared" si="224"/>
        <v>0</v>
      </c>
      <c r="W1787" s="196" t="e">
        <f t="shared" si="225"/>
        <v>#DIV/0!</v>
      </c>
      <c r="X1787" s="197" t="e">
        <f t="shared" si="226"/>
        <v>#DIV/0!</v>
      </c>
    </row>
    <row r="1788" ht="11.4" hidden="1" customHeight="1" spans="1:24">
      <c r="A1788" s="184" t="s">
        <v>3192</v>
      </c>
      <c r="B1788" s="184" t="s">
        <v>121</v>
      </c>
      <c r="C1788" s="184" t="s">
        <v>1101</v>
      </c>
      <c r="D1788" s="185" t="s">
        <v>704</v>
      </c>
      <c r="E1788" s="186" t="s">
        <v>906</v>
      </c>
      <c r="F1788" s="186" t="s">
        <v>907</v>
      </c>
      <c r="G1788" s="186" t="s">
        <v>1102</v>
      </c>
      <c r="H1788" s="186" t="s">
        <v>1544</v>
      </c>
      <c r="I1788" s="187" t="s">
        <v>1104</v>
      </c>
      <c r="J1788" s="187" t="s">
        <v>1105</v>
      </c>
      <c r="K1788" s="188"/>
      <c r="L1788" s="188"/>
      <c r="M1788" s="189" t="s">
        <v>847</v>
      </c>
      <c r="N1788" s="190">
        <v>180.78</v>
      </c>
      <c r="O1788" s="190">
        <f t="shared" si="219"/>
        <v>197.05</v>
      </c>
      <c r="P1788" s="191">
        <f t="shared" si="220"/>
        <v>0</v>
      </c>
      <c r="Q1788" s="192">
        <f t="shared" si="221"/>
        <v>0</v>
      </c>
      <c r="R1788" s="193"/>
      <c r="S1788" s="194"/>
      <c r="T1788" s="195">
        <f t="shared" si="222"/>
        <v>0</v>
      </c>
      <c r="U1788" s="195">
        <f t="shared" si="223"/>
        <v>0</v>
      </c>
      <c r="V1788" s="195">
        <f t="shared" si="224"/>
        <v>0</v>
      </c>
      <c r="W1788" s="196" t="e">
        <f t="shared" si="225"/>
        <v>#DIV/0!</v>
      </c>
      <c r="X1788" s="197" t="e">
        <f t="shared" si="226"/>
        <v>#DIV/0!</v>
      </c>
    </row>
    <row r="1789" ht="11.4" hidden="1" customHeight="1" spans="1:24">
      <c r="A1789" s="184" t="s">
        <v>3192</v>
      </c>
      <c r="B1789" s="184" t="s">
        <v>121</v>
      </c>
      <c r="C1789" s="184" t="s">
        <v>1101</v>
      </c>
      <c r="D1789" s="185" t="s">
        <v>704</v>
      </c>
      <c r="E1789" s="186" t="s">
        <v>906</v>
      </c>
      <c r="F1789" s="186" t="s">
        <v>907</v>
      </c>
      <c r="G1789" s="186" t="s">
        <v>1102</v>
      </c>
      <c r="H1789" s="186" t="s">
        <v>1544</v>
      </c>
      <c r="I1789" s="187" t="s">
        <v>1106</v>
      </c>
      <c r="J1789" s="187" t="s">
        <v>1107</v>
      </c>
      <c r="K1789" s="188"/>
      <c r="L1789" s="188"/>
      <c r="M1789" s="189" t="s">
        <v>807</v>
      </c>
      <c r="N1789" s="190">
        <v>41.36</v>
      </c>
      <c r="O1789" s="190">
        <f t="shared" si="219"/>
        <v>45.08</v>
      </c>
      <c r="P1789" s="191">
        <f t="shared" si="220"/>
        <v>0</v>
      </c>
      <c r="Q1789" s="192">
        <f t="shared" si="221"/>
        <v>0</v>
      </c>
      <c r="R1789" s="193"/>
      <c r="S1789" s="194"/>
      <c r="T1789" s="195">
        <f t="shared" si="222"/>
        <v>0</v>
      </c>
      <c r="U1789" s="195">
        <f t="shared" si="223"/>
        <v>0</v>
      </c>
      <c r="V1789" s="195">
        <f t="shared" si="224"/>
        <v>0</v>
      </c>
      <c r="W1789" s="196" t="e">
        <f t="shared" si="225"/>
        <v>#DIV/0!</v>
      </c>
      <c r="X1789" s="197" t="e">
        <f t="shared" si="226"/>
        <v>#DIV/0!</v>
      </c>
    </row>
    <row r="1790" ht="11.4" hidden="1" customHeight="1" spans="1:24">
      <c r="A1790" s="184" t="s">
        <v>3192</v>
      </c>
      <c r="B1790" s="184" t="s">
        <v>121</v>
      </c>
      <c r="C1790" s="184" t="s">
        <v>1101</v>
      </c>
      <c r="D1790" s="185" t="s">
        <v>704</v>
      </c>
      <c r="E1790" s="186" t="s">
        <v>906</v>
      </c>
      <c r="F1790" s="186" t="s">
        <v>907</v>
      </c>
      <c r="G1790" s="186" t="s">
        <v>1102</v>
      </c>
      <c r="H1790" s="186" t="s">
        <v>1544</v>
      </c>
      <c r="I1790" s="187" t="s">
        <v>1109</v>
      </c>
      <c r="J1790" s="187" t="s">
        <v>1110</v>
      </c>
      <c r="K1790" s="188"/>
      <c r="L1790" s="188"/>
      <c r="M1790" s="189" t="s">
        <v>847</v>
      </c>
      <c r="N1790" s="190">
        <v>160.21</v>
      </c>
      <c r="O1790" s="190">
        <f t="shared" si="219"/>
        <v>174.63</v>
      </c>
      <c r="P1790" s="191">
        <f t="shared" si="220"/>
        <v>0</v>
      </c>
      <c r="Q1790" s="192">
        <f t="shared" si="221"/>
        <v>0</v>
      </c>
      <c r="R1790" s="193"/>
      <c r="S1790" s="194"/>
      <c r="T1790" s="195">
        <f t="shared" si="222"/>
        <v>0</v>
      </c>
      <c r="U1790" s="195">
        <f t="shared" si="223"/>
        <v>0</v>
      </c>
      <c r="V1790" s="195">
        <f t="shared" si="224"/>
        <v>0</v>
      </c>
      <c r="W1790" s="196" t="e">
        <f t="shared" si="225"/>
        <v>#DIV/0!</v>
      </c>
      <c r="X1790" s="197" t="e">
        <f t="shared" si="226"/>
        <v>#DIV/0!</v>
      </c>
    </row>
    <row r="1791" ht="11.4" hidden="1" customHeight="1" spans="1:24">
      <c r="A1791" s="184" t="s">
        <v>3192</v>
      </c>
      <c r="B1791" s="184" t="s">
        <v>121</v>
      </c>
      <c r="C1791" s="184" t="s">
        <v>1101</v>
      </c>
      <c r="D1791" s="185" t="s">
        <v>704</v>
      </c>
      <c r="E1791" s="186" t="s">
        <v>906</v>
      </c>
      <c r="F1791" s="186" t="s">
        <v>907</v>
      </c>
      <c r="G1791" s="186" t="s">
        <v>1102</v>
      </c>
      <c r="H1791" s="186" t="s">
        <v>1544</v>
      </c>
      <c r="I1791" s="187" t="s">
        <v>1111</v>
      </c>
      <c r="J1791" s="187" t="s">
        <v>1112</v>
      </c>
      <c r="K1791" s="188"/>
      <c r="L1791" s="188"/>
      <c r="M1791" s="189" t="s">
        <v>807</v>
      </c>
      <c r="N1791" s="190">
        <v>38.94</v>
      </c>
      <c r="O1791" s="190">
        <f t="shared" si="219"/>
        <v>42.44</v>
      </c>
      <c r="P1791" s="191">
        <f t="shared" si="220"/>
        <v>0</v>
      </c>
      <c r="Q1791" s="192">
        <f t="shared" si="221"/>
        <v>0</v>
      </c>
      <c r="R1791" s="193"/>
      <c r="S1791" s="194"/>
      <c r="T1791" s="195">
        <f t="shared" si="222"/>
        <v>0</v>
      </c>
      <c r="U1791" s="195">
        <f t="shared" si="223"/>
        <v>0</v>
      </c>
      <c r="V1791" s="195">
        <f t="shared" si="224"/>
        <v>0</v>
      </c>
      <c r="W1791" s="196" t="e">
        <f t="shared" si="225"/>
        <v>#DIV/0!</v>
      </c>
      <c r="X1791" s="197" t="e">
        <f t="shared" si="226"/>
        <v>#DIV/0!</v>
      </c>
    </row>
    <row r="1792" ht="11.4" hidden="1" customHeight="1" spans="1:24">
      <c r="A1792" s="184" t="s">
        <v>3192</v>
      </c>
      <c r="B1792" s="184" t="s">
        <v>121</v>
      </c>
      <c r="C1792" s="184" t="s">
        <v>1101</v>
      </c>
      <c r="D1792" s="185" t="s">
        <v>704</v>
      </c>
      <c r="E1792" s="186" t="s">
        <v>906</v>
      </c>
      <c r="F1792" s="186" t="s">
        <v>907</v>
      </c>
      <c r="G1792" s="186" t="s">
        <v>1102</v>
      </c>
      <c r="H1792" s="186" t="s">
        <v>1544</v>
      </c>
      <c r="I1792" s="187" t="s">
        <v>1113</v>
      </c>
      <c r="J1792" s="187" t="s">
        <v>1114</v>
      </c>
      <c r="K1792" s="188"/>
      <c r="L1792" s="188"/>
      <c r="M1792" s="189" t="s">
        <v>847</v>
      </c>
      <c r="N1792" s="190">
        <v>181.99</v>
      </c>
      <c r="O1792" s="190">
        <f t="shared" si="219"/>
        <v>198.37</v>
      </c>
      <c r="P1792" s="191">
        <f t="shared" si="220"/>
        <v>0</v>
      </c>
      <c r="Q1792" s="192">
        <f t="shared" si="221"/>
        <v>0</v>
      </c>
      <c r="R1792" s="193"/>
      <c r="S1792" s="194"/>
      <c r="T1792" s="195">
        <f t="shared" si="222"/>
        <v>0</v>
      </c>
      <c r="U1792" s="195">
        <f t="shared" si="223"/>
        <v>0</v>
      </c>
      <c r="V1792" s="195">
        <f t="shared" si="224"/>
        <v>0</v>
      </c>
      <c r="W1792" s="196" t="e">
        <f t="shared" si="225"/>
        <v>#DIV/0!</v>
      </c>
      <c r="X1792" s="197" t="e">
        <f t="shared" si="226"/>
        <v>#DIV/0!</v>
      </c>
    </row>
    <row r="1793" ht="11.4" hidden="1" customHeight="1" spans="1:24">
      <c r="A1793" s="184" t="s">
        <v>3192</v>
      </c>
      <c r="B1793" s="184" t="s">
        <v>121</v>
      </c>
      <c r="C1793" s="184" t="s">
        <v>1101</v>
      </c>
      <c r="D1793" s="185" t="s">
        <v>704</v>
      </c>
      <c r="E1793" s="186" t="s">
        <v>906</v>
      </c>
      <c r="F1793" s="186" t="s">
        <v>907</v>
      </c>
      <c r="G1793" s="186" t="s">
        <v>1102</v>
      </c>
      <c r="H1793" s="186" t="s">
        <v>1544</v>
      </c>
      <c r="I1793" s="187" t="s">
        <v>1115</v>
      </c>
      <c r="J1793" s="187" t="s">
        <v>1116</v>
      </c>
      <c r="K1793" s="188"/>
      <c r="L1793" s="188"/>
      <c r="M1793" s="189" t="s">
        <v>807</v>
      </c>
      <c r="N1793" s="190">
        <v>42.57</v>
      </c>
      <c r="O1793" s="190">
        <f t="shared" si="219"/>
        <v>46.4</v>
      </c>
      <c r="P1793" s="191">
        <f t="shared" si="220"/>
        <v>0</v>
      </c>
      <c r="Q1793" s="192">
        <f t="shared" si="221"/>
        <v>0</v>
      </c>
      <c r="R1793" s="193"/>
      <c r="S1793" s="194"/>
      <c r="T1793" s="195">
        <f t="shared" si="222"/>
        <v>0</v>
      </c>
      <c r="U1793" s="195">
        <f t="shared" si="223"/>
        <v>0</v>
      </c>
      <c r="V1793" s="195">
        <f t="shared" si="224"/>
        <v>0</v>
      </c>
      <c r="W1793" s="196" t="e">
        <f t="shared" si="225"/>
        <v>#DIV/0!</v>
      </c>
      <c r="X1793" s="197" t="e">
        <f t="shared" si="226"/>
        <v>#DIV/0!</v>
      </c>
    </row>
    <row r="1794" ht="11.4" hidden="1" customHeight="1" spans="1:24">
      <c r="A1794" s="184" t="s">
        <v>3192</v>
      </c>
      <c r="B1794" s="184" t="s">
        <v>121</v>
      </c>
      <c r="C1794" s="184" t="s">
        <v>1101</v>
      </c>
      <c r="D1794" s="185" t="s">
        <v>704</v>
      </c>
      <c r="E1794" s="186" t="s">
        <v>906</v>
      </c>
      <c r="F1794" s="186" t="s">
        <v>907</v>
      </c>
      <c r="G1794" s="186" t="s">
        <v>1102</v>
      </c>
      <c r="H1794" s="186" t="s">
        <v>1544</v>
      </c>
      <c r="I1794" s="187" t="s">
        <v>1117</v>
      </c>
      <c r="J1794" s="187" t="s">
        <v>1118</v>
      </c>
      <c r="K1794" s="188"/>
      <c r="L1794" s="188"/>
      <c r="M1794" s="189" t="s">
        <v>847</v>
      </c>
      <c r="N1794" s="190">
        <v>187.98</v>
      </c>
      <c r="O1794" s="190">
        <f t="shared" si="219"/>
        <v>204.9</v>
      </c>
      <c r="P1794" s="191">
        <f t="shared" si="220"/>
        <v>0</v>
      </c>
      <c r="Q1794" s="192">
        <f t="shared" si="221"/>
        <v>0</v>
      </c>
      <c r="R1794" s="193"/>
      <c r="S1794" s="194"/>
      <c r="T1794" s="195">
        <f t="shared" si="222"/>
        <v>0</v>
      </c>
      <c r="U1794" s="195">
        <f t="shared" si="223"/>
        <v>0</v>
      </c>
      <c r="V1794" s="195">
        <f t="shared" si="224"/>
        <v>0</v>
      </c>
      <c r="W1794" s="196" t="e">
        <f t="shared" si="225"/>
        <v>#DIV/0!</v>
      </c>
      <c r="X1794" s="197" t="e">
        <f t="shared" si="226"/>
        <v>#DIV/0!</v>
      </c>
    </row>
    <row r="1795" ht="11.4" hidden="1" customHeight="1" spans="1:24">
      <c r="A1795" s="184" t="s">
        <v>3192</v>
      </c>
      <c r="B1795" s="184" t="s">
        <v>121</v>
      </c>
      <c r="C1795" s="184" t="s">
        <v>1101</v>
      </c>
      <c r="D1795" s="185" t="s">
        <v>704</v>
      </c>
      <c r="E1795" s="186" t="s">
        <v>906</v>
      </c>
      <c r="F1795" s="186" t="s">
        <v>907</v>
      </c>
      <c r="G1795" s="186" t="s">
        <v>1102</v>
      </c>
      <c r="H1795" s="186" t="s">
        <v>1544</v>
      </c>
      <c r="I1795" s="187" t="s">
        <v>1119</v>
      </c>
      <c r="J1795" s="187" t="s">
        <v>1120</v>
      </c>
      <c r="K1795" s="188"/>
      <c r="L1795" s="188"/>
      <c r="M1795" s="189" t="s">
        <v>847</v>
      </c>
      <c r="N1795" s="190">
        <v>171.66</v>
      </c>
      <c r="O1795" s="190">
        <f t="shared" si="219"/>
        <v>187.11</v>
      </c>
      <c r="P1795" s="191">
        <f t="shared" si="220"/>
        <v>0</v>
      </c>
      <c r="Q1795" s="192">
        <f t="shared" si="221"/>
        <v>0</v>
      </c>
      <c r="R1795" s="193"/>
      <c r="S1795" s="194"/>
      <c r="T1795" s="195">
        <f t="shared" si="222"/>
        <v>0</v>
      </c>
      <c r="U1795" s="195">
        <f t="shared" si="223"/>
        <v>0</v>
      </c>
      <c r="V1795" s="195">
        <f t="shared" si="224"/>
        <v>0</v>
      </c>
      <c r="W1795" s="196" t="e">
        <f t="shared" si="225"/>
        <v>#DIV/0!</v>
      </c>
      <c r="X1795" s="197" t="e">
        <f t="shared" si="226"/>
        <v>#DIV/0!</v>
      </c>
    </row>
    <row r="1796" ht="11.4" hidden="1" customHeight="1" spans="1:24">
      <c r="A1796" s="184" t="s">
        <v>3192</v>
      </c>
      <c r="B1796" s="184" t="s">
        <v>121</v>
      </c>
      <c r="C1796" s="184" t="s">
        <v>1101</v>
      </c>
      <c r="D1796" s="185" t="s">
        <v>704</v>
      </c>
      <c r="E1796" s="186" t="s">
        <v>906</v>
      </c>
      <c r="F1796" s="186" t="s">
        <v>907</v>
      </c>
      <c r="G1796" s="186" t="s">
        <v>1102</v>
      </c>
      <c r="H1796" s="186" t="s">
        <v>1544</v>
      </c>
      <c r="I1796" s="187" t="s">
        <v>1121</v>
      </c>
      <c r="J1796" s="187" t="s">
        <v>1122</v>
      </c>
      <c r="K1796" s="188"/>
      <c r="L1796" s="188"/>
      <c r="M1796" s="189" t="s">
        <v>847</v>
      </c>
      <c r="N1796" s="190">
        <v>189.15</v>
      </c>
      <c r="O1796" s="190">
        <f t="shared" si="219"/>
        <v>206.17</v>
      </c>
      <c r="P1796" s="191">
        <f t="shared" si="220"/>
        <v>0</v>
      </c>
      <c r="Q1796" s="192">
        <f t="shared" si="221"/>
        <v>0</v>
      </c>
      <c r="R1796" s="193"/>
      <c r="S1796" s="194"/>
      <c r="T1796" s="195">
        <f t="shared" si="222"/>
        <v>0</v>
      </c>
      <c r="U1796" s="195">
        <f t="shared" si="223"/>
        <v>0</v>
      </c>
      <c r="V1796" s="195">
        <f t="shared" si="224"/>
        <v>0</v>
      </c>
      <c r="W1796" s="196" t="e">
        <f t="shared" si="225"/>
        <v>#DIV/0!</v>
      </c>
      <c r="X1796" s="197" t="e">
        <f t="shared" si="226"/>
        <v>#DIV/0!</v>
      </c>
    </row>
    <row r="1797" ht="11.4" hidden="1" customHeight="1" spans="1:24">
      <c r="A1797" s="184" t="s">
        <v>3192</v>
      </c>
      <c r="B1797" s="184" t="s">
        <v>121</v>
      </c>
      <c r="C1797" s="184" t="s">
        <v>1101</v>
      </c>
      <c r="D1797" s="185" t="s">
        <v>704</v>
      </c>
      <c r="E1797" s="186" t="s">
        <v>906</v>
      </c>
      <c r="F1797" s="186" t="s">
        <v>907</v>
      </c>
      <c r="G1797" s="186" t="s">
        <v>1102</v>
      </c>
      <c r="H1797" s="186" t="s">
        <v>1544</v>
      </c>
      <c r="I1797" s="187" t="s">
        <v>1123</v>
      </c>
      <c r="J1797" s="187" t="s">
        <v>1124</v>
      </c>
      <c r="K1797" s="188"/>
      <c r="L1797" s="188"/>
      <c r="M1797" s="189" t="s">
        <v>807</v>
      </c>
      <c r="N1797" s="190">
        <v>41.36</v>
      </c>
      <c r="O1797" s="190">
        <f t="shared" si="219"/>
        <v>45.08</v>
      </c>
      <c r="P1797" s="191">
        <f t="shared" si="220"/>
        <v>0</v>
      </c>
      <c r="Q1797" s="192">
        <f t="shared" si="221"/>
        <v>0</v>
      </c>
      <c r="R1797" s="193"/>
      <c r="S1797" s="194"/>
      <c r="T1797" s="195">
        <f t="shared" si="222"/>
        <v>0</v>
      </c>
      <c r="U1797" s="195">
        <f t="shared" si="223"/>
        <v>0</v>
      </c>
      <c r="V1797" s="195">
        <f t="shared" si="224"/>
        <v>0</v>
      </c>
      <c r="W1797" s="196" t="e">
        <f t="shared" si="225"/>
        <v>#DIV/0!</v>
      </c>
      <c r="X1797" s="197" t="e">
        <f t="shared" si="226"/>
        <v>#DIV/0!</v>
      </c>
    </row>
    <row r="1798" ht="11.4" hidden="1" customHeight="1" spans="1:24">
      <c r="A1798" s="184" t="s">
        <v>3192</v>
      </c>
      <c r="B1798" s="184" t="s">
        <v>121</v>
      </c>
      <c r="C1798" s="184" t="s">
        <v>1101</v>
      </c>
      <c r="D1798" s="185" t="s">
        <v>704</v>
      </c>
      <c r="E1798" s="186" t="s">
        <v>906</v>
      </c>
      <c r="F1798" s="186" t="s">
        <v>907</v>
      </c>
      <c r="G1798" s="186" t="s">
        <v>1102</v>
      </c>
      <c r="H1798" s="186" t="s">
        <v>1544</v>
      </c>
      <c r="I1798" s="187" t="s">
        <v>1125</v>
      </c>
      <c r="J1798" s="187" t="s">
        <v>1126</v>
      </c>
      <c r="K1798" s="188"/>
      <c r="L1798" s="188"/>
      <c r="M1798" s="189" t="s">
        <v>807</v>
      </c>
      <c r="N1798" s="190">
        <v>38.94</v>
      </c>
      <c r="O1798" s="190">
        <f t="shared" si="219"/>
        <v>42.44</v>
      </c>
      <c r="P1798" s="191">
        <f t="shared" si="220"/>
        <v>0</v>
      </c>
      <c r="Q1798" s="192">
        <f t="shared" si="221"/>
        <v>0</v>
      </c>
      <c r="R1798" s="193"/>
      <c r="S1798" s="194"/>
      <c r="T1798" s="195">
        <f t="shared" si="222"/>
        <v>0</v>
      </c>
      <c r="U1798" s="195">
        <f t="shared" si="223"/>
        <v>0</v>
      </c>
      <c r="V1798" s="195">
        <f t="shared" si="224"/>
        <v>0</v>
      </c>
      <c r="W1798" s="196" t="e">
        <f t="shared" si="225"/>
        <v>#DIV/0!</v>
      </c>
      <c r="X1798" s="197" t="e">
        <f t="shared" si="226"/>
        <v>#DIV/0!</v>
      </c>
    </row>
    <row r="1799" ht="11.4" hidden="1" customHeight="1" spans="1:24">
      <c r="A1799" s="184" t="s">
        <v>3192</v>
      </c>
      <c r="B1799" s="184" t="s">
        <v>121</v>
      </c>
      <c r="C1799" s="184" t="s">
        <v>1101</v>
      </c>
      <c r="D1799" s="185" t="s">
        <v>704</v>
      </c>
      <c r="E1799" s="186" t="s">
        <v>906</v>
      </c>
      <c r="F1799" s="186" t="s">
        <v>907</v>
      </c>
      <c r="G1799" s="186" t="s">
        <v>1102</v>
      </c>
      <c r="H1799" s="186" t="s">
        <v>1544</v>
      </c>
      <c r="I1799" s="187" t="s">
        <v>1127</v>
      </c>
      <c r="J1799" s="187" t="s">
        <v>1128</v>
      </c>
      <c r="K1799" s="188"/>
      <c r="L1799" s="188"/>
      <c r="M1799" s="189" t="s">
        <v>807</v>
      </c>
      <c r="N1799" s="190">
        <v>40.15</v>
      </c>
      <c r="O1799" s="190">
        <f t="shared" si="219"/>
        <v>43.76</v>
      </c>
      <c r="P1799" s="191">
        <f t="shared" si="220"/>
        <v>0</v>
      </c>
      <c r="Q1799" s="192">
        <f t="shared" si="221"/>
        <v>0</v>
      </c>
      <c r="R1799" s="193"/>
      <c r="S1799" s="194"/>
      <c r="T1799" s="195">
        <f t="shared" si="222"/>
        <v>0</v>
      </c>
      <c r="U1799" s="195">
        <f t="shared" si="223"/>
        <v>0</v>
      </c>
      <c r="V1799" s="195">
        <f t="shared" si="224"/>
        <v>0</v>
      </c>
      <c r="W1799" s="196" t="e">
        <f t="shared" si="225"/>
        <v>#DIV/0!</v>
      </c>
      <c r="X1799" s="197" t="e">
        <f t="shared" si="226"/>
        <v>#DIV/0!</v>
      </c>
    </row>
    <row r="1800" ht="11.4" hidden="1" customHeight="1" spans="1:24">
      <c r="A1800" s="184" t="s">
        <v>3192</v>
      </c>
      <c r="B1800" s="184" t="s">
        <v>121</v>
      </c>
      <c r="C1800" s="184" t="s">
        <v>1101</v>
      </c>
      <c r="D1800" s="185" t="s">
        <v>704</v>
      </c>
      <c r="E1800" s="186" t="s">
        <v>906</v>
      </c>
      <c r="F1800" s="186" t="s">
        <v>907</v>
      </c>
      <c r="G1800" s="186" t="s">
        <v>1102</v>
      </c>
      <c r="H1800" s="186" t="s">
        <v>1544</v>
      </c>
      <c r="I1800" s="187" t="s">
        <v>1141</v>
      </c>
      <c r="J1800" s="187" t="s">
        <v>1142</v>
      </c>
      <c r="K1800" s="188"/>
      <c r="L1800" s="188"/>
      <c r="M1800" s="189" t="s">
        <v>847</v>
      </c>
      <c r="N1800" s="190">
        <v>196.14</v>
      </c>
      <c r="O1800" s="190">
        <f t="shared" si="219"/>
        <v>213.79</v>
      </c>
      <c r="P1800" s="191">
        <f t="shared" si="220"/>
        <v>0</v>
      </c>
      <c r="Q1800" s="192">
        <f t="shared" si="221"/>
        <v>0</v>
      </c>
      <c r="R1800" s="193"/>
      <c r="S1800" s="194"/>
      <c r="T1800" s="195">
        <f t="shared" si="222"/>
        <v>0</v>
      </c>
      <c r="U1800" s="195">
        <f t="shared" si="223"/>
        <v>0</v>
      </c>
      <c r="V1800" s="195">
        <f t="shared" si="224"/>
        <v>0</v>
      </c>
      <c r="W1800" s="196" t="e">
        <f t="shared" si="225"/>
        <v>#DIV/0!</v>
      </c>
      <c r="X1800" s="197" t="e">
        <f t="shared" si="226"/>
        <v>#DIV/0!</v>
      </c>
    </row>
    <row r="1801" ht="11.4" hidden="1" customHeight="1" spans="1:24">
      <c r="A1801" s="184" t="s">
        <v>3192</v>
      </c>
      <c r="B1801" s="184" t="s">
        <v>121</v>
      </c>
      <c r="C1801" s="184" t="s">
        <v>1101</v>
      </c>
      <c r="D1801" s="185" t="s">
        <v>704</v>
      </c>
      <c r="E1801" s="186" t="s">
        <v>906</v>
      </c>
      <c r="F1801" s="186" t="s">
        <v>907</v>
      </c>
      <c r="G1801" s="186" t="s">
        <v>1102</v>
      </c>
      <c r="H1801" s="186" t="s">
        <v>1544</v>
      </c>
      <c r="I1801" s="187" t="s">
        <v>1143</v>
      </c>
      <c r="J1801" s="187" t="s">
        <v>1144</v>
      </c>
      <c r="K1801" s="188"/>
      <c r="L1801" s="188"/>
      <c r="M1801" s="189" t="s">
        <v>807</v>
      </c>
      <c r="N1801" s="190">
        <v>41.47</v>
      </c>
      <c r="O1801" s="190">
        <f t="shared" si="219"/>
        <v>45.2</v>
      </c>
      <c r="P1801" s="191">
        <f t="shared" si="220"/>
        <v>0</v>
      </c>
      <c r="Q1801" s="192">
        <f t="shared" si="221"/>
        <v>0</v>
      </c>
      <c r="R1801" s="193"/>
      <c r="S1801" s="194"/>
      <c r="T1801" s="195">
        <f t="shared" si="222"/>
        <v>0</v>
      </c>
      <c r="U1801" s="195">
        <f t="shared" si="223"/>
        <v>0</v>
      </c>
      <c r="V1801" s="195">
        <f t="shared" si="224"/>
        <v>0</v>
      </c>
      <c r="W1801" s="196" t="e">
        <f t="shared" si="225"/>
        <v>#DIV/0!</v>
      </c>
      <c r="X1801" s="197" t="e">
        <f t="shared" si="226"/>
        <v>#DIV/0!</v>
      </c>
    </row>
    <row r="1802" ht="11.4" hidden="1" customHeight="1" spans="1:24">
      <c r="A1802" s="184" t="s">
        <v>3192</v>
      </c>
      <c r="B1802" s="184" t="s">
        <v>121</v>
      </c>
      <c r="C1802" s="184" t="s">
        <v>1101</v>
      </c>
      <c r="D1802" s="185" t="s">
        <v>704</v>
      </c>
      <c r="E1802" s="186" t="s">
        <v>906</v>
      </c>
      <c r="F1802" s="186" t="s">
        <v>907</v>
      </c>
      <c r="G1802" s="186" t="s">
        <v>1102</v>
      </c>
      <c r="H1802" s="186" t="s">
        <v>1544</v>
      </c>
      <c r="I1802" s="187" t="s">
        <v>1145</v>
      </c>
      <c r="J1802" s="187" t="s">
        <v>1146</v>
      </c>
      <c r="K1802" s="188"/>
      <c r="L1802" s="188"/>
      <c r="M1802" s="189" t="s">
        <v>847</v>
      </c>
      <c r="N1802" s="190">
        <v>179.82</v>
      </c>
      <c r="O1802" s="190">
        <f t="shared" si="219"/>
        <v>196</v>
      </c>
      <c r="P1802" s="191">
        <f t="shared" si="220"/>
        <v>0</v>
      </c>
      <c r="Q1802" s="192">
        <f t="shared" si="221"/>
        <v>0</v>
      </c>
      <c r="R1802" s="193"/>
      <c r="S1802" s="194"/>
      <c r="T1802" s="195">
        <f t="shared" si="222"/>
        <v>0</v>
      </c>
      <c r="U1802" s="195">
        <f t="shared" si="223"/>
        <v>0</v>
      </c>
      <c r="V1802" s="195">
        <f t="shared" si="224"/>
        <v>0</v>
      </c>
      <c r="W1802" s="196" t="e">
        <f t="shared" si="225"/>
        <v>#DIV/0!</v>
      </c>
      <c r="X1802" s="197" t="e">
        <f t="shared" si="226"/>
        <v>#DIV/0!</v>
      </c>
    </row>
    <row r="1803" ht="11.4" hidden="1" customHeight="1" spans="1:24">
      <c r="A1803" s="184" t="s">
        <v>3192</v>
      </c>
      <c r="B1803" s="184" t="s">
        <v>121</v>
      </c>
      <c r="C1803" s="184" t="s">
        <v>1101</v>
      </c>
      <c r="D1803" s="185" t="s">
        <v>704</v>
      </c>
      <c r="E1803" s="186" t="s">
        <v>906</v>
      </c>
      <c r="F1803" s="186" t="s">
        <v>907</v>
      </c>
      <c r="G1803" s="186" t="s">
        <v>1102</v>
      </c>
      <c r="H1803" s="186" t="s">
        <v>1544</v>
      </c>
      <c r="I1803" s="187" t="s">
        <v>1147</v>
      </c>
      <c r="J1803" s="187" t="s">
        <v>1148</v>
      </c>
      <c r="K1803" s="188"/>
      <c r="L1803" s="188"/>
      <c r="M1803" s="189" t="s">
        <v>807</v>
      </c>
      <c r="N1803" s="190">
        <v>37.84</v>
      </c>
      <c r="O1803" s="190">
        <f t="shared" si="219"/>
        <v>41.25</v>
      </c>
      <c r="P1803" s="191">
        <f t="shared" si="220"/>
        <v>0</v>
      </c>
      <c r="Q1803" s="192">
        <f t="shared" si="221"/>
        <v>0</v>
      </c>
      <c r="R1803" s="193"/>
      <c r="S1803" s="194"/>
      <c r="T1803" s="195">
        <f t="shared" si="222"/>
        <v>0</v>
      </c>
      <c r="U1803" s="195">
        <f t="shared" si="223"/>
        <v>0</v>
      </c>
      <c r="V1803" s="195">
        <f t="shared" si="224"/>
        <v>0</v>
      </c>
      <c r="W1803" s="196" t="e">
        <f t="shared" si="225"/>
        <v>#DIV/0!</v>
      </c>
      <c r="X1803" s="197" t="e">
        <f t="shared" si="226"/>
        <v>#DIV/0!</v>
      </c>
    </row>
    <row r="1804" ht="11.4" hidden="1" customHeight="1" spans="1:24">
      <c r="A1804" s="184" t="s">
        <v>3192</v>
      </c>
      <c r="B1804" s="184" t="s">
        <v>121</v>
      </c>
      <c r="C1804" s="184" t="s">
        <v>1101</v>
      </c>
      <c r="D1804" s="185" t="s">
        <v>704</v>
      </c>
      <c r="E1804" s="186" t="s">
        <v>906</v>
      </c>
      <c r="F1804" s="186" t="s">
        <v>907</v>
      </c>
      <c r="G1804" s="186" t="s">
        <v>1102</v>
      </c>
      <c r="H1804" s="186" t="s">
        <v>1544</v>
      </c>
      <c r="I1804" s="187" t="s">
        <v>1149</v>
      </c>
      <c r="J1804" s="187" t="s">
        <v>1150</v>
      </c>
      <c r="K1804" s="188"/>
      <c r="L1804" s="188"/>
      <c r="M1804" s="189" t="s">
        <v>847</v>
      </c>
      <c r="N1804" s="190">
        <v>193.81</v>
      </c>
      <c r="O1804" s="190">
        <f t="shared" si="219"/>
        <v>211.25</v>
      </c>
      <c r="P1804" s="191">
        <f t="shared" si="220"/>
        <v>0</v>
      </c>
      <c r="Q1804" s="192">
        <f t="shared" si="221"/>
        <v>0</v>
      </c>
      <c r="R1804" s="193"/>
      <c r="S1804" s="194"/>
      <c r="T1804" s="195">
        <f t="shared" si="222"/>
        <v>0</v>
      </c>
      <c r="U1804" s="195">
        <f t="shared" si="223"/>
        <v>0</v>
      </c>
      <c r="V1804" s="195">
        <f t="shared" si="224"/>
        <v>0</v>
      </c>
      <c r="W1804" s="196" t="e">
        <f t="shared" si="225"/>
        <v>#DIV/0!</v>
      </c>
      <c r="X1804" s="197" t="e">
        <f t="shared" si="226"/>
        <v>#DIV/0!</v>
      </c>
    </row>
    <row r="1805" ht="11.4" hidden="1" customHeight="1" spans="1:24">
      <c r="A1805" s="184" t="s">
        <v>3192</v>
      </c>
      <c r="B1805" s="184" t="s">
        <v>121</v>
      </c>
      <c r="C1805" s="184" t="s">
        <v>1101</v>
      </c>
      <c r="D1805" s="185" t="s">
        <v>704</v>
      </c>
      <c r="E1805" s="186" t="s">
        <v>906</v>
      </c>
      <c r="F1805" s="186" t="s">
        <v>907</v>
      </c>
      <c r="G1805" s="186" t="s">
        <v>1102</v>
      </c>
      <c r="H1805" s="186" t="s">
        <v>1544</v>
      </c>
      <c r="I1805" s="187" t="s">
        <v>1151</v>
      </c>
      <c r="J1805" s="187" t="s">
        <v>1152</v>
      </c>
      <c r="K1805" s="188"/>
      <c r="L1805" s="188"/>
      <c r="M1805" s="189" t="s">
        <v>807</v>
      </c>
      <c r="N1805" s="190">
        <v>39.05</v>
      </c>
      <c r="O1805" s="190">
        <f t="shared" ref="O1805:O1868" si="227">ROUND(N1805*(1+$F$10),2)</f>
        <v>42.56</v>
      </c>
      <c r="P1805" s="191">
        <f t="shared" ref="P1805:P1868" si="228">ROUND(K1805*N1805,2)</f>
        <v>0</v>
      </c>
      <c r="Q1805" s="192">
        <f t="shared" ref="Q1805:Q1868" si="229">ROUND(L1805*N1805,2)</f>
        <v>0</v>
      </c>
      <c r="R1805" s="193"/>
      <c r="S1805" s="194"/>
      <c r="T1805" s="195">
        <f t="shared" ref="T1805:T1868" si="230">K1805-L1805</f>
        <v>0</v>
      </c>
      <c r="U1805" s="195">
        <f t="shared" ref="U1805:U1868" si="231">P1805-Q1805</f>
        <v>0</v>
      </c>
      <c r="V1805" s="195">
        <f t="shared" ref="V1805:V1868" si="232">ABS(U1805)</f>
        <v>0</v>
      </c>
      <c r="W1805" s="196" t="e">
        <f t="shared" ref="W1805:W1868" si="233">T1805/L1805</f>
        <v>#DIV/0!</v>
      </c>
      <c r="X1805" s="197" t="e">
        <f t="shared" ref="X1805:X1868" si="234">ABS(W1805)</f>
        <v>#DIV/0!</v>
      </c>
    </row>
    <row r="1806" ht="11.4" hidden="1" customHeight="1" spans="1:24">
      <c r="A1806" s="184" t="s">
        <v>3192</v>
      </c>
      <c r="B1806" s="184" t="s">
        <v>121</v>
      </c>
      <c r="C1806" s="184" t="s">
        <v>1101</v>
      </c>
      <c r="D1806" s="185" t="s">
        <v>704</v>
      </c>
      <c r="E1806" s="186" t="s">
        <v>906</v>
      </c>
      <c r="F1806" s="186" t="s">
        <v>907</v>
      </c>
      <c r="G1806" s="186" t="s">
        <v>1102</v>
      </c>
      <c r="H1806" s="186" t="s">
        <v>1546</v>
      </c>
      <c r="I1806" s="187" t="s">
        <v>1547</v>
      </c>
      <c r="J1806" s="187" t="s">
        <v>1548</v>
      </c>
      <c r="K1806" s="188"/>
      <c r="L1806" s="188"/>
      <c r="M1806" s="189" t="s">
        <v>847</v>
      </c>
      <c r="N1806" s="190">
        <v>167.98</v>
      </c>
      <c r="O1806" s="190">
        <f t="shared" si="227"/>
        <v>183.1</v>
      </c>
      <c r="P1806" s="191">
        <f t="shared" si="228"/>
        <v>0</v>
      </c>
      <c r="Q1806" s="192">
        <f t="shared" si="229"/>
        <v>0</v>
      </c>
      <c r="R1806" s="193"/>
      <c r="S1806" s="194"/>
      <c r="T1806" s="195">
        <f t="shared" si="230"/>
        <v>0</v>
      </c>
      <c r="U1806" s="195">
        <f t="shared" si="231"/>
        <v>0</v>
      </c>
      <c r="V1806" s="195">
        <f t="shared" si="232"/>
        <v>0</v>
      </c>
      <c r="W1806" s="196" t="e">
        <f t="shared" si="233"/>
        <v>#DIV/0!</v>
      </c>
      <c r="X1806" s="197" t="e">
        <f t="shared" si="234"/>
        <v>#DIV/0!</v>
      </c>
    </row>
    <row r="1807" ht="11.4" hidden="1" customHeight="1" spans="1:24">
      <c r="A1807" s="184" t="s">
        <v>3192</v>
      </c>
      <c r="B1807" s="184" t="s">
        <v>121</v>
      </c>
      <c r="C1807" s="184" t="s">
        <v>1101</v>
      </c>
      <c r="D1807" s="185" t="s">
        <v>704</v>
      </c>
      <c r="E1807" s="186" t="s">
        <v>906</v>
      </c>
      <c r="F1807" s="186" t="s">
        <v>907</v>
      </c>
      <c r="G1807" s="186" t="s">
        <v>1102</v>
      </c>
      <c r="H1807" s="186" t="s">
        <v>1546</v>
      </c>
      <c r="I1807" s="187" t="s">
        <v>1549</v>
      </c>
      <c r="J1807" s="187" t="s">
        <v>1550</v>
      </c>
      <c r="K1807" s="188"/>
      <c r="L1807" s="188"/>
      <c r="M1807" s="189" t="s">
        <v>847</v>
      </c>
      <c r="N1807" s="190">
        <v>147.41</v>
      </c>
      <c r="O1807" s="190">
        <f t="shared" si="227"/>
        <v>160.68</v>
      </c>
      <c r="P1807" s="191">
        <f t="shared" si="228"/>
        <v>0</v>
      </c>
      <c r="Q1807" s="192">
        <f t="shared" si="229"/>
        <v>0</v>
      </c>
      <c r="R1807" s="193"/>
      <c r="S1807" s="194"/>
      <c r="T1807" s="195">
        <f t="shared" si="230"/>
        <v>0</v>
      </c>
      <c r="U1807" s="195">
        <f t="shared" si="231"/>
        <v>0</v>
      </c>
      <c r="V1807" s="195">
        <f t="shared" si="232"/>
        <v>0</v>
      </c>
      <c r="W1807" s="196" t="e">
        <f t="shared" si="233"/>
        <v>#DIV/0!</v>
      </c>
      <c r="X1807" s="197" t="e">
        <f t="shared" si="234"/>
        <v>#DIV/0!</v>
      </c>
    </row>
    <row r="1808" ht="11.4" hidden="1" customHeight="1" spans="1:24">
      <c r="A1808" s="184" t="s">
        <v>3192</v>
      </c>
      <c r="B1808" s="184" t="s">
        <v>121</v>
      </c>
      <c r="C1808" s="184" t="s">
        <v>1101</v>
      </c>
      <c r="D1808" s="185" t="s">
        <v>704</v>
      </c>
      <c r="E1808" s="186" t="s">
        <v>906</v>
      </c>
      <c r="F1808" s="186" t="s">
        <v>907</v>
      </c>
      <c r="G1808" s="186" t="s">
        <v>1102</v>
      </c>
      <c r="H1808" s="186" t="s">
        <v>1546</v>
      </c>
      <c r="I1808" s="187" t="s">
        <v>1551</v>
      </c>
      <c r="J1808" s="187" t="s">
        <v>1552</v>
      </c>
      <c r="K1808" s="188"/>
      <c r="L1808" s="188"/>
      <c r="M1808" s="189" t="s">
        <v>847</v>
      </c>
      <c r="N1808" s="190">
        <v>169.19</v>
      </c>
      <c r="O1808" s="190">
        <f t="shared" si="227"/>
        <v>184.42</v>
      </c>
      <c r="P1808" s="191">
        <f t="shared" si="228"/>
        <v>0</v>
      </c>
      <c r="Q1808" s="192">
        <f t="shared" si="229"/>
        <v>0</v>
      </c>
      <c r="R1808" s="193"/>
      <c r="S1808" s="194"/>
      <c r="T1808" s="195">
        <f t="shared" si="230"/>
        <v>0</v>
      </c>
      <c r="U1808" s="195">
        <f t="shared" si="231"/>
        <v>0</v>
      </c>
      <c r="V1808" s="195">
        <f t="shared" si="232"/>
        <v>0</v>
      </c>
      <c r="W1808" s="196" t="e">
        <f t="shared" si="233"/>
        <v>#DIV/0!</v>
      </c>
      <c r="X1808" s="197" t="e">
        <f t="shared" si="234"/>
        <v>#DIV/0!</v>
      </c>
    </row>
    <row r="1809" ht="11.4" hidden="1" customHeight="1" spans="1:24">
      <c r="A1809" s="184" t="s">
        <v>3192</v>
      </c>
      <c r="B1809" s="184" t="s">
        <v>121</v>
      </c>
      <c r="C1809" s="184" t="s">
        <v>1101</v>
      </c>
      <c r="D1809" s="185" t="s">
        <v>704</v>
      </c>
      <c r="E1809" s="186" t="s">
        <v>906</v>
      </c>
      <c r="F1809" s="186" t="s">
        <v>907</v>
      </c>
      <c r="G1809" s="186" t="s">
        <v>1102</v>
      </c>
      <c r="H1809" s="186" t="s">
        <v>1546</v>
      </c>
      <c r="I1809" s="187" t="s">
        <v>1553</v>
      </c>
      <c r="J1809" s="187" t="s">
        <v>1554</v>
      </c>
      <c r="K1809" s="188"/>
      <c r="L1809" s="188"/>
      <c r="M1809" s="189" t="s">
        <v>847</v>
      </c>
      <c r="N1809" s="190">
        <v>175.9</v>
      </c>
      <c r="O1809" s="190">
        <f t="shared" si="227"/>
        <v>191.73</v>
      </c>
      <c r="P1809" s="191">
        <f t="shared" si="228"/>
        <v>0</v>
      </c>
      <c r="Q1809" s="192">
        <f t="shared" si="229"/>
        <v>0</v>
      </c>
      <c r="R1809" s="193"/>
      <c r="S1809" s="194"/>
      <c r="T1809" s="195">
        <f t="shared" si="230"/>
        <v>0</v>
      </c>
      <c r="U1809" s="195">
        <f t="shared" si="231"/>
        <v>0</v>
      </c>
      <c r="V1809" s="195">
        <f t="shared" si="232"/>
        <v>0</v>
      </c>
      <c r="W1809" s="196" t="e">
        <f t="shared" si="233"/>
        <v>#DIV/0!</v>
      </c>
      <c r="X1809" s="197" t="e">
        <f t="shared" si="234"/>
        <v>#DIV/0!</v>
      </c>
    </row>
    <row r="1810" ht="11.4" hidden="1" customHeight="1" spans="1:24">
      <c r="A1810" s="184" t="s">
        <v>3192</v>
      </c>
      <c r="B1810" s="184" t="s">
        <v>121</v>
      </c>
      <c r="C1810" s="184" t="s">
        <v>1101</v>
      </c>
      <c r="D1810" s="185" t="s">
        <v>704</v>
      </c>
      <c r="E1810" s="186" t="s">
        <v>906</v>
      </c>
      <c r="F1810" s="186" t="s">
        <v>907</v>
      </c>
      <c r="G1810" s="186" t="s">
        <v>1102</v>
      </c>
      <c r="H1810" s="186" t="s">
        <v>1546</v>
      </c>
      <c r="I1810" s="187" t="s">
        <v>1555</v>
      </c>
      <c r="J1810" s="187" t="s">
        <v>1556</v>
      </c>
      <c r="K1810" s="188"/>
      <c r="L1810" s="188"/>
      <c r="M1810" s="189" t="s">
        <v>847</v>
      </c>
      <c r="N1810" s="190">
        <v>175.9</v>
      </c>
      <c r="O1810" s="190">
        <f t="shared" si="227"/>
        <v>191.73</v>
      </c>
      <c r="P1810" s="191">
        <f t="shared" si="228"/>
        <v>0</v>
      </c>
      <c r="Q1810" s="192">
        <f t="shared" si="229"/>
        <v>0</v>
      </c>
      <c r="R1810" s="193"/>
      <c r="S1810" s="194"/>
      <c r="T1810" s="195">
        <f t="shared" si="230"/>
        <v>0</v>
      </c>
      <c r="U1810" s="195">
        <f t="shared" si="231"/>
        <v>0</v>
      </c>
      <c r="V1810" s="195">
        <f t="shared" si="232"/>
        <v>0</v>
      </c>
      <c r="W1810" s="196" t="e">
        <f t="shared" si="233"/>
        <v>#DIV/0!</v>
      </c>
      <c r="X1810" s="197" t="e">
        <f t="shared" si="234"/>
        <v>#DIV/0!</v>
      </c>
    </row>
    <row r="1811" ht="11.4" hidden="1" customHeight="1" spans="1:24">
      <c r="A1811" s="184" t="s">
        <v>3192</v>
      </c>
      <c r="B1811" s="184" t="s">
        <v>121</v>
      </c>
      <c r="C1811" s="184" t="s">
        <v>1101</v>
      </c>
      <c r="D1811" s="185" t="s">
        <v>704</v>
      </c>
      <c r="E1811" s="186" t="s">
        <v>906</v>
      </c>
      <c r="F1811" s="186" t="s">
        <v>907</v>
      </c>
      <c r="G1811" s="186" t="s">
        <v>1102</v>
      </c>
      <c r="H1811" s="186" t="s">
        <v>1546</v>
      </c>
      <c r="I1811" s="187" t="s">
        <v>1557</v>
      </c>
      <c r="J1811" s="187" t="s">
        <v>1558</v>
      </c>
      <c r="K1811" s="188"/>
      <c r="L1811" s="188"/>
      <c r="M1811" s="189" t="s">
        <v>847</v>
      </c>
      <c r="N1811" s="190">
        <v>166.22</v>
      </c>
      <c r="O1811" s="190">
        <f t="shared" si="227"/>
        <v>181.18</v>
      </c>
      <c r="P1811" s="191">
        <f t="shared" si="228"/>
        <v>0</v>
      </c>
      <c r="Q1811" s="192">
        <f t="shared" si="229"/>
        <v>0</v>
      </c>
      <c r="R1811" s="193"/>
      <c r="S1811" s="194"/>
      <c r="T1811" s="195">
        <f t="shared" si="230"/>
        <v>0</v>
      </c>
      <c r="U1811" s="195">
        <f t="shared" si="231"/>
        <v>0</v>
      </c>
      <c r="V1811" s="195">
        <f t="shared" si="232"/>
        <v>0</v>
      </c>
      <c r="W1811" s="196" t="e">
        <f t="shared" si="233"/>
        <v>#DIV/0!</v>
      </c>
      <c r="X1811" s="197" t="e">
        <f t="shared" si="234"/>
        <v>#DIV/0!</v>
      </c>
    </row>
    <row r="1812" ht="11.4" hidden="1" customHeight="1" spans="1:24">
      <c r="A1812" s="184" t="s">
        <v>3192</v>
      </c>
      <c r="B1812" s="184" t="s">
        <v>121</v>
      </c>
      <c r="C1812" s="184" t="s">
        <v>1101</v>
      </c>
      <c r="D1812" s="185" t="s">
        <v>704</v>
      </c>
      <c r="E1812" s="186" t="s">
        <v>906</v>
      </c>
      <c r="F1812" s="186" t="s">
        <v>907</v>
      </c>
      <c r="G1812" s="186" t="s">
        <v>1102</v>
      </c>
      <c r="H1812" s="186" t="s">
        <v>1546</v>
      </c>
      <c r="I1812" s="187" t="s">
        <v>1559</v>
      </c>
      <c r="J1812" s="187" t="s">
        <v>1560</v>
      </c>
      <c r="K1812" s="188"/>
      <c r="L1812" s="188"/>
      <c r="M1812" s="189" t="s">
        <v>847</v>
      </c>
      <c r="N1812" s="190">
        <v>58.39</v>
      </c>
      <c r="O1812" s="190">
        <f t="shared" si="227"/>
        <v>63.65</v>
      </c>
      <c r="P1812" s="191">
        <f t="shared" si="228"/>
        <v>0</v>
      </c>
      <c r="Q1812" s="192">
        <f t="shared" si="229"/>
        <v>0</v>
      </c>
      <c r="R1812" s="193"/>
      <c r="S1812" s="194"/>
      <c r="T1812" s="195">
        <f t="shared" si="230"/>
        <v>0</v>
      </c>
      <c r="U1812" s="195">
        <f t="shared" si="231"/>
        <v>0</v>
      </c>
      <c r="V1812" s="195">
        <f t="shared" si="232"/>
        <v>0</v>
      </c>
      <c r="W1812" s="196" t="e">
        <f t="shared" si="233"/>
        <v>#DIV/0!</v>
      </c>
      <c r="X1812" s="197" t="e">
        <f t="shared" si="234"/>
        <v>#DIV/0!</v>
      </c>
    </row>
    <row r="1813" ht="11.4" hidden="1" customHeight="1" spans="1:24">
      <c r="A1813" s="184" t="s">
        <v>3192</v>
      </c>
      <c r="B1813" s="184" t="s">
        <v>121</v>
      </c>
      <c r="C1813" s="184" t="s">
        <v>1101</v>
      </c>
      <c r="D1813" s="185" t="s">
        <v>704</v>
      </c>
      <c r="E1813" s="186" t="s">
        <v>906</v>
      </c>
      <c r="F1813" s="186" t="s">
        <v>907</v>
      </c>
      <c r="G1813" s="186" t="s">
        <v>1102</v>
      </c>
      <c r="H1813" s="186" t="s">
        <v>1561</v>
      </c>
      <c r="I1813" s="187" t="s">
        <v>1336</v>
      </c>
      <c r="J1813" s="187" t="s">
        <v>1337</v>
      </c>
      <c r="K1813" s="188"/>
      <c r="L1813" s="188"/>
      <c r="M1813" s="189" t="s">
        <v>847</v>
      </c>
      <c r="N1813" s="190">
        <v>62.19</v>
      </c>
      <c r="O1813" s="190">
        <f t="shared" si="227"/>
        <v>67.79</v>
      </c>
      <c r="P1813" s="191">
        <f t="shared" si="228"/>
        <v>0</v>
      </c>
      <c r="Q1813" s="192">
        <f t="shared" si="229"/>
        <v>0</v>
      </c>
      <c r="R1813" s="193"/>
      <c r="S1813" s="194"/>
      <c r="T1813" s="195">
        <f t="shared" si="230"/>
        <v>0</v>
      </c>
      <c r="U1813" s="195">
        <f t="shared" si="231"/>
        <v>0</v>
      </c>
      <c r="V1813" s="195">
        <f t="shared" si="232"/>
        <v>0</v>
      </c>
      <c r="W1813" s="196" t="e">
        <f t="shared" si="233"/>
        <v>#DIV/0!</v>
      </c>
      <c r="X1813" s="197" t="e">
        <f t="shared" si="234"/>
        <v>#DIV/0!</v>
      </c>
    </row>
    <row r="1814" ht="11.4" hidden="1" customHeight="1" spans="1:24">
      <c r="A1814" s="184" t="s">
        <v>3192</v>
      </c>
      <c r="B1814" s="184" t="s">
        <v>121</v>
      </c>
      <c r="C1814" s="184" t="s">
        <v>1101</v>
      </c>
      <c r="D1814" s="185" t="s">
        <v>704</v>
      </c>
      <c r="E1814" s="186" t="s">
        <v>906</v>
      </c>
      <c r="F1814" s="186" t="s">
        <v>907</v>
      </c>
      <c r="G1814" s="186" t="s">
        <v>1102</v>
      </c>
      <c r="H1814" s="186" t="s">
        <v>1561</v>
      </c>
      <c r="I1814" s="187" t="s">
        <v>1562</v>
      </c>
      <c r="J1814" s="187" t="s">
        <v>1563</v>
      </c>
      <c r="K1814" s="188"/>
      <c r="L1814" s="188"/>
      <c r="M1814" s="189" t="s">
        <v>847</v>
      </c>
      <c r="N1814" s="190">
        <v>139.73</v>
      </c>
      <c r="O1814" s="190">
        <f t="shared" si="227"/>
        <v>152.31</v>
      </c>
      <c r="P1814" s="191">
        <f t="shared" si="228"/>
        <v>0</v>
      </c>
      <c r="Q1814" s="192">
        <f t="shared" si="229"/>
        <v>0</v>
      </c>
      <c r="R1814" s="193"/>
      <c r="S1814" s="194"/>
      <c r="T1814" s="195">
        <f t="shared" si="230"/>
        <v>0</v>
      </c>
      <c r="U1814" s="195">
        <f t="shared" si="231"/>
        <v>0</v>
      </c>
      <c r="V1814" s="195">
        <f t="shared" si="232"/>
        <v>0</v>
      </c>
      <c r="W1814" s="196" t="e">
        <f t="shared" si="233"/>
        <v>#DIV/0!</v>
      </c>
      <c r="X1814" s="197" t="e">
        <f t="shared" si="234"/>
        <v>#DIV/0!</v>
      </c>
    </row>
    <row r="1815" ht="11.4" hidden="1" customHeight="1" spans="1:24">
      <c r="A1815" s="184" t="s">
        <v>3192</v>
      </c>
      <c r="B1815" s="184" t="s">
        <v>121</v>
      </c>
      <c r="C1815" s="184" t="s">
        <v>1101</v>
      </c>
      <c r="D1815" s="185" t="s">
        <v>704</v>
      </c>
      <c r="E1815" s="186" t="s">
        <v>906</v>
      </c>
      <c r="F1815" s="186" t="s">
        <v>907</v>
      </c>
      <c r="G1815" s="186" t="s">
        <v>1102</v>
      </c>
      <c r="H1815" s="186" t="s">
        <v>1561</v>
      </c>
      <c r="I1815" s="187" t="s">
        <v>1564</v>
      </c>
      <c r="J1815" s="187" t="s">
        <v>1565</v>
      </c>
      <c r="K1815" s="188"/>
      <c r="L1815" s="188"/>
      <c r="M1815" s="189" t="s">
        <v>807</v>
      </c>
      <c r="N1815" s="190">
        <v>93.71</v>
      </c>
      <c r="O1815" s="190">
        <f t="shared" si="227"/>
        <v>102.14</v>
      </c>
      <c r="P1815" s="191">
        <f t="shared" si="228"/>
        <v>0</v>
      </c>
      <c r="Q1815" s="192">
        <f t="shared" si="229"/>
        <v>0</v>
      </c>
      <c r="R1815" s="193"/>
      <c r="S1815" s="194"/>
      <c r="T1815" s="195">
        <f t="shared" si="230"/>
        <v>0</v>
      </c>
      <c r="U1815" s="195">
        <f t="shared" si="231"/>
        <v>0</v>
      </c>
      <c r="V1815" s="195">
        <f t="shared" si="232"/>
        <v>0</v>
      </c>
      <c r="W1815" s="196" t="e">
        <f t="shared" si="233"/>
        <v>#DIV/0!</v>
      </c>
      <c r="X1815" s="197" t="e">
        <f t="shared" si="234"/>
        <v>#DIV/0!</v>
      </c>
    </row>
    <row r="1816" ht="11.4" hidden="1" customHeight="1" spans="1:24">
      <c r="A1816" s="184" t="s">
        <v>3192</v>
      </c>
      <c r="B1816" s="184" t="s">
        <v>121</v>
      </c>
      <c r="C1816" s="184" t="s">
        <v>1101</v>
      </c>
      <c r="D1816" s="185" t="s">
        <v>704</v>
      </c>
      <c r="E1816" s="186" t="s">
        <v>906</v>
      </c>
      <c r="F1816" s="186" t="s">
        <v>907</v>
      </c>
      <c r="G1816" s="186" t="s">
        <v>1102</v>
      </c>
      <c r="H1816" s="186" t="s">
        <v>1566</v>
      </c>
      <c r="I1816" s="187" t="s">
        <v>1567</v>
      </c>
      <c r="J1816" s="187" t="s">
        <v>1568</v>
      </c>
      <c r="K1816" s="188"/>
      <c r="L1816" s="188"/>
      <c r="M1816" s="189" t="s">
        <v>807</v>
      </c>
      <c r="N1816" s="190">
        <v>2589.58</v>
      </c>
      <c r="O1816" s="190">
        <f t="shared" si="227"/>
        <v>2822.64</v>
      </c>
      <c r="P1816" s="191">
        <f t="shared" si="228"/>
        <v>0</v>
      </c>
      <c r="Q1816" s="192">
        <f t="shared" si="229"/>
        <v>0</v>
      </c>
      <c r="R1816" s="193"/>
      <c r="S1816" s="194"/>
      <c r="T1816" s="195">
        <f t="shared" si="230"/>
        <v>0</v>
      </c>
      <c r="U1816" s="195">
        <f t="shared" si="231"/>
        <v>0</v>
      </c>
      <c r="V1816" s="195">
        <f t="shared" si="232"/>
        <v>0</v>
      </c>
      <c r="W1816" s="196" t="e">
        <f t="shared" si="233"/>
        <v>#DIV/0!</v>
      </c>
      <c r="X1816" s="197" t="e">
        <f t="shared" si="234"/>
        <v>#DIV/0!</v>
      </c>
    </row>
    <row r="1817" ht="11.4" hidden="1" customHeight="1" spans="1:24">
      <c r="A1817" s="184" t="s">
        <v>3192</v>
      </c>
      <c r="B1817" s="184" t="s">
        <v>121</v>
      </c>
      <c r="C1817" s="184" t="s">
        <v>1101</v>
      </c>
      <c r="D1817" s="185" t="s">
        <v>704</v>
      </c>
      <c r="E1817" s="186" t="s">
        <v>906</v>
      </c>
      <c r="F1817" s="186" t="s">
        <v>907</v>
      </c>
      <c r="G1817" s="186" t="s">
        <v>1102</v>
      </c>
      <c r="H1817" s="186" t="s">
        <v>1566</v>
      </c>
      <c r="I1817" s="187" t="s">
        <v>1570</v>
      </c>
      <c r="J1817" s="187" t="s">
        <v>1571</v>
      </c>
      <c r="K1817" s="188"/>
      <c r="L1817" s="188"/>
      <c r="M1817" s="189" t="s">
        <v>807</v>
      </c>
      <c r="N1817" s="190">
        <v>1470.3</v>
      </c>
      <c r="O1817" s="190">
        <f t="shared" si="227"/>
        <v>1602.63</v>
      </c>
      <c r="P1817" s="191">
        <f t="shared" si="228"/>
        <v>0</v>
      </c>
      <c r="Q1817" s="192">
        <f t="shared" si="229"/>
        <v>0</v>
      </c>
      <c r="R1817" s="193"/>
      <c r="S1817" s="194"/>
      <c r="T1817" s="195">
        <f t="shared" si="230"/>
        <v>0</v>
      </c>
      <c r="U1817" s="195">
        <f t="shared" si="231"/>
        <v>0</v>
      </c>
      <c r="V1817" s="195">
        <f t="shared" si="232"/>
        <v>0</v>
      </c>
      <c r="W1817" s="196" t="e">
        <f t="shared" si="233"/>
        <v>#DIV/0!</v>
      </c>
      <c r="X1817" s="197" t="e">
        <f t="shared" si="234"/>
        <v>#DIV/0!</v>
      </c>
    </row>
    <row r="1818" ht="11.4" hidden="1" customHeight="1" spans="1:24">
      <c r="A1818" s="184" t="s">
        <v>3192</v>
      </c>
      <c r="B1818" s="184" t="s">
        <v>121</v>
      </c>
      <c r="C1818" s="184" t="s">
        <v>1101</v>
      </c>
      <c r="D1818" s="185" t="s">
        <v>704</v>
      </c>
      <c r="E1818" s="186" t="s">
        <v>906</v>
      </c>
      <c r="F1818" s="186" t="s">
        <v>907</v>
      </c>
      <c r="G1818" s="186" t="s">
        <v>1102</v>
      </c>
      <c r="H1818" s="186" t="s">
        <v>1566</v>
      </c>
      <c r="I1818" s="187" t="s">
        <v>1572</v>
      </c>
      <c r="J1818" s="187" t="s">
        <v>1573</v>
      </c>
      <c r="K1818" s="188"/>
      <c r="L1818" s="188"/>
      <c r="M1818" s="189" t="s">
        <v>989</v>
      </c>
      <c r="N1818" s="190">
        <v>2108.28</v>
      </c>
      <c r="O1818" s="190">
        <f t="shared" si="227"/>
        <v>2298.03</v>
      </c>
      <c r="P1818" s="191">
        <f t="shared" si="228"/>
        <v>0</v>
      </c>
      <c r="Q1818" s="192">
        <f t="shared" si="229"/>
        <v>0</v>
      </c>
      <c r="R1818" s="193"/>
      <c r="S1818" s="194"/>
      <c r="T1818" s="195">
        <f t="shared" si="230"/>
        <v>0</v>
      </c>
      <c r="U1818" s="195">
        <f t="shared" si="231"/>
        <v>0</v>
      </c>
      <c r="V1818" s="195">
        <f t="shared" si="232"/>
        <v>0</v>
      </c>
      <c r="W1818" s="196" t="e">
        <f t="shared" si="233"/>
        <v>#DIV/0!</v>
      </c>
      <c r="X1818" s="197" t="e">
        <f t="shared" si="234"/>
        <v>#DIV/0!</v>
      </c>
    </row>
    <row r="1819" ht="11.4" hidden="1" customHeight="1" spans="1:24">
      <c r="A1819" s="184" t="s">
        <v>3192</v>
      </c>
      <c r="B1819" s="184" t="s">
        <v>121</v>
      </c>
      <c r="C1819" s="184" t="s">
        <v>1101</v>
      </c>
      <c r="D1819" s="185" t="s">
        <v>704</v>
      </c>
      <c r="E1819" s="186" t="s">
        <v>906</v>
      </c>
      <c r="F1819" s="186" t="s">
        <v>907</v>
      </c>
      <c r="G1819" s="186" t="s">
        <v>1102</v>
      </c>
      <c r="H1819" s="186" t="s">
        <v>1566</v>
      </c>
      <c r="I1819" s="187" t="s">
        <v>1574</v>
      </c>
      <c r="J1819" s="187" t="s">
        <v>1575</v>
      </c>
      <c r="K1819" s="188"/>
      <c r="L1819" s="188"/>
      <c r="M1819" s="189" t="s">
        <v>807</v>
      </c>
      <c r="N1819" s="190">
        <v>2215.04</v>
      </c>
      <c r="O1819" s="190">
        <f t="shared" si="227"/>
        <v>2414.39</v>
      </c>
      <c r="P1819" s="191">
        <f t="shared" si="228"/>
        <v>0</v>
      </c>
      <c r="Q1819" s="192">
        <f t="shared" si="229"/>
        <v>0</v>
      </c>
      <c r="R1819" s="193"/>
      <c r="S1819" s="194"/>
      <c r="T1819" s="195">
        <f t="shared" si="230"/>
        <v>0</v>
      </c>
      <c r="U1819" s="195">
        <f t="shared" si="231"/>
        <v>0</v>
      </c>
      <c r="V1819" s="195">
        <f t="shared" si="232"/>
        <v>0</v>
      </c>
      <c r="W1819" s="196" t="e">
        <f t="shared" si="233"/>
        <v>#DIV/0!</v>
      </c>
      <c r="X1819" s="197" t="e">
        <f t="shared" si="234"/>
        <v>#DIV/0!</v>
      </c>
    </row>
    <row r="1820" ht="11.4" hidden="1" customHeight="1" spans="1:24">
      <c r="A1820" s="184" t="s">
        <v>3192</v>
      </c>
      <c r="B1820" s="184" t="s">
        <v>121</v>
      </c>
      <c r="C1820" s="184" t="s">
        <v>1101</v>
      </c>
      <c r="D1820" s="185" t="s">
        <v>704</v>
      </c>
      <c r="E1820" s="186" t="s">
        <v>906</v>
      </c>
      <c r="F1820" s="186" t="s">
        <v>907</v>
      </c>
      <c r="G1820" s="186" t="s">
        <v>1102</v>
      </c>
      <c r="H1820" s="186" t="s">
        <v>1566</v>
      </c>
      <c r="I1820" s="187" t="s">
        <v>1576</v>
      </c>
      <c r="J1820" s="187" t="s">
        <v>1577</v>
      </c>
      <c r="K1820" s="188"/>
      <c r="L1820" s="188"/>
      <c r="M1820" s="189" t="s">
        <v>807</v>
      </c>
      <c r="N1820" s="190">
        <v>3467.2</v>
      </c>
      <c r="O1820" s="190">
        <f t="shared" si="227"/>
        <v>3779.25</v>
      </c>
      <c r="P1820" s="191">
        <f t="shared" si="228"/>
        <v>0</v>
      </c>
      <c r="Q1820" s="192">
        <f t="shared" si="229"/>
        <v>0</v>
      </c>
      <c r="R1820" s="193"/>
      <c r="S1820" s="194"/>
      <c r="T1820" s="195">
        <f t="shared" si="230"/>
        <v>0</v>
      </c>
      <c r="U1820" s="195">
        <f t="shared" si="231"/>
        <v>0</v>
      </c>
      <c r="V1820" s="195">
        <f t="shared" si="232"/>
        <v>0</v>
      </c>
      <c r="W1820" s="196" t="e">
        <f t="shared" si="233"/>
        <v>#DIV/0!</v>
      </c>
      <c r="X1820" s="197" t="e">
        <f t="shared" si="234"/>
        <v>#DIV/0!</v>
      </c>
    </row>
    <row r="1821" ht="11.4" hidden="1" customHeight="1" spans="1:24">
      <c r="A1821" s="184" t="s">
        <v>3192</v>
      </c>
      <c r="B1821" s="184" t="s">
        <v>121</v>
      </c>
      <c r="C1821" s="184" t="s">
        <v>1101</v>
      </c>
      <c r="D1821" s="185" t="s">
        <v>704</v>
      </c>
      <c r="E1821" s="186" t="s">
        <v>906</v>
      </c>
      <c r="F1821" s="186" t="s">
        <v>907</v>
      </c>
      <c r="G1821" s="186" t="s">
        <v>1102</v>
      </c>
      <c r="H1821" s="186" t="s">
        <v>1566</v>
      </c>
      <c r="I1821" s="187" t="s">
        <v>1578</v>
      </c>
      <c r="J1821" s="187" t="s">
        <v>1579</v>
      </c>
      <c r="K1821" s="188"/>
      <c r="L1821" s="188"/>
      <c r="M1821" s="189" t="s">
        <v>1580</v>
      </c>
      <c r="N1821" s="190">
        <v>667.81</v>
      </c>
      <c r="O1821" s="190">
        <f t="shared" si="227"/>
        <v>727.91</v>
      </c>
      <c r="P1821" s="191">
        <f t="shared" si="228"/>
        <v>0</v>
      </c>
      <c r="Q1821" s="192">
        <f t="shared" si="229"/>
        <v>0</v>
      </c>
      <c r="R1821" s="193"/>
      <c r="S1821" s="194"/>
      <c r="T1821" s="195">
        <f t="shared" si="230"/>
        <v>0</v>
      </c>
      <c r="U1821" s="195">
        <f t="shared" si="231"/>
        <v>0</v>
      </c>
      <c r="V1821" s="195">
        <f t="shared" si="232"/>
        <v>0</v>
      </c>
      <c r="W1821" s="196" t="e">
        <f t="shared" si="233"/>
        <v>#DIV/0!</v>
      </c>
      <c r="X1821" s="197" t="e">
        <f t="shared" si="234"/>
        <v>#DIV/0!</v>
      </c>
    </row>
    <row r="1822" ht="11.4" hidden="1" customHeight="1" spans="1:24">
      <c r="A1822" s="184" t="s">
        <v>3192</v>
      </c>
      <c r="B1822" s="184" t="s">
        <v>121</v>
      </c>
      <c r="C1822" s="184" t="s">
        <v>1101</v>
      </c>
      <c r="D1822" s="185" t="s">
        <v>704</v>
      </c>
      <c r="E1822" s="186" t="s">
        <v>906</v>
      </c>
      <c r="F1822" s="186" t="s">
        <v>907</v>
      </c>
      <c r="G1822" s="186" t="s">
        <v>1102</v>
      </c>
      <c r="H1822" s="186" t="s">
        <v>1566</v>
      </c>
      <c r="I1822" s="187" t="s">
        <v>1581</v>
      </c>
      <c r="J1822" s="187" t="s">
        <v>1582</v>
      </c>
      <c r="K1822" s="188"/>
      <c r="L1822" s="188"/>
      <c r="M1822" s="189" t="s">
        <v>1018</v>
      </c>
      <c r="N1822" s="190">
        <v>202</v>
      </c>
      <c r="O1822" s="190">
        <f t="shared" si="227"/>
        <v>220.18</v>
      </c>
      <c r="P1822" s="191">
        <f t="shared" si="228"/>
        <v>0</v>
      </c>
      <c r="Q1822" s="192">
        <f t="shared" si="229"/>
        <v>0</v>
      </c>
      <c r="R1822" s="193"/>
      <c r="S1822" s="194"/>
      <c r="T1822" s="195">
        <f t="shared" si="230"/>
        <v>0</v>
      </c>
      <c r="U1822" s="195">
        <f t="shared" si="231"/>
        <v>0</v>
      </c>
      <c r="V1822" s="195">
        <f t="shared" si="232"/>
        <v>0</v>
      </c>
      <c r="W1822" s="196" t="e">
        <f t="shared" si="233"/>
        <v>#DIV/0!</v>
      </c>
      <c r="X1822" s="197" t="e">
        <f t="shared" si="234"/>
        <v>#DIV/0!</v>
      </c>
    </row>
    <row r="1823" ht="11.4" hidden="1" customHeight="1" spans="1:24">
      <c r="A1823" s="184" t="s">
        <v>3192</v>
      </c>
      <c r="B1823" s="184" t="s">
        <v>121</v>
      </c>
      <c r="C1823" s="184" t="s">
        <v>1101</v>
      </c>
      <c r="D1823" s="185" t="s">
        <v>704</v>
      </c>
      <c r="E1823" s="186" t="s">
        <v>906</v>
      </c>
      <c r="F1823" s="186" t="s">
        <v>907</v>
      </c>
      <c r="G1823" s="186" t="s">
        <v>1102</v>
      </c>
      <c r="H1823" s="186" t="s">
        <v>1566</v>
      </c>
      <c r="I1823" s="187" t="s">
        <v>1583</v>
      </c>
      <c r="J1823" s="187" t="s">
        <v>1584</v>
      </c>
      <c r="K1823" s="188"/>
      <c r="L1823" s="188"/>
      <c r="M1823" s="189" t="s">
        <v>793</v>
      </c>
      <c r="N1823" s="190">
        <v>350</v>
      </c>
      <c r="O1823" s="190">
        <f t="shared" si="227"/>
        <v>381.5</v>
      </c>
      <c r="P1823" s="191">
        <f t="shared" si="228"/>
        <v>0</v>
      </c>
      <c r="Q1823" s="192">
        <f t="shared" si="229"/>
        <v>0</v>
      </c>
      <c r="R1823" s="193"/>
      <c r="S1823" s="194"/>
      <c r="T1823" s="195">
        <f t="shared" si="230"/>
        <v>0</v>
      </c>
      <c r="U1823" s="195">
        <f t="shared" si="231"/>
        <v>0</v>
      </c>
      <c r="V1823" s="195">
        <f t="shared" si="232"/>
        <v>0</v>
      </c>
      <c r="W1823" s="196" t="e">
        <f t="shared" si="233"/>
        <v>#DIV/0!</v>
      </c>
      <c r="X1823" s="197" t="e">
        <f t="shared" si="234"/>
        <v>#DIV/0!</v>
      </c>
    </row>
    <row r="1824" ht="11.4" hidden="1" customHeight="1" spans="1:24">
      <c r="A1824" s="184" t="s">
        <v>3192</v>
      </c>
      <c r="B1824" s="184" t="s">
        <v>121</v>
      </c>
      <c r="C1824" s="184" t="s">
        <v>1101</v>
      </c>
      <c r="D1824" s="185" t="s">
        <v>704</v>
      </c>
      <c r="E1824" s="186" t="s">
        <v>906</v>
      </c>
      <c r="F1824" s="186" t="s">
        <v>907</v>
      </c>
      <c r="G1824" s="186" t="s">
        <v>1102</v>
      </c>
      <c r="H1824" s="186" t="s">
        <v>737</v>
      </c>
      <c r="I1824" s="187" t="s">
        <v>1586</v>
      </c>
      <c r="J1824" s="187" t="s">
        <v>1587</v>
      </c>
      <c r="K1824" s="188"/>
      <c r="L1824" s="188"/>
      <c r="M1824" s="189" t="s">
        <v>989</v>
      </c>
      <c r="N1824" s="190">
        <v>168.19</v>
      </c>
      <c r="O1824" s="190">
        <f t="shared" si="227"/>
        <v>183.33</v>
      </c>
      <c r="P1824" s="191">
        <f t="shared" si="228"/>
        <v>0</v>
      </c>
      <c r="Q1824" s="192">
        <f t="shared" si="229"/>
        <v>0</v>
      </c>
      <c r="R1824" s="193"/>
      <c r="S1824" s="194"/>
      <c r="T1824" s="195">
        <f t="shared" si="230"/>
        <v>0</v>
      </c>
      <c r="U1824" s="195">
        <f t="shared" si="231"/>
        <v>0</v>
      </c>
      <c r="V1824" s="195">
        <f t="shared" si="232"/>
        <v>0</v>
      </c>
      <c r="W1824" s="196" t="e">
        <f t="shared" si="233"/>
        <v>#DIV/0!</v>
      </c>
      <c r="X1824" s="197" t="e">
        <f t="shared" si="234"/>
        <v>#DIV/0!</v>
      </c>
    </row>
    <row r="1825" ht="11.4" hidden="1" customHeight="1" spans="1:24">
      <c r="A1825" s="184" t="s">
        <v>3192</v>
      </c>
      <c r="B1825" s="184" t="s">
        <v>121</v>
      </c>
      <c r="C1825" s="184" t="s">
        <v>1101</v>
      </c>
      <c r="D1825" s="185" t="s">
        <v>704</v>
      </c>
      <c r="E1825" s="186" t="s">
        <v>906</v>
      </c>
      <c r="F1825" s="186" t="s">
        <v>907</v>
      </c>
      <c r="G1825" s="186" t="s">
        <v>1102</v>
      </c>
      <c r="H1825" s="186" t="s">
        <v>737</v>
      </c>
      <c r="I1825" s="187" t="s">
        <v>1588</v>
      </c>
      <c r="J1825" s="187" t="s">
        <v>1589</v>
      </c>
      <c r="K1825" s="188"/>
      <c r="L1825" s="188"/>
      <c r="M1825" s="189" t="s">
        <v>807</v>
      </c>
      <c r="N1825" s="190">
        <v>40.03</v>
      </c>
      <c r="O1825" s="190">
        <f t="shared" si="227"/>
        <v>43.63</v>
      </c>
      <c r="P1825" s="191">
        <f t="shared" si="228"/>
        <v>0</v>
      </c>
      <c r="Q1825" s="192">
        <f t="shared" si="229"/>
        <v>0</v>
      </c>
      <c r="R1825" s="193"/>
      <c r="S1825" s="194"/>
      <c r="T1825" s="195">
        <f t="shared" si="230"/>
        <v>0</v>
      </c>
      <c r="U1825" s="195">
        <f t="shared" si="231"/>
        <v>0</v>
      </c>
      <c r="V1825" s="195">
        <f t="shared" si="232"/>
        <v>0</v>
      </c>
      <c r="W1825" s="196" t="e">
        <f t="shared" si="233"/>
        <v>#DIV/0!</v>
      </c>
      <c r="X1825" s="197" t="e">
        <f t="shared" si="234"/>
        <v>#DIV/0!</v>
      </c>
    </row>
    <row r="1826" ht="11.4" hidden="1" customHeight="1" spans="1:24">
      <c r="A1826" s="184" t="s">
        <v>3192</v>
      </c>
      <c r="B1826" s="184" t="s">
        <v>121</v>
      </c>
      <c r="C1826" s="184" t="s">
        <v>1101</v>
      </c>
      <c r="D1826" s="185" t="s">
        <v>704</v>
      </c>
      <c r="E1826" s="186" t="s">
        <v>906</v>
      </c>
      <c r="F1826" s="186" t="s">
        <v>907</v>
      </c>
      <c r="G1826" s="186" t="s">
        <v>1102</v>
      </c>
      <c r="H1826" s="186" t="s">
        <v>737</v>
      </c>
      <c r="I1826" s="187" t="s">
        <v>1590</v>
      </c>
      <c r="J1826" s="187" t="s">
        <v>1591</v>
      </c>
      <c r="K1826" s="188"/>
      <c r="L1826" s="188"/>
      <c r="M1826" s="189" t="s">
        <v>1018</v>
      </c>
      <c r="N1826" s="190">
        <v>60.02</v>
      </c>
      <c r="O1826" s="190">
        <f t="shared" si="227"/>
        <v>65.42</v>
      </c>
      <c r="P1826" s="191">
        <f t="shared" si="228"/>
        <v>0</v>
      </c>
      <c r="Q1826" s="192">
        <f t="shared" si="229"/>
        <v>0</v>
      </c>
      <c r="R1826" s="193"/>
      <c r="S1826" s="194"/>
      <c r="T1826" s="195">
        <f t="shared" si="230"/>
        <v>0</v>
      </c>
      <c r="U1826" s="195">
        <f t="shared" si="231"/>
        <v>0</v>
      </c>
      <c r="V1826" s="195">
        <f t="shared" si="232"/>
        <v>0</v>
      </c>
      <c r="W1826" s="196" t="e">
        <f t="shared" si="233"/>
        <v>#DIV/0!</v>
      </c>
      <c r="X1826" s="197" t="e">
        <f t="shared" si="234"/>
        <v>#DIV/0!</v>
      </c>
    </row>
    <row r="1827" ht="11.4" hidden="1" customHeight="1" spans="1:24">
      <c r="A1827" s="184" t="s">
        <v>3192</v>
      </c>
      <c r="B1827" s="184" t="s">
        <v>121</v>
      </c>
      <c r="C1827" s="184" t="s">
        <v>1101</v>
      </c>
      <c r="D1827" s="185" t="s">
        <v>704</v>
      </c>
      <c r="E1827" s="186" t="s">
        <v>906</v>
      </c>
      <c r="F1827" s="186" t="s">
        <v>907</v>
      </c>
      <c r="G1827" s="186" t="s">
        <v>1102</v>
      </c>
      <c r="H1827" s="186" t="s">
        <v>1592</v>
      </c>
      <c r="I1827" s="187" t="s">
        <v>1593</v>
      </c>
      <c r="J1827" s="187" t="s">
        <v>1594</v>
      </c>
      <c r="K1827" s="188"/>
      <c r="L1827" s="188"/>
      <c r="M1827" s="189" t="s">
        <v>847</v>
      </c>
      <c r="N1827" s="190">
        <v>618.3</v>
      </c>
      <c r="O1827" s="190">
        <f t="shared" si="227"/>
        <v>673.95</v>
      </c>
      <c r="P1827" s="191">
        <f t="shared" si="228"/>
        <v>0</v>
      </c>
      <c r="Q1827" s="192">
        <f t="shared" si="229"/>
        <v>0</v>
      </c>
      <c r="R1827" s="193"/>
      <c r="S1827" s="194"/>
      <c r="T1827" s="195">
        <f t="shared" si="230"/>
        <v>0</v>
      </c>
      <c r="U1827" s="195">
        <f t="shared" si="231"/>
        <v>0</v>
      </c>
      <c r="V1827" s="195">
        <f t="shared" si="232"/>
        <v>0</v>
      </c>
      <c r="W1827" s="196" t="e">
        <f t="shared" si="233"/>
        <v>#DIV/0!</v>
      </c>
      <c r="X1827" s="197" t="e">
        <f t="shared" si="234"/>
        <v>#DIV/0!</v>
      </c>
    </row>
    <row r="1828" ht="11.4" hidden="1" customHeight="1" spans="1:24">
      <c r="A1828" s="184" t="s">
        <v>3192</v>
      </c>
      <c r="B1828" s="184" t="s">
        <v>121</v>
      </c>
      <c r="C1828" s="184" t="s">
        <v>1101</v>
      </c>
      <c r="D1828" s="185" t="s">
        <v>704</v>
      </c>
      <c r="E1828" s="186" t="s">
        <v>906</v>
      </c>
      <c r="F1828" s="186" t="s">
        <v>907</v>
      </c>
      <c r="G1828" s="186" t="s">
        <v>1102</v>
      </c>
      <c r="H1828" s="186" t="s">
        <v>1592</v>
      </c>
      <c r="I1828" s="187" t="s">
        <v>1595</v>
      </c>
      <c r="J1828" s="187" t="s">
        <v>1596</v>
      </c>
      <c r="K1828" s="188"/>
      <c r="L1828" s="188"/>
      <c r="M1828" s="189" t="s">
        <v>989</v>
      </c>
      <c r="N1828" s="190">
        <v>432.3</v>
      </c>
      <c r="O1828" s="190">
        <f t="shared" si="227"/>
        <v>471.21</v>
      </c>
      <c r="P1828" s="191">
        <f t="shared" si="228"/>
        <v>0</v>
      </c>
      <c r="Q1828" s="192">
        <f t="shared" si="229"/>
        <v>0</v>
      </c>
      <c r="R1828" s="193"/>
      <c r="S1828" s="194"/>
      <c r="T1828" s="195">
        <f t="shared" si="230"/>
        <v>0</v>
      </c>
      <c r="U1828" s="195">
        <f t="shared" si="231"/>
        <v>0</v>
      </c>
      <c r="V1828" s="195">
        <f t="shared" si="232"/>
        <v>0</v>
      </c>
      <c r="W1828" s="196" t="e">
        <f t="shared" si="233"/>
        <v>#DIV/0!</v>
      </c>
      <c r="X1828" s="197" t="e">
        <f t="shared" si="234"/>
        <v>#DIV/0!</v>
      </c>
    </row>
    <row r="1829" ht="11.4" hidden="1" customHeight="1" spans="1:24">
      <c r="A1829" s="184" t="s">
        <v>3192</v>
      </c>
      <c r="B1829" s="184" t="s">
        <v>121</v>
      </c>
      <c r="C1829" s="184" t="s">
        <v>1101</v>
      </c>
      <c r="D1829" s="185" t="s">
        <v>704</v>
      </c>
      <c r="E1829" s="186" t="s">
        <v>906</v>
      </c>
      <c r="F1829" s="186" t="s">
        <v>907</v>
      </c>
      <c r="G1829" s="186" t="s">
        <v>1102</v>
      </c>
      <c r="H1829" s="186" t="s">
        <v>1592</v>
      </c>
      <c r="I1829" s="187" t="s">
        <v>1597</v>
      </c>
      <c r="J1829" s="187" t="s">
        <v>1598</v>
      </c>
      <c r="K1829" s="188"/>
      <c r="L1829" s="188"/>
      <c r="M1829" s="189" t="s">
        <v>847</v>
      </c>
      <c r="N1829" s="190">
        <v>618.3</v>
      </c>
      <c r="O1829" s="190">
        <f t="shared" si="227"/>
        <v>673.95</v>
      </c>
      <c r="P1829" s="191">
        <f t="shared" si="228"/>
        <v>0</v>
      </c>
      <c r="Q1829" s="192">
        <f t="shared" si="229"/>
        <v>0</v>
      </c>
      <c r="R1829" s="193"/>
      <c r="S1829" s="194"/>
      <c r="T1829" s="195">
        <f t="shared" si="230"/>
        <v>0</v>
      </c>
      <c r="U1829" s="195">
        <f t="shared" si="231"/>
        <v>0</v>
      </c>
      <c r="V1829" s="195">
        <f t="shared" si="232"/>
        <v>0</v>
      </c>
      <c r="W1829" s="196" t="e">
        <f t="shared" si="233"/>
        <v>#DIV/0!</v>
      </c>
      <c r="X1829" s="197" t="e">
        <f t="shared" si="234"/>
        <v>#DIV/0!</v>
      </c>
    </row>
    <row r="1830" ht="11.4" hidden="1" customHeight="1" spans="1:24">
      <c r="A1830" s="184" t="s">
        <v>3192</v>
      </c>
      <c r="B1830" s="184" t="s">
        <v>121</v>
      </c>
      <c r="C1830" s="184" t="s">
        <v>1101</v>
      </c>
      <c r="D1830" s="185" t="s">
        <v>704</v>
      </c>
      <c r="E1830" s="186" t="s">
        <v>906</v>
      </c>
      <c r="F1830" s="186" t="s">
        <v>907</v>
      </c>
      <c r="G1830" s="186" t="s">
        <v>1102</v>
      </c>
      <c r="H1830" s="186" t="s">
        <v>1592</v>
      </c>
      <c r="I1830" s="187" t="s">
        <v>1599</v>
      </c>
      <c r="J1830" s="187" t="s">
        <v>1600</v>
      </c>
      <c r="K1830" s="188"/>
      <c r="L1830" s="188"/>
      <c r="M1830" s="189" t="s">
        <v>989</v>
      </c>
      <c r="N1830" s="190">
        <v>432.3</v>
      </c>
      <c r="O1830" s="190">
        <f t="shared" si="227"/>
        <v>471.21</v>
      </c>
      <c r="P1830" s="191">
        <f t="shared" si="228"/>
        <v>0</v>
      </c>
      <c r="Q1830" s="192">
        <f t="shared" si="229"/>
        <v>0</v>
      </c>
      <c r="R1830" s="193"/>
      <c r="S1830" s="194"/>
      <c r="T1830" s="195">
        <f t="shared" si="230"/>
        <v>0</v>
      </c>
      <c r="U1830" s="195">
        <f t="shared" si="231"/>
        <v>0</v>
      </c>
      <c r="V1830" s="195">
        <f t="shared" si="232"/>
        <v>0</v>
      </c>
      <c r="W1830" s="196" t="e">
        <f t="shared" si="233"/>
        <v>#DIV/0!</v>
      </c>
      <c r="X1830" s="197" t="e">
        <f t="shared" si="234"/>
        <v>#DIV/0!</v>
      </c>
    </row>
    <row r="1831" ht="11.4" hidden="1" customHeight="1" spans="1:24">
      <c r="A1831" s="184" t="s">
        <v>3192</v>
      </c>
      <c r="B1831" s="184" t="s">
        <v>121</v>
      </c>
      <c r="C1831" s="184" t="s">
        <v>1101</v>
      </c>
      <c r="D1831" s="185" t="s">
        <v>704</v>
      </c>
      <c r="E1831" s="186" t="s">
        <v>906</v>
      </c>
      <c r="F1831" s="186" t="s">
        <v>907</v>
      </c>
      <c r="G1831" s="186" t="s">
        <v>1102</v>
      </c>
      <c r="H1831" s="186" t="s">
        <v>1592</v>
      </c>
      <c r="I1831" s="187" t="s">
        <v>1601</v>
      </c>
      <c r="J1831" s="187" t="s">
        <v>1602</v>
      </c>
      <c r="K1831" s="188"/>
      <c r="L1831" s="188"/>
      <c r="M1831" s="189" t="s">
        <v>847</v>
      </c>
      <c r="N1831" s="190">
        <v>661.33</v>
      </c>
      <c r="O1831" s="190">
        <f t="shared" si="227"/>
        <v>720.85</v>
      </c>
      <c r="P1831" s="191">
        <f t="shared" si="228"/>
        <v>0</v>
      </c>
      <c r="Q1831" s="192">
        <f t="shared" si="229"/>
        <v>0</v>
      </c>
      <c r="R1831" s="193"/>
      <c r="S1831" s="194"/>
      <c r="T1831" s="195">
        <f t="shared" si="230"/>
        <v>0</v>
      </c>
      <c r="U1831" s="195">
        <f t="shared" si="231"/>
        <v>0</v>
      </c>
      <c r="V1831" s="195">
        <f t="shared" si="232"/>
        <v>0</v>
      </c>
      <c r="W1831" s="196" t="e">
        <f t="shared" si="233"/>
        <v>#DIV/0!</v>
      </c>
      <c r="X1831" s="197" t="e">
        <f t="shared" si="234"/>
        <v>#DIV/0!</v>
      </c>
    </row>
    <row r="1832" ht="11.4" hidden="1" customHeight="1" spans="1:24">
      <c r="A1832" s="184" t="s">
        <v>3192</v>
      </c>
      <c r="B1832" s="184" t="s">
        <v>121</v>
      </c>
      <c r="C1832" s="184" t="s">
        <v>1101</v>
      </c>
      <c r="D1832" s="185" t="s">
        <v>704</v>
      </c>
      <c r="E1832" s="186" t="s">
        <v>906</v>
      </c>
      <c r="F1832" s="186" t="s">
        <v>907</v>
      </c>
      <c r="G1832" s="186" t="s">
        <v>1102</v>
      </c>
      <c r="H1832" s="186" t="s">
        <v>1592</v>
      </c>
      <c r="I1832" s="187" t="s">
        <v>1603</v>
      </c>
      <c r="J1832" s="187" t="s">
        <v>1604</v>
      </c>
      <c r="K1832" s="188"/>
      <c r="L1832" s="188"/>
      <c r="M1832" s="189" t="s">
        <v>989</v>
      </c>
      <c r="N1832" s="190">
        <v>466.75</v>
      </c>
      <c r="O1832" s="190">
        <f t="shared" si="227"/>
        <v>508.76</v>
      </c>
      <c r="P1832" s="191">
        <f t="shared" si="228"/>
        <v>0</v>
      </c>
      <c r="Q1832" s="192">
        <f t="shared" si="229"/>
        <v>0</v>
      </c>
      <c r="R1832" s="193"/>
      <c r="S1832" s="194"/>
      <c r="T1832" s="195">
        <f t="shared" si="230"/>
        <v>0</v>
      </c>
      <c r="U1832" s="195">
        <f t="shared" si="231"/>
        <v>0</v>
      </c>
      <c r="V1832" s="195">
        <f t="shared" si="232"/>
        <v>0</v>
      </c>
      <c r="W1832" s="196" t="e">
        <f t="shared" si="233"/>
        <v>#DIV/0!</v>
      </c>
      <c r="X1832" s="197" t="e">
        <f t="shared" si="234"/>
        <v>#DIV/0!</v>
      </c>
    </row>
    <row r="1833" ht="11.4" hidden="1" customHeight="1" spans="1:24">
      <c r="A1833" s="184" t="s">
        <v>3193</v>
      </c>
      <c r="B1833" s="184" t="s">
        <v>136</v>
      </c>
      <c r="C1833" s="184" t="s">
        <v>1606</v>
      </c>
      <c r="D1833" s="185" t="s">
        <v>704</v>
      </c>
      <c r="E1833" s="186" t="s">
        <v>906</v>
      </c>
      <c r="F1833" s="186" t="s">
        <v>907</v>
      </c>
      <c r="G1833" s="186" t="s">
        <v>1102</v>
      </c>
      <c r="H1833" s="186" t="s">
        <v>1607</v>
      </c>
      <c r="I1833" s="187" t="s">
        <v>1608</v>
      </c>
      <c r="J1833" s="187" t="s">
        <v>1609</v>
      </c>
      <c r="K1833" s="188"/>
      <c r="L1833" s="188"/>
      <c r="M1833" s="189" t="s">
        <v>989</v>
      </c>
      <c r="N1833" s="190">
        <v>1581.68</v>
      </c>
      <c r="O1833" s="190">
        <f t="shared" si="227"/>
        <v>1724.03</v>
      </c>
      <c r="P1833" s="191">
        <f t="shared" si="228"/>
        <v>0</v>
      </c>
      <c r="Q1833" s="192">
        <f t="shared" si="229"/>
        <v>0</v>
      </c>
      <c r="R1833" s="193"/>
      <c r="S1833" s="194"/>
      <c r="T1833" s="195">
        <f t="shared" si="230"/>
        <v>0</v>
      </c>
      <c r="U1833" s="195">
        <f t="shared" si="231"/>
        <v>0</v>
      </c>
      <c r="V1833" s="195">
        <f t="shared" si="232"/>
        <v>0</v>
      </c>
      <c r="W1833" s="196" t="e">
        <f t="shared" si="233"/>
        <v>#DIV/0!</v>
      </c>
      <c r="X1833" s="197" t="e">
        <f t="shared" si="234"/>
        <v>#DIV/0!</v>
      </c>
    </row>
    <row r="1834" ht="11.4" hidden="1" customHeight="1" spans="1:24">
      <c r="A1834" s="184" t="s">
        <v>3193</v>
      </c>
      <c r="B1834" s="184" t="s">
        <v>136</v>
      </c>
      <c r="C1834" s="184" t="s">
        <v>1606</v>
      </c>
      <c r="D1834" s="185" t="s">
        <v>704</v>
      </c>
      <c r="E1834" s="186" t="s">
        <v>906</v>
      </c>
      <c r="F1834" s="186" t="s">
        <v>907</v>
      </c>
      <c r="G1834" s="186" t="s">
        <v>1102</v>
      </c>
      <c r="H1834" s="186" t="s">
        <v>1607</v>
      </c>
      <c r="I1834" s="187" t="s">
        <v>1611</v>
      </c>
      <c r="J1834" s="187" t="s">
        <v>1612</v>
      </c>
      <c r="K1834" s="188"/>
      <c r="L1834" s="188"/>
      <c r="M1834" s="189" t="s">
        <v>989</v>
      </c>
      <c r="N1834" s="190">
        <v>1331.19</v>
      </c>
      <c r="O1834" s="190">
        <f t="shared" si="227"/>
        <v>1451</v>
      </c>
      <c r="P1834" s="191">
        <f t="shared" si="228"/>
        <v>0</v>
      </c>
      <c r="Q1834" s="192">
        <f t="shared" si="229"/>
        <v>0</v>
      </c>
      <c r="R1834" s="193"/>
      <c r="S1834" s="194"/>
      <c r="T1834" s="195">
        <f t="shared" si="230"/>
        <v>0</v>
      </c>
      <c r="U1834" s="195">
        <f t="shared" si="231"/>
        <v>0</v>
      </c>
      <c r="V1834" s="195">
        <f t="shared" si="232"/>
        <v>0</v>
      </c>
      <c r="W1834" s="196" t="e">
        <f t="shared" si="233"/>
        <v>#DIV/0!</v>
      </c>
      <c r="X1834" s="197" t="e">
        <f t="shared" si="234"/>
        <v>#DIV/0!</v>
      </c>
    </row>
    <row r="1835" ht="11.4" hidden="1" customHeight="1" spans="1:24">
      <c r="A1835" s="184" t="s">
        <v>3193</v>
      </c>
      <c r="B1835" s="184" t="s">
        <v>136</v>
      </c>
      <c r="C1835" s="184" t="s">
        <v>1606</v>
      </c>
      <c r="D1835" s="185" t="s">
        <v>704</v>
      </c>
      <c r="E1835" s="186" t="s">
        <v>906</v>
      </c>
      <c r="F1835" s="186" t="s">
        <v>907</v>
      </c>
      <c r="G1835" s="186" t="s">
        <v>1102</v>
      </c>
      <c r="H1835" s="186" t="s">
        <v>1607</v>
      </c>
      <c r="I1835" s="187" t="s">
        <v>1613</v>
      </c>
      <c r="J1835" s="187" t="s">
        <v>1614</v>
      </c>
      <c r="K1835" s="188"/>
      <c r="L1835" s="188"/>
      <c r="M1835" s="189" t="s">
        <v>989</v>
      </c>
      <c r="N1835" s="190">
        <v>789.14</v>
      </c>
      <c r="O1835" s="190">
        <f t="shared" si="227"/>
        <v>860.16</v>
      </c>
      <c r="P1835" s="191">
        <f t="shared" si="228"/>
        <v>0</v>
      </c>
      <c r="Q1835" s="192">
        <f t="shared" si="229"/>
        <v>0</v>
      </c>
      <c r="R1835" s="193"/>
      <c r="S1835" s="194"/>
      <c r="T1835" s="195">
        <f t="shared" si="230"/>
        <v>0</v>
      </c>
      <c r="U1835" s="195">
        <f t="shared" si="231"/>
        <v>0</v>
      </c>
      <c r="V1835" s="195">
        <f t="shared" si="232"/>
        <v>0</v>
      </c>
      <c r="W1835" s="196" t="e">
        <f t="shared" si="233"/>
        <v>#DIV/0!</v>
      </c>
      <c r="X1835" s="197" t="e">
        <f t="shared" si="234"/>
        <v>#DIV/0!</v>
      </c>
    </row>
    <row r="1836" ht="11.4" hidden="1" customHeight="1" spans="1:24">
      <c r="A1836" s="184" t="s">
        <v>3193</v>
      </c>
      <c r="B1836" s="184" t="s">
        <v>136</v>
      </c>
      <c r="C1836" s="184" t="s">
        <v>1606</v>
      </c>
      <c r="D1836" s="185" t="s">
        <v>704</v>
      </c>
      <c r="E1836" s="186" t="s">
        <v>906</v>
      </c>
      <c r="F1836" s="186" t="s">
        <v>907</v>
      </c>
      <c r="G1836" s="186" t="s">
        <v>1102</v>
      </c>
      <c r="H1836" s="186" t="s">
        <v>1607</v>
      </c>
      <c r="I1836" s="187" t="s">
        <v>1615</v>
      </c>
      <c r="J1836" s="187" t="s">
        <v>1616</v>
      </c>
      <c r="K1836" s="188"/>
      <c r="L1836" s="188"/>
      <c r="M1836" s="189" t="s">
        <v>989</v>
      </c>
      <c r="N1836" s="190">
        <v>1271.27</v>
      </c>
      <c r="O1836" s="190">
        <f t="shared" si="227"/>
        <v>1385.68</v>
      </c>
      <c r="P1836" s="191">
        <f t="shared" si="228"/>
        <v>0</v>
      </c>
      <c r="Q1836" s="192">
        <f t="shared" si="229"/>
        <v>0</v>
      </c>
      <c r="R1836" s="193"/>
      <c r="S1836" s="194"/>
      <c r="T1836" s="195">
        <f t="shared" si="230"/>
        <v>0</v>
      </c>
      <c r="U1836" s="195">
        <f t="shared" si="231"/>
        <v>0</v>
      </c>
      <c r="V1836" s="195">
        <f t="shared" si="232"/>
        <v>0</v>
      </c>
      <c r="W1836" s="196" t="e">
        <f t="shared" si="233"/>
        <v>#DIV/0!</v>
      </c>
      <c r="X1836" s="197" t="e">
        <f t="shared" si="234"/>
        <v>#DIV/0!</v>
      </c>
    </row>
    <row r="1837" ht="11.4" hidden="1" customHeight="1" spans="1:24">
      <c r="A1837" s="184" t="s">
        <v>3193</v>
      </c>
      <c r="B1837" s="184" t="s">
        <v>136</v>
      </c>
      <c r="C1837" s="184" t="s">
        <v>1606</v>
      </c>
      <c r="D1837" s="185" t="s">
        <v>704</v>
      </c>
      <c r="E1837" s="186" t="s">
        <v>906</v>
      </c>
      <c r="F1837" s="186" t="s">
        <v>907</v>
      </c>
      <c r="G1837" s="186" t="s">
        <v>1102</v>
      </c>
      <c r="H1837" s="186" t="s">
        <v>1607</v>
      </c>
      <c r="I1837" s="187" t="s">
        <v>1617</v>
      </c>
      <c r="J1837" s="187" t="s">
        <v>1618</v>
      </c>
      <c r="K1837" s="188"/>
      <c r="L1837" s="188"/>
      <c r="M1837" s="189" t="s">
        <v>989</v>
      </c>
      <c r="N1837" s="190">
        <v>2120.68</v>
      </c>
      <c r="O1837" s="190">
        <f t="shared" si="227"/>
        <v>2311.54</v>
      </c>
      <c r="P1837" s="191">
        <f t="shared" si="228"/>
        <v>0</v>
      </c>
      <c r="Q1837" s="192">
        <f t="shared" si="229"/>
        <v>0</v>
      </c>
      <c r="R1837" s="193"/>
      <c r="S1837" s="194"/>
      <c r="T1837" s="195">
        <f t="shared" si="230"/>
        <v>0</v>
      </c>
      <c r="U1837" s="195">
        <f t="shared" si="231"/>
        <v>0</v>
      </c>
      <c r="V1837" s="195">
        <f t="shared" si="232"/>
        <v>0</v>
      </c>
      <c r="W1837" s="196" t="e">
        <f t="shared" si="233"/>
        <v>#DIV/0!</v>
      </c>
      <c r="X1837" s="197" t="e">
        <f t="shared" si="234"/>
        <v>#DIV/0!</v>
      </c>
    </row>
    <row r="1838" ht="11.4" hidden="1" customHeight="1" spans="1:24">
      <c r="A1838" s="184" t="s">
        <v>3193</v>
      </c>
      <c r="B1838" s="184" t="s">
        <v>136</v>
      </c>
      <c r="C1838" s="184" t="s">
        <v>1606</v>
      </c>
      <c r="D1838" s="185" t="s">
        <v>704</v>
      </c>
      <c r="E1838" s="186" t="s">
        <v>906</v>
      </c>
      <c r="F1838" s="186" t="s">
        <v>907</v>
      </c>
      <c r="G1838" s="186" t="s">
        <v>1102</v>
      </c>
      <c r="H1838" s="186" t="s">
        <v>1607</v>
      </c>
      <c r="I1838" s="187" t="s">
        <v>1619</v>
      </c>
      <c r="J1838" s="187" t="s">
        <v>1620</v>
      </c>
      <c r="K1838" s="188"/>
      <c r="L1838" s="188"/>
      <c r="M1838" s="189" t="s">
        <v>989</v>
      </c>
      <c r="N1838" s="190">
        <v>1842.69</v>
      </c>
      <c r="O1838" s="190">
        <f t="shared" si="227"/>
        <v>2008.53</v>
      </c>
      <c r="P1838" s="191">
        <f t="shared" si="228"/>
        <v>0</v>
      </c>
      <c r="Q1838" s="192">
        <f t="shared" si="229"/>
        <v>0</v>
      </c>
      <c r="R1838" s="193"/>
      <c r="S1838" s="194"/>
      <c r="T1838" s="195">
        <f t="shared" si="230"/>
        <v>0</v>
      </c>
      <c r="U1838" s="195">
        <f t="shared" si="231"/>
        <v>0</v>
      </c>
      <c r="V1838" s="195">
        <f t="shared" si="232"/>
        <v>0</v>
      </c>
      <c r="W1838" s="196" t="e">
        <f t="shared" si="233"/>
        <v>#DIV/0!</v>
      </c>
      <c r="X1838" s="197" t="e">
        <f t="shared" si="234"/>
        <v>#DIV/0!</v>
      </c>
    </row>
    <row r="1839" ht="11.4" hidden="1" customHeight="1" spans="1:24">
      <c r="A1839" s="184" t="s">
        <v>3193</v>
      </c>
      <c r="B1839" s="184" t="s">
        <v>136</v>
      </c>
      <c r="C1839" s="184" t="s">
        <v>1606</v>
      </c>
      <c r="D1839" s="185" t="s">
        <v>704</v>
      </c>
      <c r="E1839" s="186" t="s">
        <v>906</v>
      </c>
      <c r="F1839" s="186" t="s">
        <v>907</v>
      </c>
      <c r="G1839" s="186" t="s">
        <v>1102</v>
      </c>
      <c r="H1839" s="186" t="s">
        <v>1607</v>
      </c>
      <c r="I1839" s="187" t="s">
        <v>1621</v>
      </c>
      <c r="J1839" s="187" t="s">
        <v>1622</v>
      </c>
      <c r="K1839" s="188"/>
      <c r="L1839" s="188"/>
      <c r="M1839" s="189" t="s">
        <v>989</v>
      </c>
      <c r="N1839" s="190">
        <v>2194.94</v>
      </c>
      <c r="O1839" s="190">
        <f t="shared" si="227"/>
        <v>2392.48</v>
      </c>
      <c r="P1839" s="191">
        <f t="shared" si="228"/>
        <v>0</v>
      </c>
      <c r="Q1839" s="192">
        <f t="shared" si="229"/>
        <v>0</v>
      </c>
      <c r="R1839" s="193"/>
      <c r="S1839" s="194"/>
      <c r="T1839" s="195">
        <f t="shared" si="230"/>
        <v>0</v>
      </c>
      <c r="U1839" s="195">
        <f t="shared" si="231"/>
        <v>0</v>
      </c>
      <c r="V1839" s="195">
        <f t="shared" si="232"/>
        <v>0</v>
      </c>
      <c r="W1839" s="196" t="e">
        <f t="shared" si="233"/>
        <v>#DIV/0!</v>
      </c>
      <c r="X1839" s="197" t="e">
        <f t="shared" si="234"/>
        <v>#DIV/0!</v>
      </c>
    </row>
    <row r="1840" ht="11.4" hidden="1" customHeight="1" spans="1:24">
      <c r="A1840" s="184" t="s">
        <v>3193</v>
      </c>
      <c r="B1840" s="184" t="s">
        <v>136</v>
      </c>
      <c r="C1840" s="184" t="s">
        <v>1606</v>
      </c>
      <c r="D1840" s="185" t="s">
        <v>704</v>
      </c>
      <c r="E1840" s="186" t="s">
        <v>906</v>
      </c>
      <c r="F1840" s="186" t="s">
        <v>907</v>
      </c>
      <c r="G1840" s="186" t="s">
        <v>1102</v>
      </c>
      <c r="H1840" s="186" t="s">
        <v>1607</v>
      </c>
      <c r="I1840" s="187" t="s">
        <v>1623</v>
      </c>
      <c r="J1840" s="187" t="s">
        <v>1624</v>
      </c>
      <c r="K1840" s="188"/>
      <c r="L1840" s="188"/>
      <c r="M1840" s="189" t="s">
        <v>989</v>
      </c>
      <c r="N1840" s="190">
        <v>2552.77</v>
      </c>
      <c r="O1840" s="190">
        <f t="shared" si="227"/>
        <v>2782.52</v>
      </c>
      <c r="P1840" s="191">
        <f t="shared" si="228"/>
        <v>0</v>
      </c>
      <c r="Q1840" s="192">
        <f t="shared" si="229"/>
        <v>0</v>
      </c>
      <c r="R1840" s="193"/>
      <c r="S1840" s="194"/>
      <c r="T1840" s="195">
        <f t="shared" si="230"/>
        <v>0</v>
      </c>
      <c r="U1840" s="195">
        <f t="shared" si="231"/>
        <v>0</v>
      </c>
      <c r="V1840" s="195">
        <f t="shared" si="232"/>
        <v>0</v>
      </c>
      <c r="W1840" s="196" t="e">
        <f t="shared" si="233"/>
        <v>#DIV/0!</v>
      </c>
      <c r="X1840" s="197" t="e">
        <f t="shared" si="234"/>
        <v>#DIV/0!</v>
      </c>
    </row>
    <row r="1841" ht="11.4" hidden="1" customHeight="1" spans="1:24">
      <c r="A1841" s="184" t="s">
        <v>3194</v>
      </c>
      <c r="B1841" s="184" t="s">
        <v>123</v>
      </c>
      <c r="C1841" s="184" t="s">
        <v>1101</v>
      </c>
      <c r="D1841" s="185" t="s">
        <v>704</v>
      </c>
      <c r="E1841" s="186" t="s">
        <v>906</v>
      </c>
      <c r="F1841" s="186" t="s">
        <v>907</v>
      </c>
      <c r="G1841" s="186" t="s">
        <v>1102</v>
      </c>
      <c r="H1841" s="186" t="s">
        <v>547</v>
      </c>
      <c r="I1841" s="187" t="s">
        <v>1626</v>
      </c>
      <c r="J1841" s="187" t="s">
        <v>1627</v>
      </c>
      <c r="K1841" s="188"/>
      <c r="L1841" s="188"/>
      <c r="M1841" s="189" t="s">
        <v>847</v>
      </c>
      <c r="N1841" s="190">
        <v>272.28</v>
      </c>
      <c r="O1841" s="190">
        <f t="shared" si="227"/>
        <v>296.79</v>
      </c>
      <c r="P1841" s="191">
        <f t="shared" si="228"/>
        <v>0</v>
      </c>
      <c r="Q1841" s="192">
        <f t="shared" si="229"/>
        <v>0</v>
      </c>
      <c r="R1841" s="193"/>
      <c r="S1841" s="194"/>
      <c r="T1841" s="195">
        <f t="shared" si="230"/>
        <v>0</v>
      </c>
      <c r="U1841" s="195">
        <f t="shared" si="231"/>
        <v>0</v>
      </c>
      <c r="V1841" s="195">
        <f t="shared" si="232"/>
        <v>0</v>
      </c>
      <c r="W1841" s="196" t="e">
        <f t="shared" si="233"/>
        <v>#DIV/0!</v>
      </c>
      <c r="X1841" s="197" t="e">
        <f t="shared" si="234"/>
        <v>#DIV/0!</v>
      </c>
    </row>
    <row r="1842" ht="11.4" hidden="1" customHeight="1" spans="1:24">
      <c r="A1842" s="184" t="s">
        <v>3194</v>
      </c>
      <c r="B1842" s="184" t="s">
        <v>123</v>
      </c>
      <c r="C1842" s="184" t="s">
        <v>1101</v>
      </c>
      <c r="D1842" s="185" t="s">
        <v>704</v>
      </c>
      <c r="E1842" s="186" t="s">
        <v>906</v>
      </c>
      <c r="F1842" s="186" t="s">
        <v>907</v>
      </c>
      <c r="G1842" s="186" t="s">
        <v>1102</v>
      </c>
      <c r="H1842" s="186" t="s">
        <v>547</v>
      </c>
      <c r="I1842" s="187" t="s">
        <v>1628</v>
      </c>
      <c r="J1842" s="187" t="s">
        <v>1629</v>
      </c>
      <c r="K1842" s="188"/>
      <c r="L1842" s="188"/>
      <c r="M1842" s="189" t="s">
        <v>807</v>
      </c>
      <c r="N1842" s="190">
        <v>51.4</v>
      </c>
      <c r="O1842" s="190">
        <f t="shared" si="227"/>
        <v>56.03</v>
      </c>
      <c r="P1842" s="191">
        <f t="shared" si="228"/>
        <v>0</v>
      </c>
      <c r="Q1842" s="192">
        <f t="shared" si="229"/>
        <v>0</v>
      </c>
      <c r="R1842" s="193"/>
      <c r="S1842" s="194"/>
      <c r="T1842" s="195">
        <f t="shared" si="230"/>
        <v>0</v>
      </c>
      <c r="U1842" s="195">
        <f t="shared" si="231"/>
        <v>0</v>
      </c>
      <c r="V1842" s="195">
        <f t="shared" si="232"/>
        <v>0</v>
      </c>
      <c r="W1842" s="196" t="e">
        <f t="shared" si="233"/>
        <v>#DIV/0!</v>
      </c>
      <c r="X1842" s="197" t="e">
        <f t="shared" si="234"/>
        <v>#DIV/0!</v>
      </c>
    </row>
    <row r="1843" ht="11.4" hidden="1" customHeight="1" spans="1:24">
      <c r="A1843" s="184" t="s">
        <v>3194</v>
      </c>
      <c r="B1843" s="184" t="s">
        <v>123</v>
      </c>
      <c r="C1843" s="184" t="s">
        <v>1101</v>
      </c>
      <c r="D1843" s="185" t="s">
        <v>704</v>
      </c>
      <c r="E1843" s="186" t="s">
        <v>906</v>
      </c>
      <c r="F1843" s="186" t="s">
        <v>907</v>
      </c>
      <c r="G1843" s="186" t="s">
        <v>1102</v>
      </c>
      <c r="H1843" s="186" t="s">
        <v>547</v>
      </c>
      <c r="I1843" s="187" t="s">
        <v>1630</v>
      </c>
      <c r="J1843" s="187" t="s">
        <v>1631</v>
      </c>
      <c r="K1843" s="188"/>
      <c r="L1843" s="188"/>
      <c r="M1843" s="189" t="s">
        <v>847</v>
      </c>
      <c r="N1843" s="190">
        <v>247.97</v>
      </c>
      <c r="O1843" s="190">
        <f t="shared" si="227"/>
        <v>270.29</v>
      </c>
      <c r="P1843" s="191">
        <f t="shared" si="228"/>
        <v>0</v>
      </c>
      <c r="Q1843" s="192">
        <f t="shared" si="229"/>
        <v>0</v>
      </c>
      <c r="R1843" s="193"/>
      <c r="S1843" s="194"/>
      <c r="T1843" s="195">
        <f t="shared" si="230"/>
        <v>0</v>
      </c>
      <c r="U1843" s="195">
        <f t="shared" si="231"/>
        <v>0</v>
      </c>
      <c r="V1843" s="195">
        <f t="shared" si="232"/>
        <v>0</v>
      </c>
      <c r="W1843" s="196" t="e">
        <f t="shared" si="233"/>
        <v>#DIV/0!</v>
      </c>
      <c r="X1843" s="197" t="e">
        <f t="shared" si="234"/>
        <v>#DIV/0!</v>
      </c>
    </row>
    <row r="1844" ht="11.4" hidden="1" customHeight="1" spans="1:24">
      <c r="A1844" s="184" t="s">
        <v>3194</v>
      </c>
      <c r="B1844" s="184" t="s">
        <v>123</v>
      </c>
      <c r="C1844" s="184" t="s">
        <v>1101</v>
      </c>
      <c r="D1844" s="185" t="s">
        <v>704</v>
      </c>
      <c r="E1844" s="186" t="s">
        <v>906</v>
      </c>
      <c r="F1844" s="186" t="s">
        <v>907</v>
      </c>
      <c r="G1844" s="186" t="s">
        <v>1102</v>
      </c>
      <c r="H1844" s="186" t="s">
        <v>547</v>
      </c>
      <c r="I1844" s="187" t="s">
        <v>1632</v>
      </c>
      <c r="J1844" s="187" t="s">
        <v>1633</v>
      </c>
      <c r="K1844" s="188"/>
      <c r="L1844" s="188"/>
      <c r="M1844" s="189" t="s">
        <v>807</v>
      </c>
      <c r="N1844" s="190">
        <v>48.54</v>
      </c>
      <c r="O1844" s="190">
        <f t="shared" si="227"/>
        <v>52.91</v>
      </c>
      <c r="P1844" s="191">
        <f t="shared" si="228"/>
        <v>0</v>
      </c>
      <c r="Q1844" s="192">
        <f t="shared" si="229"/>
        <v>0</v>
      </c>
      <c r="R1844" s="193"/>
      <c r="S1844" s="194"/>
      <c r="T1844" s="195">
        <f t="shared" si="230"/>
        <v>0</v>
      </c>
      <c r="U1844" s="195">
        <f t="shared" si="231"/>
        <v>0</v>
      </c>
      <c r="V1844" s="195">
        <f t="shared" si="232"/>
        <v>0</v>
      </c>
      <c r="W1844" s="196" t="e">
        <f t="shared" si="233"/>
        <v>#DIV/0!</v>
      </c>
      <c r="X1844" s="197" t="e">
        <f t="shared" si="234"/>
        <v>#DIV/0!</v>
      </c>
    </row>
    <row r="1845" ht="11.4" hidden="1" customHeight="1" spans="1:24">
      <c r="A1845" s="184" t="s">
        <v>3194</v>
      </c>
      <c r="B1845" s="184" t="s">
        <v>123</v>
      </c>
      <c r="C1845" s="184" t="s">
        <v>1101</v>
      </c>
      <c r="D1845" s="185" t="s">
        <v>704</v>
      </c>
      <c r="E1845" s="186" t="s">
        <v>906</v>
      </c>
      <c r="F1845" s="186" t="s">
        <v>907</v>
      </c>
      <c r="G1845" s="186" t="s">
        <v>1102</v>
      </c>
      <c r="H1845" s="186" t="s">
        <v>547</v>
      </c>
      <c r="I1845" s="187" t="s">
        <v>1634</v>
      </c>
      <c r="J1845" s="187" t="s">
        <v>1635</v>
      </c>
      <c r="K1845" s="188"/>
      <c r="L1845" s="188"/>
      <c r="M1845" s="189" t="s">
        <v>847</v>
      </c>
      <c r="N1845" s="190">
        <v>273.71</v>
      </c>
      <c r="O1845" s="190">
        <f t="shared" si="227"/>
        <v>298.34</v>
      </c>
      <c r="P1845" s="191">
        <f t="shared" si="228"/>
        <v>0</v>
      </c>
      <c r="Q1845" s="192">
        <f t="shared" si="229"/>
        <v>0</v>
      </c>
      <c r="R1845" s="193"/>
      <c r="S1845" s="194"/>
      <c r="T1845" s="195">
        <f t="shared" si="230"/>
        <v>0</v>
      </c>
      <c r="U1845" s="195">
        <f t="shared" si="231"/>
        <v>0</v>
      </c>
      <c r="V1845" s="195">
        <f t="shared" si="232"/>
        <v>0</v>
      </c>
      <c r="W1845" s="196" t="e">
        <f t="shared" si="233"/>
        <v>#DIV/0!</v>
      </c>
      <c r="X1845" s="197" t="e">
        <f t="shared" si="234"/>
        <v>#DIV/0!</v>
      </c>
    </row>
    <row r="1846" ht="11.4" hidden="1" customHeight="1" spans="1:24">
      <c r="A1846" s="184" t="s">
        <v>3194</v>
      </c>
      <c r="B1846" s="184" t="s">
        <v>123</v>
      </c>
      <c r="C1846" s="184" t="s">
        <v>1101</v>
      </c>
      <c r="D1846" s="185" t="s">
        <v>704</v>
      </c>
      <c r="E1846" s="186" t="s">
        <v>906</v>
      </c>
      <c r="F1846" s="186" t="s">
        <v>907</v>
      </c>
      <c r="G1846" s="186" t="s">
        <v>1102</v>
      </c>
      <c r="H1846" s="186" t="s">
        <v>547</v>
      </c>
      <c r="I1846" s="187" t="s">
        <v>1636</v>
      </c>
      <c r="J1846" s="187" t="s">
        <v>1637</v>
      </c>
      <c r="K1846" s="188"/>
      <c r="L1846" s="188"/>
      <c r="M1846" s="189" t="s">
        <v>807</v>
      </c>
      <c r="N1846" s="190">
        <v>52.83</v>
      </c>
      <c r="O1846" s="190">
        <f t="shared" si="227"/>
        <v>57.58</v>
      </c>
      <c r="P1846" s="191">
        <f t="shared" si="228"/>
        <v>0</v>
      </c>
      <c r="Q1846" s="192">
        <f t="shared" si="229"/>
        <v>0</v>
      </c>
      <c r="R1846" s="193"/>
      <c r="S1846" s="194"/>
      <c r="T1846" s="195">
        <f t="shared" si="230"/>
        <v>0</v>
      </c>
      <c r="U1846" s="195">
        <f t="shared" si="231"/>
        <v>0</v>
      </c>
      <c r="V1846" s="195">
        <f t="shared" si="232"/>
        <v>0</v>
      </c>
      <c r="W1846" s="196" t="e">
        <f t="shared" si="233"/>
        <v>#DIV/0!</v>
      </c>
      <c r="X1846" s="197" t="e">
        <f t="shared" si="234"/>
        <v>#DIV/0!</v>
      </c>
    </row>
    <row r="1847" ht="11.4" hidden="1" customHeight="1" spans="1:24">
      <c r="A1847" s="184" t="s">
        <v>3194</v>
      </c>
      <c r="B1847" s="184" t="s">
        <v>123</v>
      </c>
      <c r="C1847" s="184" t="s">
        <v>1101</v>
      </c>
      <c r="D1847" s="185" t="s">
        <v>704</v>
      </c>
      <c r="E1847" s="186" t="s">
        <v>906</v>
      </c>
      <c r="F1847" s="186" t="s">
        <v>907</v>
      </c>
      <c r="G1847" s="186" t="s">
        <v>1102</v>
      </c>
      <c r="H1847" s="186" t="s">
        <v>547</v>
      </c>
      <c r="I1847" s="187" t="s">
        <v>1638</v>
      </c>
      <c r="J1847" s="187" t="s">
        <v>1639</v>
      </c>
      <c r="K1847" s="188"/>
      <c r="L1847" s="188"/>
      <c r="M1847" s="189" t="s">
        <v>847</v>
      </c>
      <c r="N1847" s="190">
        <v>289.46</v>
      </c>
      <c r="O1847" s="190">
        <f t="shared" si="227"/>
        <v>315.51</v>
      </c>
      <c r="P1847" s="191">
        <f t="shared" si="228"/>
        <v>0</v>
      </c>
      <c r="Q1847" s="192">
        <f t="shared" si="229"/>
        <v>0</v>
      </c>
      <c r="R1847" s="193"/>
      <c r="S1847" s="194"/>
      <c r="T1847" s="195">
        <f t="shared" si="230"/>
        <v>0</v>
      </c>
      <c r="U1847" s="195">
        <f t="shared" si="231"/>
        <v>0</v>
      </c>
      <c r="V1847" s="195">
        <f t="shared" si="232"/>
        <v>0</v>
      </c>
      <c r="W1847" s="196" t="e">
        <f t="shared" si="233"/>
        <v>#DIV/0!</v>
      </c>
      <c r="X1847" s="197" t="e">
        <f t="shared" si="234"/>
        <v>#DIV/0!</v>
      </c>
    </row>
    <row r="1848" ht="11.4" hidden="1" customHeight="1" spans="1:24">
      <c r="A1848" s="184" t="s">
        <v>3194</v>
      </c>
      <c r="B1848" s="184" t="s">
        <v>123</v>
      </c>
      <c r="C1848" s="184" t="s">
        <v>1101</v>
      </c>
      <c r="D1848" s="185" t="s">
        <v>704</v>
      </c>
      <c r="E1848" s="186" t="s">
        <v>906</v>
      </c>
      <c r="F1848" s="186" t="s">
        <v>907</v>
      </c>
      <c r="G1848" s="186" t="s">
        <v>1102</v>
      </c>
      <c r="H1848" s="186" t="s">
        <v>547</v>
      </c>
      <c r="I1848" s="187" t="s">
        <v>1640</v>
      </c>
      <c r="J1848" s="187" t="s">
        <v>1641</v>
      </c>
      <c r="K1848" s="188"/>
      <c r="L1848" s="188"/>
      <c r="M1848" s="189" t="s">
        <v>847</v>
      </c>
      <c r="N1848" s="190">
        <v>49.86</v>
      </c>
      <c r="O1848" s="190">
        <f t="shared" si="227"/>
        <v>54.35</v>
      </c>
      <c r="P1848" s="191">
        <f t="shared" si="228"/>
        <v>0</v>
      </c>
      <c r="Q1848" s="192">
        <f t="shared" si="229"/>
        <v>0</v>
      </c>
      <c r="R1848" s="193"/>
      <c r="S1848" s="194"/>
      <c r="T1848" s="195">
        <f t="shared" si="230"/>
        <v>0</v>
      </c>
      <c r="U1848" s="195">
        <f t="shared" si="231"/>
        <v>0</v>
      </c>
      <c r="V1848" s="195">
        <f t="shared" si="232"/>
        <v>0</v>
      </c>
      <c r="W1848" s="196" t="e">
        <f t="shared" si="233"/>
        <v>#DIV/0!</v>
      </c>
      <c r="X1848" s="197" t="e">
        <f t="shared" si="234"/>
        <v>#DIV/0!</v>
      </c>
    </row>
    <row r="1849" ht="11.4" hidden="1" customHeight="1" spans="1:24">
      <c r="A1849" s="184" t="s">
        <v>3194</v>
      </c>
      <c r="B1849" s="184" t="s">
        <v>123</v>
      </c>
      <c r="C1849" s="184" t="s">
        <v>1101</v>
      </c>
      <c r="D1849" s="185" t="s">
        <v>704</v>
      </c>
      <c r="E1849" s="186" t="s">
        <v>906</v>
      </c>
      <c r="F1849" s="186" t="s">
        <v>907</v>
      </c>
      <c r="G1849" s="186" t="s">
        <v>1102</v>
      </c>
      <c r="H1849" s="186" t="s">
        <v>547</v>
      </c>
      <c r="I1849" s="187" t="s">
        <v>1642</v>
      </c>
      <c r="J1849" s="187" t="s">
        <v>1643</v>
      </c>
      <c r="K1849" s="188"/>
      <c r="L1849" s="188"/>
      <c r="M1849" s="189" t="s">
        <v>847</v>
      </c>
      <c r="N1849" s="190">
        <v>249.51</v>
      </c>
      <c r="O1849" s="190">
        <f t="shared" si="227"/>
        <v>271.97</v>
      </c>
      <c r="P1849" s="191">
        <f t="shared" si="228"/>
        <v>0</v>
      </c>
      <c r="Q1849" s="192">
        <f t="shared" si="229"/>
        <v>0</v>
      </c>
      <c r="R1849" s="193"/>
      <c r="S1849" s="194"/>
      <c r="T1849" s="195">
        <f t="shared" si="230"/>
        <v>0</v>
      </c>
      <c r="U1849" s="195">
        <f t="shared" si="231"/>
        <v>0</v>
      </c>
      <c r="V1849" s="195">
        <f t="shared" si="232"/>
        <v>0</v>
      </c>
      <c r="W1849" s="196" t="e">
        <f t="shared" si="233"/>
        <v>#DIV/0!</v>
      </c>
      <c r="X1849" s="197" t="e">
        <f t="shared" si="234"/>
        <v>#DIV/0!</v>
      </c>
    </row>
    <row r="1850" ht="11.4" hidden="1" customHeight="1" spans="1:24">
      <c r="A1850" s="184" t="s">
        <v>3194</v>
      </c>
      <c r="B1850" s="184" t="s">
        <v>123</v>
      </c>
      <c r="C1850" s="184" t="s">
        <v>1101</v>
      </c>
      <c r="D1850" s="185" t="s">
        <v>704</v>
      </c>
      <c r="E1850" s="186" t="s">
        <v>906</v>
      </c>
      <c r="F1850" s="186" t="s">
        <v>907</v>
      </c>
      <c r="G1850" s="186" t="s">
        <v>1102</v>
      </c>
      <c r="H1850" s="186" t="s">
        <v>547</v>
      </c>
      <c r="I1850" s="187" t="s">
        <v>1644</v>
      </c>
      <c r="J1850" s="187" t="s">
        <v>1645</v>
      </c>
      <c r="K1850" s="188"/>
      <c r="L1850" s="188"/>
      <c r="M1850" s="189" t="s">
        <v>807</v>
      </c>
      <c r="N1850" s="190">
        <v>47.44</v>
      </c>
      <c r="O1850" s="190">
        <f t="shared" si="227"/>
        <v>51.71</v>
      </c>
      <c r="P1850" s="191">
        <f t="shared" si="228"/>
        <v>0</v>
      </c>
      <c r="Q1850" s="192">
        <f t="shared" si="229"/>
        <v>0</v>
      </c>
      <c r="R1850" s="193"/>
      <c r="S1850" s="194"/>
      <c r="T1850" s="195">
        <f t="shared" si="230"/>
        <v>0</v>
      </c>
      <c r="U1850" s="195">
        <f t="shared" si="231"/>
        <v>0</v>
      </c>
      <c r="V1850" s="195">
        <f t="shared" si="232"/>
        <v>0</v>
      </c>
      <c r="W1850" s="196" t="e">
        <f t="shared" si="233"/>
        <v>#DIV/0!</v>
      </c>
      <c r="X1850" s="197" t="e">
        <f t="shared" si="234"/>
        <v>#DIV/0!</v>
      </c>
    </row>
    <row r="1851" ht="11.4" hidden="1" customHeight="1" spans="1:24">
      <c r="A1851" s="184" t="s">
        <v>3194</v>
      </c>
      <c r="B1851" s="184" t="s">
        <v>123</v>
      </c>
      <c r="C1851" s="184" t="s">
        <v>1101</v>
      </c>
      <c r="D1851" s="185" t="s">
        <v>704</v>
      </c>
      <c r="E1851" s="186" t="s">
        <v>906</v>
      </c>
      <c r="F1851" s="186" t="s">
        <v>907</v>
      </c>
      <c r="G1851" s="186" t="s">
        <v>1102</v>
      </c>
      <c r="H1851" s="186" t="s">
        <v>547</v>
      </c>
      <c r="I1851" s="187" t="s">
        <v>1646</v>
      </c>
      <c r="J1851" s="187" t="s">
        <v>1647</v>
      </c>
      <c r="K1851" s="188"/>
      <c r="L1851" s="188"/>
      <c r="M1851" s="189" t="s">
        <v>847</v>
      </c>
      <c r="N1851" s="190">
        <v>290.89</v>
      </c>
      <c r="O1851" s="190">
        <f t="shared" si="227"/>
        <v>317.07</v>
      </c>
      <c r="P1851" s="191">
        <f t="shared" si="228"/>
        <v>0</v>
      </c>
      <c r="Q1851" s="192">
        <f t="shared" si="229"/>
        <v>0</v>
      </c>
      <c r="R1851" s="193"/>
      <c r="S1851" s="194"/>
      <c r="T1851" s="195">
        <f t="shared" si="230"/>
        <v>0</v>
      </c>
      <c r="U1851" s="195">
        <f t="shared" si="231"/>
        <v>0</v>
      </c>
      <c r="V1851" s="195">
        <f t="shared" si="232"/>
        <v>0</v>
      </c>
      <c r="W1851" s="196" t="e">
        <f t="shared" si="233"/>
        <v>#DIV/0!</v>
      </c>
      <c r="X1851" s="197" t="e">
        <f t="shared" si="234"/>
        <v>#DIV/0!</v>
      </c>
    </row>
    <row r="1852" ht="11.4" hidden="1" customHeight="1" spans="1:24">
      <c r="A1852" s="184" t="s">
        <v>3194</v>
      </c>
      <c r="B1852" s="184" t="s">
        <v>123</v>
      </c>
      <c r="C1852" s="184" t="s">
        <v>1101</v>
      </c>
      <c r="D1852" s="185" t="s">
        <v>704</v>
      </c>
      <c r="E1852" s="186" t="s">
        <v>906</v>
      </c>
      <c r="F1852" s="186" t="s">
        <v>907</v>
      </c>
      <c r="G1852" s="186" t="s">
        <v>1102</v>
      </c>
      <c r="H1852" s="186" t="s">
        <v>547</v>
      </c>
      <c r="I1852" s="187" t="s">
        <v>1648</v>
      </c>
      <c r="J1852" s="187" t="s">
        <v>1649</v>
      </c>
      <c r="K1852" s="188"/>
      <c r="L1852" s="188"/>
      <c r="M1852" s="189" t="s">
        <v>807</v>
      </c>
      <c r="N1852" s="190">
        <v>48.65</v>
      </c>
      <c r="O1852" s="190">
        <f t="shared" si="227"/>
        <v>53.03</v>
      </c>
      <c r="P1852" s="191">
        <f t="shared" si="228"/>
        <v>0</v>
      </c>
      <c r="Q1852" s="192">
        <f t="shared" si="229"/>
        <v>0</v>
      </c>
      <c r="R1852" s="193"/>
      <c r="S1852" s="194"/>
      <c r="T1852" s="195">
        <f t="shared" si="230"/>
        <v>0</v>
      </c>
      <c r="U1852" s="195">
        <f t="shared" si="231"/>
        <v>0</v>
      </c>
      <c r="V1852" s="195">
        <f t="shared" si="232"/>
        <v>0</v>
      </c>
      <c r="W1852" s="196" t="e">
        <f t="shared" si="233"/>
        <v>#DIV/0!</v>
      </c>
      <c r="X1852" s="197" t="e">
        <f t="shared" si="234"/>
        <v>#DIV/0!</v>
      </c>
    </row>
    <row r="1853" ht="11.4" hidden="1" customHeight="1" spans="1:24">
      <c r="A1853" s="184" t="s">
        <v>3194</v>
      </c>
      <c r="B1853" s="184" t="s">
        <v>123</v>
      </c>
      <c r="C1853" s="184" t="s">
        <v>1101</v>
      </c>
      <c r="D1853" s="185" t="s">
        <v>704</v>
      </c>
      <c r="E1853" s="186" t="s">
        <v>906</v>
      </c>
      <c r="F1853" s="186" t="s">
        <v>907</v>
      </c>
      <c r="G1853" s="186" t="s">
        <v>1102</v>
      </c>
      <c r="H1853" s="186" t="s">
        <v>547</v>
      </c>
      <c r="I1853" s="187" t="s">
        <v>1650</v>
      </c>
      <c r="J1853" s="187" t="s">
        <v>1651</v>
      </c>
      <c r="K1853" s="188"/>
      <c r="L1853" s="188"/>
      <c r="M1853" s="189" t="s">
        <v>847</v>
      </c>
      <c r="N1853" s="190">
        <v>203.51</v>
      </c>
      <c r="O1853" s="190">
        <f t="shared" si="227"/>
        <v>221.83</v>
      </c>
      <c r="P1853" s="191">
        <f t="shared" si="228"/>
        <v>0</v>
      </c>
      <c r="Q1853" s="192">
        <f t="shared" si="229"/>
        <v>0</v>
      </c>
      <c r="R1853" s="193"/>
      <c r="S1853" s="194"/>
      <c r="T1853" s="195">
        <f t="shared" si="230"/>
        <v>0</v>
      </c>
      <c r="U1853" s="195">
        <f t="shared" si="231"/>
        <v>0</v>
      </c>
      <c r="V1853" s="195">
        <f t="shared" si="232"/>
        <v>0</v>
      </c>
      <c r="W1853" s="196" t="e">
        <f t="shared" si="233"/>
        <v>#DIV/0!</v>
      </c>
      <c r="X1853" s="197" t="e">
        <f t="shared" si="234"/>
        <v>#DIV/0!</v>
      </c>
    </row>
    <row r="1854" ht="11.4" hidden="1" customHeight="1" spans="1:24">
      <c r="A1854" s="184" t="s">
        <v>3194</v>
      </c>
      <c r="B1854" s="184" t="s">
        <v>123</v>
      </c>
      <c r="C1854" s="184" t="s">
        <v>1101</v>
      </c>
      <c r="D1854" s="185" t="s">
        <v>704</v>
      </c>
      <c r="E1854" s="186" t="s">
        <v>906</v>
      </c>
      <c r="F1854" s="186" t="s">
        <v>907</v>
      </c>
      <c r="G1854" s="186" t="s">
        <v>1102</v>
      </c>
      <c r="H1854" s="186" t="s">
        <v>547</v>
      </c>
      <c r="I1854" s="187" t="s">
        <v>1652</v>
      </c>
      <c r="J1854" s="187" t="s">
        <v>1653</v>
      </c>
      <c r="K1854" s="188"/>
      <c r="L1854" s="188"/>
      <c r="M1854" s="189" t="s">
        <v>807</v>
      </c>
      <c r="N1854" s="190">
        <v>41.69</v>
      </c>
      <c r="O1854" s="190">
        <f t="shared" si="227"/>
        <v>45.44</v>
      </c>
      <c r="P1854" s="191">
        <f t="shared" si="228"/>
        <v>0</v>
      </c>
      <c r="Q1854" s="192">
        <f t="shared" si="229"/>
        <v>0</v>
      </c>
      <c r="R1854" s="193"/>
      <c r="S1854" s="194"/>
      <c r="T1854" s="195">
        <f t="shared" si="230"/>
        <v>0</v>
      </c>
      <c r="U1854" s="195">
        <f t="shared" si="231"/>
        <v>0</v>
      </c>
      <c r="V1854" s="195">
        <f t="shared" si="232"/>
        <v>0</v>
      </c>
      <c r="W1854" s="196" t="e">
        <f t="shared" si="233"/>
        <v>#DIV/0!</v>
      </c>
      <c r="X1854" s="197" t="e">
        <f t="shared" si="234"/>
        <v>#DIV/0!</v>
      </c>
    </row>
    <row r="1855" ht="11.4" hidden="1" customHeight="1" spans="1:24">
      <c r="A1855" s="184" t="s">
        <v>3194</v>
      </c>
      <c r="B1855" s="184" t="s">
        <v>123</v>
      </c>
      <c r="C1855" s="184" t="s">
        <v>1101</v>
      </c>
      <c r="D1855" s="185" t="s">
        <v>704</v>
      </c>
      <c r="E1855" s="186" t="s">
        <v>906</v>
      </c>
      <c r="F1855" s="186" t="s">
        <v>907</v>
      </c>
      <c r="G1855" s="186" t="s">
        <v>1102</v>
      </c>
      <c r="H1855" s="186" t="s">
        <v>547</v>
      </c>
      <c r="I1855" s="187" t="s">
        <v>1654</v>
      </c>
      <c r="J1855" s="187" t="s">
        <v>1655</v>
      </c>
      <c r="K1855" s="188"/>
      <c r="L1855" s="188"/>
      <c r="M1855" s="189" t="s">
        <v>847</v>
      </c>
      <c r="N1855" s="190">
        <v>180.15</v>
      </c>
      <c r="O1855" s="190">
        <f t="shared" si="227"/>
        <v>196.36</v>
      </c>
      <c r="P1855" s="191">
        <f t="shared" si="228"/>
        <v>0</v>
      </c>
      <c r="Q1855" s="192">
        <f t="shared" si="229"/>
        <v>0</v>
      </c>
      <c r="R1855" s="193"/>
      <c r="S1855" s="194"/>
      <c r="T1855" s="195">
        <f t="shared" si="230"/>
        <v>0</v>
      </c>
      <c r="U1855" s="195">
        <f t="shared" si="231"/>
        <v>0</v>
      </c>
      <c r="V1855" s="195">
        <f t="shared" si="232"/>
        <v>0</v>
      </c>
      <c r="W1855" s="196" t="e">
        <f t="shared" si="233"/>
        <v>#DIV/0!</v>
      </c>
      <c r="X1855" s="197" t="e">
        <f t="shared" si="234"/>
        <v>#DIV/0!</v>
      </c>
    </row>
    <row r="1856" ht="11.4" hidden="1" customHeight="1" spans="1:24">
      <c r="A1856" s="184" t="s">
        <v>3194</v>
      </c>
      <c r="B1856" s="184" t="s">
        <v>123</v>
      </c>
      <c r="C1856" s="184" t="s">
        <v>1101</v>
      </c>
      <c r="D1856" s="185" t="s">
        <v>704</v>
      </c>
      <c r="E1856" s="186" t="s">
        <v>906</v>
      </c>
      <c r="F1856" s="186" t="s">
        <v>907</v>
      </c>
      <c r="G1856" s="186" t="s">
        <v>1102</v>
      </c>
      <c r="H1856" s="186" t="s">
        <v>547</v>
      </c>
      <c r="I1856" s="187" t="s">
        <v>1656</v>
      </c>
      <c r="J1856" s="187" t="s">
        <v>1657</v>
      </c>
      <c r="K1856" s="188"/>
      <c r="L1856" s="188"/>
      <c r="M1856" s="189" t="s">
        <v>807</v>
      </c>
      <c r="N1856" s="190">
        <v>39.27</v>
      </c>
      <c r="O1856" s="190">
        <f t="shared" si="227"/>
        <v>42.8</v>
      </c>
      <c r="P1856" s="191">
        <f t="shared" si="228"/>
        <v>0</v>
      </c>
      <c r="Q1856" s="192">
        <f t="shared" si="229"/>
        <v>0</v>
      </c>
      <c r="R1856" s="193"/>
      <c r="S1856" s="194"/>
      <c r="T1856" s="195">
        <f t="shared" si="230"/>
        <v>0</v>
      </c>
      <c r="U1856" s="195">
        <f t="shared" si="231"/>
        <v>0</v>
      </c>
      <c r="V1856" s="195">
        <f t="shared" si="232"/>
        <v>0</v>
      </c>
      <c r="W1856" s="196" t="e">
        <f t="shared" si="233"/>
        <v>#DIV/0!</v>
      </c>
      <c r="X1856" s="197" t="e">
        <f t="shared" si="234"/>
        <v>#DIV/0!</v>
      </c>
    </row>
    <row r="1857" ht="11.4" hidden="1" customHeight="1" spans="1:24">
      <c r="A1857" s="184" t="s">
        <v>3194</v>
      </c>
      <c r="B1857" s="184" t="s">
        <v>123</v>
      </c>
      <c r="C1857" s="184" t="s">
        <v>1101</v>
      </c>
      <c r="D1857" s="185" t="s">
        <v>704</v>
      </c>
      <c r="E1857" s="186" t="s">
        <v>906</v>
      </c>
      <c r="F1857" s="186" t="s">
        <v>907</v>
      </c>
      <c r="G1857" s="186" t="s">
        <v>1102</v>
      </c>
      <c r="H1857" s="186" t="s">
        <v>547</v>
      </c>
      <c r="I1857" s="187" t="s">
        <v>1658</v>
      </c>
      <c r="J1857" s="187" t="s">
        <v>1659</v>
      </c>
      <c r="K1857" s="188"/>
      <c r="L1857" s="188"/>
      <c r="M1857" s="189" t="s">
        <v>847</v>
      </c>
      <c r="N1857" s="190">
        <v>215.19</v>
      </c>
      <c r="O1857" s="190">
        <f t="shared" si="227"/>
        <v>234.56</v>
      </c>
      <c r="P1857" s="191">
        <f t="shared" si="228"/>
        <v>0</v>
      </c>
      <c r="Q1857" s="192">
        <f t="shared" si="229"/>
        <v>0</v>
      </c>
      <c r="R1857" s="193"/>
      <c r="S1857" s="194"/>
      <c r="T1857" s="195">
        <f t="shared" si="230"/>
        <v>0</v>
      </c>
      <c r="U1857" s="195">
        <f t="shared" si="231"/>
        <v>0</v>
      </c>
      <c r="V1857" s="195">
        <f t="shared" si="232"/>
        <v>0</v>
      </c>
      <c r="W1857" s="196" t="e">
        <f t="shared" si="233"/>
        <v>#DIV/0!</v>
      </c>
      <c r="X1857" s="197" t="e">
        <f t="shared" si="234"/>
        <v>#DIV/0!</v>
      </c>
    </row>
    <row r="1858" ht="11.4" hidden="1" customHeight="1" spans="1:24">
      <c r="A1858" s="184" t="s">
        <v>3194</v>
      </c>
      <c r="B1858" s="184" t="s">
        <v>123</v>
      </c>
      <c r="C1858" s="184" t="s">
        <v>1101</v>
      </c>
      <c r="D1858" s="185" t="s">
        <v>704</v>
      </c>
      <c r="E1858" s="186" t="s">
        <v>906</v>
      </c>
      <c r="F1858" s="186" t="s">
        <v>907</v>
      </c>
      <c r="G1858" s="186" t="s">
        <v>1102</v>
      </c>
      <c r="H1858" s="186" t="s">
        <v>547</v>
      </c>
      <c r="I1858" s="187" t="s">
        <v>1660</v>
      </c>
      <c r="J1858" s="187" t="s">
        <v>1661</v>
      </c>
      <c r="K1858" s="188"/>
      <c r="L1858" s="188"/>
      <c r="M1858" s="189" t="s">
        <v>807</v>
      </c>
      <c r="N1858" s="190">
        <v>41.69</v>
      </c>
      <c r="O1858" s="190">
        <f t="shared" si="227"/>
        <v>45.44</v>
      </c>
      <c r="P1858" s="191">
        <f t="shared" si="228"/>
        <v>0</v>
      </c>
      <c r="Q1858" s="192">
        <f t="shared" si="229"/>
        <v>0</v>
      </c>
      <c r="R1858" s="193"/>
      <c r="S1858" s="194"/>
      <c r="T1858" s="195">
        <f t="shared" si="230"/>
        <v>0</v>
      </c>
      <c r="U1858" s="195">
        <f t="shared" si="231"/>
        <v>0</v>
      </c>
      <c r="V1858" s="195">
        <f t="shared" si="232"/>
        <v>0</v>
      </c>
      <c r="W1858" s="196" t="e">
        <f t="shared" si="233"/>
        <v>#DIV/0!</v>
      </c>
      <c r="X1858" s="197" t="e">
        <f t="shared" si="234"/>
        <v>#DIV/0!</v>
      </c>
    </row>
    <row r="1859" ht="11.4" hidden="1" customHeight="1" spans="1:24">
      <c r="A1859" s="184" t="s">
        <v>3194</v>
      </c>
      <c r="B1859" s="184" t="s">
        <v>123</v>
      </c>
      <c r="C1859" s="184" t="s">
        <v>1101</v>
      </c>
      <c r="D1859" s="185" t="s">
        <v>704</v>
      </c>
      <c r="E1859" s="186" t="s">
        <v>906</v>
      </c>
      <c r="F1859" s="186" t="s">
        <v>907</v>
      </c>
      <c r="G1859" s="186" t="s">
        <v>1102</v>
      </c>
      <c r="H1859" s="186" t="s">
        <v>547</v>
      </c>
      <c r="I1859" s="187" t="s">
        <v>1662</v>
      </c>
      <c r="J1859" s="187" t="s">
        <v>1663</v>
      </c>
      <c r="K1859" s="188"/>
      <c r="L1859" s="188"/>
      <c r="M1859" s="189" t="s">
        <v>847</v>
      </c>
      <c r="N1859" s="190">
        <v>272.28</v>
      </c>
      <c r="O1859" s="190">
        <f t="shared" si="227"/>
        <v>296.79</v>
      </c>
      <c r="P1859" s="191">
        <f t="shared" si="228"/>
        <v>0</v>
      </c>
      <c r="Q1859" s="192">
        <f t="shared" si="229"/>
        <v>0</v>
      </c>
      <c r="R1859" s="193"/>
      <c r="S1859" s="194"/>
      <c r="T1859" s="195">
        <f t="shared" si="230"/>
        <v>0</v>
      </c>
      <c r="U1859" s="195">
        <f t="shared" si="231"/>
        <v>0</v>
      </c>
      <c r="V1859" s="195">
        <f t="shared" si="232"/>
        <v>0</v>
      </c>
      <c r="W1859" s="196" t="e">
        <f t="shared" si="233"/>
        <v>#DIV/0!</v>
      </c>
      <c r="X1859" s="197" t="e">
        <f t="shared" si="234"/>
        <v>#DIV/0!</v>
      </c>
    </row>
    <row r="1860" ht="11.4" hidden="1" customHeight="1" spans="1:24">
      <c r="A1860" s="184" t="s">
        <v>3194</v>
      </c>
      <c r="B1860" s="184" t="s">
        <v>123</v>
      </c>
      <c r="C1860" s="184" t="s">
        <v>1101</v>
      </c>
      <c r="D1860" s="185" t="s">
        <v>704</v>
      </c>
      <c r="E1860" s="186" t="s">
        <v>906</v>
      </c>
      <c r="F1860" s="186" t="s">
        <v>907</v>
      </c>
      <c r="G1860" s="186" t="s">
        <v>1102</v>
      </c>
      <c r="H1860" s="186" t="s">
        <v>547</v>
      </c>
      <c r="I1860" s="187" t="s">
        <v>1664</v>
      </c>
      <c r="J1860" s="187" t="s">
        <v>1665</v>
      </c>
      <c r="K1860" s="188"/>
      <c r="L1860" s="188"/>
      <c r="M1860" s="189" t="s">
        <v>847</v>
      </c>
      <c r="N1860" s="190">
        <v>253.69</v>
      </c>
      <c r="O1860" s="190">
        <f t="shared" si="227"/>
        <v>276.52</v>
      </c>
      <c r="P1860" s="191">
        <f t="shared" si="228"/>
        <v>0</v>
      </c>
      <c r="Q1860" s="192">
        <f t="shared" si="229"/>
        <v>0</v>
      </c>
      <c r="R1860" s="193"/>
      <c r="S1860" s="194"/>
      <c r="T1860" s="195">
        <f t="shared" si="230"/>
        <v>0</v>
      </c>
      <c r="U1860" s="195">
        <f t="shared" si="231"/>
        <v>0</v>
      </c>
      <c r="V1860" s="195">
        <f t="shared" si="232"/>
        <v>0</v>
      </c>
      <c r="W1860" s="196" t="e">
        <f t="shared" si="233"/>
        <v>#DIV/0!</v>
      </c>
      <c r="X1860" s="197" t="e">
        <f t="shared" si="234"/>
        <v>#DIV/0!</v>
      </c>
    </row>
    <row r="1861" ht="11.4" hidden="1" customHeight="1" spans="1:24">
      <c r="A1861" s="184" t="s">
        <v>3194</v>
      </c>
      <c r="B1861" s="184" t="s">
        <v>123</v>
      </c>
      <c r="C1861" s="184" t="s">
        <v>1101</v>
      </c>
      <c r="D1861" s="185" t="s">
        <v>704</v>
      </c>
      <c r="E1861" s="186" t="s">
        <v>906</v>
      </c>
      <c r="F1861" s="186" t="s">
        <v>907</v>
      </c>
      <c r="G1861" s="186" t="s">
        <v>1102</v>
      </c>
      <c r="H1861" s="186" t="s">
        <v>547</v>
      </c>
      <c r="I1861" s="187" t="s">
        <v>1666</v>
      </c>
      <c r="J1861" s="187" t="s">
        <v>1667</v>
      </c>
      <c r="K1861" s="188"/>
      <c r="L1861" s="188"/>
      <c r="M1861" s="189" t="s">
        <v>847</v>
      </c>
      <c r="N1861" s="190">
        <v>275.14</v>
      </c>
      <c r="O1861" s="190">
        <f t="shared" si="227"/>
        <v>299.9</v>
      </c>
      <c r="P1861" s="191">
        <f t="shared" si="228"/>
        <v>0</v>
      </c>
      <c r="Q1861" s="192">
        <f t="shared" si="229"/>
        <v>0</v>
      </c>
      <c r="R1861" s="193"/>
      <c r="S1861" s="194"/>
      <c r="T1861" s="195">
        <f t="shared" si="230"/>
        <v>0</v>
      </c>
      <c r="U1861" s="195">
        <f t="shared" si="231"/>
        <v>0</v>
      </c>
      <c r="V1861" s="195">
        <f t="shared" si="232"/>
        <v>0</v>
      </c>
      <c r="W1861" s="196" t="e">
        <f t="shared" si="233"/>
        <v>#DIV/0!</v>
      </c>
      <c r="X1861" s="197" t="e">
        <f t="shared" si="234"/>
        <v>#DIV/0!</v>
      </c>
    </row>
    <row r="1862" ht="11.4" hidden="1" customHeight="1" spans="1:24">
      <c r="A1862" s="184" t="s">
        <v>3194</v>
      </c>
      <c r="B1862" s="184" t="s">
        <v>123</v>
      </c>
      <c r="C1862" s="184" t="s">
        <v>1101</v>
      </c>
      <c r="D1862" s="185" t="s">
        <v>704</v>
      </c>
      <c r="E1862" s="186" t="s">
        <v>906</v>
      </c>
      <c r="F1862" s="186" t="s">
        <v>907</v>
      </c>
      <c r="G1862" s="186" t="s">
        <v>1102</v>
      </c>
      <c r="H1862" s="186" t="s">
        <v>547</v>
      </c>
      <c r="I1862" s="187" t="s">
        <v>1668</v>
      </c>
      <c r="J1862" s="187" t="s">
        <v>1669</v>
      </c>
      <c r="K1862" s="188"/>
      <c r="L1862" s="188"/>
      <c r="M1862" s="189" t="s">
        <v>807</v>
      </c>
      <c r="N1862" s="190">
        <v>49.86</v>
      </c>
      <c r="O1862" s="190">
        <f t="shared" si="227"/>
        <v>54.35</v>
      </c>
      <c r="P1862" s="191">
        <f t="shared" si="228"/>
        <v>0</v>
      </c>
      <c r="Q1862" s="192">
        <f t="shared" si="229"/>
        <v>0</v>
      </c>
      <c r="R1862" s="193"/>
      <c r="S1862" s="194"/>
      <c r="T1862" s="195">
        <f t="shared" si="230"/>
        <v>0</v>
      </c>
      <c r="U1862" s="195">
        <f t="shared" si="231"/>
        <v>0</v>
      </c>
      <c r="V1862" s="195">
        <f t="shared" si="232"/>
        <v>0</v>
      </c>
      <c r="W1862" s="196" t="e">
        <f t="shared" si="233"/>
        <v>#DIV/0!</v>
      </c>
      <c r="X1862" s="197" t="e">
        <f t="shared" si="234"/>
        <v>#DIV/0!</v>
      </c>
    </row>
    <row r="1863" ht="11.4" hidden="1" customHeight="1" spans="1:24">
      <c r="A1863" s="184" t="s">
        <v>3194</v>
      </c>
      <c r="B1863" s="184" t="s">
        <v>123</v>
      </c>
      <c r="C1863" s="184" t="s">
        <v>1101</v>
      </c>
      <c r="D1863" s="185" t="s">
        <v>704</v>
      </c>
      <c r="E1863" s="186" t="s">
        <v>906</v>
      </c>
      <c r="F1863" s="186" t="s">
        <v>907</v>
      </c>
      <c r="G1863" s="186" t="s">
        <v>1102</v>
      </c>
      <c r="H1863" s="186" t="s">
        <v>547</v>
      </c>
      <c r="I1863" s="187" t="s">
        <v>1670</v>
      </c>
      <c r="J1863" s="187" t="s">
        <v>1671</v>
      </c>
      <c r="K1863" s="188"/>
      <c r="L1863" s="188"/>
      <c r="M1863" s="189" t="s">
        <v>807</v>
      </c>
      <c r="N1863" s="190">
        <v>48.65</v>
      </c>
      <c r="O1863" s="190">
        <f t="shared" si="227"/>
        <v>53.03</v>
      </c>
      <c r="P1863" s="191">
        <f t="shared" si="228"/>
        <v>0</v>
      </c>
      <c r="Q1863" s="192">
        <f t="shared" si="229"/>
        <v>0</v>
      </c>
      <c r="R1863" s="193"/>
      <c r="S1863" s="194"/>
      <c r="T1863" s="195">
        <f t="shared" si="230"/>
        <v>0</v>
      </c>
      <c r="U1863" s="195">
        <f t="shared" si="231"/>
        <v>0</v>
      </c>
      <c r="V1863" s="195">
        <f t="shared" si="232"/>
        <v>0</v>
      </c>
      <c r="W1863" s="196" t="e">
        <f t="shared" si="233"/>
        <v>#DIV/0!</v>
      </c>
      <c r="X1863" s="197" t="e">
        <f t="shared" si="234"/>
        <v>#DIV/0!</v>
      </c>
    </row>
    <row r="1864" ht="11.4" hidden="1" customHeight="1" spans="1:24">
      <c r="A1864" s="184" t="s">
        <v>3194</v>
      </c>
      <c r="B1864" s="184" t="s">
        <v>123</v>
      </c>
      <c r="C1864" s="184" t="s">
        <v>1101</v>
      </c>
      <c r="D1864" s="185" t="s">
        <v>704</v>
      </c>
      <c r="E1864" s="186" t="s">
        <v>906</v>
      </c>
      <c r="F1864" s="186" t="s">
        <v>907</v>
      </c>
      <c r="G1864" s="186" t="s">
        <v>1102</v>
      </c>
      <c r="H1864" s="186" t="s">
        <v>547</v>
      </c>
      <c r="I1864" s="187" t="s">
        <v>1672</v>
      </c>
      <c r="J1864" s="187" t="s">
        <v>1673</v>
      </c>
      <c r="K1864" s="188"/>
      <c r="L1864" s="188"/>
      <c r="M1864" s="189" t="s">
        <v>807</v>
      </c>
      <c r="N1864" s="190">
        <v>49.86</v>
      </c>
      <c r="O1864" s="190">
        <f t="shared" si="227"/>
        <v>54.35</v>
      </c>
      <c r="P1864" s="191">
        <f t="shared" si="228"/>
        <v>0</v>
      </c>
      <c r="Q1864" s="192">
        <f t="shared" si="229"/>
        <v>0</v>
      </c>
      <c r="R1864" s="193"/>
      <c r="S1864" s="194"/>
      <c r="T1864" s="195">
        <f t="shared" si="230"/>
        <v>0</v>
      </c>
      <c r="U1864" s="195">
        <f t="shared" si="231"/>
        <v>0</v>
      </c>
      <c r="V1864" s="195">
        <f t="shared" si="232"/>
        <v>0</v>
      </c>
      <c r="W1864" s="196" t="e">
        <f t="shared" si="233"/>
        <v>#DIV/0!</v>
      </c>
      <c r="X1864" s="197" t="e">
        <f t="shared" si="234"/>
        <v>#DIV/0!</v>
      </c>
    </row>
    <row r="1865" ht="11.4" hidden="1" customHeight="1" spans="1:24">
      <c r="A1865" s="184" t="s">
        <v>3194</v>
      </c>
      <c r="B1865" s="184" t="s">
        <v>123</v>
      </c>
      <c r="C1865" s="184" t="s">
        <v>1101</v>
      </c>
      <c r="D1865" s="185" t="s">
        <v>704</v>
      </c>
      <c r="E1865" s="186" t="s">
        <v>906</v>
      </c>
      <c r="F1865" s="186" t="s">
        <v>907</v>
      </c>
      <c r="G1865" s="186" t="s">
        <v>1102</v>
      </c>
      <c r="H1865" s="186" t="s">
        <v>547</v>
      </c>
      <c r="I1865" s="187" t="s">
        <v>1674</v>
      </c>
      <c r="J1865" s="187" t="s">
        <v>1675</v>
      </c>
      <c r="K1865" s="188"/>
      <c r="L1865" s="188"/>
      <c r="M1865" s="189" t="s">
        <v>847</v>
      </c>
      <c r="N1865" s="190">
        <v>275.14</v>
      </c>
      <c r="O1865" s="190">
        <f t="shared" si="227"/>
        <v>299.9</v>
      </c>
      <c r="P1865" s="191">
        <f t="shared" si="228"/>
        <v>0</v>
      </c>
      <c r="Q1865" s="192">
        <f t="shared" si="229"/>
        <v>0</v>
      </c>
      <c r="R1865" s="193"/>
      <c r="S1865" s="194"/>
      <c r="T1865" s="195">
        <f t="shared" si="230"/>
        <v>0</v>
      </c>
      <c r="U1865" s="195">
        <f t="shared" si="231"/>
        <v>0</v>
      </c>
      <c r="V1865" s="195">
        <f t="shared" si="232"/>
        <v>0</v>
      </c>
      <c r="W1865" s="196" t="e">
        <f t="shared" si="233"/>
        <v>#DIV/0!</v>
      </c>
      <c r="X1865" s="197" t="e">
        <f t="shared" si="234"/>
        <v>#DIV/0!</v>
      </c>
    </row>
    <row r="1866" ht="11.4" hidden="1" customHeight="1" spans="1:24">
      <c r="A1866" s="184" t="s">
        <v>3194</v>
      </c>
      <c r="B1866" s="184" t="s">
        <v>123</v>
      </c>
      <c r="C1866" s="184" t="s">
        <v>1101</v>
      </c>
      <c r="D1866" s="185" t="s">
        <v>704</v>
      </c>
      <c r="E1866" s="186" t="s">
        <v>906</v>
      </c>
      <c r="F1866" s="186" t="s">
        <v>907</v>
      </c>
      <c r="G1866" s="186" t="s">
        <v>1102</v>
      </c>
      <c r="H1866" s="186" t="s">
        <v>547</v>
      </c>
      <c r="I1866" s="187" t="s">
        <v>1676</v>
      </c>
      <c r="J1866" s="187" t="s">
        <v>1677</v>
      </c>
      <c r="K1866" s="188"/>
      <c r="L1866" s="188"/>
      <c r="M1866" s="189" t="s">
        <v>847</v>
      </c>
      <c r="N1866" s="190">
        <v>265.9</v>
      </c>
      <c r="O1866" s="190">
        <f t="shared" si="227"/>
        <v>289.83</v>
      </c>
      <c r="P1866" s="191">
        <f t="shared" si="228"/>
        <v>0</v>
      </c>
      <c r="Q1866" s="192">
        <f t="shared" si="229"/>
        <v>0</v>
      </c>
      <c r="R1866" s="193"/>
      <c r="S1866" s="194"/>
      <c r="T1866" s="195">
        <f t="shared" si="230"/>
        <v>0</v>
      </c>
      <c r="U1866" s="195">
        <f t="shared" si="231"/>
        <v>0</v>
      </c>
      <c r="V1866" s="195">
        <f t="shared" si="232"/>
        <v>0</v>
      </c>
      <c r="W1866" s="196" t="e">
        <f t="shared" si="233"/>
        <v>#DIV/0!</v>
      </c>
      <c r="X1866" s="197" t="e">
        <f t="shared" si="234"/>
        <v>#DIV/0!</v>
      </c>
    </row>
    <row r="1867" ht="11.4" hidden="1" customHeight="1" spans="1:24">
      <c r="A1867" s="184" t="s">
        <v>3194</v>
      </c>
      <c r="B1867" s="184" t="s">
        <v>123</v>
      </c>
      <c r="C1867" s="184" t="s">
        <v>1101</v>
      </c>
      <c r="D1867" s="185" t="s">
        <v>704</v>
      </c>
      <c r="E1867" s="186" t="s">
        <v>906</v>
      </c>
      <c r="F1867" s="186" t="s">
        <v>907</v>
      </c>
      <c r="G1867" s="186" t="s">
        <v>1102</v>
      </c>
      <c r="H1867" s="186" t="s">
        <v>547</v>
      </c>
      <c r="I1867" s="187" t="s">
        <v>1678</v>
      </c>
      <c r="J1867" s="187" t="s">
        <v>1679</v>
      </c>
      <c r="K1867" s="188"/>
      <c r="L1867" s="188"/>
      <c r="M1867" s="189" t="s">
        <v>847</v>
      </c>
      <c r="N1867" s="190">
        <v>279.43</v>
      </c>
      <c r="O1867" s="190">
        <f t="shared" si="227"/>
        <v>304.58</v>
      </c>
      <c r="P1867" s="191">
        <f t="shared" si="228"/>
        <v>0</v>
      </c>
      <c r="Q1867" s="192">
        <f t="shared" si="229"/>
        <v>0</v>
      </c>
      <c r="R1867" s="193"/>
      <c r="S1867" s="194"/>
      <c r="T1867" s="195">
        <f t="shared" si="230"/>
        <v>0</v>
      </c>
      <c r="U1867" s="195">
        <f t="shared" si="231"/>
        <v>0</v>
      </c>
      <c r="V1867" s="195">
        <f t="shared" si="232"/>
        <v>0</v>
      </c>
      <c r="W1867" s="196" t="e">
        <f t="shared" si="233"/>
        <v>#DIV/0!</v>
      </c>
      <c r="X1867" s="197" t="e">
        <f t="shared" si="234"/>
        <v>#DIV/0!</v>
      </c>
    </row>
    <row r="1868" ht="11.4" hidden="1" customHeight="1" spans="1:24">
      <c r="A1868" s="184" t="s">
        <v>3194</v>
      </c>
      <c r="B1868" s="184" t="s">
        <v>123</v>
      </c>
      <c r="C1868" s="184" t="s">
        <v>1101</v>
      </c>
      <c r="D1868" s="185" t="s">
        <v>704</v>
      </c>
      <c r="E1868" s="186" t="s">
        <v>906</v>
      </c>
      <c r="F1868" s="186" t="s">
        <v>907</v>
      </c>
      <c r="G1868" s="186" t="s">
        <v>1102</v>
      </c>
      <c r="H1868" s="186" t="s">
        <v>547</v>
      </c>
      <c r="I1868" s="187" t="s">
        <v>1680</v>
      </c>
      <c r="J1868" s="187" t="s">
        <v>1681</v>
      </c>
      <c r="K1868" s="188"/>
      <c r="L1868" s="188"/>
      <c r="M1868" s="189" t="s">
        <v>847</v>
      </c>
      <c r="N1868" s="190">
        <v>272.28</v>
      </c>
      <c r="O1868" s="190">
        <f t="shared" si="227"/>
        <v>296.79</v>
      </c>
      <c r="P1868" s="191">
        <f t="shared" si="228"/>
        <v>0</v>
      </c>
      <c r="Q1868" s="192">
        <f t="shared" si="229"/>
        <v>0</v>
      </c>
      <c r="R1868" s="193"/>
      <c r="S1868" s="194"/>
      <c r="T1868" s="195">
        <f t="shared" si="230"/>
        <v>0</v>
      </c>
      <c r="U1868" s="195">
        <f t="shared" si="231"/>
        <v>0</v>
      </c>
      <c r="V1868" s="195">
        <f t="shared" si="232"/>
        <v>0</v>
      </c>
      <c r="W1868" s="196" t="e">
        <f t="shared" si="233"/>
        <v>#DIV/0!</v>
      </c>
      <c r="X1868" s="197" t="e">
        <f t="shared" si="234"/>
        <v>#DIV/0!</v>
      </c>
    </row>
    <row r="1869" ht="11.4" hidden="1" customHeight="1" spans="1:24">
      <c r="A1869" s="184" t="s">
        <v>3194</v>
      </c>
      <c r="B1869" s="184" t="s">
        <v>123</v>
      </c>
      <c r="C1869" s="184" t="s">
        <v>1101</v>
      </c>
      <c r="D1869" s="185" t="s">
        <v>704</v>
      </c>
      <c r="E1869" s="186" t="s">
        <v>906</v>
      </c>
      <c r="F1869" s="186" t="s">
        <v>907</v>
      </c>
      <c r="G1869" s="186" t="s">
        <v>1102</v>
      </c>
      <c r="H1869" s="186" t="s">
        <v>547</v>
      </c>
      <c r="I1869" s="187" t="s">
        <v>1682</v>
      </c>
      <c r="J1869" s="187" t="s">
        <v>1683</v>
      </c>
      <c r="K1869" s="188"/>
      <c r="L1869" s="188"/>
      <c r="M1869" s="189" t="s">
        <v>847</v>
      </c>
      <c r="N1869" s="190">
        <v>250.83</v>
      </c>
      <c r="O1869" s="190">
        <f t="shared" ref="O1869:O1932" si="235">ROUND(N1869*(1+$F$10),2)</f>
        <v>273.4</v>
      </c>
      <c r="P1869" s="191">
        <f t="shared" ref="P1869:P1932" si="236">ROUND(K1869*N1869,2)</f>
        <v>0</v>
      </c>
      <c r="Q1869" s="192">
        <f t="shared" ref="Q1869:Q1932" si="237">ROUND(L1869*N1869,2)</f>
        <v>0</v>
      </c>
      <c r="R1869" s="193"/>
      <c r="S1869" s="194"/>
      <c r="T1869" s="195">
        <f t="shared" ref="T1869:T1932" si="238">K1869-L1869</f>
        <v>0</v>
      </c>
      <c r="U1869" s="195">
        <f t="shared" ref="U1869:U1932" si="239">P1869-Q1869</f>
        <v>0</v>
      </c>
      <c r="V1869" s="195">
        <f t="shared" ref="V1869:V1932" si="240">ABS(U1869)</f>
        <v>0</v>
      </c>
      <c r="W1869" s="196" t="e">
        <f t="shared" ref="W1869:W1932" si="241">T1869/L1869</f>
        <v>#DIV/0!</v>
      </c>
      <c r="X1869" s="197" t="e">
        <f t="shared" ref="X1869:X1932" si="242">ABS(W1869)</f>
        <v>#DIV/0!</v>
      </c>
    </row>
    <row r="1870" ht="11.4" hidden="1" customHeight="1" spans="1:24">
      <c r="A1870" s="184" t="s">
        <v>3194</v>
      </c>
      <c r="B1870" s="184" t="s">
        <v>123</v>
      </c>
      <c r="C1870" s="184" t="s">
        <v>1101</v>
      </c>
      <c r="D1870" s="185" t="s">
        <v>704</v>
      </c>
      <c r="E1870" s="186" t="s">
        <v>906</v>
      </c>
      <c r="F1870" s="186" t="s">
        <v>907</v>
      </c>
      <c r="G1870" s="186" t="s">
        <v>1102</v>
      </c>
      <c r="H1870" s="186" t="s">
        <v>547</v>
      </c>
      <c r="I1870" s="187" t="s">
        <v>1684</v>
      </c>
      <c r="J1870" s="187" t="s">
        <v>1685</v>
      </c>
      <c r="K1870" s="188"/>
      <c r="L1870" s="188"/>
      <c r="M1870" s="189" t="s">
        <v>847</v>
      </c>
      <c r="N1870" s="190">
        <v>275.14</v>
      </c>
      <c r="O1870" s="190">
        <f t="shared" si="235"/>
        <v>299.9</v>
      </c>
      <c r="P1870" s="191">
        <f t="shared" si="236"/>
        <v>0</v>
      </c>
      <c r="Q1870" s="192">
        <f t="shared" si="237"/>
        <v>0</v>
      </c>
      <c r="R1870" s="193"/>
      <c r="S1870" s="194"/>
      <c r="T1870" s="195">
        <f t="shared" si="238"/>
        <v>0</v>
      </c>
      <c r="U1870" s="195">
        <f t="shared" si="239"/>
        <v>0</v>
      </c>
      <c r="V1870" s="195">
        <f t="shared" si="240"/>
        <v>0</v>
      </c>
      <c r="W1870" s="196" t="e">
        <f t="shared" si="241"/>
        <v>#DIV/0!</v>
      </c>
      <c r="X1870" s="197" t="e">
        <f t="shared" si="242"/>
        <v>#DIV/0!</v>
      </c>
    </row>
    <row r="1871" ht="11.4" hidden="1" customHeight="1" spans="1:24">
      <c r="A1871" s="184" t="s">
        <v>3194</v>
      </c>
      <c r="B1871" s="184" t="s">
        <v>123</v>
      </c>
      <c r="C1871" s="184" t="s">
        <v>1101</v>
      </c>
      <c r="D1871" s="185" t="s">
        <v>704</v>
      </c>
      <c r="E1871" s="186" t="s">
        <v>906</v>
      </c>
      <c r="F1871" s="186" t="s">
        <v>907</v>
      </c>
      <c r="G1871" s="186" t="s">
        <v>1102</v>
      </c>
      <c r="H1871" s="186" t="s">
        <v>547</v>
      </c>
      <c r="I1871" s="187" t="s">
        <v>1686</v>
      </c>
      <c r="J1871" s="187" t="s">
        <v>1687</v>
      </c>
      <c r="K1871" s="188"/>
      <c r="L1871" s="188"/>
      <c r="M1871" s="189" t="s">
        <v>807</v>
      </c>
      <c r="N1871" s="190">
        <v>130.79</v>
      </c>
      <c r="O1871" s="190">
        <f t="shared" si="235"/>
        <v>142.56</v>
      </c>
      <c r="P1871" s="191">
        <f t="shared" si="236"/>
        <v>0</v>
      </c>
      <c r="Q1871" s="192">
        <f t="shared" si="237"/>
        <v>0</v>
      </c>
      <c r="R1871" s="193"/>
      <c r="S1871" s="194"/>
      <c r="T1871" s="195">
        <f t="shared" si="238"/>
        <v>0</v>
      </c>
      <c r="U1871" s="195">
        <f t="shared" si="239"/>
        <v>0</v>
      </c>
      <c r="V1871" s="195">
        <f t="shared" si="240"/>
        <v>0</v>
      </c>
      <c r="W1871" s="196" t="e">
        <f t="shared" si="241"/>
        <v>#DIV/0!</v>
      </c>
      <c r="X1871" s="197" t="e">
        <f t="shared" si="242"/>
        <v>#DIV/0!</v>
      </c>
    </row>
    <row r="1872" ht="11.4" hidden="1" customHeight="1" spans="1:24">
      <c r="A1872" s="184" t="s">
        <v>3194</v>
      </c>
      <c r="B1872" s="184" t="s">
        <v>123</v>
      </c>
      <c r="C1872" s="184" t="s">
        <v>1101</v>
      </c>
      <c r="D1872" s="185" t="s">
        <v>704</v>
      </c>
      <c r="E1872" s="186" t="s">
        <v>906</v>
      </c>
      <c r="F1872" s="186" t="s">
        <v>907</v>
      </c>
      <c r="G1872" s="186" t="s">
        <v>1102</v>
      </c>
      <c r="H1872" s="186" t="s">
        <v>547</v>
      </c>
      <c r="I1872" s="187" t="s">
        <v>1688</v>
      </c>
      <c r="J1872" s="187" t="s">
        <v>1689</v>
      </c>
      <c r="K1872" s="188"/>
      <c r="L1872" s="188"/>
      <c r="M1872" s="189" t="s">
        <v>847</v>
      </c>
      <c r="N1872" s="190">
        <v>75.79</v>
      </c>
      <c r="O1872" s="190">
        <f t="shared" si="235"/>
        <v>82.61</v>
      </c>
      <c r="P1872" s="191">
        <f t="shared" si="236"/>
        <v>0</v>
      </c>
      <c r="Q1872" s="192">
        <f t="shared" si="237"/>
        <v>0</v>
      </c>
      <c r="R1872" s="193"/>
      <c r="S1872" s="194"/>
      <c r="T1872" s="195">
        <f t="shared" si="238"/>
        <v>0</v>
      </c>
      <c r="U1872" s="195">
        <f t="shared" si="239"/>
        <v>0</v>
      </c>
      <c r="V1872" s="195">
        <f t="shared" si="240"/>
        <v>0</v>
      </c>
      <c r="W1872" s="196" t="e">
        <f t="shared" si="241"/>
        <v>#DIV/0!</v>
      </c>
      <c r="X1872" s="197" t="e">
        <f t="shared" si="242"/>
        <v>#DIV/0!</v>
      </c>
    </row>
    <row r="1873" ht="11.4" hidden="1" customHeight="1" spans="1:24">
      <c r="A1873" s="184" t="s">
        <v>3194</v>
      </c>
      <c r="B1873" s="184" t="s">
        <v>123</v>
      </c>
      <c r="C1873" s="184" t="s">
        <v>1101</v>
      </c>
      <c r="D1873" s="185" t="s">
        <v>704</v>
      </c>
      <c r="E1873" s="186" t="s">
        <v>906</v>
      </c>
      <c r="F1873" s="186" t="s">
        <v>907</v>
      </c>
      <c r="G1873" s="186" t="s">
        <v>1102</v>
      </c>
      <c r="H1873" s="186" t="s">
        <v>547</v>
      </c>
      <c r="I1873" s="187" t="s">
        <v>1690</v>
      </c>
      <c r="J1873" s="187" t="s">
        <v>1691</v>
      </c>
      <c r="K1873" s="188"/>
      <c r="L1873" s="188"/>
      <c r="M1873" s="189" t="s">
        <v>807</v>
      </c>
      <c r="N1873" s="190">
        <v>343.86</v>
      </c>
      <c r="O1873" s="190">
        <f t="shared" si="235"/>
        <v>374.81</v>
      </c>
      <c r="P1873" s="191">
        <f t="shared" si="236"/>
        <v>0</v>
      </c>
      <c r="Q1873" s="192">
        <f t="shared" si="237"/>
        <v>0</v>
      </c>
      <c r="R1873" s="193"/>
      <c r="S1873" s="194"/>
      <c r="T1873" s="195">
        <f t="shared" si="238"/>
        <v>0</v>
      </c>
      <c r="U1873" s="195">
        <f t="shared" si="239"/>
        <v>0</v>
      </c>
      <c r="V1873" s="195">
        <f t="shared" si="240"/>
        <v>0</v>
      </c>
      <c r="W1873" s="196" t="e">
        <f t="shared" si="241"/>
        <v>#DIV/0!</v>
      </c>
      <c r="X1873" s="197" t="e">
        <f t="shared" si="242"/>
        <v>#DIV/0!</v>
      </c>
    </row>
    <row r="1874" ht="11.4" hidden="1" customHeight="1" spans="1:24">
      <c r="A1874" s="184" t="s">
        <v>3194</v>
      </c>
      <c r="B1874" s="184" t="s">
        <v>123</v>
      </c>
      <c r="C1874" s="184" t="s">
        <v>1101</v>
      </c>
      <c r="D1874" s="185" t="s">
        <v>704</v>
      </c>
      <c r="E1874" s="186" t="s">
        <v>906</v>
      </c>
      <c r="F1874" s="186" t="s">
        <v>907</v>
      </c>
      <c r="G1874" s="186" t="s">
        <v>1102</v>
      </c>
      <c r="H1874" s="186" t="s">
        <v>547</v>
      </c>
      <c r="I1874" s="187" t="s">
        <v>1692</v>
      </c>
      <c r="J1874" s="187" t="s">
        <v>1693</v>
      </c>
      <c r="K1874" s="188"/>
      <c r="L1874" s="188"/>
      <c r="M1874" s="189" t="s">
        <v>807</v>
      </c>
      <c r="N1874" s="190">
        <v>341.66</v>
      </c>
      <c r="O1874" s="190">
        <f t="shared" si="235"/>
        <v>372.41</v>
      </c>
      <c r="P1874" s="191">
        <f t="shared" si="236"/>
        <v>0</v>
      </c>
      <c r="Q1874" s="192">
        <f t="shared" si="237"/>
        <v>0</v>
      </c>
      <c r="R1874" s="193"/>
      <c r="S1874" s="194"/>
      <c r="T1874" s="195">
        <f t="shared" si="238"/>
        <v>0</v>
      </c>
      <c r="U1874" s="195">
        <f t="shared" si="239"/>
        <v>0</v>
      </c>
      <c r="V1874" s="195">
        <f t="shared" si="240"/>
        <v>0</v>
      </c>
      <c r="W1874" s="196" t="e">
        <f t="shared" si="241"/>
        <v>#DIV/0!</v>
      </c>
      <c r="X1874" s="197" t="e">
        <f t="shared" si="242"/>
        <v>#DIV/0!</v>
      </c>
    </row>
    <row r="1875" ht="11.4" hidden="1" customHeight="1" spans="1:24">
      <c r="A1875" s="184" t="s">
        <v>3194</v>
      </c>
      <c r="B1875" s="184" t="s">
        <v>123</v>
      </c>
      <c r="C1875" s="184" t="s">
        <v>1101</v>
      </c>
      <c r="D1875" s="185" t="s">
        <v>704</v>
      </c>
      <c r="E1875" s="186" t="s">
        <v>906</v>
      </c>
      <c r="F1875" s="186" t="s">
        <v>907</v>
      </c>
      <c r="G1875" s="186" t="s">
        <v>1102</v>
      </c>
      <c r="H1875" s="186" t="s">
        <v>547</v>
      </c>
      <c r="I1875" s="187" t="s">
        <v>1694</v>
      </c>
      <c r="J1875" s="187" t="s">
        <v>1695</v>
      </c>
      <c r="K1875" s="188"/>
      <c r="L1875" s="188"/>
      <c r="M1875" s="189" t="s">
        <v>807</v>
      </c>
      <c r="N1875" s="190">
        <v>481.91</v>
      </c>
      <c r="O1875" s="190">
        <f t="shared" si="235"/>
        <v>525.28</v>
      </c>
      <c r="P1875" s="191">
        <f t="shared" si="236"/>
        <v>0</v>
      </c>
      <c r="Q1875" s="192">
        <f t="shared" si="237"/>
        <v>0</v>
      </c>
      <c r="R1875" s="193"/>
      <c r="S1875" s="194"/>
      <c r="T1875" s="195">
        <f t="shared" si="238"/>
        <v>0</v>
      </c>
      <c r="U1875" s="195">
        <f t="shared" si="239"/>
        <v>0</v>
      </c>
      <c r="V1875" s="195">
        <f t="shared" si="240"/>
        <v>0</v>
      </c>
      <c r="W1875" s="196" t="e">
        <f t="shared" si="241"/>
        <v>#DIV/0!</v>
      </c>
      <c r="X1875" s="197" t="e">
        <f t="shared" si="242"/>
        <v>#DIV/0!</v>
      </c>
    </row>
    <row r="1876" ht="11.4" hidden="1" customHeight="1" spans="1:24">
      <c r="A1876" s="184" t="s">
        <v>3194</v>
      </c>
      <c r="B1876" s="184" t="s">
        <v>123</v>
      </c>
      <c r="C1876" s="184" t="s">
        <v>1101</v>
      </c>
      <c r="D1876" s="185" t="s">
        <v>704</v>
      </c>
      <c r="E1876" s="186" t="s">
        <v>906</v>
      </c>
      <c r="F1876" s="186" t="s">
        <v>907</v>
      </c>
      <c r="G1876" s="186" t="s">
        <v>1102</v>
      </c>
      <c r="H1876" s="186" t="s">
        <v>547</v>
      </c>
      <c r="I1876" s="187" t="s">
        <v>1696</v>
      </c>
      <c r="J1876" s="187" t="s">
        <v>1697</v>
      </c>
      <c r="K1876" s="188"/>
      <c r="L1876" s="188"/>
      <c r="M1876" s="189" t="s">
        <v>807</v>
      </c>
      <c r="N1876" s="190">
        <v>232.76</v>
      </c>
      <c r="O1876" s="190">
        <f t="shared" si="235"/>
        <v>253.71</v>
      </c>
      <c r="P1876" s="191">
        <f t="shared" si="236"/>
        <v>0</v>
      </c>
      <c r="Q1876" s="192">
        <f t="shared" si="237"/>
        <v>0</v>
      </c>
      <c r="R1876" s="193"/>
      <c r="S1876" s="194"/>
      <c r="T1876" s="195">
        <f t="shared" si="238"/>
        <v>0</v>
      </c>
      <c r="U1876" s="195">
        <f t="shared" si="239"/>
        <v>0</v>
      </c>
      <c r="V1876" s="195">
        <f t="shared" si="240"/>
        <v>0</v>
      </c>
      <c r="W1876" s="196" t="e">
        <f t="shared" si="241"/>
        <v>#DIV/0!</v>
      </c>
      <c r="X1876" s="197" t="e">
        <f t="shared" si="242"/>
        <v>#DIV/0!</v>
      </c>
    </row>
    <row r="1877" ht="11.4" hidden="1" customHeight="1" spans="1:24">
      <c r="A1877" s="184" t="s">
        <v>3194</v>
      </c>
      <c r="B1877" s="184" t="s">
        <v>123</v>
      </c>
      <c r="C1877" s="184" t="s">
        <v>1101</v>
      </c>
      <c r="D1877" s="185" t="s">
        <v>704</v>
      </c>
      <c r="E1877" s="186" t="s">
        <v>906</v>
      </c>
      <c r="F1877" s="186" t="s">
        <v>907</v>
      </c>
      <c r="G1877" s="186" t="s">
        <v>1102</v>
      </c>
      <c r="H1877" s="186" t="s">
        <v>547</v>
      </c>
      <c r="I1877" s="187" t="s">
        <v>1698</v>
      </c>
      <c r="J1877" s="187" t="s">
        <v>1699</v>
      </c>
      <c r="K1877" s="188"/>
      <c r="L1877" s="188"/>
      <c r="M1877" s="189" t="s">
        <v>847</v>
      </c>
      <c r="N1877" s="190">
        <v>606.85</v>
      </c>
      <c r="O1877" s="190">
        <f t="shared" si="235"/>
        <v>661.47</v>
      </c>
      <c r="P1877" s="191">
        <f t="shared" si="236"/>
        <v>0</v>
      </c>
      <c r="Q1877" s="192">
        <f t="shared" si="237"/>
        <v>0</v>
      </c>
      <c r="R1877" s="193"/>
      <c r="S1877" s="194"/>
      <c r="T1877" s="195">
        <f t="shared" si="238"/>
        <v>0</v>
      </c>
      <c r="U1877" s="195">
        <f t="shared" si="239"/>
        <v>0</v>
      </c>
      <c r="V1877" s="195">
        <f t="shared" si="240"/>
        <v>0</v>
      </c>
      <c r="W1877" s="196" t="e">
        <f t="shared" si="241"/>
        <v>#DIV/0!</v>
      </c>
      <c r="X1877" s="197" t="e">
        <f t="shared" si="242"/>
        <v>#DIV/0!</v>
      </c>
    </row>
    <row r="1878" ht="11.4" hidden="1" customHeight="1" spans="1:24">
      <c r="A1878" s="184" t="s">
        <v>3194</v>
      </c>
      <c r="B1878" s="184" t="s">
        <v>123</v>
      </c>
      <c r="C1878" s="184" t="s">
        <v>1101</v>
      </c>
      <c r="D1878" s="185" t="s">
        <v>704</v>
      </c>
      <c r="E1878" s="186" t="s">
        <v>906</v>
      </c>
      <c r="F1878" s="186" t="s">
        <v>907</v>
      </c>
      <c r="G1878" s="186" t="s">
        <v>1102</v>
      </c>
      <c r="H1878" s="186" t="s">
        <v>547</v>
      </c>
      <c r="I1878" s="187" t="s">
        <v>1700</v>
      </c>
      <c r="J1878" s="187" t="s">
        <v>1701</v>
      </c>
      <c r="K1878" s="188"/>
      <c r="L1878" s="188"/>
      <c r="M1878" s="189" t="s">
        <v>807</v>
      </c>
      <c r="N1878" s="190">
        <v>930.48</v>
      </c>
      <c r="O1878" s="190">
        <f t="shared" si="235"/>
        <v>1014.22</v>
      </c>
      <c r="P1878" s="191">
        <f t="shared" si="236"/>
        <v>0</v>
      </c>
      <c r="Q1878" s="192">
        <f t="shared" si="237"/>
        <v>0</v>
      </c>
      <c r="R1878" s="193"/>
      <c r="S1878" s="194"/>
      <c r="T1878" s="195">
        <f t="shared" si="238"/>
        <v>0</v>
      </c>
      <c r="U1878" s="195">
        <f t="shared" si="239"/>
        <v>0</v>
      </c>
      <c r="V1878" s="195">
        <f t="shared" si="240"/>
        <v>0</v>
      </c>
      <c r="W1878" s="196" t="e">
        <f t="shared" si="241"/>
        <v>#DIV/0!</v>
      </c>
      <c r="X1878" s="197" t="e">
        <f t="shared" si="242"/>
        <v>#DIV/0!</v>
      </c>
    </row>
    <row r="1879" ht="11.4" hidden="1" customHeight="1" spans="1:24">
      <c r="A1879" s="184" t="s">
        <v>3194</v>
      </c>
      <c r="B1879" s="184" t="s">
        <v>123</v>
      </c>
      <c r="C1879" s="184" t="s">
        <v>1101</v>
      </c>
      <c r="D1879" s="185" t="s">
        <v>704</v>
      </c>
      <c r="E1879" s="186" t="s">
        <v>906</v>
      </c>
      <c r="F1879" s="186" t="s">
        <v>907</v>
      </c>
      <c r="G1879" s="186" t="s">
        <v>1102</v>
      </c>
      <c r="H1879" s="186" t="s">
        <v>547</v>
      </c>
      <c r="I1879" s="187" t="s">
        <v>1702</v>
      </c>
      <c r="J1879" s="187" t="s">
        <v>1703</v>
      </c>
      <c r="K1879" s="188"/>
      <c r="L1879" s="188"/>
      <c r="M1879" s="189" t="s">
        <v>847</v>
      </c>
      <c r="N1879" s="190">
        <v>233.36</v>
      </c>
      <c r="O1879" s="190">
        <f t="shared" si="235"/>
        <v>254.36</v>
      </c>
      <c r="P1879" s="191">
        <f t="shared" si="236"/>
        <v>0</v>
      </c>
      <c r="Q1879" s="192">
        <f t="shared" si="237"/>
        <v>0</v>
      </c>
      <c r="R1879" s="193"/>
      <c r="S1879" s="194"/>
      <c r="T1879" s="195">
        <f t="shared" si="238"/>
        <v>0</v>
      </c>
      <c r="U1879" s="195">
        <f t="shared" si="239"/>
        <v>0</v>
      </c>
      <c r="V1879" s="195">
        <f t="shared" si="240"/>
        <v>0</v>
      </c>
      <c r="W1879" s="196" t="e">
        <f t="shared" si="241"/>
        <v>#DIV/0!</v>
      </c>
      <c r="X1879" s="197" t="e">
        <f t="shared" si="242"/>
        <v>#DIV/0!</v>
      </c>
    </row>
    <row r="1880" ht="11.4" hidden="1" customHeight="1" spans="1:24">
      <c r="A1880" s="184" t="s">
        <v>3194</v>
      </c>
      <c r="B1880" s="184" t="s">
        <v>123</v>
      </c>
      <c r="C1880" s="184" t="s">
        <v>1101</v>
      </c>
      <c r="D1880" s="185" t="s">
        <v>704</v>
      </c>
      <c r="E1880" s="186" t="s">
        <v>906</v>
      </c>
      <c r="F1880" s="186" t="s">
        <v>907</v>
      </c>
      <c r="G1880" s="186" t="s">
        <v>1102</v>
      </c>
      <c r="H1880" s="186" t="s">
        <v>547</v>
      </c>
      <c r="I1880" s="187" t="s">
        <v>1704</v>
      </c>
      <c r="J1880" s="187" t="s">
        <v>1705</v>
      </c>
      <c r="K1880" s="188"/>
      <c r="L1880" s="188"/>
      <c r="M1880" s="189" t="s">
        <v>847</v>
      </c>
      <c r="N1880" s="190">
        <v>163.76</v>
      </c>
      <c r="O1880" s="190">
        <f t="shared" si="235"/>
        <v>178.5</v>
      </c>
      <c r="P1880" s="191">
        <f t="shared" si="236"/>
        <v>0</v>
      </c>
      <c r="Q1880" s="192">
        <f t="shared" si="237"/>
        <v>0</v>
      </c>
      <c r="R1880" s="193"/>
      <c r="S1880" s="194"/>
      <c r="T1880" s="195">
        <f t="shared" si="238"/>
        <v>0</v>
      </c>
      <c r="U1880" s="195">
        <f t="shared" si="239"/>
        <v>0</v>
      </c>
      <c r="V1880" s="195">
        <f t="shared" si="240"/>
        <v>0</v>
      </c>
      <c r="W1880" s="196" t="e">
        <f t="shared" si="241"/>
        <v>#DIV/0!</v>
      </c>
      <c r="X1880" s="197" t="e">
        <f t="shared" si="242"/>
        <v>#DIV/0!</v>
      </c>
    </row>
    <row r="1881" ht="11.4" hidden="1" customHeight="1" spans="1:24">
      <c r="A1881" s="184" t="s">
        <v>3194</v>
      </c>
      <c r="B1881" s="184" t="s">
        <v>123</v>
      </c>
      <c r="C1881" s="184" t="s">
        <v>1101</v>
      </c>
      <c r="D1881" s="185" t="s">
        <v>704</v>
      </c>
      <c r="E1881" s="186" t="s">
        <v>906</v>
      </c>
      <c r="F1881" s="186" t="s">
        <v>907</v>
      </c>
      <c r="G1881" s="186" t="s">
        <v>1102</v>
      </c>
      <c r="H1881" s="186" t="s">
        <v>547</v>
      </c>
      <c r="I1881" s="187" t="s">
        <v>1336</v>
      </c>
      <c r="J1881" s="187" t="s">
        <v>1337</v>
      </c>
      <c r="K1881" s="188"/>
      <c r="L1881" s="188"/>
      <c r="M1881" s="189" t="s">
        <v>847</v>
      </c>
      <c r="N1881" s="190">
        <v>62.19</v>
      </c>
      <c r="O1881" s="190">
        <f t="shared" si="235"/>
        <v>67.79</v>
      </c>
      <c r="P1881" s="191">
        <f t="shared" si="236"/>
        <v>0</v>
      </c>
      <c r="Q1881" s="192">
        <f t="shared" si="237"/>
        <v>0</v>
      </c>
      <c r="R1881" s="193"/>
      <c r="S1881" s="194"/>
      <c r="T1881" s="195">
        <f t="shared" si="238"/>
        <v>0</v>
      </c>
      <c r="U1881" s="195">
        <f t="shared" si="239"/>
        <v>0</v>
      </c>
      <c r="V1881" s="195">
        <f t="shared" si="240"/>
        <v>0</v>
      </c>
      <c r="W1881" s="196" t="e">
        <f t="shared" si="241"/>
        <v>#DIV/0!</v>
      </c>
      <c r="X1881" s="197" t="e">
        <f t="shared" si="242"/>
        <v>#DIV/0!</v>
      </c>
    </row>
    <row r="1882" ht="11.4" hidden="1" customHeight="1" spans="1:24">
      <c r="A1882" s="184" t="s">
        <v>3195</v>
      </c>
      <c r="B1882" s="184" t="s">
        <v>125</v>
      </c>
      <c r="C1882" s="184" t="s">
        <v>1101</v>
      </c>
      <c r="D1882" s="185" t="s">
        <v>704</v>
      </c>
      <c r="E1882" s="186" t="s">
        <v>906</v>
      </c>
      <c r="F1882" s="186" t="s">
        <v>907</v>
      </c>
      <c r="G1882" s="186" t="s">
        <v>1102</v>
      </c>
      <c r="H1882" s="186" t="s">
        <v>1707</v>
      </c>
      <c r="I1882" s="187" t="s">
        <v>1104</v>
      </c>
      <c r="J1882" s="187" t="s">
        <v>1105</v>
      </c>
      <c r="K1882" s="188"/>
      <c r="L1882" s="188"/>
      <c r="M1882" s="189" t="s">
        <v>847</v>
      </c>
      <c r="N1882" s="190">
        <v>180.78</v>
      </c>
      <c r="O1882" s="190">
        <f t="shared" si="235"/>
        <v>197.05</v>
      </c>
      <c r="P1882" s="191">
        <f t="shared" si="236"/>
        <v>0</v>
      </c>
      <c r="Q1882" s="192">
        <f t="shared" si="237"/>
        <v>0</v>
      </c>
      <c r="R1882" s="193"/>
      <c r="S1882" s="194"/>
      <c r="T1882" s="195">
        <f t="shared" si="238"/>
        <v>0</v>
      </c>
      <c r="U1882" s="195">
        <f t="shared" si="239"/>
        <v>0</v>
      </c>
      <c r="V1882" s="195">
        <f t="shared" si="240"/>
        <v>0</v>
      </c>
      <c r="W1882" s="196" t="e">
        <f t="shared" si="241"/>
        <v>#DIV/0!</v>
      </c>
      <c r="X1882" s="197" t="e">
        <f t="shared" si="242"/>
        <v>#DIV/0!</v>
      </c>
    </row>
    <row r="1883" ht="11.4" hidden="1" customHeight="1" spans="1:24">
      <c r="A1883" s="184" t="s">
        <v>3195</v>
      </c>
      <c r="B1883" s="184" t="s">
        <v>125</v>
      </c>
      <c r="C1883" s="184" t="s">
        <v>1101</v>
      </c>
      <c r="D1883" s="185" t="s">
        <v>704</v>
      </c>
      <c r="E1883" s="186" t="s">
        <v>906</v>
      </c>
      <c r="F1883" s="186" t="s">
        <v>907</v>
      </c>
      <c r="G1883" s="186" t="s">
        <v>1102</v>
      </c>
      <c r="H1883" s="186" t="s">
        <v>1707</v>
      </c>
      <c r="I1883" s="187" t="s">
        <v>1106</v>
      </c>
      <c r="J1883" s="187" t="s">
        <v>1107</v>
      </c>
      <c r="K1883" s="188"/>
      <c r="L1883" s="188"/>
      <c r="M1883" s="189" t="s">
        <v>807</v>
      </c>
      <c r="N1883" s="190">
        <v>41.36</v>
      </c>
      <c r="O1883" s="190">
        <f t="shared" si="235"/>
        <v>45.08</v>
      </c>
      <c r="P1883" s="191">
        <f t="shared" si="236"/>
        <v>0</v>
      </c>
      <c r="Q1883" s="192">
        <f t="shared" si="237"/>
        <v>0</v>
      </c>
      <c r="R1883" s="193"/>
      <c r="S1883" s="194"/>
      <c r="T1883" s="195">
        <f t="shared" si="238"/>
        <v>0</v>
      </c>
      <c r="U1883" s="195">
        <f t="shared" si="239"/>
        <v>0</v>
      </c>
      <c r="V1883" s="195">
        <f t="shared" si="240"/>
        <v>0</v>
      </c>
      <c r="W1883" s="196" t="e">
        <f t="shared" si="241"/>
        <v>#DIV/0!</v>
      </c>
      <c r="X1883" s="197" t="e">
        <f t="shared" si="242"/>
        <v>#DIV/0!</v>
      </c>
    </row>
    <row r="1884" ht="11.4" hidden="1" customHeight="1" spans="1:24">
      <c r="A1884" s="184" t="s">
        <v>3195</v>
      </c>
      <c r="B1884" s="184" t="s">
        <v>125</v>
      </c>
      <c r="C1884" s="184" t="s">
        <v>1101</v>
      </c>
      <c r="D1884" s="185" t="s">
        <v>704</v>
      </c>
      <c r="E1884" s="186" t="s">
        <v>906</v>
      </c>
      <c r="F1884" s="186" t="s">
        <v>907</v>
      </c>
      <c r="G1884" s="186" t="s">
        <v>1102</v>
      </c>
      <c r="H1884" s="186" t="s">
        <v>1707</v>
      </c>
      <c r="I1884" s="187" t="s">
        <v>1109</v>
      </c>
      <c r="J1884" s="187" t="s">
        <v>1110</v>
      </c>
      <c r="K1884" s="188"/>
      <c r="L1884" s="188"/>
      <c r="M1884" s="189" t="s">
        <v>847</v>
      </c>
      <c r="N1884" s="190">
        <v>160.21</v>
      </c>
      <c r="O1884" s="190">
        <f t="shared" si="235"/>
        <v>174.63</v>
      </c>
      <c r="P1884" s="191">
        <f t="shared" si="236"/>
        <v>0</v>
      </c>
      <c r="Q1884" s="192">
        <f t="shared" si="237"/>
        <v>0</v>
      </c>
      <c r="R1884" s="193"/>
      <c r="S1884" s="194"/>
      <c r="T1884" s="195">
        <f t="shared" si="238"/>
        <v>0</v>
      </c>
      <c r="U1884" s="195">
        <f t="shared" si="239"/>
        <v>0</v>
      </c>
      <c r="V1884" s="195">
        <f t="shared" si="240"/>
        <v>0</v>
      </c>
      <c r="W1884" s="196" t="e">
        <f t="shared" si="241"/>
        <v>#DIV/0!</v>
      </c>
      <c r="X1884" s="197" t="e">
        <f t="shared" si="242"/>
        <v>#DIV/0!</v>
      </c>
    </row>
    <row r="1885" ht="11.4" hidden="1" customHeight="1" spans="1:24">
      <c r="A1885" s="184" t="s">
        <v>3195</v>
      </c>
      <c r="B1885" s="184" t="s">
        <v>125</v>
      </c>
      <c r="C1885" s="184" t="s">
        <v>1101</v>
      </c>
      <c r="D1885" s="185" t="s">
        <v>704</v>
      </c>
      <c r="E1885" s="186" t="s">
        <v>906</v>
      </c>
      <c r="F1885" s="186" t="s">
        <v>907</v>
      </c>
      <c r="G1885" s="186" t="s">
        <v>1102</v>
      </c>
      <c r="H1885" s="186" t="s">
        <v>1707</v>
      </c>
      <c r="I1885" s="187" t="s">
        <v>1111</v>
      </c>
      <c r="J1885" s="187" t="s">
        <v>1112</v>
      </c>
      <c r="K1885" s="188"/>
      <c r="L1885" s="188"/>
      <c r="M1885" s="189" t="s">
        <v>807</v>
      </c>
      <c r="N1885" s="190">
        <v>38.94</v>
      </c>
      <c r="O1885" s="190">
        <f t="shared" si="235"/>
        <v>42.44</v>
      </c>
      <c r="P1885" s="191">
        <f t="shared" si="236"/>
        <v>0</v>
      </c>
      <c r="Q1885" s="192">
        <f t="shared" si="237"/>
        <v>0</v>
      </c>
      <c r="R1885" s="193"/>
      <c r="S1885" s="194"/>
      <c r="T1885" s="195">
        <f t="shared" si="238"/>
        <v>0</v>
      </c>
      <c r="U1885" s="195">
        <f t="shared" si="239"/>
        <v>0</v>
      </c>
      <c r="V1885" s="195">
        <f t="shared" si="240"/>
        <v>0</v>
      </c>
      <c r="W1885" s="196" t="e">
        <f t="shared" si="241"/>
        <v>#DIV/0!</v>
      </c>
      <c r="X1885" s="197" t="e">
        <f t="shared" si="242"/>
        <v>#DIV/0!</v>
      </c>
    </row>
    <row r="1886" ht="11.4" hidden="1" customHeight="1" spans="1:24">
      <c r="A1886" s="184" t="s">
        <v>3195</v>
      </c>
      <c r="B1886" s="184" t="s">
        <v>125</v>
      </c>
      <c r="C1886" s="184" t="s">
        <v>1101</v>
      </c>
      <c r="D1886" s="185" t="s">
        <v>704</v>
      </c>
      <c r="E1886" s="186" t="s">
        <v>906</v>
      </c>
      <c r="F1886" s="186" t="s">
        <v>907</v>
      </c>
      <c r="G1886" s="186" t="s">
        <v>1102</v>
      </c>
      <c r="H1886" s="186" t="s">
        <v>1707</v>
      </c>
      <c r="I1886" s="187" t="s">
        <v>1113</v>
      </c>
      <c r="J1886" s="187" t="s">
        <v>1114</v>
      </c>
      <c r="K1886" s="188"/>
      <c r="L1886" s="188"/>
      <c r="M1886" s="189" t="s">
        <v>847</v>
      </c>
      <c r="N1886" s="190">
        <v>181.99</v>
      </c>
      <c r="O1886" s="190">
        <f t="shared" si="235"/>
        <v>198.37</v>
      </c>
      <c r="P1886" s="191">
        <f t="shared" si="236"/>
        <v>0</v>
      </c>
      <c r="Q1886" s="192">
        <f t="shared" si="237"/>
        <v>0</v>
      </c>
      <c r="R1886" s="193"/>
      <c r="S1886" s="194"/>
      <c r="T1886" s="195">
        <f t="shared" si="238"/>
        <v>0</v>
      </c>
      <c r="U1886" s="195">
        <f t="shared" si="239"/>
        <v>0</v>
      </c>
      <c r="V1886" s="195">
        <f t="shared" si="240"/>
        <v>0</v>
      </c>
      <c r="W1886" s="196" t="e">
        <f t="shared" si="241"/>
        <v>#DIV/0!</v>
      </c>
      <c r="X1886" s="197" t="e">
        <f t="shared" si="242"/>
        <v>#DIV/0!</v>
      </c>
    </row>
    <row r="1887" ht="11.4" hidden="1" customHeight="1" spans="1:24">
      <c r="A1887" s="184" t="s">
        <v>3195</v>
      </c>
      <c r="B1887" s="184" t="s">
        <v>125</v>
      </c>
      <c r="C1887" s="184" t="s">
        <v>1101</v>
      </c>
      <c r="D1887" s="185" t="s">
        <v>704</v>
      </c>
      <c r="E1887" s="186" t="s">
        <v>906</v>
      </c>
      <c r="F1887" s="186" t="s">
        <v>907</v>
      </c>
      <c r="G1887" s="186" t="s">
        <v>1102</v>
      </c>
      <c r="H1887" s="186" t="s">
        <v>1707</v>
      </c>
      <c r="I1887" s="187" t="s">
        <v>1115</v>
      </c>
      <c r="J1887" s="187" t="s">
        <v>1116</v>
      </c>
      <c r="K1887" s="188"/>
      <c r="L1887" s="188"/>
      <c r="M1887" s="189" t="s">
        <v>807</v>
      </c>
      <c r="N1887" s="190">
        <v>42.57</v>
      </c>
      <c r="O1887" s="190">
        <f t="shared" si="235"/>
        <v>46.4</v>
      </c>
      <c r="P1887" s="191">
        <f t="shared" si="236"/>
        <v>0</v>
      </c>
      <c r="Q1887" s="192">
        <f t="shared" si="237"/>
        <v>0</v>
      </c>
      <c r="R1887" s="193"/>
      <c r="S1887" s="194"/>
      <c r="T1887" s="195">
        <f t="shared" si="238"/>
        <v>0</v>
      </c>
      <c r="U1887" s="195">
        <f t="shared" si="239"/>
        <v>0</v>
      </c>
      <c r="V1887" s="195">
        <f t="shared" si="240"/>
        <v>0</v>
      </c>
      <c r="W1887" s="196" t="e">
        <f t="shared" si="241"/>
        <v>#DIV/0!</v>
      </c>
      <c r="X1887" s="197" t="e">
        <f t="shared" si="242"/>
        <v>#DIV/0!</v>
      </c>
    </row>
    <row r="1888" ht="11.4" hidden="1" customHeight="1" spans="1:24">
      <c r="A1888" s="184" t="s">
        <v>3195</v>
      </c>
      <c r="B1888" s="184" t="s">
        <v>125</v>
      </c>
      <c r="C1888" s="184" t="s">
        <v>1101</v>
      </c>
      <c r="D1888" s="185" t="s">
        <v>704</v>
      </c>
      <c r="E1888" s="186" t="s">
        <v>906</v>
      </c>
      <c r="F1888" s="186" t="s">
        <v>907</v>
      </c>
      <c r="G1888" s="186" t="s">
        <v>1102</v>
      </c>
      <c r="H1888" s="186" t="s">
        <v>1707</v>
      </c>
      <c r="I1888" s="187" t="s">
        <v>1117</v>
      </c>
      <c r="J1888" s="187" t="s">
        <v>1118</v>
      </c>
      <c r="K1888" s="188"/>
      <c r="L1888" s="188"/>
      <c r="M1888" s="189" t="s">
        <v>847</v>
      </c>
      <c r="N1888" s="190">
        <v>187.98</v>
      </c>
      <c r="O1888" s="190">
        <f t="shared" si="235"/>
        <v>204.9</v>
      </c>
      <c r="P1888" s="191">
        <f t="shared" si="236"/>
        <v>0</v>
      </c>
      <c r="Q1888" s="192">
        <f t="shared" si="237"/>
        <v>0</v>
      </c>
      <c r="R1888" s="193"/>
      <c r="S1888" s="194"/>
      <c r="T1888" s="195">
        <f t="shared" si="238"/>
        <v>0</v>
      </c>
      <c r="U1888" s="195">
        <f t="shared" si="239"/>
        <v>0</v>
      </c>
      <c r="V1888" s="195">
        <f t="shared" si="240"/>
        <v>0</v>
      </c>
      <c r="W1888" s="196" t="e">
        <f t="shared" si="241"/>
        <v>#DIV/0!</v>
      </c>
      <c r="X1888" s="197" t="e">
        <f t="shared" si="242"/>
        <v>#DIV/0!</v>
      </c>
    </row>
    <row r="1889" ht="11.4" hidden="1" customHeight="1" spans="1:24">
      <c r="A1889" s="184" t="s">
        <v>3195</v>
      </c>
      <c r="B1889" s="184" t="s">
        <v>125</v>
      </c>
      <c r="C1889" s="184" t="s">
        <v>1101</v>
      </c>
      <c r="D1889" s="185" t="s">
        <v>704</v>
      </c>
      <c r="E1889" s="186" t="s">
        <v>906</v>
      </c>
      <c r="F1889" s="186" t="s">
        <v>907</v>
      </c>
      <c r="G1889" s="186" t="s">
        <v>1102</v>
      </c>
      <c r="H1889" s="186" t="s">
        <v>1707</v>
      </c>
      <c r="I1889" s="187" t="s">
        <v>1119</v>
      </c>
      <c r="J1889" s="187" t="s">
        <v>1120</v>
      </c>
      <c r="K1889" s="188"/>
      <c r="L1889" s="188"/>
      <c r="M1889" s="189" t="s">
        <v>847</v>
      </c>
      <c r="N1889" s="190">
        <v>171.66</v>
      </c>
      <c r="O1889" s="190">
        <f t="shared" si="235"/>
        <v>187.11</v>
      </c>
      <c r="P1889" s="191">
        <f t="shared" si="236"/>
        <v>0</v>
      </c>
      <c r="Q1889" s="192">
        <f t="shared" si="237"/>
        <v>0</v>
      </c>
      <c r="R1889" s="193"/>
      <c r="S1889" s="194"/>
      <c r="T1889" s="195">
        <f t="shared" si="238"/>
        <v>0</v>
      </c>
      <c r="U1889" s="195">
        <f t="shared" si="239"/>
        <v>0</v>
      </c>
      <c r="V1889" s="195">
        <f t="shared" si="240"/>
        <v>0</v>
      </c>
      <c r="W1889" s="196" t="e">
        <f t="shared" si="241"/>
        <v>#DIV/0!</v>
      </c>
      <c r="X1889" s="197" t="e">
        <f t="shared" si="242"/>
        <v>#DIV/0!</v>
      </c>
    </row>
    <row r="1890" ht="11.4" hidden="1" customHeight="1" spans="1:24">
      <c r="A1890" s="184" t="s">
        <v>3195</v>
      </c>
      <c r="B1890" s="184" t="s">
        <v>125</v>
      </c>
      <c r="C1890" s="184" t="s">
        <v>1101</v>
      </c>
      <c r="D1890" s="185" t="s">
        <v>704</v>
      </c>
      <c r="E1890" s="186" t="s">
        <v>906</v>
      </c>
      <c r="F1890" s="186" t="s">
        <v>907</v>
      </c>
      <c r="G1890" s="186" t="s">
        <v>1102</v>
      </c>
      <c r="H1890" s="186" t="s">
        <v>1707</v>
      </c>
      <c r="I1890" s="187" t="s">
        <v>1121</v>
      </c>
      <c r="J1890" s="187" t="s">
        <v>1122</v>
      </c>
      <c r="K1890" s="188"/>
      <c r="L1890" s="188"/>
      <c r="M1890" s="189" t="s">
        <v>847</v>
      </c>
      <c r="N1890" s="190">
        <v>189.15</v>
      </c>
      <c r="O1890" s="190">
        <f t="shared" si="235"/>
        <v>206.17</v>
      </c>
      <c r="P1890" s="191">
        <f t="shared" si="236"/>
        <v>0</v>
      </c>
      <c r="Q1890" s="192">
        <f t="shared" si="237"/>
        <v>0</v>
      </c>
      <c r="R1890" s="193"/>
      <c r="S1890" s="194"/>
      <c r="T1890" s="195">
        <f t="shared" si="238"/>
        <v>0</v>
      </c>
      <c r="U1890" s="195">
        <f t="shared" si="239"/>
        <v>0</v>
      </c>
      <c r="V1890" s="195">
        <f t="shared" si="240"/>
        <v>0</v>
      </c>
      <c r="W1890" s="196" t="e">
        <f t="shared" si="241"/>
        <v>#DIV/0!</v>
      </c>
      <c r="X1890" s="197" t="e">
        <f t="shared" si="242"/>
        <v>#DIV/0!</v>
      </c>
    </row>
    <row r="1891" ht="11.4" hidden="1" customHeight="1" spans="1:24">
      <c r="A1891" s="184" t="s">
        <v>3195</v>
      </c>
      <c r="B1891" s="184" t="s">
        <v>125</v>
      </c>
      <c r="C1891" s="184" t="s">
        <v>1101</v>
      </c>
      <c r="D1891" s="185" t="s">
        <v>704</v>
      </c>
      <c r="E1891" s="186" t="s">
        <v>906</v>
      </c>
      <c r="F1891" s="186" t="s">
        <v>907</v>
      </c>
      <c r="G1891" s="186" t="s">
        <v>1102</v>
      </c>
      <c r="H1891" s="186" t="s">
        <v>1707</v>
      </c>
      <c r="I1891" s="187" t="s">
        <v>1123</v>
      </c>
      <c r="J1891" s="187" t="s">
        <v>1124</v>
      </c>
      <c r="K1891" s="188"/>
      <c r="L1891" s="188"/>
      <c r="M1891" s="189" t="s">
        <v>807</v>
      </c>
      <c r="N1891" s="190">
        <v>41.36</v>
      </c>
      <c r="O1891" s="190">
        <f t="shared" si="235"/>
        <v>45.08</v>
      </c>
      <c r="P1891" s="191">
        <f t="shared" si="236"/>
        <v>0</v>
      </c>
      <c r="Q1891" s="192">
        <f t="shared" si="237"/>
        <v>0</v>
      </c>
      <c r="R1891" s="193"/>
      <c r="S1891" s="194"/>
      <c r="T1891" s="195">
        <f t="shared" si="238"/>
        <v>0</v>
      </c>
      <c r="U1891" s="195">
        <f t="shared" si="239"/>
        <v>0</v>
      </c>
      <c r="V1891" s="195">
        <f t="shared" si="240"/>
        <v>0</v>
      </c>
      <c r="W1891" s="196" t="e">
        <f t="shared" si="241"/>
        <v>#DIV/0!</v>
      </c>
      <c r="X1891" s="197" t="e">
        <f t="shared" si="242"/>
        <v>#DIV/0!</v>
      </c>
    </row>
    <row r="1892" ht="11.4" hidden="1" customHeight="1" spans="1:24">
      <c r="A1892" s="184" t="s">
        <v>3195</v>
      </c>
      <c r="B1892" s="184" t="s">
        <v>125</v>
      </c>
      <c r="C1892" s="184" t="s">
        <v>1101</v>
      </c>
      <c r="D1892" s="185" t="s">
        <v>704</v>
      </c>
      <c r="E1892" s="186" t="s">
        <v>906</v>
      </c>
      <c r="F1892" s="186" t="s">
        <v>907</v>
      </c>
      <c r="G1892" s="186" t="s">
        <v>1102</v>
      </c>
      <c r="H1892" s="186" t="s">
        <v>1707</v>
      </c>
      <c r="I1892" s="187" t="s">
        <v>1125</v>
      </c>
      <c r="J1892" s="187" t="s">
        <v>1126</v>
      </c>
      <c r="K1892" s="188"/>
      <c r="L1892" s="188"/>
      <c r="M1892" s="189" t="s">
        <v>807</v>
      </c>
      <c r="N1892" s="190">
        <v>38.94</v>
      </c>
      <c r="O1892" s="190">
        <f t="shared" si="235"/>
        <v>42.44</v>
      </c>
      <c r="P1892" s="191">
        <f t="shared" si="236"/>
        <v>0</v>
      </c>
      <c r="Q1892" s="192">
        <f t="shared" si="237"/>
        <v>0</v>
      </c>
      <c r="R1892" s="193"/>
      <c r="S1892" s="194"/>
      <c r="T1892" s="195">
        <f t="shared" si="238"/>
        <v>0</v>
      </c>
      <c r="U1892" s="195">
        <f t="shared" si="239"/>
        <v>0</v>
      </c>
      <c r="V1892" s="195">
        <f t="shared" si="240"/>
        <v>0</v>
      </c>
      <c r="W1892" s="196" t="e">
        <f t="shared" si="241"/>
        <v>#DIV/0!</v>
      </c>
      <c r="X1892" s="197" t="e">
        <f t="shared" si="242"/>
        <v>#DIV/0!</v>
      </c>
    </row>
    <row r="1893" ht="11.4" hidden="1" customHeight="1" spans="1:24">
      <c r="A1893" s="184" t="s">
        <v>3195</v>
      </c>
      <c r="B1893" s="184" t="s">
        <v>125</v>
      </c>
      <c r="C1893" s="184" t="s">
        <v>1101</v>
      </c>
      <c r="D1893" s="185" t="s">
        <v>704</v>
      </c>
      <c r="E1893" s="186" t="s">
        <v>906</v>
      </c>
      <c r="F1893" s="186" t="s">
        <v>907</v>
      </c>
      <c r="G1893" s="186" t="s">
        <v>1102</v>
      </c>
      <c r="H1893" s="186" t="s">
        <v>1707</v>
      </c>
      <c r="I1893" s="187" t="s">
        <v>1127</v>
      </c>
      <c r="J1893" s="187" t="s">
        <v>1128</v>
      </c>
      <c r="K1893" s="188"/>
      <c r="L1893" s="188"/>
      <c r="M1893" s="189" t="s">
        <v>807</v>
      </c>
      <c r="N1893" s="190">
        <v>40.15</v>
      </c>
      <c r="O1893" s="190">
        <f t="shared" si="235"/>
        <v>43.76</v>
      </c>
      <c r="P1893" s="191">
        <f t="shared" si="236"/>
        <v>0</v>
      </c>
      <c r="Q1893" s="192">
        <f t="shared" si="237"/>
        <v>0</v>
      </c>
      <c r="R1893" s="193"/>
      <c r="S1893" s="194"/>
      <c r="T1893" s="195">
        <f t="shared" si="238"/>
        <v>0</v>
      </c>
      <c r="U1893" s="195">
        <f t="shared" si="239"/>
        <v>0</v>
      </c>
      <c r="V1893" s="195">
        <f t="shared" si="240"/>
        <v>0</v>
      </c>
      <c r="W1893" s="196" t="e">
        <f t="shared" si="241"/>
        <v>#DIV/0!</v>
      </c>
      <c r="X1893" s="197" t="e">
        <f t="shared" si="242"/>
        <v>#DIV/0!</v>
      </c>
    </row>
    <row r="1894" ht="11.4" hidden="1" customHeight="1" spans="1:24">
      <c r="A1894" s="184" t="s">
        <v>3195</v>
      </c>
      <c r="B1894" s="184" t="s">
        <v>125</v>
      </c>
      <c r="C1894" s="184" t="s">
        <v>1101</v>
      </c>
      <c r="D1894" s="185" t="s">
        <v>704</v>
      </c>
      <c r="E1894" s="186" t="s">
        <v>906</v>
      </c>
      <c r="F1894" s="186" t="s">
        <v>907</v>
      </c>
      <c r="G1894" s="186" t="s">
        <v>1102</v>
      </c>
      <c r="H1894" s="186" t="s">
        <v>1707</v>
      </c>
      <c r="I1894" s="187" t="s">
        <v>1708</v>
      </c>
      <c r="J1894" s="187" t="s">
        <v>1709</v>
      </c>
      <c r="K1894" s="188"/>
      <c r="L1894" s="188"/>
      <c r="M1894" s="189" t="s">
        <v>847</v>
      </c>
      <c r="N1894" s="190">
        <v>203.87</v>
      </c>
      <c r="O1894" s="190">
        <f t="shared" si="235"/>
        <v>222.22</v>
      </c>
      <c r="P1894" s="191">
        <f t="shared" si="236"/>
        <v>0</v>
      </c>
      <c r="Q1894" s="192">
        <f t="shared" si="237"/>
        <v>0</v>
      </c>
      <c r="R1894" s="193"/>
      <c r="S1894" s="194"/>
      <c r="T1894" s="195">
        <f t="shared" si="238"/>
        <v>0</v>
      </c>
      <c r="U1894" s="195">
        <f t="shared" si="239"/>
        <v>0</v>
      </c>
      <c r="V1894" s="195">
        <f t="shared" si="240"/>
        <v>0</v>
      </c>
      <c r="W1894" s="196" t="e">
        <f t="shared" si="241"/>
        <v>#DIV/0!</v>
      </c>
      <c r="X1894" s="197" t="e">
        <f t="shared" si="242"/>
        <v>#DIV/0!</v>
      </c>
    </row>
    <row r="1895" ht="11.4" hidden="1" customHeight="1" spans="1:24">
      <c r="A1895" s="184" t="s">
        <v>3195</v>
      </c>
      <c r="B1895" s="184" t="s">
        <v>125</v>
      </c>
      <c r="C1895" s="184" t="s">
        <v>1101</v>
      </c>
      <c r="D1895" s="185" t="s">
        <v>704</v>
      </c>
      <c r="E1895" s="186" t="s">
        <v>906</v>
      </c>
      <c r="F1895" s="186" t="s">
        <v>907</v>
      </c>
      <c r="G1895" s="186" t="s">
        <v>1102</v>
      </c>
      <c r="H1895" s="186" t="s">
        <v>1707</v>
      </c>
      <c r="I1895" s="187" t="s">
        <v>1710</v>
      </c>
      <c r="J1895" s="187" t="s">
        <v>1711</v>
      </c>
      <c r="K1895" s="188"/>
      <c r="L1895" s="188"/>
      <c r="M1895" s="189" t="s">
        <v>807</v>
      </c>
      <c r="N1895" s="190">
        <v>101.27</v>
      </c>
      <c r="O1895" s="190">
        <f t="shared" si="235"/>
        <v>110.38</v>
      </c>
      <c r="P1895" s="191">
        <f t="shared" si="236"/>
        <v>0</v>
      </c>
      <c r="Q1895" s="192">
        <f t="shared" si="237"/>
        <v>0</v>
      </c>
      <c r="R1895" s="193"/>
      <c r="S1895" s="194"/>
      <c r="T1895" s="195">
        <f t="shared" si="238"/>
        <v>0</v>
      </c>
      <c r="U1895" s="195">
        <f t="shared" si="239"/>
        <v>0</v>
      </c>
      <c r="V1895" s="195">
        <f t="shared" si="240"/>
        <v>0</v>
      </c>
      <c r="W1895" s="196" t="e">
        <f t="shared" si="241"/>
        <v>#DIV/0!</v>
      </c>
      <c r="X1895" s="197" t="e">
        <f t="shared" si="242"/>
        <v>#DIV/0!</v>
      </c>
    </row>
    <row r="1896" ht="11.4" hidden="1" customHeight="1" spans="1:24">
      <c r="A1896" s="184" t="s">
        <v>3195</v>
      </c>
      <c r="B1896" s="184" t="s">
        <v>125</v>
      </c>
      <c r="C1896" s="184" t="s">
        <v>1101</v>
      </c>
      <c r="D1896" s="185" t="s">
        <v>704</v>
      </c>
      <c r="E1896" s="186" t="s">
        <v>906</v>
      </c>
      <c r="F1896" s="186" t="s">
        <v>907</v>
      </c>
      <c r="G1896" s="186" t="s">
        <v>1102</v>
      </c>
      <c r="H1896" s="186" t="s">
        <v>1707</v>
      </c>
      <c r="I1896" s="187" t="s">
        <v>1712</v>
      </c>
      <c r="J1896" s="187" t="s">
        <v>1713</v>
      </c>
      <c r="K1896" s="188"/>
      <c r="L1896" s="188"/>
      <c r="M1896" s="189" t="s">
        <v>847</v>
      </c>
      <c r="N1896" s="190">
        <v>194.19</v>
      </c>
      <c r="O1896" s="190">
        <f t="shared" si="235"/>
        <v>211.67</v>
      </c>
      <c r="P1896" s="191">
        <f t="shared" si="236"/>
        <v>0</v>
      </c>
      <c r="Q1896" s="192">
        <f t="shared" si="237"/>
        <v>0</v>
      </c>
      <c r="R1896" s="193"/>
      <c r="S1896" s="194"/>
      <c r="T1896" s="195">
        <f t="shared" si="238"/>
        <v>0</v>
      </c>
      <c r="U1896" s="195">
        <f t="shared" si="239"/>
        <v>0</v>
      </c>
      <c r="V1896" s="195">
        <f t="shared" si="240"/>
        <v>0</v>
      </c>
      <c r="W1896" s="196" t="e">
        <f t="shared" si="241"/>
        <v>#DIV/0!</v>
      </c>
      <c r="X1896" s="197" t="e">
        <f t="shared" si="242"/>
        <v>#DIV/0!</v>
      </c>
    </row>
    <row r="1897" ht="11.4" hidden="1" customHeight="1" spans="1:24">
      <c r="A1897" s="184" t="s">
        <v>3195</v>
      </c>
      <c r="B1897" s="184" t="s">
        <v>125</v>
      </c>
      <c r="C1897" s="184" t="s">
        <v>1101</v>
      </c>
      <c r="D1897" s="185" t="s">
        <v>704</v>
      </c>
      <c r="E1897" s="186" t="s">
        <v>906</v>
      </c>
      <c r="F1897" s="186" t="s">
        <v>907</v>
      </c>
      <c r="G1897" s="186" t="s">
        <v>1102</v>
      </c>
      <c r="H1897" s="186" t="s">
        <v>1707</v>
      </c>
      <c r="I1897" s="187" t="s">
        <v>1714</v>
      </c>
      <c r="J1897" s="187" t="s">
        <v>1715</v>
      </c>
      <c r="K1897" s="188"/>
      <c r="L1897" s="188"/>
      <c r="M1897" s="189" t="s">
        <v>807</v>
      </c>
      <c r="N1897" s="190">
        <v>83.12</v>
      </c>
      <c r="O1897" s="190">
        <f t="shared" si="235"/>
        <v>90.6</v>
      </c>
      <c r="P1897" s="191">
        <f t="shared" si="236"/>
        <v>0</v>
      </c>
      <c r="Q1897" s="192">
        <f t="shared" si="237"/>
        <v>0</v>
      </c>
      <c r="R1897" s="193"/>
      <c r="S1897" s="194"/>
      <c r="T1897" s="195">
        <f t="shared" si="238"/>
        <v>0</v>
      </c>
      <c r="U1897" s="195">
        <f t="shared" si="239"/>
        <v>0</v>
      </c>
      <c r="V1897" s="195">
        <f t="shared" si="240"/>
        <v>0</v>
      </c>
      <c r="W1897" s="196" t="e">
        <f t="shared" si="241"/>
        <v>#DIV/0!</v>
      </c>
      <c r="X1897" s="197" t="e">
        <f t="shared" si="242"/>
        <v>#DIV/0!</v>
      </c>
    </row>
    <row r="1898" ht="11.4" hidden="1" customHeight="1" spans="1:24">
      <c r="A1898" s="184" t="s">
        <v>3195</v>
      </c>
      <c r="B1898" s="184" t="s">
        <v>125</v>
      </c>
      <c r="C1898" s="184" t="s">
        <v>1101</v>
      </c>
      <c r="D1898" s="185" t="s">
        <v>704</v>
      </c>
      <c r="E1898" s="186" t="s">
        <v>906</v>
      </c>
      <c r="F1898" s="186" t="s">
        <v>907</v>
      </c>
      <c r="G1898" s="186" t="s">
        <v>1102</v>
      </c>
      <c r="H1898" s="186" t="s">
        <v>1707</v>
      </c>
      <c r="I1898" s="187" t="s">
        <v>1716</v>
      </c>
      <c r="J1898" s="187" t="s">
        <v>1717</v>
      </c>
      <c r="K1898" s="188"/>
      <c r="L1898" s="188"/>
      <c r="M1898" s="189" t="s">
        <v>847</v>
      </c>
      <c r="N1898" s="190">
        <v>202.66</v>
      </c>
      <c r="O1898" s="190">
        <f t="shared" si="235"/>
        <v>220.9</v>
      </c>
      <c r="P1898" s="191">
        <f t="shared" si="236"/>
        <v>0</v>
      </c>
      <c r="Q1898" s="192">
        <f t="shared" si="237"/>
        <v>0</v>
      </c>
      <c r="R1898" s="193"/>
      <c r="S1898" s="194"/>
      <c r="T1898" s="195">
        <f t="shared" si="238"/>
        <v>0</v>
      </c>
      <c r="U1898" s="195">
        <f t="shared" si="239"/>
        <v>0</v>
      </c>
      <c r="V1898" s="195">
        <f t="shared" si="240"/>
        <v>0</v>
      </c>
      <c r="W1898" s="196" t="e">
        <f t="shared" si="241"/>
        <v>#DIV/0!</v>
      </c>
      <c r="X1898" s="197" t="e">
        <f t="shared" si="242"/>
        <v>#DIV/0!</v>
      </c>
    </row>
    <row r="1899" ht="11.4" hidden="1" customHeight="1" spans="1:24">
      <c r="A1899" s="184" t="s">
        <v>3195</v>
      </c>
      <c r="B1899" s="184" t="s">
        <v>125</v>
      </c>
      <c r="C1899" s="184" t="s">
        <v>1101</v>
      </c>
      <c r="D1899" s="185" t="s">
        <v>704</v>
      </c>
      <c r="E1899" s="186" t="s">
        <v>906</v>
      </c>
      <c r="F1899" s="186" t="s">
        <v>907</v>
      </c>
      <c r="G1899" s="186" t="s">
        <v>1102</v>
      </c>
      <c r="H1899" s="186" t="s">
        <v>1707</v>
      </c>
      <c r="I1899" s="187" t="s">
        <v>1718</v>
      </c>
      <c r="J1899" s="187" t="s">
        <v>1719</v>
      </c>
      <c r="K1899" s="188"/>
      <c r="L1899" s="188"/>
      <c r="M1899" s="189" t="s">
        <v>807</v>
      </c>
      <c r="N1899" s="190">
        <v>101.27</v>
      </c>
      <c r="O1899" s="190">
        <f t="shared" si="235"/>
        <v>110.38</v>
      </c>
      <c r="P1899" s="191">
        <f t="shared" si="236"/>
        <v>0</v>
      </c>
      <c r="Q1899" s="192">
        <f t="shared" si="237"/>
        <v>0</v>
      </c>
      <c r="R1899" s="193"/>
      <c r="S1899" s="194"/>
      <c r="T1899" s="195">
        <f t="shared" si="238"/>
        <v>0</v>
      </c>
      <c r="U1899" s="195">
        <f t="shared" si="239"/>
        <v>0</v>
      </c>
      <c r="V1899" s="195">
        <f t="shared" si="240"/>
        <v>0</v>
      </c>
      <c r="W1899" s="196" t="e">
        <f t="shared" si="241"/>
        <v>#DIV/0!</v>
      </c>
      <c r="X1899" s="197" t="e">
        <f t="shared" si="242"/>
        <v>#DIV/0!</v>
      </c>
    </row>
    <row r="1900" ht="11.4" hidden="1" customHeight="1" spans="1:24">
      <c r="A1900" s="184" t="s">
        <v>3195</v>
      </c>
      <c r="B1900" s="184" t="s">
        <v>125</v>
      </c>
      <c r="C1900" s="184" t="s">
        <v>1101</v>
      </c>
      <c r="D1900" s="185" t="s">
        <v>704</v>
      </c>
      <c r="E1900" s="186" t="s">
        <v>906</v>
      </c>
      <c r="F1900" s="186" t="s">
        <v>907</v>
      </c>
      <c r="G1900" s="186" t="s">
        <v>1102</v>
      </c>
      <c r="H1900" s="186" t="s">
        <v>1707</v>
      </c>
      <c r="I1900" s="187" t="s">
        <v>1141</v>
      </c>
      <c r="J1900" s="187" t="s">
        <v>1142</v>
      </c>
      <c r="K1900" s="188"/>
      <c r="L1900" s="188"/>
      <c r="M1900" s="189" t="s">
        <v>847</v>
      </c>
      <c r="N1900" s="190">
        <v>196.14</v>
      </c>
      <c r="O1900" s="190">
        <f t="shared" si="235"/>
        <v>213.79</v>
      </c>
      <c r="P1900" s="191">
        <f t="shared" si="236"/>
        <v>0</v>
      </c>
      <c r="Q1900" s="192">
        <f t="shared" si="237"/>
        <v>0</v>
      </c>
      <c r="R1900" s="193"/>
      <c r="S1900" s="194"/>
      <c r="T1900" s="195">
        <f t="shared" si="238"/>
        <v>0</v>
      </c>
      <c r="U1900" s="195">
        <f t="shared" si="239"/>
        <v>0</v>
      </c>
      <c r="V1900" s="195">
        <f t="shared" si="240"/>
        <v>0</v>
      </c>
      <c r="W1900" s="196" t="e">
        <f t="shared" si="241"/>
        <v>#DIV/0!</v>
      </c>
      <c r="X1900" s="197" t="e">
        <f t="shared" si="242"/>
        <v>#DIV/0!</v>
      </c>
    </row>
    <row r="1901" ht="11.4" hidden="1" customHeight="1" spans="1:24">
      <c r="A1901" s="184" t="s">
        <v>3195</v>
      </c>
      <c r="B1901" s="184" t="s">
        <v>125</v>
      </c>
      <c r="C1901" s="184" t="s">
        <v>1101</v>
      </c>
      <c r="D1901" s="185" t="s">
        <v>704</v>
      </c>
      <c r="E1901" s="186" t="s">
        <v>906</v>
      </c>
      <c r="F1901" s="186" t="s">
        <v>907</v>
      </c>
      <c r="G1901" s="186" t="s">
        <v>1102</v>
      </c>
      <c r="H1901" s="186" t="s">
        <v>1707</v>
      </c>
      <c r="I1901" s="187" t="s">
        <v>1143</v>
      </c>
      <c r="J1901" s="187" t="s">
        <v>1144</v>
      </c>
      <c r="K1901" s="188"/>
      <c r="L1901" s="188"/>
      <c r="M1901" s="189" t="s">
        <v>807</v>
      </c>
      <c r="N1901" s="190">
        <v>41.47</v>
      </c>
      <c r="O1901" s="190">
        <f t="shared" si="235"/>
        <v>45.2</v>
      </c>
      <c r="P1901" s="191">
        <f t="shared" si="236"/>
        <v>0</v>
      </c>
      <c r="Q1901" s="192">
        <f t="shared" si="237"/>
        <v>0</v>
      </c>
      <c r="R1901" s="193"/>
      <c r="S1901" s="194"/>
      <c r="T1901" s="195">
        <f t="shared" si="238"/>
        <v>0</v>
      </c>
      <c r="U1901" s="195">
        <f t="shared" si="239"/>
        <v>0</v>
      </c>
      <c r="V1901" s="195">
        <f t="shared" si="240"/>
        <v>0</v>
      </c>
      <c r="W1901" s="196" t="e">
        <f t="shared" si="241"/>
        <v>#DIV/0!</v>
      </c>
      <c r="X1901" s="197" t="e">
        <f t="shared" si="242"/>
        <v>#DIV/0!</v>
      </c>
    </row>
    <row r="1902" ht="11.4" hidden="1" customHeight="1" spans="1:24">
      <c r="A1902" s="184" t="s">
        <v>3195</v>
      </c>
      <c r="B1902" s="184" t="s">
        <v>125</v>
      </c>
      <c r="C1902" s="184" t="s">
        <v>1101</v>
      </c>
      <c r="D1902" s="185" t="s">
        <v>704</v>
      </c>
      <c r="E1902" s="186" t="s">
        <v>906</v>
      </c>
      <c r="F1902" s="186" t="s">
        <v>907</v>
      </c>
      <c r="G1902" s="186" t="s">
        <v>1102</v>
      </c>
      <c r="H1902" s="186" t="s">
        <v>1707</v>
      </c>
      <c r="I1902" s="187" t="s">
        <v>1145</v>
      </c>
      <c r="J1902" s="187" t="s">
        <v>1146</v>
      </c>
      <c r="K1902" s="188"/>
      <c r="L1902" s="188"/>
      <c r="M1902" s="189" t="s">
        <v>847</v>
      </c>
      <c r="N1902" s="190">
        <v>179.82</v>
      </c>
      <c r="O1902" s="190">
        <f t="shared" si="235"/>
        <v>196</v>
      </c>
      <c r="P1902" s="191">
        <f t="shared" si="236"/>
        <v>0</v>
      </c>
      <c r="Q1902" s="192">
        <f t="shared" si="237"/>
        <v>0</v>
      </c>
      <c r="R1902" s="193"/>
      <c r="S1902" s="194"/>
      <c r="T1902" s="195">
        <f t="shared" si="238"/>
        <v>0</v>
      </c>
      <c r="U1902" s="195">
        <f t="shared" si="239"/>
        <v>0</v>
      </c>
      <c r="V1902" s="195">
        <f t="shared" si="240"/>
        <v>0</v>
      </c>
      <c r="W1902" s="196" t="e">
        <f t="shared" si="241"/>
        <v>#DIV/0!</v>
      </c>
      <c r="X1902" s="197" t="e">
        <f t="shared" si="242"/>
        <v>#DIV/0!</v>
      </c>
    </row>
    <row r="1903" ht="11.4" hidden="1" customHeight="1" spans="1:24">
      <c r="A1903" s="184" t="s">
        <v>3195</v>
      </c>
      <c r="B1903" s="184" t="s">
        <v>125</v>
      </c>
      <c r="C1903" s="184" t="s">
        <v>1101</v>
      </c>
      <c r="D1903" s="185" t="s">
        <v>704</v>
      </c>
      <c r="E1903" s="186" t="s">
        <v>906</v>
      </c>
      <c r="F1903" s="186" t="s">
        <v>907</v>
      </c>
      <c r="G1903" s="186" t="s">
        <v>1102</v>
      </c>
      <c r="H1903" s="186" t="s">
        <v>1707</v>
      </c>
      <c r="I1903" s="187" t="s">
        <v>1147</v>
      </c>
      <c r="J1903" s="187" t="s">
        <v>1148</v>
      </c>
      <c r="K1903" s="188"/>
      <c r="L1903" s="188"/>
      <c r="M1903" s="189" t="s">
        <v>807</v>
      </c>
      <c r="N1903" s="190">
        <v>37.84</v>
      </c>
      <c r="O1903" s="190">
        <f t="shared" si="235"/>
        <v>41.25</v>
      </c>
      <c r="P1903" s="191">
        <f t="shared" si="236"/>
        <v>0</v>
      </c>
      <c r="Q1903" s="192">
        <f t="shared" si="237"/>
        <v>0</v>
      </c>
      <c r="R1903" s="193"/>
      <c r="S1903" s="194"/>
      <c r="T1903" s="195">
        <f t="shared" si="238"/>
        <v>0</v>
      </c>
      <c r="U1903" s="195">
        <f t="shared" si="239"/>
        <v>0</v>
      </c>
      <c r="V1903" s="195">
        <f t="shared" si="240"/>
        <v>0</v>
      </c>
      <c r="W1903" s="196" t="e">
        <f t="shared" si="241"/>
        <v>#DIV/0!</v>
      </c>
      <c r="X1903" s="197" t="e">
        <f t="shared" si="242"/>
        <v>#DIV/0!</v>
      </c>
    </row>
    <row r="1904" ht="11.4" hidden="1" customHeight="1" spans="1:24">
      <c r="A1904" s="184" t="s">
        <v>3195</v>
      </c>
      <c r="B1904" s="184" t="s">
        <v>125</v>
      </c>
      <c r="C1904" s="184" t="s">
        <v>1101</v>
      </c>
      <c r="D1904" s="185" t="s">
        <v>704</v>
      </c>
      <c r="E1904" s="186" t="s">
        <v>906</v>
      </c>
      <c r="F1904" s="186" t="s">
        <v>907</v>
      </c>
      <c r="G1904" s="186" t="s">
        <v>1102</v>
      </c>
      <c r="H1904" s="186" t="s">
        <v>1707</v>
      </c>
      <c r="I1904" s="187" t="s">
        <v>1149</v>
      </c>
      <c r="J1904" s="187" t="s">
        <v>1150</v>
      </c>
      <c r="K1904" s="188"/>
      <c r="L1904" s="188"/>
      <c r="M1904" s="189" t="s">
        <v>847</v>
      </c>
      <c r="N1904" s="190">
        <v>193.81</v>
      </c>
      <c r="O1904" s="190">
        <f t="shared" si="235"/>
        <v>211.25</v>
      </c>
      <c r="P1904" s="191">
        <f t="shared" si="236"/>
        <v>0</v>
      </c>
      <c r="Q1904" s="192">
        <f t="shared" si="237"/>
        <v>0</v>
      </c>
      <c r="R1904" s="193"/>
      <c r="S1904" s="194"/>
      <c r="T1904" s="195">
        <f t="shared" si="238"/>
        <v>0</v>
      </c>
      <c r="U1904" s="195">
        <f t="shared" si="239"/>
        <v>0</v>
      </c>
      <c r="V1904" s="195">
        <f t="shared" si="240"/>
        <v>0</v>
      </c>
      <c r="W1904" s="196" t="e">
        <f t="shared" si="241"/>
        <v>#DIV/0!</v>
      </c>
      <c r="X1904" s="197" t="e">
        <f t="shared" si="242"/>
        <v>#DIV/0!</v>
      </c>
    </row>
    <row r="1905" ht="11.4" hidden="1" customHeight="1" spans="1:24">
      <c r="A1905" s="184" t="s">
        <v>3195</v>
      </c>
      <c r="B1905" s="184" t="s">
        <v>125</v>
      </c>
      <c r="C1905" s="184" t="s">
        <v>1101</v>
      </c>
      <c r="D1905" s="185" t="s">
        <v>704</v>
      </c>
      <c r="E1905" s="186" t="s">
        <v>906</v>
      </c>
      <c r="F1905" s="186" t="s">
        <v>907</v>
      </c>
      <c r="G1905" s="186" t="s">
        <v>1102</v>
      </c>
      <c r="H1905" s="186" t="s">
        <v>1707</v>
      </c>
      <c r="I1905" s="187" t="s">
        <v>1151</v>
      </c>
      <c r="J1905" s="187" t="s">
        <v>1152</v>
      </c>
      <c r="K1905" s="188"/>
      <c r="L1905" s="188"/>
      <c r="M1905" s="189" t="s">
        <v>807</v>
      </c>
      <c r="N1905" s="190">
        <v>39.05</v>
      </c>
      <c r="O1905" s="190">
        <f t="shared" si="235"/>
        <v>42.56</v>
      </c>
      <c r="P1905" s="191">
        <f t="shared" si="236"/>
        <v>0</v>
      </c>
      <c r="Q1905" s="192">
        <f t="shared" si="237"/>
        <v>0</v>
      </c>
      <c r="R1905" s="193"/>
      <c r="S1905" s="194"/>
      <c r="T1905" s="195">
        <f t="shared" si="238"/>
        <v>0</v>
      </c>
      <c r="U1905" s="195">
        <f t="shared" si="239"/>
        <v>0</v>
      </c>
      <c r="V1905" s="195">
        <f t="shared" si="240"/>
        <v>0</v>
      </c>
      <c r="W1905" s="196" t="e">
        <f t="shared" si="241"/>
        <v>#DIV/0!</v>
      </c>
      <c r="X1905" s="197" t="e">
        <f t="shared" si="242"/>
        <v>#DIV/0!</v>
      </c>
    </row>
    <row r="1906" ht="11.4" hidden="1" customHeight="1" spans="1:24">
      <c r="A1906" s="184" t="s">
        <v>3195</v>
      </c>
      <c r="B1906" s="184" t="s">
        <v>125</v>
      </c>
      <c r="C1906" s="184" t="s">
        <v>1101</v>
      </c>
      <c r="D1906" s="185" t="s">
        <v>704</v>
      </c>
      <c r="E1906" s="186" t="s">
        <v>906</v>
      </c>
      <c r="F1906" s="186" t="s">
        <v>907</v>
      </c>
      <c r="G1906" s="186" t="s">
        <v>1102</v>
      </c>
      <c r="H1906" s="186" t="s">
        <v>1707</v>
      </c>
      <c r="I1906" s="187" t="s">
        <v>1153</v>
      </c>
      <c r="J1906" s="187" t="s">
        <v>1154</v>
      </c>
      <c r="K1906" s="188"/>
      <c r="L1906" s="188"/>
      <c r="M1906" s="189" t="s">
        <v>847</v>
      </c>
      <c r="N1906" s="190">
        <v>178.2</v>
      </c>
      <c r="O1906" s="190">
        <f t="shared" si="235"/>
        <v>194.24</v>
      </c>
      <c r="P1906" s="191">
        <f t="shared" si="236"/>
        <v>0</v>
      </c>
      <c r="Q1906" s="192">
        <f t="shared" si="237"/>
        <v>0</v>
      </c>
      <c r="R1906" s="193"/>
      <c r="S1906" s="194"/>
      <c r="T1906" s="195">
        <f t="shared" si="238"/>
        <v>0</v>
      </c>
      <c r="U1906" s="195">
        <f t="shared" si="239"/>
        <v>0</v>
      </c>
      <c r="V1906" s="195">
        <f t="shared" si="240"/>
        <v>0</v>
      </c>
      <c r="W1906" s="196" t="e">
        <f t="shared" si="241"/>
        <v>#DIV/0!</v>
      </c>
      <c r="X1906" s="197" t="e">
        <f t="shared" si="242"/>
        <v>#DIV/0!</v>
      </c>
    </row>
    <row r="1907" ht="11.4" hidden="1" customHeight="1" spans="1:24">
      <c r="A1907" s="184" t="s">
        <v>3195</v>
      </c>
      <c r="B1907" s="184" t="s">
        <v>125</v>
      </c>
      <c r="C1907" s="184" t="s">
        <v>1101</v>
      </c>
      <c r="D1907" s="185" t="s">
        <v>704</v>
      </c>
      <c r="E1907" s="186" t="s">
        <v>906</v>
      </c>
      <c r="F1907" s="186" t="s">
        <v>907</v>
      </c>
      <c r="G1907" s="186" t="s">
        <v>1102</v>
      </c>
      <c r="H1907" s="186" t="s">
        <v>1707</v>
      </c>
      <c r="I1907" s="187" t="s">
        <v>1155</v>
      </c>
      <c r="J1907" s="187" t="s">
        <v>1156</v>
      </c>
      <c r="K1907" s="188"/>
      <c r="L1907" s="188"/>
      <c r="M1907" s="189" t="s">
        <v>847</v>
      </c>
      <c r="N1907" s="190">
        <v>170.67</v>
      </c>
      <c r="O1907" s="190">
        <f t="shared" si="235"/>
        <v>186.03</v>
      </c>
      <c r="P1907" s="191">
        <f t="shared" si="236"/>
        <v>0</v>
      </c>
      <c r="Q1907" s="192">
        <f t="shared" si="237"/>
        <v>0</v>
      </c>
      <c r="R1907" s="193"/>
      <c r="S1907" s="194"/>
      <c r="T1907" s="195">
        <f t="shared" si="238"/>
        <v>0</v>
      </c>
      <c r="U1907" s="195">
        <f t="shared" si="239"/>
        <v>0</v>
      </c>
      <c r="V1907" s="195">
        <f t="shared" si="240"/>
        <v>0</v>
      </c>
      <c r="W1907" s="196" t="e">
        <f t="shared" si="241"/>
        <v>#DIV/0!</v>
      </c>
      <c r="X1907" s="197" t="e">
        <f t="shared" si="242"/>
        <v>#DIV/0!</v>
      </c>
    </row>
    <row r="1908" ht="11.4" hidden="1" customHeight="1" spans="1:24">
      <c r="A1908" s="184" t="s">
        <v>3195</v>
      </c>
      <c r="B1908" s="184" t="s">
        <v>125</v>
      </c>
      <c r="C1908" s="184" t="s">
        <v>1101</v>
      </c>
      <c r="D1908" s="185" t="s">
        <v>704</v>
      </c>
      <c r="E1908" s="186" t="s">
        <v>906</v>
      </c>
      <c r="F1908" s="186" t="s">
        <v>907</v>
      </c>
      <c r="G1908" s="186" t="s">
        <v>1102</v>
      </c>
      <c r="H1908" s="186" t="s">
        <v>1707</v>
      </c>
      <c r="I1908" s="187" t="s">
        <v>1157</v>
      </c>
      <c r="J1908" s="187" t="s">
        <v>1158</v>
      </c>
      <c r="K1908" s="188"/>
      <c r="L1908" s="188"/>
      <c r="M1908" s="189" t="s">
        <v>847</v>
      </c>
      <c r="N1908" s="190">
        <v>181.7</v>
      </c>
      <c r="O1908" s="190">
        <f t="shared" si="235"/>
        <v>198.05</v>
      </c>
      <c r="P1908" s="191">
        <f t="shared" si="236"/>
        <v>0</v>
      </c>
      <c r="Q1908" s="192">
        <f t="shared" si="237"/>
        <v>0</v>
      </c>
      <c r="R1908" s="193"/>
      <c r="S1908" s="194"/>
      <c r="T1908" s="195">
        <f t="shared" si="238"/>
        <v>0</v>
      </c>
      <c r="U1908" s="195">
        <f t="shared" si="239"/>
        <v>0</v>
      </c>
      <c r="V1908" s="195">
        <f t="shared" si="240"/>
        <v>0</v>
      </c>
      <c r="W1908" s="196" t="e">
        <f t="shared" si="241"/>
        <v>#DIV/0!</v>
      </c>
      <c r="X1908" s="197" t="e">
        <f t="shared" si="242"/>
        <v>#DIV/0!</v>
      </c>
    </row>
    <row r="1909" ht="11.4" hidden="1" customHeight="1" spans="1:24">
      <c r="A1909" s="184" t="s">
        <v>3195</v>
      </c>
      <c r="B1909" s="184" t="s">
        <v>125</v>
      </c>
      <c r="C1909" s="184" t="s">
        <v>1101</v>
      </c>
      <c r="D1909" s="185" t="s">
        <v>704</v>
      </c>
      <c r="E1909" s="186" t="s">
        <v>906</v>
      </c>
      <c r="F1909" s="186" t="s">
        <v>907</v>
      </c>
      <c r="G1909" s="186" t="s">
        <v>1102</v>
      </c>
      <c r="H1909" s="186" t="s">
        <v>1720</v>
      </c>
      <c r="I1909" s="187" t="s">
        <v>1175</v>
      </c>
      <c r="J1909" s="187" t="s">
        <v>1176</v>
      </c>
      <c r="K1909" s="188"/>
      <c r="L1909" s="188"/>
      <c r="M1909" s="189" t="s">
        <v>847</v>
      </c>
      <c r="N1909" s="190">
        <v>114.06</v>
      </c>
      <c r="O1909" s="190">
        <f t="shared" si="235"/>
        <v>124.33</v>
      </c>
      <c r="P1909" s="191">
        <f t="shared" si="236"/>
        <v>0</v>
      </c>
      <c r="Q1909" s="192">
        <f t="shared" si="237"/>
        <v>0</v>
      </c>
      <c r="R1909" s="193"/>
      <c r="S1909" s="194"/>
      <c r="T1909" s="195">
        <f t="shared" si="238"/>
        <v>0</v>
      </c>
      <c r="U1909" s="195">
        <f t="shared" si="239"/>
        <v>0</v>
      </c>
      <c r="V1909" s="195">
        <f t="shared" si="240"/>
        <v>0</v>
      </c>
      <c r="W1909" s="196" t="e">
        <f t="shared" si="241"/>
        <v>#DIV/0!</v>
      </c>
      <c r="X1909" s="197" t="e">
        <f t="shared" si="242"/>
        <v>#DIV/0!</v>
      </c>
    </row>
    <row r="1910" ht="11.4" hidden="1" customHeight="1" spans="1:24">
      <c r="A1910" s="184" t="s">
        <v>3195</v>
      </c>
      <c r="B1910" s="184" t="s">
        <v>125</v>
      </c>
      <c r="C1910" s="184" t="s">
        <v>1101</v>
      </c>
      <c r="D1910" s="185" t="s">
        <v>704</v>
      </c>
      <c r="E1910" s="186" t="s">
        <v>906</v>
      </c>
      <c r="F1910" s="186" t="s">
        <v>907</v>
      </c>
      <c r="G1910" s="186" t="s">
        <v>1102</v>
      </c>
      <c r="H1910" s="186" t="s">
        <v>1720</v>
      </c>
      <c r="I1910" s="187" t="s">
        <v>1178</v>
      </c>
      <c r="J1910" s="187" t="s">
        <v>1179</v>
      </c>
      <c r="K1910" s="188"/>
      <c r="L1910" s="188"/>
      <c r="M1910" s="189" t="s">
        <v>847</v>
      </c>
      <c r="N1910" s="190">
        <v>197.83</v>
      </c>
      <c r="O1910" s="190">
        <f t="shared" si="235"/>
        <v>215.63</v>
      </c>
      <c r="P1910" s="191">
        <f t="shared" si="236"/>
        <v>0</v>
      </c>
      <c r="Q1910" s="192">
        <f t="shared" si="237"/>
        <v>0</v>
      </c>
      <c r="R1910" s="193"/>
      <c r="S1910" s="194"/>
      <c r="T1910" s="195">
        <f t="shared" si="238"/>
        <v>0</v>
      </c>
      <c r="U1910" s="195">
        <f t="shared" si="239"/>
        <v>0</v>
      </c>
      <c r="V1910" s="195">
        <f t="shared" si="240"/>
        <v>0</v>
      </c>
      <c r="W1910" s="196" t="e">
        <f t="shared" si="241"/>
        <v>#DIV/0!</v>
      </c>
      <c r="X1910" s="197" t="e">
        <f t="shared" si="242"/>
        <v>#DIV/0!</v>
      </c>
    </row>
    <row r="1911" ht="11.4" hidden="1" customHeight="1" spans="1:24">
      <c r="A1911" s="184" t="s">
        <v>3195</v>
      </c>
      <c r="B1911" s="184" t="s">
        <v>125</v>
      </c>
      <c r="C1911" s="184" t="s">
        <v>1101</v>
      </c>
      <c r="D1911" s="185" t="s">
        <v>704</v>
      </c>
      <c r="E1911" s="186" t="s">
        <v>906</v>
      </c>
      <c r="F1911" s="186" t="s">
        <v>907</v>
      </c>
      <c r="G1911" s="186" t="s">
        <v>1102</v>
      </c>
      <c r="H1911" s="186" t="s">
        <v>1720</v>
      </c>
      <c r="I1911" s="187" t="s">
        <v>1181</v>
      </c>
      <c r="J1911" s="187" t="s">
        <v>1182</v>
      </c>
      <c r="K1911" s="188"/>
      <c r="L1911" s="188"/>
      <c r="M1911" s="189" t="s">
        <v>847</v>
      </c>
      <c r="N1911" s="190">
        <v>182.9</v>
      </c>
      <c r="O1911" s="190">
        <f t="shared" si="235"/>
        <v>199.36</v>
      </c>
      <c r="P1911" s="191">
        <f t="shared" si="236"/>
        <v>0</v>
      </c>
      <c r="Q1911" s="192">
        <f t="shared" si="237"/>
        <v>0</v>
      </c>
      <c r="R1911" s="193"/>
      <c r="S1911" s="194"/>
      <c r="T1911" s="195">
        <f t="shared" si="238"/>
        <v>0</v>
      </c>
      <c r="U1911" s="195">
        <f t="shared" si="239"/>
        <v>0</v>
      </c>
      <c r="V1911" s="195">
        <f t="shared" si="240"/>
        <v>0</v>
      </c>
      <c r="W1911" s="196" t="e">
        <f t="shared" si="241"/>
        <v>#DIV/0!</v>
      </c>
      <c r="X1911" s="197" t="e">
        <f t="shared" si="242"/>
        <v>#DIV/0!</v>
      </c>
    </row>
    <row r="1912" ht="11.4" hidden="1" customHeight="1" spans="1:24">
      <c r="A1912" s="184" t="s">
        <v>3195</v>
      </c>
      <c r="B1912" s="184" t="s">
        <v>125</v>
      </c>
      <c r="C1912" s="184" t="s">
        <v>1101</v>
      </c>
      <c r="D1912" s="185" t="s">
        <v>704</v>
      </c>
      <c r="E1912" s="186" t="s">
        <v>906</v>
      </c>
      <c r="F1912" s="186" t="s">
        <v>907</v>
      </c>
      <c r="G1912" s="186" t="s">
        <v>1102</v>
      </c>
      <c r="H1912" s="186" t="s">
        <v>1720</v>
      </c>
      <c r="I1912" s="187" t="s">
        <v>1183</v>
      </c>
      <c r="J1912" s="187" t="s">
        <v>1184</v>
      </c>
      <c r="K1912" s="188"/>
      <c r="L1912" s="188"/>
      <c r="M1912" s="189" t="s">
        <v>847</v>
      </c>
      <c r="N1912" s="190">
        <v>186.66</v>
      </c>
      <c r="O1912" s="190">
        <f t="shared" si="235"/>
        <v>203.46</v>
      </c>
      <c r="P1912" s="191">
        <f t="shared" si="236"/>
        <v>0</v>
      </c>
      <c r="Q1912" s="192">
        <f t="shared" si="237"/>
        <v>0</v>
      </c>
      <c r="R1912" s="193"/>
      <c r="S1912" s="194"/>
      <c r="T1912" s="195">
        <f t="shared" si="238"/>
        <v>0</v>
      </c>
      <c r="U1912" s="195">
        <f t="shared" si="239"/>
        <v>0</v>
      </c>
      <c r="V1912" s="195">
        <f t="shared" si="240"/>
        <v>0</v>
      </c>
      <c r="W1912" s="196" t="e">
        <f t="shared" si="241"/>
        <v>#DIV/0!</v>
      </c>
      <c r="X1912" s="197" t="e">
        <f t="shared" si="242"/>
        <v>#DIV/0!</v>
      </c>
    </row>
    <row r="1913" ht="11.4" hidden="1" customHeight="1" spans="1:24">
      <c r="A1913" s="184" t="s">
        <v>3195</v>
      </c>
      <c r="B1913" s="184" t="s">
        <v>125</v>
      </c>
      <c r="C1913" s="184" t="s">
        <v>1101</v>
      </c>
      <c r="D1913" s="185" t="s">
        <v>704</v>
      </c>
      <c r="E1913" s="186" t="s">
        <v>906</v>
      </c>
      <c r="F1913" s="186" t="s">
        <v>907</v>
      </c>
      <c r="G1913" s="186" t="s">
        <v>1102</v>
      </c>
      <c r="H1913" s="186" t="s">
        <v>1720</v>
      </c>
      <c r="I1913" s="187" t="s">
        <v>1185</v>
      </c>
      <c r="J1913" s="187" t="s">
        <v>1186</v>
      </c>
      <c r="K1913" s="188"/>
      <c r="L1913" s="188"/>
      <c r="M1913" s="189" t="s">
        <v>847</v>
      </c>
      <c r="N1913" s="190">
        <v>174.35</v>
      </c>
      <c r="O1913" s="190">
        <f t="shared" si="235"/>
        <v>190.04</v>
      </c>
      <c r="P1913" s="191">
        <f t="shared" si="236"/>
        <v>0</v>
      </c>
      <c r="Q1913" s="192">
        <f t="shared" si="237"/>
        <v>0</v>
      </c>
      <c r="R1913" s="193"/>
      <c r="S1913" s="194"/>
      <c r="T1913" s="195">
        <f t="shared" si="238"/>
        <v>0</v>
      </c>
      <c r="U1913" s="195">
        <f t="shared" si="239"/>
        <v>0</v>
      </c>
      <c r="V1913" s="195">
        <f t="shared" si="240"/>
        <v>0</v>
      </c>
      <c r="W1913" s="196" t="e">
        <f t="shared" si="241"/>
        <v>#DIV/0!</v>
      </c>
      <c r="X1913" s="197" t="e">
        <f t="shared" si="242"/>
        <v>#DIV/0!</v>
      </c>
    </row>
    <row r="1914" ht="11.4" hidden="1" customHeight="1" spans="1:24">
      <c r="A1914" s="184" t="s">
        <v>3195</v>
      </c>
      <c r="B1914" s="184" t="s">
        <v>125</v>
      </c>
      <c r="C1914" s="184" t="s">
        <v>1101</v>
      </c>
      <c r="D1914" s="185" t="s">
        <v>704</v>
      </c>
      <c r="E1914" s="186" t="s">
        <v>906</v>
      </c>
      <c r="F1914" s="186" t="s">
        <v>907</v>
      </c>
      <c r="G1914" s="186" t="s">
        <v>1102</v>
      </c>
      <c r="H1914" s="186" t="s">
        <v>1720</v>
      </c>
      <c r="I1914" s="187" t="s">
        <v>1193</v>
      </c>
      <c r="J1914" s="187" t="s">
        <v>1194</v>
      </c>
      <c r="K1914" s="188"/>
      <c r="L1914" s="188"/>
      <c r="M1914" s="189" t="s">
        <v>847</v>
      </c>
      <c r="N1914" s="190">
        <v>70.85</v>
      </c>
      <c r="O1914" s="190">
        <f t="shared" si="235"/>
        <v>77.23</v>
      </c>
      <c r="P1914" s="191">
        <f t="shared" si="236"/>
        <v>0</v>
      </c>
      <c r="Q1914" s="192">
        <f t="shared" si="237"/>
        <v>0</v>
      </c>
      <c r="R1914" s="193"/>
      <c r="S1914" s="194"/>
      <c r="T1914" s="195">
        <f t="shared" si="238"/>
        <v>0</v>
      </c>
      <c r="U1914" s="195">
        <f t="shared" si="239"/>
        <v>0</v>
      </c>
      <c r="V1914" s="195">
        <f t="shared" si="240"/>
        <v>0</v>
      </c>
      <c r="W1914" s="196" t="e">
        <f t="shared" si="241"/>
        <v>#DIV/0!</v>
      </c>
      <c r="X1914" s="197" t="e">
        <f t="shared" si="242"/>
        <v>#DIV/0!</v>
      </c>
    </row>
    <row r="1915" ht="11.4" hidden="1" customHeight="1" spans="1:24">
      <c r="A1915" s="184" t="s">
        <v>3195</v>
      </c>
      <c r="B1915" s="184" t="s">
        <v>125</v>
      </c>
      <c r="C1915" s="184" t="s">
        <v>1101</v>
      </c>
      <c r="D1915" s="185" t="s">
        <v>704</v>
      </c>
      <c r="E1915" s="186" t="s">
        <v>906</v>
      </c>
      <c r="F1915" s="186" t="s">
        <v>907</v>
      </c>
      <c r="G1915" s="186" t="s">
        <v>1102</v>
      </c>
      <c r="H1915" s="186" t="s">
        <v>1720</v>
      </c>
      <c r="I1915" s="187" t="s">
        <v>1195</v>
      </c>
      <c r="J1915" s="187" t="s">
        <v>1196</v>
      </c>
      <c r="K1915" s="188"/>
      <c r="L1915" s="188"/>
      <c r="M1915" s="189" t="s">
        <v>847</v>
      </c>
      <c r="N1915" s="190">
        <v>307.56</v>
      </c>
      <c r="O1915" s="190">
        <f t="shared" si="235"/>
        <v>335.24</v>
      </c>
      <c r="P1915" s="191">
        <f t="shared" si="236"/>
        <v>0</v>
      </c>
      <c r="Q1915" s="192">
        <f t="shared" si="237"/>
        <v>0</v>
      </c>
      <c r="R1915" s="193"/>
      <c r="S1915" s="194"/>
      <c r="T1915" s="195">
        <f t="shared" si="238"/>
        <v>0</v>
      </c>
      <c r="U1915" s="195">
        <f t="shared" si="239"/>
        <v>0</v>
      </c>
      <c r="V1915" s="195">
        <f t="shared" si="240"/>
        <v>0</v>
      </c>
      <c r="W1915" s="196" t="e">
        <f t="shared" si="241"/>
        <v>#DIV/0!</v>
      </c>
      <c r="X1915" s="197" t="e">
        <f t="shared" si="242"/>
        <v>#DIV/0!</v>
      </c>
    </row>
    <row r="1916" ht="11.4" hidden="1" customHeight="1" spans="1:24">
      <c r="A1916" s="184" t="s">
        <v>3195</v>
      </c>
      <c r="B1916" s="184" t="s">
        <v>125</v>
      </c>
      <c r="C1916" s="184" t="s">
        <v>1101</v>
      </c>
      <c r="D1916" s="185" t="s">
        <v>704</v>
      </c>
      <c r="E1916" s="186" t="s">
        <v>906</v>
      </c>
      <c r="F1916" s="186" t="s">
        <v>907</v>
      </c>
      <c r="G1916" s="186" t="s">
        <v>1102</v>
      </c>
      <c r="H1916" s="186" t="s">
        <v>1720</v>
      </c>
      <c r="I1916" s="187" t="s">
        <v>1197</v>
      </c>
      <c r="J1916" s="187" t="s">
        <v>1198</v>
      </c>
      <c r="K1916" s="188"/>
      <c r="L1916" s="188"/>
      <c r="M1916" s="189" t="s">
        <v>847</v>
      </c>
      <c r="N1916" s="190">
        <v>39.59</v>
      </c>
      <c r="O1916" s="190">
        <f t="shared" si="235"/>
        <v>43.15</v>
      </c>
      <c r="P1916" s="191">
        <f t="shared" si="236"/>
        <v>0</v>
      </c>
      <c r="Q1916" s="192">
        <f t="shared" si="237"/>
        <v>0</v>
      </c>
      <c r="R1916" s="193"/>
      <c r="S1916" s="194"/>
      <c r="T1916" s="195">
        <f t="shared" si="238"/>
        <v>0</v>
      </c>
      <c r="U1916" s="195">
        <f t="shared" si="239"/>
        <v>0</v>
      </c>
      <c r="V1916" s="195">
        <f t="shared" si="240"/>
        <v>0</v>
      </c>
      <c r="W1916" s="196" t="e">
        <f t="shared" si="241"/>
        <v>#DIV/0!</v>
      </c>
      <c r="X1916" s="197" t="e">
        <f t="shared" si="242"/>
        <v>#DIV/0!</v>
      </c>
    </row>
    <row r="1917" ht="11.4" hidden="1" customHeight="1" spans="1:24">
      <c r="A1917" s="184" t="s">
        <v>3195</v>
      </c>
      <c r="B1917" s="184" t="s">
        <v>125</v>
      </c>
      <c r="C1917" s="184" t="s">
        <v>1101</v>
      </c>
      <c r="D1917" s="185" t="s">
        <v>704</v>
      </c>
      <c r="E1917" s="186" t="s">
        <v>906</v>
      </c>
      <c r="F1917" s="186" t="s">
        <v>907</v>
      </c>
      <c r="G1917" s="186" t="s">
        <v>1102</v>
      </c>
      <c r="H1917" s="186" t="s">
        <v>1720</v>
      </c>
      <c r="I1917" s="187" t="s">
        <v>1559</v>
      </c>
      <c r="J1917" s="187" t="s">
        <v>1560</v>
      </c>
      <c r="K1917" s="188"/>
      <c r="L1917" s="188"/>
      <c r="M1917" s="189" t="s">
        <v>847</v>
      </c>
      <c r="N1917" s="190">
        <v>58.39</v>
      </c>
      <c r="O1917" s="190">
        <f t="shared" si="235"/>
        <v>63.65</v>
      </c>
      <c r="P1917" s="191">
        <f t="shared" si="236"/>
        <v>0</v>
      </c>
      <c r="Q1917" s="192">
        <f t="shared" si="237"/>
        <v>0</v>
      </c>
      <c r="R1917" s="193"/>
      <c r="S1917" s="194"/>
      <c r="T1917" s="195">
        <f t="shared" si="238"/>
        <v>0</v>
      </c>
      <c r="U1917" s="195">
        <f t="shared" si="239"/>
        <v>0</v>
      </c>
      <c r="V1917" s="195">
        <f t="shared" si="240"/>
        <v>0</v>
      </c>
      <c r="W1917" s="196" t="e">
        <f t="shared" si="241"/>
        <v>#DIV/0!</v>
      </c>
      <c r="X1917" s="197" t="e">
        <f t="shared" si="242"/>
        <v>#DIV/0!</v>
      </c>
    </row>
    <row r="1918" ht="11.4" hidden="1" customHeight="1" spans="1:24">
      <c r="A1918" s="184" t="s">
        <v>3195</v>
      </c>
      <c r="B1918" s="184" t="s">
        <v>125</v>
      </c>
      <c r="C1918" s="184" t="s">
        <v>1101</v>
      </c>
      <c r="D1918" s="185" t="s">
        <v>704</v>
      </c>
      <c r="E1918" s="186" t="s">
        <v>906</v>
      </c>
      <c r="F1918" s="186" t="s">
        <v>907</v>
      </c>
      <c r="G1918" s="186" t="s">
        <v>1102</v>
      </c>
      <c r="H1918" s="186" t="s">
        <v>1720</v>
      </c>
      <c r="I1918" s="187" t="s">
        <v>1199</v>
      </c>
      <c r="J1918" s="187" t="s">
        <v>1200</v>
      </c>
      <c r="K1918" s="188"/>
      <c r="L1918" s="188"/>
      <c r="M1918" s="189" t="s">
        <v>847</v>
      </c>
      <c r="N1918" s="190">
        <v>203.22</v>
      </c>
      <c r="O1918" s="190">
        <f t="shared" si="235"/>
        <v>221.51</v>
      </c>
      <c r="P1918" s="191">
        <f t="shared" si="236"/>
        <v>0</v>
      </c>
      <c r="Q1918" s="192">
        <f t="shared" si="237"/>
        <v>0</v>
      </c>
      <c r="R1918" s="193"/>
      <c r="S1918" s="194"/>
      <c r="T1918" s="195">
        <f t="shared" si="238"/>
        <v>0</v>
      </c>
      <c r="U1918" s="195">
        <f t="shared" si="239"/>
        <v>0</v>
      </c>
      <c r="V1918" s="195">
        <f t="shared" si="240"/>
        <v>0</v>
      </c>
      <c r="W1918" s="196" t="e">
        <f t="shared" si="241"/>
        <v>#DIV/0!</v>
      </c>
      <c r="X1918" s="197" t="e">
        <f t="shared" si="242"/>
        <v>#DIV/0!</v>
      </c>
    </row>
    <row r="1919" ht="11.4" hidden="1" customHeight="1" spans="1:24">
      <c r="A1919" s="184" t="s">
        <v>3195</v>
      </c>
      <c r="B1919" s="184" t="s">
        <v>125</v>
      </c>
      <c r="C1919" s="184" t="s">
        <v>1101</v>
      </c>
      <c r="D1919" s="185" t="s">
        <v>704</v>
      </c>
      <c r="E1919" s="186" t="s">
        <v>906</v>
      </c>
      <c r="F1919" s="186" t="s">
        <v>907</v>
      </c>
      <c r="G1919" s="186" t="s">
        <v>1102</v>
      </c>
      <c r="H1919" s="186" t="s">
        <v>1720</v>
      </c>
      <c r="I1919" s="187" t="s">
        <v>1201</v>
      </c>
      <c r="J1919" s="187" t="s">
        <v>1202</v>
      </c>
      <c r="K1919" s="188"/>
      <c r="L1919" s="188"/>
      <c r="M1919" s="189" t="s">
        <v>847</v>
      </c>
      <c r="N1919" s="190">
        <v>268.9</v>
      </c>
      <c r="O1919" s="190">
        <f t="shared" si="235"/>
        <v>293.1</v>
      </c>
      <c r="P1919" s="191">
        <f t="shared" si="236"/>
        <v>0</v>
      </c>
      <c r="Q1919" s="192">
        <f t="shared" si="237"/>
        <v>0</v>
      </c>
      <c r="R1919" s="193"/>
      <c r="S1919" s="194"/>
      <c r="T1919" s="195">
        <f t="shared" si="238"/>
        <v>0</v>
      </c>
      <c r="U1919" s="195">
        <f t="shared" si="239"/>
        <v>0</v>
      </c>
      <c r="V1919" s="195">
        <f t="shared" si="240"/>
        <v>0</v>
      </c>
      <c r="W1919" s="196" t="e">
        <f t="shared" si="241"/>
        <v>#DIV/0!</v>
      </c>
      <c r="X1919" s="197" t="e">
        <f t="shared" si="242"/>
        <v>#DIV/0!</v>
      </c>
    </row>
    <row r="1920" ht="11.4" hidden="1" customHeight="1" spans="1:24">
      <c r="A1920" s="184" t="s">
        <v>3195</v>
      </c>
      <c r="B1920" s="184" t="s">
        <v>125</v>
      </c>
      <c r="C1920" s="184" t="s">
        <v>1101</v>
      </c>
      <c r="D1920" s="185" t="s">
        <v>704</v>
      </c>
      <c r="E1920" s="186" t="s">
        <v>906</v>
      </c>
      <c r="F1920" s="186" t="s">
        <v>907</v>
      </c>
      <c r="G1920" s="186" t="s">
        <v>1102</v>
      </c>
      <c r="H1920" s="186" t="s">
        <v>1720</v>
      </c>
      <c r="I1920" s="187" t="s">
        <v>1203</v>
      </c>
      <c r="J1920" s="187" t="s">
        <v>1204</v>
      </c>
      <c r="K1920" s="188"/>
      <c r="L1920" s="188"/>
      <c r="M1920" s="189" t="s">
        <v>847</v>
      </c>
      <c r="N1920" s="190">
        <v>17.39</v>
      </c>
      <c r="O1920" s="190">
        <f t="shared" si="235"/>
        <v>18.96</v>
      </c>
      <c r="P1920" s="191">
        <f t="shared" si="236"/>
        <v>0</v>
      </c>
      <c r="Q1920" s="192">
        <f t="shared" si="237"/>
        <v>0</v>
      </c>
      <c r="R1920" s="193"/>
      <c r="S1920" s="194"/>
      <c r="T1920" s="195">
        <f t="shared" si="238"/>
        <v>0</v>
      </c>
      <c r="U1920" s="195">
        <f t="shared" si="239"/>
        <v>0</v>
      </c>
      <c r="V1920" s="195">
        <f t="shared" si="240"/>
        <v>0</v>
      </c>
      <c r="W1920" s="196" t="e">
        <f t="shared" si="241"/>
        <v>#DIV/0!</v>
      </c>
      <c r="X1920" s="197" t="e">
        <f t="shared" si="242"/>
        <v>#DIV/0!</v>
      </c>
    </row>
    <row r="1921" ht="11.4" hidden="1" customHeight="1" spans="1:24">
      <c r="A1921" s="184" t="s">
        <v>3195</v>
      </c>
      <c r="B1921" s="184" t="s">
        <v>125</v>
      </c>
      <c r="C1921" s="184" t="s">
        <v>1101</v>
      </c>
      <c r="D1921" s="185" t="s">
        <v>704</v>
      </c>
      <c r="E1921" s="186" t="s">
        <v>906</v>
      </c>
      <c r="F1921" s="186" t="s">
        <v>907</v>
      </c>
      <c r="G1921" s="186" t="s">
        <v>1102</v>
      </c>
      <c r="H1921" s="186" t="s">
        <v>1720</v>
      </c>
      <c r="I1921" s="187" t="s">
        <v>1206</v>
      </c>
      <c r="J1921" s="187" t="s">
        <v>1207</v>
      </c>
      <c r="K1921" s="188"/>
      <c r="L1921" s="188"/>
      <c r="M1921" s="189" t="s">
        <v>847</v>
      </c>
      <c r="N1921" s="190">
        <v>266.78</v>
      </c>
      <c r="O1921" s="190">
        <f t="shared" si="235"/>
        <v>290.79</v>
      </c>
      <c r="P1921" s="191">
        <f t="shared" si="236"/>
        <v>0</v>
      </c>
      <c r="Q1921" s="192">
        <f t="shared" si="237"/>
        <v>0</v>
      </c>
      <c r="R1921" s="193"/>
      <c r="S1921" s="194"/>
      <c r="T1921" s="195">
        <f t="shared" si="238"/>
        <v>0</v>
      </c>
      <c r="U1921" s="195">
        <f t="shared" si="239"/>
        <v>0</v>
      </c>
      <c r="V1921" s="195">
        <f t="shared" si="240"/>
        <v>0</v>
      </c>
      <c r="W1921" s="196" t="e">
        <f t="shared" si="241"/>
        <v>#DIV/0!</v>
      </c>
      <c r="X1921" s="197" t="e">
        <f t="shared" si="242"/>
        <v>#DIV/0!</v>
      </c>
    </row>
    <row r="1922" ht="11.4" hidden="1" customHeight="1" spans="1:24">
      <c r="A1922" s="184" t="s">
        <v>3195</v>
      </c>
      <c r="B1922" s="184" t="s">
        <v>125</v>
      </c>
      <c r="C1922" s="184" t="s">
        <v>1101</v>
      </c>
      <c r="D1922" s="185" t="s">
        <v>704</v>
      </c>
      <c r="E1922" s="186" t="s">
        <v>906</v>
      </c>
      <c r="F1922" s="186" t="s">
        <v>907</v>
      </c>
      <c r="G1922" s="186" t="s">
        <v>1102</v>
      </c>
      <c r="H1922" s="186" t="s">
        <v>1720</v>
      </c>
      <c r="I1922" s="187" t="s">
        <v>1210</v>
      </c>
      <c r="J1922" s="187" t="s">
        <v>1211</v>
      </c>
      <c r="K1922" s="188"/>
      <c r="L1922" s="188"/>
      <c r="M1922" s="189" t="s">
        <v>847</v>
      </c>
      <c r="N1922" s="190">
        <v>288.72</v>
      </c>
      <c r="O1922" s="190">
        <f t="shared" si="235"/>
        <v>314.7</v>
      </c>
      <c r="P1922" s="191">
        <f t="shared" si="236"/>
        <v>0</v>
      </c>
      <c r="Q1922" s="192">
        <f t="shared" si="237"/>
        <v>0</v>
      </c>
      <c r="R1922" s="193"/>
      <c r="S1922" s="194"/>
      <c r="T1922" s="195">
        <f t="shared" si="238"/>
        <v>0</v>
      </c>
      <c r="U1922" s="195">
        <f t="shared" si="239"/>
        <v>0</v>
      </c>
      <c r="V1922" s="195">
        <f t="shared" si="240"/>
        <v>0</v>
      </c>
      <c r="W1922" s="196" t="e">
        <f t="shared" si="241"/>
        <v>#DIV/0!</v>
      </c>
      <c r="X1922" s="197" t="e">
        <f t="shared" si="242"/>
        <v>#DIV/0!</v>
      </c>
    </row>
    <row r="1923" ht="11.4" hidden="1" customHeight="1" spans="1:24">
      <c r="A1923" s="184" t="s">
        <v>3195</v>
      </c>
      <c r="B1923" s="184" t="s">
        <v>125</v>
      </c>
      <c r="C1923" s="184" t="s">
        <v>1101</v>
      </c>
      <c r="D1923" s="185" t="s">
        <v>704</v>
      </c>
      <c r="E1923" s="186" t="s">
        <v>906</v>
      </c>
      <c r="F1923" s="186" t="s">
        <v>907</v>
      </c>
      <c r="G1923" s="186" t="s">
        <v>1102</v>
      </c>
      <c r="H1923" s="186" t="s">
        <v>1720</v>
      </c>
      <c r="I1923" s="187" t="s">
        <v>1212</v>
      </c>
      <c r="J1923" s="187" t="s">
        <v>1213</v>
      </c>
      <c r="K1923" s="188"/>
      <c r="L1923" s="188"/>
      <c r="M1923" s="189" t="s">
        <v>847</v>
      </c>
      <c r="N1923" s="190">
        <v>267.97</v>
      </c>
      <c r="O1923" s="190">
        <f t="shared" si="235"/>
        <v>292.09</v>
      </c>
      <c r="P1923" s="191">
        <f t="shared" si="236"/>
        <v>0</v>
      </c>
      <c r="Q1923" s="192">
        <f t="shared" si="237"/>
        <v>0</v>
      </c>
      <c r="R1923" s="193"/>
      <c r="S1923" s="194"/>
      <c r="T1923" s="195">
        <f t="shared" si="238"/>
        <v>0</v>
      </c>
      <c r="U1923" s="195">
        <f t="shared" si="239"/>
        <v>0</v>
      </c>
      <c r="V1923" s="195">
        <f t="shared" si="240"/>
        <v>0</v>
      </c>
      <c r="W1923" s="196" t="e">
        <f t="shared" si="241"/>
        <v>#DIV/0!</v>
      </c>
      <c r="X1923" s="197" t="e">
        <f t="shared" si="242"/>
        <v>#DIV/0!</v>
      </c>
    </row>
    <row r="1924" ht="11.4" hidden="1" customHeight="1" spans="1:24">
      <c r="A1924" s="184" t="s">
        <v>3195</v>
      </c>
      <c r="B1924" s="184" t="s">
        <v>125</v>
      </c>
      <c r="C1924" s="184" t="s">
        <v>1101</v>
      </c>
      <c r="D1924" s="185" t="s">
        <v>704</v>
      </c>
      <c r="E1924" s="186" t="s">
        <v>906</v>
      </c>
      <c r="F1924" s="186" t="s">
        <v>907</v>
      </c>
      <c r="G1924" s="186" t="s">
        <v>1102</v>
      </c>
      <c r="H1924" s="186" t="s">
        <v>1720</v>
      </c>
      <c r="I1924" s="187" t="s">
        <v>1216</v>
      </c>
      <c r="J1924" s="187" t="s">
        <v>1217</v>
      </c>
      <c r="K1924" s="188"/>
      <c r="L1924" s="188"/>
      <c r="M1924" s="189" t="s">
        <v>847</v>
      </c>
      <c r="N1924" s="190">
        <v>288.72</v>
      </c>
      <c r="O1924" s="190">
        <f t="shared" si="235"/>
        <v>314.7</v>
      </c>
      <c r="P1924" s="191">
        <f t="shared" si="236"/>
        <v>0</v>
      </c>
      <c r="Q1924" s="192">
        <f t="shared" si="237"/>
        <v>0</v>
      </c>
      <c r="R1924" s="193"/>
      <c r="S1924" s="194"/>
      <c r="T1924" s="195">
        <f t="shared" si="238"/>
        <v>0</v>
      </c>
      <c r="U1924" s="195">
        <f t="shared" si="239"/>
        <v>0</v>
      </c>
      <c r="V1924" s="195">
        <f t="shared" si="240"/>
        <v>0</v>
      </c>
      <c r="W1924" s="196" t="e">
        <f t="shared" si="241"/>
        <v>#DIV/0!</v>
      </c>
      <c r="X1924" s="197" t="e">
        <f t="shared" si="242"/>
        <v>#DIV/0!</v>
      </c>
    </row>
    <row r="1925" ht="11.4" hidden="1" customHeight="1" spans="1:24">
      <c r="A1925" s="184" t="s">
        <v>3195</v>
      </c>
      <c r="B1925" s="184" t="s">
        <v>125</v>
      </c>
      <c r="C1925" s="184" t="s">
        <v>1101</v>
      </c>
      <c r="D1925" s="185" t="s">
        <v>704</v>
      </c>
      <c r="E1925" s="186" t="s">
        <v>906</v>
      </c>
      <c r="F1925" s="186" t="s">
        <v>907</v>
      </c>
      <c r="G1925" s="186" t="s">
        <v>1102</v>
      </c>
      <c r="H1925" s="186" t="s">
        <v>1720</v>
      </c>
      <c r="I1925" s="187" t="s">
        <v>1218</v>
      </c>
      <c r="J1925" s="187" t="s">
        <v>1219</v>
      </c>
      <c r="K1925" s="188"/>
      <c r="L1925" s="188"/>
      <c r="M1925" s="189" t="s">
        <v>847</v>
      </c>
      <c r="N1925" s="190">
        <v>250.15</v>
      </c>
      <c r="O1925" s="190">
        <f t="shared" si="235"/>
        <v>272.66</v>
      </c>
      <c r="P1925" s="191">
        <f t="shared" si="236"/>
        <v>0</v>
      </c>
      <c r="Q1925" s="192">
        <f t="shared" si="237"/>
        <v>0</v>
      </c>
      <c r="R1925" s="193"/>
      <c r="S1925" s="194"/>
      <c r="T1925" s="195">
        <f t="shared" si="238"/>
        <v>0</v>
      </c>
      <c r="U1925" s="195">
        <f t="shared" si="239"/>
        <v>0</v>
      </c>
      <c r="V1925" s="195">
        <f t="shared" si="240"/>
        <v>0</v>
      </c>
      <c r="W1925" s="196" t="e">
        <f t="shared" si="241"/>
        <v>#DIV/0!</v>
      </c>
      <c r="X1925" s="197" t="e">
        <f t="shared" si="242"/>
        <v>#DIV/0!</v>
      </c>
    </row>
    <row r="1926" ht="11.4" hidden="1" customHeight="1" spans="1:24">
      <c r="A1926" s="184" t="s">
        <v>3195</v>
      </c>
      <c r="B1926" s="184" t="s">
        <v>125</v>
      </c>
      <c r="C1926" s="184" t="s">
        <v>1101</v>
      </c>
      <c r="D1926" s="185" t="s">
        <v>704</v>
      </c>
      <c r="E1926" s="186" t="s">
        <v>906</v>
      </c>
      <c r="F1926" s="186" t="s">
        <v>907</v>
      </c>
      <c r="G1926" s="186" t="s">
        <v>1102</v>
      </c>
      <c r="H1926" s="186" t="s">
        <v>1720</v>
      </c>
      <c r="I1926" s="187" t="s">
        <v>1222</v>
      </c>
      <c r="J1926" s="187" t="s">
        <v>1223</v>
      </c>
      <c r="K1926" s="188"/>
      <c r="L1926" s="188"/>
      <c r="M1926" s="189" t="s">
        <v>847</v>
      </c>
      <c r="N1926" s="190">
        <v>270.9</v>
      </c>
      <c r="O1926" s="190">
        <f t="shared" si="235"/>
        <v>295.28</v>
      </c>
      <c r="P1926" s="191">
        <f t="shared" si="236"/>
        <v>0</v>
      </c>
      <c r="Q1926" s="192">
        <f t="shared" si="237"/>
        <v>0</v>
      </c>
      <c r="R1926" s="193"/>
      <c r="S1926" s="194"/>
      <c r="T1926" s="195">
        <f t="shared" si="238"/>
        <v>0</v>
      </c>
      <c r="U1926" s="195">
        <f t="shared" si="239"/>
        <v>0</v>
      </c>
      <c r="V1926" s="195">
        <f t="shared" si="240"/>
        <v>0</v>
      </c>
      <c r="W1926" s="196" t="e">
        <f t="shared" si="241"/>
        <v>#DIV/0!</v>
      </c>
      <c r="X1926" s="197" t="e">
        <f t="shared" si="242"/>
        <v>#DIV/0!</v>
      </c>
    </row>
    <row r="1927" ht="11.4" hidden="1" customHeight="1" spans="1:24">
      <c r="A1927" s="184" t="s">
        <v>3195</v>
      </c>
      <c r="B1927" s="184" t="s">
        <v>125</v>
      </c>
      <c r="C1927" s="184" t="s">
        <v>1101</v>
      </c>
      <c r="D1927" s="185" t="s">
        <v>704</v>
      </c>
      <c r="E1927" s="186" t="s">
        <v>906</v>
      </c>
      <c r="F1927" s="186" t="s">
        <v>907</v>
      </c>
      <c r="G1927" s="186" t="s">
        <v>1102</v>
      </c>
      <c r="H1927" s="186" t="s">
        <v>1720</v>
      </c>
      <c r="I1927" s="187" t="s">
        <v>1224</v>
      </c>
      <c r="J1927" s="187" t="s">
        <v>1225</v>
      </c>
      <c r="K1927" s="188"/>
      <c r="L1927" s="188"/>
      <c r="M1927" s="189" t="s">
        <v>847</v>
      </c>
      <c r="N1927" s="190">
        <v>385.58</v>
      </c>
      <c r="O1927" s="190">
        <f t="shared" si="235"/>
        <v>420.28</v>
      </c>
      <c r="P1927" s="191">
        <f t="shared" si="236"/>
        <v>0</v>
      </c>
      <c r="Q1927" s="192">
        <f t="shared" si="237"/>
        <v>0</v>
      </c>
      <c r="R1927" s="193"/>
      <c r="S1927" s="194"/>
      <c r="T1927" s="195">
        <f t="shared" si="238"/>
        <v>0</v>
      </c>
      <c r="U1927" s="195">
        <f t="shared" si="239"/>
        <v>0</v>
      </c>
      <c r="V1927" s="195">
        <f t="shared" si="240"/>
        <v>0</v>
      </c>
      <c r="W1927" s="196" t="e">
        <f t="shared" si="241"/>
        <v>#DIV/0!</v>
      </c>
      <c r="X1927" s="197" t="e">
        <f t="shared" si="242"/>
        <v>#DIV/0!</v>
      </c>
    </row>
    <row r="1928" ht="11.4" hidden="1" customHeight="1" spans="1:24">
      <c r="A1928" s="184" t="s">
        <v>3195</v>
      </c>
      <c r="B1928" s="184" t="s">
        <v>125</v>
      </c>
      <c r="C1928" s="184" t="s">
        <v>1101</v>
      </c>
      <c r="D1928" s="185" t="s">
        <v>704</v>
      </c>
      <c r="E1928" s="186" t="s">
        <v>906</v>
      </c>
      <c r="F1928" s="186" t="s">
        <v>907</v>
      </c>
      <c r="G1928" s="186" t="s">
        <v>1102</v>
      </c>
      <c r="H1928" s="186" t="s">
        <v>1720</v>
      </c>
      <c r="I1928" s="187" t="s">
        <v>1228</v>
      </c>
      <c r="J1928" s="187" t="s">
        <v>1229</v>
      </c>
      <c r="K1928" s="188"/>
      <c r="L1928" s="188"/>
      <c r="M1928" s="189" t="s">
        <v>847</v>
      </c>
      <c r="N1928" s="190">
        <v>406.33</v>
      </c>
      <c r="O1928" s="190">
        <f t="shared" si="235"/>
        <v>442.9</v>
      </c>
      <c r="P1928" s="191">
        <f t="shared" si="236"/>
        <v>0</v>
      </c>
      <c r="Q1928" s="192">
        <f t="shared" si="237"/>
        <v>0</v>
      </c>
      <c r="R1928" s="193"/>
      <c r="S1928" s="194"/>
      <c r="T1928" s="195">
        <f t="shared" si="238"/>
        <v>0</v>
      </c>
      <c r="U1928" s="195">
        <f t="shared" si="239"/>
        <v>0</v>
      </c>
      <c r="V1928" s="195">
        <f t="shared" si="240"/>
        <v>0</v>
      </c>
      <c r="W1928" s="196" t="e">
        <f t="shared" si="241"/>
        <v>#DIV/0!</v>
      </c>
      <c r="X1928" s="197" t="e">
        <f t="shared" si="242"/>
        <v>#DIV/0!</v>
      </c>
    </row>
    <row r="1929" ht="11.4" hidden="1" customHeight="1" spans="1:24">
      <c r="A1929" s="184" t="s">
        <v>3195</v>
      </c>
      <c r="B1929" s="184" t="s">
        <v>125</v>
      </c>
      <c r="C1929" s="184" t="s">
        <v>1101</v>
      </c>
      <c r="D1929" s="185" t="s">
        <v>704</v>
      </c>
      <c r="E1929" s="186" t="s">
        <v>906</v>
      </c>
      <c r="F1929" s="186" t="s">
        <v>907</v>
      </c>
      <c r="G1929" s="186" t="s">
        <v>1102</v>
      </c>
      <c r="H1929" s="186" t="s">
        <v>1720</v>
      </c>
      <c r="I1929" s="187" t="s">
        <v>1230</v>
      </c>
      <c r="J1929" s="187" t="s">
        <v>1231</v>
      </c>
      <c r="K1929" s="188"/>
      <c r="L1929" s="188"/>
      <c r="M1929" s="189" t="s">
        <v>847</v>
      </c>
      <c r="N1929" s="190">
        <v>387.96</v>
      </c>
      <c r="O1929" s="190">
        <f t="shared" si="235"/>
        <v>422.88</v>
      </c>
      <c r="P1929" s="191">
        <f t="shared" si="236"/>
        <v>0</v>
      </c>
      <c r="Q1929" s="192">
        <f t="shared" si="237"/>
        <v>0</v>
      </c>
      <c r="R1929" s="193"/>
      <c r="S1929" s="194"/>
      <c r="T1929" s="195">
        <f t="shared" si="238"/>
        <v>0</v>
      </c>
      <c r="U1929" s="195">
        <f t="shared" si="239"/>
        <v>0</v>
      </c>
      <c r="V1929" s="195">
        <f t="shared" si="240"/>
        <v>0</v>
      </c>
      <c r="W1929" s="196" t="e">
        <f t="shared" si="241"/>
        <v>#DIV/0!</v>
      </c>
      <c r="X1929" s="197" t="e">
        <f t="shared" si="242"/>
        <v>#DIV/0!</v>
      </c>
    </row>
    <row r="1930" ht="11.4" hidden="1" customHeight="1" spans="1:24">
      <c r="A1930" s="184" t="s">
        <v>3195</v>
      </c>
      <c r="B1930" s="184" t="s">
        <v>125</v>
      </c>
      <c r="C1930" s="184" t="s">
        <v>1101</v>
      </c>
      <c r="D1930" s="185" t="s">
        <v>704</v>
      </c>
      <c r="E1930" s="186" t="s">
        <v>906</v>
      </c>
      <c r="F1930" s="186" t="s">
        <v>907</v>
      </c>
      <c r="G1930" s="186" t="s">
        <v>1102</v>
      </c>
      <c r="H1930" s="186" t="s">
        <v>1720</v>
      </c>
      <c r="I1930" s="187" t="s">
        <v>1234</v>
      </c>
      <c r="J1930" s="187" t="s">
        <v>1235</v>
      </c>
      <c r="K1930" s="188"/>
      <c r="L1930" s="188"/>
      <c r="M1930" s="189" t="s">
        <v>847</v>
      </c>
      <c r="N1930" s="190">
        <v>408.71</v>
      </c>
      <c r="O1930" s="190">
        <f t="shared" si="235"/>
        <v>445.49</v>
      </c>
      <c r="P1930" s="191">
        <f t="shared" si="236"/>
        <v>0</v>
      </c>
      <c r="Q1930" s="192">
        <f t="shared" si="237"/>
        <v>0</v>
      </c>
      <c r="R1930" s="193"/>
      <c r="S1930" s="194"/>
      <c r="T1930" s="195">
        <f t="shared" si="238"/>
        <v>0</v>
      </c>
      <c r="U1930" s="195">
        <f t="shared" si="239"/>
        <v>0</v>
      </c>
      <c r="V1930" s="195">
        <f t="shared" si="240"/>
        <v>0</v>
      </c>
      <c r="W1930" s="196" t="e">
        <f t="shared" si="241"/>
        <v>#DIV/0!</v>
      </c>
      <c r="X1930" s="197" t="e">
        <f t="shared" si="242"/>
        <v>#DIV/0!</v>
      </c>
    </row>
    <row r="1931" ht="11.4" hidden="1" customHeight="1" spans="1:24">
      <c r="A1931" s="184" t="s">
        <v>3195</v>
      </c>
      <c r="B1931" s="184" t="s">
        <v>125</v>
      </c>
      <c r="C1931" s="184" t="s">
        <v>1101</v>
      </c>
      <c r="D1931" s="185" t="s">
        <v>704</v>
      </c>
      <c r="E1931" s="186" t="s">
        <v>906</v>
      </c>
      <c r="F1931" s="186" t="s">
        <v>907</v>
      </c>
      <c r="G1931" s="186" t="s">
        <v>1102</v>
      </c>
      <c r="H1931" s="186" t="s">
        <v>1720</v>
      </c>
      <c r="I1931" s="187" t="s">
        <v>1236</v>
      </c>
      <c r="J1931" s="187" t="s">
        <v>1237</v>
      </c>
      <c r="K1931" s="188"/>
      <c r="L1931" s="188"/>
      <c r="M1931" s="189" t="s">
        <v>847</v>
      </c>
      <c r="N1931" s="190">
        <v>385.58</v>
      </c>
      <c r="O1931" s="190">
        <f t="shared" si="235"/>
        <v>420.28</v>
      </c>
      <c r="P1931" s="191">
        <f t="shared" si="236"/>
        <v>0</v>
      </c>
      <c r="Q1931" s="192">
        <f t="shared" si="237"/>
        <v>0</v>
      </c>
      <c r="R1931" s="193"/>
      <c r="S1931" s="194"/>
      <c r="T1931" s="195">
        <f t="shared" si="238"/>
        <v>0</v>
      </c>
      <c r="U1931" s="195">
        <f t="shared" si="239"/>
        <v>0</v>
      </c>
      <c r="V1931" s="195">
        <f t="shared" si="240"/>
        <v>0</v>
      </c>
      <c r="W1931" s="196" t="e">
        <f t="shared" si="241"/>
        <v>#DIV/0!</v>
      </c>
      <c r="X1931" s="197" t="e">
        <f t="shared" si="242"/>
        <v>#DIV/0!</v>
      </c>
    </row>
    <row r="1932" ht="11.4" hidden="1" customHeight="1" spans="1:24">
      <c r="A1932" s="184" t="s">
        <v>3195</v>
      </c>
      <c r="B1932" s="184" t="s">
        <v>125</v>
      </c>
      <c r="C1932" s="184" t="s">
        <v>1101</v>
      </c>
      <c r="D1932" s="185" t="s">
        <v>704</v>
      </c>
      <c r="E1932" s="186" t="s">
        <v>906</v>
      </c>
      <c r="F1932" s="186" t="s">
        <v>907</v>
      </c>
      <c r="G1932" s="186" t="s">
        <v>1102</v>
      </c>
      <c r="H1932" s="186" t="s">
        <v>1720</v>
      </c>
      <c r="I1932" s="187" t="s">
        <v>1240</v>
      </c>
      <c r="J1932" s="187" t="s">
        <v>1241</v>
      </c>
      <c r="K1932" s="188"/>
      <c r="L1932" s="188"/>
      <c r="M1932" s="189" t="s">
        <v>847</v>
      </c>
      <c r="N1932" s="190">
        <v>406.33</v>
      </c>
      <c r="O1932" s="190">
        <f t="shared" si="235"/>
        <v>442.9</v>
      </c>
      <c r="P1932" s="191">
        <f t="shared" si="236"/>
        <v>0</v>
      </c>
      <c r="Q1932" s="192">
        <f t="shared" si="237"/>
        <v>0</v>
      </c>
      <c r="R1932" s="193"/>
      <c r="S1932" s="194"/>
      <c r="T1932" s="195">
        <f t="shared" si="238"/>
        <v>0</v>
      </c>
      <c r="U1932" s="195">
        <f t="shared" si="239"/>
        <v>0</v>
      </c>
      <c r="V1932" s="195">
        <f t="shared" si="240"/>
        <v>0</v>
      </c>
      <c r="W1932" s="196" t="e">
        <f t="shared" si="241"/>
        <v>#DIV/0!</v>
      </c>
      <c r="X1932" s="197" t="e">
        <f t="shared" si="242"/>
        <v>#DIV/0!</v>
      </c>
    </row>
    <row r="1933" ht="11.4" hidden="1" customHeight="1" spans="1:24">
      <c r="A1933" s="184" t="s">
        <v>3195</v>
      </c>
      <c r="B1933" s="184" t="s">
        <v>125</v>
      </c>
      <c r="C1933" s="184" t="s">
        <v>1101</v>
      </c>
      <c r="D1933" s="185" t="s">
        <v>704</v>
      </c>
      <c r="E1933" s="186" t="s">
        <v>906</v>
      </c>
      <c r="F1933" s="186" t="s">
        <v>907</v>
      </c>
      <c r="G1933" s="186" t="s">
        <v>1102</v>
      </c>
      <c r="H1933" s="186" t="s">
        <v>1722</v>
      </c>
      <c r="I1933" s="187" t="s">
        <v>1359</v>
      </c>
      <c r="J1933" s="187" t="s">
        <v>1360</v>
      </c>
      <c r="K1933" s="188"/>
      <c r="L1933" s="188"/>
      <c r="M1933" s="189" t="s">
        <v>847</v>
      </c>
      <c r="N1933" s="190">
        <v>127.36</v>
      </c>
      <c r="O1933" s="190">
        <f t="shared" ref="O1933:O1996" si="243">ROUND(N1933*(1+$F$10),2)</f>
        <v>138.82</v>
      </c>
      <c r="P1933" s="191">
        <f t="shared" ref="P1933:P1996" si="244">ROUND(K1933*N1933,2)</f>
        <v>0</v>
      </c>
      <c r="Q1933" s="192">
        <f t="shared" ref="Q1933:Q1996" si="245">ROUND(L1933*N1933,2)</f>
        <v>0</v>
      </c>
      <c r="R1933" s="193"/>
      <c r="S1933" s="194"/>
      <c r="T1933" s="195">
        <f t="shared" ref="T1933:T1996" si="246">K1933-L1933</f>
        <v>0</v>
      </c>
      <c r="U1933" s="195">
        <f t="shared" ref="U1933:U1996" si="247">P1933-Q1933</f>
        <v>0</v>
      </c>
      <c r="V1933" s="195">
        <f t="shared" ref="V1933:V1996" si="248">ABS(U1933)</f>
        <v>0</v>
      </c>
      <c r="W1933" s="196" t="e">
        <f t="shared" ref="W1933:W1996" si="249">T1933/L1933</f>
        <v>#DIV/0!</v>
      </c>
      <c r="X1933" s="197" t="e">
        <f t="shared" ref="X1933:X1996" si="250">ABS(W1933)</f>
        <v>#DIV/0!</v>
      </c>
    </row>
    <row r="1934" ht="11.4" hidden="1" customHeight="1" spans="1:24">
      <c r="A1934" s="184" t="s">
        <v>3195</v>
      </c>
      <c r="B1934" s="184" t="s">
        <v>125</v>
      </c>
      <c r="C1934" s="184" t="s">
        <v>1101</v>
      </c>
      <c r="D1934" s="185" t="s">
        <v>704</v>
      </c>
      <c r="E1934" s="186" t="s">
        <v>906</v>
      </c>
      <c r="F1934" s="186" t="s">
        <v>907</v>
      </c>
      <c r="G1934" s="186" t="s">
        <v>1102</v>
      </c>
      <c r="H1934" s="186" t="s">
        <v>1722</v>
      </c>
      <c r="I1934" s="187" t="s">
        <v>1362</v>
      </c>
      <c r="J1934" s="187" t="s">
        <v>1363</v>
      </c>
      <c r="K1934" s="188"/>
      <c r="L1934" s="188"/>
      <c r="M1934" s="189" t="s">
        <v>847</v>
      </c>
      <c r="N1934" s="190">
        <v>138.36</v>
      </c>
      <c r="O1934" s="190">
        <f t="shared" si="243"/>
        <v>150.81</v>
      </c>
      <c r="P1934" s="191">
        <f t="shared" si="244"/>
        <v>0</v>
      </c>
      <c r="Q1934" s="192">
        <f t="shared" si="245"/>
        <v>0</v>
      </c>
      <c r="R1934" s="193"/>
      <c r="S1934" s="194"/>
      <c r="T1934" s="195">
        <f t="shared" si="246"/>
        <v>0</v>
      </c>
      <c r="U1934" s="195">
        <f t="shared" si="247"/>
        <v>0</v>
      </c>
      <c r="V1934" s="195">
        <f t="shared" si="248"/>
        <v>0</v>
      </c>
      <c r="W1934" s="196" t="e">
        <f t="shared" si="249"/>
        <v>#DIV/0!</v>
      </c>
      <c r="X1934" s="197" t="e">
        <f t="shared" si="250"/>
        <v>#DIV/0!</v>
      </c>
    </row>
    <row r="1935" ht="11.4" hidden="1" customHeight="1" spans="1:24">
      <c r="A1935" s="184" t="s">
        <v>3195</v>
      </c>
      <c r="B1935" s="184" t="s">
        <v>125</v>
      </c>
      <c r="C1935" s="184" t="s">
        <v>1101</v>
      </c>
      <c r="D1935" s="185" t="s">
        <v>704</v>
      </c>
      <c r="E1935" s="186" t="s">
        <v>906</v>
      </c>
      <c r="F1935" s="186" t="s">
        <v>907</v>
      </c>
      <c r="G1935" s="186" t="s">
        <v>1102</v>
      </c>
      <c r="H1935" s="186" t="s">
        <v>1722</v>
      </c>
      <c r="I1935" s="187" t="s">
        <v>1723</v>
      </c>
      <c r="J1935" s="187" t="s">
        <v>1724</v>
      </c>
      <c r="K1935" s="188"/>
      <c r="L1935" s="188"/>
      <c r="M1935" s="189" t="s">
        <v>847</v>
      </c>
      <c r="N1935" s="190">
        <v>132.76</v>
      </c>
      <c r="O1935" s="190">
        <f t="shared" si="243"/>
        <v>144.71</v>
      </c>
      <c r="P1935" s="191">
        <f t="shared" si="244"/>
        <v>0</v>
      </c>
      <c r="Q1935" s="192">
        <f t="shared" si="245"/>
        <v>0</v>
      </c>
      <c r="R1935" s="193"/>
      <c r="S1935" s="194"/>
      <c r="T1935" s="195">
        <f t="shared" si="246"/>
        <v>0</v>
      </c>
      <c r="U1935" s="195">
        <f t="shared" si="247"/>
        <v>0</v>
      </c>
      <c r="V1935" s="195">
        <f t="shared" si="248"/>
        <v>0</v>
      </c>
      <c r="W1935" s="196" t="e">
        <f t="shared" si="249"/>
        <v>#DIV/0!</v>
      </c>
      <c r="X1935" s="197" t="e">
        <f t="shared" si="250"/>
        <v>#DIV/0!</v>
      </c>
    </row>
    <row r="1936" ht="11.4" hidden="1" customHeight="1" spans="1:24">
      <c r="A1936" s="184" t="s">
        <v>3195</v>
      </c>
      <c r="B1936" s="184" t="s">
        <v>125</v>
      </c>
      <c r="C1936" s="184" t="s">
        <v>1101</v>
      </c>
      <c r="D1936" s="185" t="s">
        <v>704</v>
      </c>
      <c r="E1936" s="186" t="s">
        <v>906</v>
      </c>
      <c r="F1936" s="186" t="s">
        <v>907</v>
      </c>
      <c r="G1936" s="186" t="s">
        <v>1102</v>
      </c>
      <c r="H1936" s="186" t="s">
        <v>1722</v>
      </c>
      <c r="I1936" s="187" t="s">
        <v>1384</v>
      </c>
      <c r="J1936" s="187" t="s">
        <v>1385</v>
      </c>
      <c r="K1936" s="188"/>
      <c r="L1936" s="188"/>
      <c r="M1936" s="189" t="s">
        <v>847</v>
      </c>
      <c r="N1936" s="190">
        <v>139.73</v>
      </c>
      <c r="O1936" s="190">
        <f t="shared" si="243"/>
        <v>152.31</v>
      </c>
      <c r="P1936" s="191">
        <f t="shared" si="244"/>
        <v>0</v>
      </c>
      <c r="Q1936" s="192">
        <f t="shared" si="245"/>
        <v>0</v>
      </c>
      <c r="R1936" s="193"/>
      <c r="S1936" s="194"/>
      <c r="T1936" s="195">
        <f t="shared" si="246"/>
        <v>0</v>
      </c>
      <c r="U1936" s="195">
        <f t="shared" si="247"/>
        <v>0</v>
      </c>
      <c r="V1936" s="195">
        <f t="shared" si="248"/>
        <v>0</v>
      </c>
      <c r="W1936" s="196" t="e">
        <f t="shared" si="249"/>
        <v>#DIV/0!</v>
      </c>
      <c r="X1936" s="197" t="e">
        <f t="shared" si="250"/>
        <v>#DIV/0!</v>
      </c>
    </row>
    <row r="1937" ht="11.4" hidden="1" customHeight="1" spans="1:24">
      <c r="A1937" s="184" t="s">
        <v>3195</v>
      </c>
      <c r="B1937" s="184" t="s">
        <v>125</v>
      </c>
      <c r="C1937" s="184" t="s">
        <v>1101</v>
      </c>
      <c r="D1937" s="185" t="s">
        <v>704</v>
      </c>
      <c r="E1937" s="186" t="s">
        <v>906</v>
      </c>
      <c r="F1937" s="186" t="s">
        <v>907</v>
      </c>
      <c r="G1937" s="186" t="s">
        <v>1102</v>
      </c>
      <c r="H1937" s="186" t="s">
        <v>1725</v>
      </c>
      <c r="I1937" s="187" t="s">
        <v>1726</v>
      </c>
      <c r="J1937" s="187" t="s">
        <v>3196</v>
      </c>
      <c r="K1937" s="188"/>
      <c r="L1937" s="188"/>
      <c r="M1937" s="189" t="s">
        <v>793</v>
      </c>
      <c r="N1937" s="190">
        <v>10720.16</v>
      </c>
      <c r="O1937" s="190">
        <f t="shared" si="243"/>
        <v>11684.97</v>
      </c>
      <c r="P1937" s="191">
        <f t="shared" si="244"/>
        <v>0</v>
      </c>
      <c r="Q1937" s="192">
        <f t="shared" si="245"/>
        <v>0</v>
      </c>
      <c r="R1937" s="193"/>
      <c r="S1937" s="194"/>
      <c r="T1937" s="195">
        <f t="shared" si="246"/>
        <v>0</v>
      </c>
      <c r="U1937" s="195">
        <f t="shared" si="247"/>
        <v>0</v>
      </c>
      <c r="V1937" s="195">
        <f t="shared" si="248"/>
        <v>0</v>
      </c>
      <c r="W1937" s="196" t="e">
        <f t="shared" si="249"/>
        <v>#DIV/0!</v>
      </c>
      <c r="X1937" s="197" t="e">
        <f t="shared" si="250"/>
        <v>#DIV/0!</v>
      </c>
    </row>
    <row r="1938" ht="11.4" hidden="1" customHeight="1" spans="1:24">
      <c r="A1938" s="184" t="s">
        <v>3195</v>
      </c>
      <c r="B1938" s="184" t="s">
        <v>125</v>
      </c>
      <c r="C1938" s="184" t="s">
        <v>1101</v>
      </c>
      <c r="D1938" s="185" t="s">
        <v>704</v>
      </c>
      <c r="E1938" s="186" t="s">
        <v>906</v>
      </c>
      <c r="F1938" s="186" t="s">
        <v>907</v>
      </c>
      <c r="G1938" s="186" t="s">
        <v>1102</v>
      </c>
      <c r="H1938" s="186" t="s">
        <v>1725</v>
      </c>
      <c r="I1938" s="187" t="s">
        <v>1728</v>
      </c>
      <c r="J1938" s="187" t="s">
        <v>1729</v>
      </c>
      <c r="K1938" s="188"/>
      <c r="L1938" s="188"/>
      <c r="M1938" s="189" t="s">
        <v>1580</v>
      </c>
      <c r="N1938" s="190">
        <v>211.97</v>
      </c>
      <c r="O1938" s="190">
        <f t="shared" si="243"/>
        <v>231.05</v>
      </c>
      <c r="P1938" s="191">
        <f t="shared" si="244"/>
        <v>0</v>
      </c>
      <c r="Q1938" s="192">
        <f t="shared" si="245"/>
        <v>0</v>
      </c>
      <c r="R1938" s="193"/>
      <c r="S1938" s="194"/>
      <c r="T1938" s="195">
        <f t="shared" si="246"/>
        <v>0</v>
      </c>
      <c r="U1938" s="195">
        <f t="shared" si="247"/>
        <v>0</v>
      </c>
      <c r="V1938" s="195">
        <f t="shared" si="248"/>
        <v>0</v>
      </c>
      <c r="W1938" s="196" t="e">
        <f t="shared" si="249"/>
        <v>#DIV/0!</v>
      </c>
      <c r="X1938" s="197" t="e">
        <f t="shared" si="250"/>
        <v>#DIV/0!</v>
      </c>
    </row>
    <row r="1939" ht="11.4" hidden="1" customHeight="1" spans="1:24">
      <c r="A1939" s="184" t="s">
        <v>3195</v>
      </c>
      <c r="B1939" s="184" t="s">
        <v>125</v>
      </c>
      <c r="C1939" s="184" t="s">
        <v>1101</v>
      </c>
      <c r="D1939" s="185" t="s">
        <v>704</v>
      </c>
      <c r="E1939" s="186" t="s">
        <v>906</v>
      </c>
      <c r="F1939" s="186" t="s">
        <v>907</v>
      </c>
      <c r="G1939" s="186" t="s">
        <v>1102</v>
      </c>
      <c r="H1939" s="186" t="s">
        <v>1725</v>
      </c>
      <c r="I1939" s="187" t="s">
        <v>1730</v>
      </c>
      <c r="J1939" s="187" t="s">
        <v>1731</v>
      </c>
      <c r="K1939" s="188"/>
      <c r="L1939" s="188"/>
      <c r="M1939" s="189" t="s">
        <v>1580</v>
      </c>
      <c r="N1939" s="190">
        <v>191.29</v>
      </c>
      <c r="O1939" s="190">
        <f t="shared" si="243"/>
        <v>208.51</v>
      </c>
      <c r="P1939" s="191">
        <f t="shared" si="244"/>
        <v>0</v>
      </c>
      <c r="Q1939" s="192">
        <f t="shared" si="245"/>
        <v>0</v>
      </c>
      <c r="R1939" s="193"/>
      <c r="S1939" s="194"/>
      <c r="T1939" s="195">
        <f t="shared" si="246"/>
        <v>0</v>
      </c>
      <c r="U1939" s="195">
        <f t="shared" si="247"/>
        <v>0</v>
      </c>
      <c r="V1939" s="195">
        <f t="shared" si="248"/>
        <v>0</v>
      </c>
      <c r="W1939" s="196" t="e">
        <f t="shared" si="249"/>
        <v>#DIV/0!</v>
      </c>
      <c r="X1939" s="197" t="e">
        <f t="shared" si="250"/>
        <v>#DIV/0!</v>
      </c>
    </row>
    <row r="1940" ht="11.4" hidden="1" customHeight="1" spans="1:24">
      <c r="A1940" s="184" t="s">
        <v>3195</v>
      </c>
      <c r="B1940" s="184" t="s">
        <v>125</v>
      </c>
      <c r="C1940" s="184" t="s">
        <v>1101</v>
      </c>
      <c r="D1940" s="185" t="s">
        <v>704</v>
      </c>
      <c r="E1940" s="186" t="s">
        <v>906</v>
      </c>
      <c r="F1940" s="186" t="s">
        <v>907</v>
      </c>
      <c r="G1940" s="186" t="s">
        <v>1102</v>
      </c>
      <c r="H1940" s="186" t="s">
        <v>1725</v>
      </c>
      <c r="I1940" s="187" t="s">
        <v>1732</v>
      </c>
      <c r="J1940" s="187" t="s">
        <v>1733</v>
      </c>
      <c r="K1940" s="188"/>
      <c r="L1940" s="188"/>
      <c r="M1940" s="189" t="s">
        <v>793</v>
      </c>
      <c r="N1940" s="190">
        <v>404.91</v>
      </c>
      <c r="O1940" s="190">
        <f t="shared" si="243"/>
        <v>441.35</v>
      </c>
      <c r="P1940" s="191">
        <f t="shared" si="244"/>
        <v>0</v>
      </c>
      <c r="Q1940" s="192">
        <f t="shared" si="245"/>
        <v>0</v>
      </c>
      <c r="R1940" s="193"/>
      <c r="S1940" s="194"/>
      <c r="T1940" s="195">
        <f t="shared" si="246"/>
        <v>0</v>
      </c>
      <c r="U1940" s="195">
        <f t="shared" si="247"/>
        <v>0</v>
      </c>
      <c r="V1940" s="195">
        <f t="shared" si="248"/>
        <v>0</v>
      </c>
      <c r="W1940" s="196" t="e">
        <f t="shared" si="249"/>
        <v>#DIV/0!</v>
      </c>
      <c r="X1940" s="197" t="e">
        <f t="shared" si="250"/>
        <v>#DIV/0!</v>
      </c>
    </row>
    <row r="1941" ht="11.4" hidden="1" customHeight="1" spans="1:24">
      <c r="A1941" s="184" t="s">
        <v>3195</v>
      </c>
      <c r="B1941" s="184" t="s">
        <v>125</v>
      </c>
      <c r="C1941" s="184" t="s">
        <v>1101</v>
      </c>
      <c r="D1941" s="185" t="s">
        <v>704</v>
      </c>
      <c r="E1941" s="186" t="s">
        <v>906</v>
      </c>
      <c r="F1941" s="186" t="s">
        <v>907</v>
      </c>
      <c r="G1941" s="186" t="s">
        <v>1102</v>
      </c>
      <c r="H1941" s="186" t="s">
        <v>1725</v>
      </c>
      <c r="I1941" s="187" t="s">
        <v>1734</v>
      </c>
      <c r="J1941" s="187" t="s">
        <v>1735</v>
      </c>
      <c r="K1941" s="188"/>
      <c r="L1941" s="188"/>
      <c r="M1941" s="189" t="s">
        <v>847</v>
      </c>
      <c r="N1941" s="190">
        <v>645.8</v>
      </c>
      <c r="O1941" s="190">
        <f t="shared" si="243"/>
        <v>703.92</v>
      </c>
      <c r="P1941" s="191">
        <f t="shared" si="244"/>
        <v>0</v>
      </c>
      <c r="Q1941" s="192">
        <f t="shared" si="245"/>
        <v>0</v>
      </c>
      <c r="R1941" s="193"/>
      <c r="S1941" s="194"/>
      <c r="T1941" s="195">
        <f t="shared" si="246"/>
        <v>0</v>
      </c>
      <c r="U1941" s="195">
        <f t="shared" si="247"/>
        <v>0</v>
      </c>
      <c r="V1941" s="195">
        <f t="shared" si="248"/>
        <v>0</v>
      </c>
      <c r="W1941" s="196" t="e">
        <f t="shared" si="249"/>
        <v>#DIV/0!</v>
      </c>
      <c r="X1941" s="197" t="e">
        <f t="shared" si="250"/>
        <v>#DIV/0!</v>
      </c>
    </row>
    <row r="1942" ht="11.4" hidden="1" customHeight="1" spans="1:24">
      <c r="A1942" s="184" t="s">
        <v>3195</v>
      </c>
      <c r="B1942" s="184" t="s">
        <v>125</v>
      </c>
      <c r="C1942" s="184" t="s">
        <v>1101</v>
      </c>
      <c r="D1942" s="185" t="s">
        <v>704</v>
      </c>
      <c r="E1942" s="186" t="s">
        <v>906</v>
      </c>
      <c r="F1942" s="186" t="s">
        <v>907</v>
      </c>
      <c r="G1942" s="186" t="s">
        <v>1102</v>
      </c>
      <c r="H1942" s="186" t="s">
        <v>1725</v>
      </c>
      <c r="I1942" s="187" t="s">
        <v>1736</v>
      </c>
      <c r="J1942" s="187" t="s">
        <v>1737</v>
      </c>
      <c r="K1942" s="188"/>
      <c r="L1942" s="188"/>
      <c r="M1942" s="189" t="s">
        <v>847</v>
      </c>
      <c r="N1942" s="190"/>
      <c r="O1942" s="190">
        <f t="shared" si="243"/>
        <v>0</v>
      </c>
      <c r="P1942" s="191">
        <f t="shared" si="244"/>
        <v>0</v>
      </c>
      <c r="Q1942" s="192">
        <f t="shared" si="245"/>
        <v>0</v>
      </c>
      <c r="R1942" s="193"/>
      <c r="S1942" s="194"/>
      <c r="T1942" s="195">
        <f t="shared" si="246"/>
        <v>0</v>
      </c>
      <c r="U1942" s="195">
        <f t="shared" si="247"/>
        <v>0</v>
      </c>
      <c r="V1942" s="195">
        <f t="shared" si="248"/>
        <v>0</v>
      </c>
      <c r="W1942" s="196" t="e">
        <f t="shared" si="249"/>
        <v>#DIV/0!</v>
      </c>
      <c r="X1942" s="197" t="e">
        <f t="shared" si="250"/>
        <v>#DIV/0!</v>
      </c>
    </row>
    <row r="1943" ht="11.4" hidden="1" customHeight="1" spans="1:24">
      <c r="A1943" s="184" t="s">
        <v>3195</v>
      </c>
      <c r="B1943" s="184" t="s">
        <v>125</v>
      </c>
      <c r="C1943" s="184" t="s">
        <v>1101</v>
      </c>
      <c r="D1943" s="185" t="s">
        <v>704</v>
      </c>
      <c r="E1943" s="186" t="s">
        <v>906</v>
      </c>
      <c r="F1943" s="186" t="s">
        <v>907</v>
      </c>
      <c r="G1943" s="186" t="s">
        <v>1102</v>
      </c>
      <c r="H1943" s="186" t="s">
        <v>1725</v>
      </c>
      <c r="I1943" s="187" t="s">
        <v>1738</v>
      </c>
      <c r="J1943" s="187" t="s">
        <v>1739</v>
      </c>
      <c r="K1943" s="188"/>
      <c r="L1943" s="188"/>
      <c r="M1943" s="189" t="s">
        <v>793</v>
      </c>
      <c r="N1943" s="190"/>
      <c r="O1943" s="190">
        <f t="shared" si="243"/>
        <v>0</v>
      </c>
      <c r="P1943" s="191">
        <f t="shared" si="244"/>
        <v>0</v>
      </c>
      <c r="Q1943" s="192">
        <f t="shared" si="245"/>
        <v>0</v>
      </c>
      <c r="R1943" s="193"/>
      <c r="S1943" s="194"/>
      <c r="T1943" s="195">
        <f t="shared" si="246"/>
        <v>0</v>
      </c>
      <c r="U1943" s="195">
        <f t="shared" si="247"/>
        <v>0</v>
      </c>
      <c r="V1943" s="195">
        <f t="shared" si="248"/>
        <v>0</v>
      </c>
      <c r="W1943" s="196" t="e">
        <f t="shared" si="249"/>
        <v>#DIV/0!</v>
      </c>
      <c r="X1943" s="197" t="e">
        <f t="shared" si="250"/>
        <v>#DIV/0!</v>
      </c>
    </row>
    <row r="1944" ht="11.4" hidden="1" customHeight="1" spans="1:24">
      <c r="A1944" s="184" t="s">
        <v>3197</v>
      </c>
      <c r="B1944" s="184" t="s">
        <v>109</v>
      </c>
      <c r="C1944" s="184" t="s">
        <v>1101</v>
      </c>
      <c r="D1944" s="185" t="s">
        <v>704</v>
      </c>
      <c r="E1944" s="186" t="s">
        <v>906</v>
      </c>
      <c r="F1944" s="186" t="s">
        <v>907</v>
      </c>
      <c r="G1944" s="186" t="s">
        <v>1102</v>
      </c>
      <c r="H1944" s="186" t="s">
        <v>1741</v>
      </c>
      <c r="I1944" s="187" t="s">
        <v>1708</v>
      </c>
      <c r="J1944" s="187" t="s">
        <v>1709</v>
      </c>
      <c r="K1944" s="188"/>
      <c r="L1944" s="188"/>
      <c r="M1944" s="189" t="s">
        <v>847</v>
      </c>
      <c r="N1944" s="190">
        <v>203.87</v>
      </c>
      <c r="O1944" s="190">
        <f t="shared" si="243"/>
        <v>222.22</v>
      </c>
      <c r="P1944" s="191">
        <f t="shared" si="244"/>
        <v>0</v>
      </c>
      <c r="Q1944" s="192">
        <f t="shared" si="245"/>
        <v>0</v>
      </c>
      <c r="R1944" s="193"/>
      <c r="S1944" s="194"/>
      <c r="T1944" s="195">
        <f t="shared" si="246"/>
        <v>0</v>
      </c>
      <c r="U1944" s="195">
        <f t="shared" si="247"/>
        <v>0</v>
      </c>
      <c r="V1944" s="195">
        <f t="shared" si="248"/>
        <v>0</v>
      </c>
      <c r="W1944" s="196" t="e">
        <f t="shared" si="249"/>
        <v>#DIV/0!</v>
      </c>
      <c r="X1944" s="197" t="e">
        <f t="shared" si="250"/>
        <v>#DIV/0!</v>
      </c>
    </row>
    <row r="1945" ht="11.4" hidden="1" customHeight="1" spans="1:24">
      <c r="A1945" s="184" t="s">
        <v>3197</v>
      </c>
      <c r="B1945" s="184" t="s">
        <v>109</v>
      </c>
      <c r="C1945" s="184" t="s">
        <v>1101</v>
      </c>
      <c r="D1945" s="185" t="s">
        <v>704</v>
      </c>
      <c r="E1945" s="186" t="s">
        <v>906</v>
      </c>
      <c r="F1945" s="186" t="s">
        <v>907</v>
      </c>
      <c r="G1945" s="186" t="s">
        <v>1102</v>
      </c>
      <c r="H1945" s="186" t="s">
        <v>1741</v>
      </c>
      <c r="I1945" s="187" t="s">
        <v>1710</v>
      </c>
      <c r="J1945" s="187" t="s">
        <v>1711</v>
      </c>
      <c r="K1945" s="188"/>
      <c r="L1945" s="188"/>
      <c r="M1945" s="189" t="s">
        <v>807</v>
      </c>
      <c r="N1945" s="190">
        <v>101.27</v>
      </c>
      <c r="O1945" s="190">
        <f t="shared" si="243"/>
        <v>110.38</v>
      </c>
      <c r="P1945" s="191">
        <f t="shared" si="244"/>
        <v>0</v>
      </c>
      <c r="Q1945" s="192">
        <f t="shared" si="245"/>
        <v>0</v>
      </c>
      <c r="R1945" s="193"/>
      <c r="S1945" s="194"/>
      <c r="T1945" s="195">
        <f t="shared" si="246"/>
        <v>0</v>
      </c>
      <c r="U1945" s="195">
        <f t="shared" si="247"/>
        <v>0</v>
      </c>
      <c r="V1945" s="195">
        <f t="shared" si="248"/>
        <v>0</v>
      </c>
      <c r="W1945" s="196" t="e">
        <f t="shared" si="249"/>
        <v>#DIV/0!</v>
      </c>
      <c r="X1945" s="197" t="e">
        <f t="shared" si="250"/>
        <v>#DIV/0!</v>
      </c>
    </row>
    <row r="1946" ht="11.4" hidden="1" customHeight="1" spans="1:24">
      <c r="A1946" s="184" t="s">
        <v>3197</v>
      </c>
      <c r="B1946" s="184" t="s">
        <v>109</v>
      </c>
      <c r="C1946" s="184" t="s">
        <v>1101</v>
      </c>
      <c r="D1946" s="185" t="s">
        <v>704</v>
      </c>
      <c r="E1946" s="186" t="s">
        <v>906</v>
      </c>
      <c r="F1946" s="186" t="s">
        <v>907</v>
      </c>
      <c r="G1946" s="186" t="s">
        <v>1102</v>
      </c>
      <c r="H1946" s="186" t="s">
        <v>1741</v>
      </c>
      <c r="I1946" s="187" t="s">
        <v>1712</v>
      </c>
      <c r="J1946" s="187" t="s">
        <v>1713</v>
      </c>
      <c r="K1946" s="188"/>
      <c r="L1946" s="188"/>
      <c r="M1946" s="189" t="s">
        <v>847</v>
      </c>
      <c r="N1946" s="190">
        <v>194.19</v>
      </c>
      <c r="O1946" s="190">
        <f t="shared" si="243"/>
        <v>211.67</v>
      </c>
      <c r="P1946" s="191">
        <f t="shared" si="244"/>
        <v>0</v>
      </c>
      <c r="Q1946" s="192">
        <f t="shared" si="245"/>
        <v>0</v>
      </c>
      <c r="R1946" s="193"/>
      <c r="S1946" s="194"/>
      <c r="T1946" s="195">
        <f t="shared" si="246"/>
        <v>0</v>
      </c>
      <c r="U1946" s="195">
        <f t="shared" si="247"/>
        <v>0</v>
      </c>
      <c r="V1946" s="195">
        <f t="shared" si="248"/>
        <v>0</v>
      </c>
      <c r="W1946" s="196" t="e">
        <f t="shared" si="249"/>
        <v>#DIV/0!</v>
      </c>
      <c r="X1946" s="197" t="e">
        <f t="shared" si="250"/>
        <v>#DIV/0!</v>
      </c>
    </row>
    <row r="1947" ht="11.4" hidden="1" customHeight="1" spans="1:24">
      <c r="A1947" s="184" t="s">
        <v>3197</v>
      </c>
      <c r="B1947" s="184" t="s">
        <v>109</v>
      </c>
      <c r="C1947" s="184" t="s">
        <v>1101</v>
      </c>
      <c r="D1947" s="185" t="s">
        <v>704</v>
      </c>
      <c r="E1947" s="186" t="s">
        <v>906</v>
      </c>
      <c r="F1947" s="186" t="s">
        <v>907</v>
      </c>
      <c r="G1947" s="186" t="s">
        <v>1102</v>
      </c>
      <c r="H1947" s="186" t="s">
        <v>1741</v>
      </c>
      <c r="I1947" s="187" t="s">
        <v>1714</v>
      </c>
      <c r="J1947" s="187" t="s">
        <v>1715</v>
      </c>
      <c r="K1947" s="188"/>
      <c r="L1947" s="188"/>
      <c r="M1947" s="189" t="s">
        <v>807</v>
      </c>
      <c r="N1947" s="190">
        <v>83.12</v>
      </c>
      <c r="O1947" s="190">
        <f t="shared" si="243"/>
        <v>90.6</v>
      </c>
      <c r="P1947" s="191">
        <f t="shared" si="244"/>
        <v>0</v>
      </c>
      <c r="Q1947" s="192">
        <f t="shared" si="245"/>
        <v>0</v>
      </c>
      <c r="R1947" s="193"/>
      <c r="S1947" s="194"/>
      <c r="T1947" s="195">
        <f t="shared" si="246"/>
        <v>0</v>
      </c>
      <c r="U1947" s="195">
        <f t="shared" si="247"/>
        <v>0</v>
      </c>
      <c r="V1947" s="195">
        <f t="shared" si="248"/>
        <v>0</v>
      </c>
      <c r="W1947" s="196" t="e">
        <f t="shared" si="249"/>
        <v>#DIV/0!</v>
      </c>
      <c r="X1947" s="197" t="e">
        <f t="shared" si="250"/>
        <v>#DIV/0!</v>
      </c>
    </row>
    <row r="1948" ht="11.4" hidden="1" customHeight="1" spans="1:24">
      <c r="A1948" s="184" t="s">
        <v>3197</v>
      </c>
      <c r="B1948" s="184" t="s">
        <v>109</v>
      </c>
      <c r="C1948" s="184" t="s">
        <v>1101</v>
      </c>
      <c r="D1948" s="185" t="s">
        <v>704</v>
      </c>
      <c r="E1948" s="186" t="s">
        <v>906</v>
      </c>
      <c r="F1948" s="186" t="s">
        <v>907</v>
      </c>
      <c r="G1948" s="186" t="s">
        <v>1102</v>
      </c>
      <c r="H1948" s="186" t="s">
        <v>1741</v>
      </c>
      <c r="I1948" s="187" t="s">
        <v>1716</v>
      </c>
      <c r="J1948" s="187" t="s">
        <v>1717</v>
      </c>
      <c r="K1948" s="188"/>
      <c r="L1948" s="188"/>
      <c r="M1948" s="189" t="s">
        <v>847</v>
      </c>
      <c r="N1948" s="190">
        <v>202.66</v>
      </c>
      <c r="O1948" s="190">
        <f t="shared" si="243"/>
        <v>220.9</v>
      </c>
      <c r="P1948" s="191">
        <f t="shared" si="244"/>
        <v>0</v>
      </c>
      <c r="Q1948" s="192">
        <f t="shared" si="245"/>
        <v>0</v>
      </c>
      <c r="R1948" s="193"/>
      <c r="S1948" s="194"/>
      <c r="T1948" s="195">
        <f t="shared" si="246"/>
        <v>0</v>
      </c>
      <c r="U1948" s="195">
        <f t="shared" si="247"/>
        <v>0</v>
      </c>
      <c r="V1948" s="195">
        <f t="shared" si="248"/>
        <v>0</v>
      </c>
      <c r="W1948" s="196" t="e">
        <f t="shared" si="249"/>
        <v>#DIV/0!</v>
      </c>
      <c r="X1948" s="197" t="e">
        <f t="shared" si="250"/>
        <v>#DIV/0!</v>
      </c>
    </row>
    <row r="1949" ht="11.4" hidden="1" customHeight="1" spans="1:24">
      <c r="A1949" s="184" t="s">
        <v>3197</v>
      </c>
      <c r="B1949" s="184" t="s">
        <v>109</v>
      </c>
      <c r="C1949" s="184" t="s">
        <v>1101</v>
      </c>
      <c r="D1949" s="185" t="s">
        <v>704</v>
      </c>
      <c r="E1949" s="186" t="s">
        <v>906</v>
      </c>
      <c r="F1949" s="186" t="s">
        <v>907</v>
      </c>
      <c r="G1949" s="186" t="s">
        <v>1102</v>
      </c>
      <c r="H1949" s="186" t="s">
        <v>1741</v>
      </c>
      <c r="I1949" s="187" t="s">
        <v>1718</v>
      </c>
      <c r="J1949" s="187" t="s">
        <v>1719</v>
      </c>
      <c r="K1949" s="188"/>
      <c r="L1949" s="188"/>
      <c r="M1949" s="189" t="s">
        <v>807</v>
      </c>
      <c r="N1949" s="190">
        <v>101.27</v>
      </c>
      <c r="O1949" s="190">
        <f t="shared" si="243"/>
        <v>110.38</v>
      </c>
      <c r="P1949" s="191">
        <f t="shared" si="244"/>
        <v>0</v>
      </c>
      <c r="Q1949" s="192">
        <f t="shared" si="245"/>
        <v>0</v>
      </c>
      <c r="R1949" s="193"/>
      <c r="S1949" s="194"/>
      <c r="T1949" s="195">
        <f t="shared" si="246"/>
        <v>0</v>
      </c>
      <c r="U1949" s="195">
        <f t="shared" si="247"/>
        <v>0</v>
      </c>
      <c r="V1949" s="195">
        <f t="shared" si="248"/>
        <v>0</v>
      </c>
      <c r="W1949" s="196" t="e">
        <f t="shared" si="249"/>
        <v>#DIV/0!</v>
      </c>
      <c r="X1949" s="197" t="e">
        <f t="shared" si="250"/>
        <v>#DIV/0!</v>
      </c>
    </row>
    <row r="1950" ht="11.4" hidden="1" customHeight="1" spans="1:24">
      <c r="A1950" s="184" t="s">
        <v>3197</v>
      </c>
      <c r="B1950" s="184" t="s">
        <v>109</v>
      </c>
      <c r="C1950" s="184" t="s">
        <v>1101</v>
      </c>
      <c r="D1950" s="185" t="s">
        <v>704</v>
      </c>
      <c r="E1950" s="186" t="s">
        <v>906</v>
      </c>
      <c r="F1950" s="186" t="s">
        <v>907</v>
      </c>
      <c r="G1950" s="186" t="s">
        <v>1102</v>
      </c>
      <c r="H1950" s="186" t="s">
        <v>1741</v>
      </c>
      <c r="I1950" s="187" t="s">
        <v>1104</v>
      </c>
      <c r="J1950" s="187" t="s">
        <v>1105</v>
      </c>
      <c r="K1950" s="188"/>
      <c r="L1950" s="188"/>
      <c r="M1950" s="189" t="s">
        <v>847</v>
      </c>
      <c r="N1950" s="190">
        <v>180.78</v>
      </c>
      <c r="O1950" s="190">
        <f t="shared" si="243"/>
        <v>197.05</v>
      </c>
      <c r="P1950" s="191">
        <f t="shared" si="244"/>
        <v>0</v>
      </c>
      <c r="Q1950" s="192">
        <f t="shared" si="245"/>
        <v>0</v>
      </c>
      <c r="R1950" s="193"/>
      <c r="S1950" s="194"/>
      <c r="T1950" s="195">
        <f t="shared" si="246"/>
        <v>0</v>
      </c>
      <c r="U1950" s="195">
        <f t="shared" si="247"/>
        <v>0</v>
      </c>
      <c r="V1950" s="195">
        <f t="shared" si="248"/>
        <v>0</v>
      </c>
      <c r="W1950" s="196" t="e">
        <f t="shared" si="249"/>
        <v>#DIV/0!</v>
      </c>
      <c r="X1950" s="197" t="e">
        <f t="shared" si="250"/>
        <v>#DIV/0!</v>
      </c>
    </row>
    <row r="1951" ht="11.4" hidden="1" customHeight="1" spans="1:24">
      <c r="A1951" s="184" t="s">
        <v>3197</v>
      </c>
      <c r="B1951" s="184" t="s">
        <v>109</v>
      </c>
      <c r="C1951" s="184" t="s">
        <v>1101</v>
      </c>
      <c r="D1951" s="185" t="s">
        <v>704</v>
      </c>
      <c r="E1951" s="186" t="s">
        <v>906</v>
      </c>
      <c r="F1951" s="186" t="s">
        <v>907</v>
      </c>
      <c r="G1951" s="186" t="s">
        <v>1102</v>
      </c>
      <c r="H1951" s="186" t="s">
        <v>1741</v>
      </c>
      <c r="I1951" s="187" t="s">
        <v>1106</v>
      </c>
      <c r="J1951" s="187" t="s">
        <v>1107</v>
      </c>
      <c r="K1951" s="188"/>
      <c r="L1951" s="188"/>
      <c r="M1951" s="189" t="s">
        <v>807</v>
      </c>
      <c r="N1951" s="190">
        <v>41.36</v>
      </c>
      <c r="O1951" s="190">
        <f t="shared" si="243"/>
        <v>45.08</v>
      </c>
      <c r="P1951" s="191">
        <f t="shared" si="244"/>
        <v>0</v>
      </c>
      <c r="Q1951" s="192">
        <f t="shared" si="245"/>
        <v>0</v>
      </c>
      <c r="R1951" s="193"/>
      <c r="S1951" s="194"/>
      <c r="T1951" s="195">
        <f t="shared" si="246"/>
        <v>0</v>
      </c>
      <c r="U1951" s="195">
        <f t="shared" si="247"/>
        <v>0</v>
      </c>
      <c r="V1951" s="195">
        <f t="shared" si="248"/>
        <v>0</v>
      </c>
      <c r="W1951" s="196" t="e">
        <f t="shared" si="249"/>
        <v>#DIV/0!</v>
      </c>
      <c r="X1951" s="197" t="e">
        <f t="shared" si="250"/>
        <v>#DIV/0!</v>
      </c>
    </row>
    <row r="1952" ht="11.4" hidden="1" customHeight="1" spans="1:24">
      <c r="A1952" s="184" t="s">
        <v>3197</v>
      </c>
      <c r="B1952" s="184" t="s">
        <v>109</v>
      </c>
      <c r="C1952" s="184" t="s">
        <v>1101</v>
      </c>
      <c r="D1952" s="185" t="s">
        <v>704</v>
      </c>
      <c r="E1952" s="186" t="s">
        <v>906</v>
      </c>
      <c r="F1952" s="186" t="s">
        <v>907</v>
      </c>
      <c r="G1952" s="186" t="s">
        <v>1102</v>
      </c>
      <c r="H1952" s="186" t="s">
        <v>1741</v>
      </c>
      <c r="I1952" s="187" t="s">
        <v>1109</v>
      </c>
      <c r="J1952" s="187" t="s">
        <v>1110</v>
      </c>
      <c r="K1952" s="188"/>
      <c r="L1952" s="188"/>
      <c r="M1952" s="189" t="s">
        <v>847</v>
      </c>
      <c r="N1952" s="190">
        <v>160.21</v>
      </c>
      <c r="O1952" s="190">
        <f t="shared" si="243"/>
        <v>174.63</v>
      </c>
      <c r="P1952" s="191">
        <f t="shared" si="244"/>
        <v>0</v>
      </c>
      <c r="Q1952" s="192">
        <f t="shared" si="245"/>
        <v>0</v>
      </c>
      <c r="R1952" s="193"/>
      <c r="S1952" s="194"/>
      <c r="T1952" s="195">
        <f t="shared" si="246"/>
        <v>0</v>
      </c>
      <c r="U1952" s="195">
        <f t="shared" si="247"/>
        <v>0</v>
      </c>
      <c r="V1952" s="195">
        <f t="shared" si="248"/>
        <v>0</v>
      </c>
      <c r="W1952" s="196" t="e">
        <f t="shared" si="249"/>
        <v>#DIV/0!</v>
      </c>
      <c r="X1952" s="197" t="e">
        <f t="shared" si="250"/>
        <v>#DIV/0!</v>
      </c>
    </row>
    <row r="1953" ht="11.4" hidden="1" customHeight="1" spans="1:24">
      <c r="A1953" s="184" t="s">
        <v>3197</v>
      </c>
      <c r="B1953" s="184" t="s">
        <v>109</v>
      </c>
      <c r="C1953" s="184" t="s">
        <v>1101</v>
      </c>
      <c r="D1953" s="185" t="s">
        <v>704</v>
      </c>
      <c r="E1953" s="186" t="s">
        <v>906</v>
      </c>
      <c r="F1953" s="186" t="s">
        <v>907</v>
      </c>
      <c r="G1953" s="186" t="s">
        <v>1102</v>
      </c>
      <c r="H1953" s="186" t="s">
        <v>1741</v>
      </c>
      <c r="I1953" s="187" t="s">
        <v>1111</v>
      </c>
      <c r="J1953" s="187" t="s">
        <v>1112</v>
      </c>
      <c r="K1953" s="188"/>
      <c r="L1953" s="188"/>
      <c r="M1953" s="189" t="s">
        <v>807</v>
      </c>
      <c r="N1953" s="190">
        <v>38.94</v>
      </c>
      <c r="O1953" s="190">
        <f t="shared" si="243"/>
        <v>42.44</v>
      </c>
      <c r="P1953" s="191">
        <f t="shared" si="244"/>
        <v>0</v>
      </c>
      <c r="Q1953" s="192">
        <f t="shared" si="245"/>
        <v>0</v>
      </c>
      <c r="R1953" s="193"/>
      <c r="S1953" s="194"/>
      <c r="T1953" s="195">
        <f t="shared" si="246"/>
        <v>0</v>
      </c>
      <c r="U1953" s="195">
        <f t="shared" si="247"/>
        <v>0</v>
      </c>
      <c r="V1953" s="195">
        <f t="shared" si="248"/>
        <v>0</v>
      </c>
      <c r="W1953" s="196" t="e">
        <f t="shared" si="249"/>
        <v>#DIV/0!</v>
      </c>
      <c r="X1953" s="197" t="e">
        <f t="shared" si="250"/>
        <v>#DIV/0!</v>
      </c>
    </row>
    <row r="1954" ht="11.4" hidden="1" customHeight="1" spans="1:24">
      <c r="A1954" s="184" t="s">
        <v>3197</v>
      </c>
      <c r="B1954" s="184" t="s">
        <v>109</v>
      </c>
      <c r="C1954" s="184" t="s">
        <v>1101</v>
      </c>
      <c r="D1954" s="185" t="s">
        <v>704</v>
      </c>
      <c r="E1954" s="186" t="s">
        <v>906</v>
      </c>
      <c r="F1954" s="186" t="s">
        <v>907</v>
      </c>
      <c r="G1954" s="186" t="s">
        <v>1102</v>
      </c>
      <c r="H1954" s="186" t="s">
        <v>1741</v>
      </c>
      <c r="I1954" s="187" t="s">
        <v>1113</v>
      </c>
      <c r="J1954" s="187" t="s">
        <v>1114</v>
      </c>
      <c r="K1954" s="188"/>
      <c r="L1954" s="188"/>
      <c r="M1954" s="189" t="s">
        <v>847</v>
      </c>
      <c r="N1954" s="190">
        <v>181.99</v>
      </c>
      <c r="O1954" s="190">
        <f t="shared" si="243"/>
        <v>198.37</v>
      </c>
      <c r="P1954" s="191">
        <f t="shared" si="244"/>
        <v>0</v>
      </c>
      <c r="Q1954" s="192">
        <f t="shared" si="245"/>
        <v>0</v>
      </c>
      <c r="R1954" s="193"/>
      <c r="S1954" s="194"/>
      <c r="T1954" s="195">
        <f t="shared" si="246"/>
        <v>0</v>
      </c>
      <c r="U1954" s="195">
        <f t="shared" si="247"/>
        <v>0</v>
      </c>
      <c r="V1954" s="195">
        <f t="shared" si="248"/>
        <v>0</v>
      </c>
      <c r="W1954" s="196" t="e">
        <f t="shared" si="249"/>
        <v>#DIV/0!</v>
      </c>
      <c r="X1954" s="197" t="e">
        <f t="shared" si="250"/>
        <v>#DIV/0!</v>
      </c>
    </row>
    <row r="1955" ht="11.4" hidden="1" customHeight="1" spans="1:24">
      <c r="A1955" s="184" t="s">
        <v>3197</v>
      </c>
      <c r="B1955" s="184" t="s">
        <v>109</v>
      </c>
      <c r="C1955" s="184" t="s">
        <v>1101</v>
      </c>
      <c r="D1955" s="185" t="s">
        <v>704</v>
      </c>
      <c r="E1955" s="186" t="s">
        <v>906</v>
      </c>
      <c r="F1955" s="186" t="s">
        <v>907</v>
      </c>
      <c r="G1955" s="186" t="s">
        <v>1102</v>
      </c>
      <c r="H1955" s="186" t="s">
        <v>1741</v>
      </c>
      <c r="I1955" s="187" t="s">
        <v>1115</v>
      </c>
      <c r="J1955" s="187" t="s">
        <v>1116</v>
      </c>
      <c r="K1955" s="188"/>
      <c r="L1955" s="188"/>
      <c r="M1955" s="189" t="s">
        <v>807</v>
      </c>
      <c r="N1955" s="190">
        <v>42.57</v>
      </c>
      <c r="O1955" s="190">
        <f t="shared" si="243"/>
        <v>46.4</v>
      </c>
      <c r="P1955" s="191">
        <f t="shared" si="244"/>
        <v>0</v>
      </c>
      <c r="Q1955" s="192">
        <f t="shared" si="245"/>
        <v>0</v>
      </c>
      <c r="R1955" s="193"/>
      <c r="S1955" s="194"/>
      <c r="T1955" s="195">
        <f t="shared" si="246"/>
        <v>0</v>
      </c>
      <c r="U1955" s="195">
        <f t="shared" si="247"/>
        <v>0</v>
      </c>
      <c r="V1955" s="195">
        <f t="shared" si="248"/>
        <v>0</v>
      </c>
      <c r="W1955" s="196" t="e">
        <f t="shared" si="249"/>
        <v>#DIV/0!</v>
      </c>
      <c r="X1955" s="197" t="e">
        <f t="shared" si="250"/>
        <v>#DIV/0!</v>
      </c>
    </row>
    <row r="1956" ht="11.4" hidden="1" customHeight="1" spans="1:24">
      <c r="A1956" s="184" t="s">
        <v>3197</v>
      </c>
      <c r="B1956" s="184" t="s">
        <v>109</v>
      </c>
      <c r="C1956" s="184" t="s">
        <v>1101</v>
      </c>
      <c r="D1956" s="185" t="s">
        <v>704</v>
      </c>
      <c r="E1956" s="186" t="s">
        <v>906</v>
      </c>
      <c r="F1956" s="186" t="s">
        <v>907</v>
      </c>
      <c r="G1956" s="186" t="s">
        <v>1102</v>
      </c>
      <c r="H1956" s="186" t="s">
        <v>1741</v>
      </c>
      <c r="I1956" s="187" t="s">
        <v>1117</v>
      </c>
      <c r="J1956" s="187" t="s">
        <v>1118</v>
      </c>
      <c r="K1956" s="188"/>
      <c r="L1956" s="188"/>
      <c r="M1956" s="189" t="s">
        <v>847</v>
      </c>
      <c r="N1956" s="190">
        <v>187.98</v>
      </c>
      <c r="O1956" s="190">
        <f t="shared" si="243"/>
        <v>204.9</v>
      </c>
      <c r="P1956" s="191">
        <f t="shared" si="244"/>
        <v>0</v>
      </c>
      <c r="Q1956" s="192">
        <f t="shared" si="245"/>
        <v>0</v>
      </c>
      <c r="R1956" s="193"/>
      <c r="S1956" s="194"/>
      <c r="T1956" s="195">
        <f t="shared" si="246"/>
        <v>0</v>
      </c>
      <c r="U1956" s="195">
        <f t="shared" si="247"/>
        <v>0</v>
      </c>
      <c r="V1956" s="195">
        <f t="shared" si="248"/>
        <v>0</v>
      </c>
      <c r="W1956" s="196" t="e">
        <f t="shared" si="249"/>
        <v>#DIV/0!</v>
      </c>
      <c r="X1956" s="197" t="e">
        <f t="shared" si="250"/>
        <v>#DIV/0!</v>
      </c>
    </row>
    <row r="1957" ht="11.4" hidden="1" customHeight="1" spans="1:24">
      <c r="A1957" s="184" t="s">
        <v>3197</v>
      </c>
      <c r="B1957" s="184" t="s">
        <v>109</v>
      </c>
      <c r="C1957" s="184" t="s">
        <v>1101</v>
      </c>
      <c r="D1957" s="185" t="s">
        <v>704</v>
      </c>
      <c r="E1957" s="186" t="s">
        <v>906</v>
      </c>
      <c r="F1957" s="186" t="s">
        <v>907</v>
      </c>
      <c r="G1957" s="186" t="s">
        <v>1102</v>
      </c>
      <c r="H1957" s="186" t="s">
        <v>1741</v>
      </c>
      <c r="I1957" s="187" t="s">
        <v>1119</v>
      </c>
      <c r="J1957" s="187" t="s">
        <v>1120</v>
      </c>
      <c r="K1957" s="188"/>
      <c r="L1957" s="188"/>
      <c r="M1957" s="189" t="s">
        <v>847</v>
      </c>
      <c r="N1957" s="190">
        <v>171.66</v>
      </c>
      <c r="O1957" s="190">
        <f t="shared" si="243"/>
        <v>187.11</v>
      </c>
      <c r="P1957" s="191">
        <f t="shared" si="244"/>
        <v>0</v>
      </c>
      <c r="Q1957" s="192">
        <f t="shared" si="245"/>
        <v>0</v>
      </c>
      <c r="R1957" s="193"/>
      <c r="S1957" s="194"/>
      <c r="T1957" s="195">
        <f t="shared" si="246"/>
        <v>0</v>
      </c>
      <c r="U1957" s="195">
        <f t="shared" si="247"/>
        <v>0</v>
      </c>
      <c r="V1957" s="195">
        <f t="shared" si="248"/>
        <v>0</v>
      </c>
      <c r="W1957" s="196" t="e">
        <f t="shared" si="249"/>
        <v>#DIV/0!</v>
      </c>
      <c r="X1957" s="197" t="e">
        <f t="shared" si="250"/>
        <v>#DIV/0!</v>
      </c>
    </row>
    <row r="1958" ht="11.4" hidden="1" customHeight="1" spans="1:24">
      <c r="A1958" s="184" t="s">
        <v>3197</v>
      </c>
      <c r="B1958" s="184" t="s">
        <v>109</v>
      </c>
      <c r="C1958" s="184" t="s">
        <v>1101</v>
      </c>
      <c r="D1958" s="185" t="s">
        <v>704</v>
      </c>
      <c r="E1958" s="186" t="s">
        <v>906</v>
      </c>
      <c r="F1958" s="186" t="s">
        <v>907</v>
      </c>
      <c r="G1958" s="186" t="s">
        <v>1102</v>
      </c>
      <c r="H1958" s="186" t="s">
        <v>1741</v>
      </c>
      <c r="I1958" s="187" t="s">
        <v>1121</v>
      </c>
      <c r="J1958" s="187" t="s">
        <v>1122</v>
      </c>
      <c r="K1958" s="188"/>
      <c r="L1958" s="188"/>
      <c r="M1958" s="189" t="s">
        <v>847</v>
      </c>
      <c r="N1958" s="190">
        <v>189.15</v>
      </c>
      <c r="O1958" s="190">
        <f t="shared" si="243"/>
        <v>206.17</v>
      </c>
      <c r="P1958" s="191">
        <f t="shared" si="244"/>
        <v>0</v>
      </c>
      <c r="Q1958" s="192">
        <f t="shared" si="245"/>
        <v>0</v>
      </c>
      <c r="R1958" s="193"/>
      <c r="S1958" s="194"/>
      <c r="T1958" s="195">
        <f t="shared" si="246"/>
        <v>0</v>
      </c>
      <c r="U1958" s="195">
        <f t="shared" si="247"/>
        <v>0</v>
      </c>
      <c r="V1958" s="195">
        <f t="shared" si="248"/>
        <v>0</v>
      </c>
      <c r="W1958" s="196" t="e">
        <f t="shared" si="249"/>
        <v>#DIV/0!</v>
      </c>
      <c r="X1958" s="197" t="e">
        <f t="shared" si="250"/>
        <v>#DIV/0!</v>
      </c>
    </row>
    <row r="1959" ht="11.4" hidden="1" customHeight="1" spans="1:24">
      <c r="A1959" s="184" t="s">
        <v>3197</v>
      </c>
      <c r="B1959" s="184" t="s">
        <v>109</v>
      </c>
      <c r="C1959" s="184" t="s">
        <v>1101</v>
      </c>
      <c r="D1959" s="185" t="s">
        <v>704</v>
      </c>
      <c r="E1959" s="186" t="s">
        <v>906</v>
      </c>
      <c r="F1959" s="186" t="s">
        <v>907</v>
      </c>
      <c r="G1959" s="186" t="s">
        <v>1102</v>
      </c>
      <c r="H1959" s="186" t="s">
        <v>1741</v>
      </c>
      <c r="I1959" s="187" t="s">
        <v>1123</v>
      </c>
      <c r="J1959" s="187" t="s">
        <v>1124</v>
      </c>
      <c r="K1959" s="188"/>
      <c r="L1959" s="188"/>
      <c r="M1959" s="189" t="s">
        <v>807</v>
      </c>
      <c r="N1959" s="190">
        <v>41.36</v>
      </c>
      <c r="O1959" s="190">
        <f t="shared" si="243"/>
        <v>45.08</v>
      </c>
      <c r="P1959" s="191">
        <f t="shared" si="244"/>
        <v>0</v>
      </c>
      <c r="Q1959" s="192">
        <f t="shared" si="245"/>
        <v>0</v>
      </c>
      <c r="R1959" s="193"/>
      <c r="S1959" s="194"/>
      <c r="T1959" s="195">
        <f t="shared" si="246"/>
        <v>0</v>
      </c>
      <c r="U1959" s="195">
        <f t="shared" si="247"/>
        <v>0</v>
      </c>
      <c r="V1959" s="195">
        <f t="shared" si="248"/>
        <v>0</v>
      </c>
      <c r="W1959" s="196" t="e">
        <f t="shared" si="249"/>
        <v>#DIV/0!</v>
      </c>
      <c r="X1959" s="197" t="e">
        <f t="shared" si="250"/>
        <v>#DIV/0!</v>
      </c>
    </row>
    <row r="1960" ht="11.4" hidden="1" customHeight="1" spans="1:24">
      <c r="A1960" s="184" t="s">
        <v>3197</v>
      </c>
      <c r="B1960" s="184" t="s">
        <v>109</v>
      </c>
      <c r="C1960" s="184" t="s">
        <v>1101</v>
      </c>
      <c r="D1960" s="185" t="s">
        <v>704</v>
      </c>
      <c r="E1960" s="186" t="s">
        <v>906</v>
      </c>
      <c r="F1960" s="186" t="s">
        <v>907</v>
      </c>
      <c r="G1960" s="186" t="s">
        <v>1102</v>
      </c>
      <c r="H1960" s="186" t="s">
        <v>1741</v>
      </c>
      <c r="I1960" s="187" t="s">
        <v>1125</v>
      </c>
      <c r="J1960" s="187" t="s">
        <v>1126</v>
      </c>
      <c r="K1960" s="188"/>
      <c r="L1960" s="188"/>
      <c r="M1960" s="189" t="s">
        <v>807</v>
      </c>
      <c r="N1960" s="190">
        <v>38.94</v>
      </c>
      <c r="O1960" s="190">
        <f t="shared" si="243"/>
        <v>42.44</v>
      </c>
      <c r="P1960" s="191">
        <f t="shared" si="244"/>
        <v>0</v>
      </c>
      <c r="Q1960" s="192">
        <f t="shared" si="245"/>
        <v>0</v>
      </c>
      <c r="R1960" s="193"/>
      <c r="S1960" s="194"/>
      <c r="T1960" s="195">
        <f t="shared" si="246"/>
        <v>0</v>
      </c>
      <c r="U1960" s="195">
        <f t="shared" si="247"/>
        <v>0</v>
      </c>
      <c r="V1960" s="195">
        <f t="shared" si="248"/>
        <v>0</v>
      </c>
      <c r="W1960" s="196" t="e">
        <f t="shared" si="249"/>
        <v>#DIV/0!</v>
      </c>
      <c r="X1960" s="197" t="e">
        <f t="shared" si="250"/>
        <v>#DIV/0!</v>
      </c>
    </row>
    <row r="1961" ht="11.4" hidden="1" customHeight="1" spans="1:24">
      <c r="A1961" s="184" t="s">
        <v>3197</v>
      </c>
      <c r="B1961" s="184" t="s">
        <v>109</v>
      </c>
      <c r="C1961" s="184" t="s">
        <v>1101</v>
      </c>
      <c r="D1961" s="185" t="s">
        <v>704</v>
      </c>
      <c r="E1961" s="186" t="s">
        <v>906</v>
      </c>
      <c r="F1961" s="186" t="s">
        <v>907</v>
      </c>
      <c r="G1961" s="186" t="s">
        <v>1102</v>
      </c>
      <c r="H1961" s="186" t="s">
        <v>1741</v>
      </c>
      <c r="I1961" s="187" t="s">
        <v>1127</v>
      </c>
      <c r="J1961" s="187" t="s">
        <v>1128</v>
      </c>
      <c r="K1961" s="188"/>
      <c r="L1961" s="188"/>
      <c r="M1961" s="189" t="s">
        <v>807</v>
      </c>
      <c r="N1961" s="190">
        <v>40.15</v>
      </c>
      <c r="O1961" s="190">
        <f t="shared" si="243"/>
        <v>43.76</v>
      </c>
      <c r="P1961" s="191">
        <f t="shared" si="244"/>
        <v>0</v>
      </c>
      <c r="Q1961" s="192">
        <f t="shared" si="245"/>
        <v>0</v>
      </c>
      <c r="R1961" s="193"/>
      <c r="S1961" s="194"/>
      <c r="T1961" s="195">
        <f t="shared" si="246"/>
        <v>0</v>
      </c>
      <c r="U1961" s="195">
        <f t="shared" si="247"/>
        <v>0</v>
      </c>
      <c r="V1961" s="195">
        <f t="shared" si="248"/>
        <v>0</v>
      </c>
      <c r="W1961" s="196" t="e">
        <f t="shared" si="249"/>
        <v>#DIV/0!</v>
      </c>
      <c r="X1961" s="197" t="e">
        <f t="shared" si="250"/>
        <v>#DIV/0!</v>
      </c>
    </row>
    <row r="1962" ht="11.4" hidden="1" customHeight="1" spans="1:24">
      <c r="A1962" s="184" t="s">
        <v>3197</v>
      </c>
      <c r="B1962" s="184" t="s">
        <v>109</v>
      </c>
      <c r="C1962" s="184" t="s">
        <v>1101</v>
      </c>
      <c r="D1962" s="185" t="s">
        <v>704</v>
      </c>
      <c r="E1962" s="186" t="s">
        <v>906</v>
      </c>
      <c r="F1962" s="186" t="s">
        <v>907</v>
      </c>
      <c r="G1962" s="186" t="s">
        <v>1102</v>
      </c>
      <c r="H1962" s="186" t="s">
        <v>1741</v>
      </c>
      <c r="I1962" s="187" t="s">
        <v>1141</v>
      </c>
      <c r="J1962" s="187" t="s">
        <v>1142</v>
      </c>
      <c r="K1962" s="188"/>
      <c r="L1962" s="188"/>
      <c r="M1962" s="189" t="s">
        <v>847</v>
      </c>
      <c r="N1962" s="190">
        <v>196.14</v>
      </c>
      <c r="O1962" s="190">
        <f t="shared" si="243"/>
        <v>213.79</v>
      </c>
      <c r="P1962" s="191">
        <f t="shared" si="244"/>
        <v>0</v>
      </c>
      <c r="Q1962" s="192">
        <f t="shared" si="245"/>
        <v>0</v>
      </c>
      <c r="R1962" s="193"/>
      <c r="S1962" s="194"/>
      <c r="T1962" s="195">
        <f t="shared" si="246"/>
        <v>0</v>
      </c>
      <c r="U1962" s="195">
        <f t="shared" si="247"/>
        <v>0</v>
      </c>
      <c r="V1962" s="195">
        <f t="shared" si="248"/>
        <v>0</v>
      </c>
      <c r="W1962" s="196" t="e">
        <f t="shared" si="249"/>
        <v>#DIV/0!</v>
      </c>
      <c r="X1962" s="197" t="e">
        <f t="shared" si="250"/>
        <v>#DIV/0!</v>
      </c>
    </row>
    <row r="1963" ht="11.4" hidden="1" customHeight="1" spans="1:24">
      <c r="A1963" s="184" t="s">
        <v>3197</v>
      </c>
      <c r="B1963" s="184" t="s">
        <v>109</v>
      </c>
      <c r="C1963" s="184" t="s">
        <v>1101</v>
      </c>
      <c r="D1963" s="185" t="s">
        <v>704</v>
      </c>
      <c r="E1963" s="186" t="s">
        <v>906</v>
      </c>
      <c r="F1963" s="186" t="s">
        <v>907</v>
      </c>
      <c r="G1963" s="186" t="s">
        <v>1102</v>
      </c>
      <c r="H1963" s="186" t="s">
        <v>1741</v>
      </c>
      <c r="I1963" s="187" t="s">
        <v>1143</v>
      </c>
      <c r="J1963" s="187" t="s">
        <v>1144</v>
      </c>
      <c r="K1963" s="188"/>
      <c r="L1963" s="188"/>
      <c r="M1963" s="189" t="s">
        <v>807</v>
      </c>
      <c r="N1963" s="190">
        <v>41.47</v>
      </c>
      <c r="O1963" s="190">
        <f t="shared" si="243"/>
        <v>45.2</v>
      </c>
      <c r="P1963" s="191">
        <f t="shared" si="244"/>
        <v>0</v>
      </c>
      <c r="Q1963" s="192">
        <f t="shared" si="245"/>
        <v>0</v>
      </c>
      <c r="R1963" s="193"/>
      <c r="S1963" s="194"/>
      <c r="T1963" s="195">
        <f t="shared" si="246"/>
        <v>0</v>
      </c>
      <c r="U1963" s="195">
        <f t="shared" si="247"/>
        <v>0</v>
      </c>
      <c r="V1963" s="195">
        <f t="shared" si="248"/>
        <v>0</v>
      </c>
      <c r="W1963" s="196" t="e">
        <f t="shared" si="249"/>
        <v>#DIV/0!</v>
      </c>
      <c r="X1963" s="197" t="e">
        <f t="shared" si="250"/>
        <v>#DIV/0!</v>
      </c>
    </row>
    <row r="1964" ht="11.4" hidden="1" customHeight="1" spans="1:24">
      <c r="A1964" s="184" t="s">
        <v>3197</v>
      </c>
      <c r="B1964" s="184" t="s">
        <v>109</v>
      </c>
      <c r="C1964" s="184" t="s">
        <v>1101</v>
      </c>
      <c r="D1964" s="185" t="s">
        <v>704</v>
      </c>
      <c r="E1964" s="186" t="s">
        <v>906</v>
      </c>
      <c r="F1964" s="186" t="s">
        <v>907</v>
      </c>
      <c r="G1964" s="186" t="s">
        <v>1102</v>
      </c>
      <c r="H1964" s="186" t="s">
        <v>1741</v>
      </c>
      <c r="I1964" s="187" t="s">
        <v>1145</v>
      </c>
      <c r="J1964" s="187" t="s">
        <v>1146</v>
      </c>
      <c r="K1964" s="188"/>
      <c r="L1964" s="188"/>
      <c r="M1964" s="189" t="s">
        <v>847</v>
      </c>
      <c r="N1964" s="190">
        <v>179.82</v>
      </c>
      <c r="O1964" s="190">
        <f t="shared" si="243"/>
        <v>196</v>
      </c>
      <c r="P1964" s="191">
        <f t="shared" si="244"/>
        <v>0</v>
      </c>
      <c r="Q1964" s="192">
        <f t="shared" si="245"/>
        <v>0</v>
      </c>
      <c r="R1964" s="193"/>
      <c r="S1964" s="194"/>
      <c r="T1964" s="195">
        <f t="shared" si="246"/>
        <v>0</v>
      </c>
      <c r="U1964" s="195">
        <f t="shared" si="247"/>
        <v>0</v>
      </c>
      <c r="V1964" s="195">
        <f t="shared" si="248"/>
        <v>0</v>
      </c>
      <c r="W1964" s="196" t="e">
        <f t="shared" si="249"/>
        <v>#DIV/0!</v>
      </c>
      <c r="X1964" s="197" t="e">
        <f t="shared" si="250"/>
        <v>#DIV/0!</v>
      </c>
    </row>
    <row r="1965" ht="11.4" hidden="1" customHeight="1" spans="1:24">
      <c r="A1965" s="184" t="s">
        <v>3197</v>
      </c>
      <c r="B1965" s="184" t="s">
        <v>109</v>
      </c>
      <c r="C1965" s="184" t="s">
        <v>1101</v>
      </c>
      <c r="D1965" s="185" t="s">
        <v>704</v>
      </c>
      <c r="E1965" s="186" t="s">
        <v>906</v>
      </c>
      <c r="F1965" s="186" t="s">
        <v>907</v>
      </c>
      <c r="G1965" s="186" t="s">
        <v>1102</v>
      </c>
      <c r="H1965" s="186" t="s">
        <v>1741</v>
      </c>
      <c r="I1965" s="187" t="s">
        <v>1147</v>
      </c>
      <c r="J1965" s="187" t="s">
        <v>1148</v>
      </c>
      <c r="K1965" s="188"/>
      <c r="L1965" s="188"/>
      <c r="M1965" s="189" t="s">
        <v>807</v>
      </c>
      <c r="N1965" s="190">
        <v>37.84</v>
      </c>
      <c r="O1965" s="190">
        <f t="shared" si="243"/>
        <v>41.25</v>
      </c>
      <c r="P1965" s="191">
        <f t="shared" si="244"/>
        <v>0</v>
      </c>
      <c r="Q1965" s="192">
        <f t="shared" si="245"/>
        <v>0</v>
      </c>
      <c r="R1965" s="193"/>
      <c r="S1965" s="194"/>
      <c r="T1965" s="195">
        <f t="shared" si="246"/>
        <v>0</v>
      </c>
      <c r="U1965" s="195">
        <f t="shared" si="247"/>
        <v>0</v>
      </c>
      <c r="V1965" s="195">
        <f t="shared" si="248"/>
        <v>0</v>
      </c>
      <c r="W1965" s="196" t="e">
        <f t="shared" si="249"/>
        <v>#DIV/0!</v>
      </c>
      <c r="X1965" s="197" t="e">
        <f t="shared" si="250"/>
        <v>#DIV/0!</v>
      </c>
    </row>
    <row r="1966" ht="11.4" hidden="1" customHeight="1" spans="1:24">
      <c r="A1966" s="184" t="s">
        <v>3197</v>
      </c>
      <c r="B1966" s="184" t="s">
        <v>109</v>
      </c>
      <c r="C1966" s="184" t="s">
        <v>1101</v>
      </c>
      <c r="D1966" s="185" t="s">
        <v>704</v>
      </c>
      <c r="E1966" s="186" t="s">
        <v>906</v>
      </c>
      <c r="F1966" s="186" t="s">
        <v>907</v>
      </c>
      <c r="G1966" s="186" t="s">
        <v>1102</v>
      </c>
      <c r="H1966" s="186" t="s">
        <v>1741</v>
      </c>
      <c r="I1966" s="187" t="s">
        <v>1149</v>
      </c>
      <c r="J1966" s="187" t="s">
        <v>1150</v>
      </c>
      <c r="K1966" s="188"/>
      <c r="L1966" s="188"/>
      <c r="M1966" s="189" t="s">
        <v>847</v>
      </c>
      <c r="N1966" s="190">
        <v>193.81</v>
      </c>
      <c r="O1966" s="190">
        <f t="shared" si="243"/>
        <v>211.25</v>
      </c>
      <c r="P1966" s="191">
        <f t="shared" si="244"/>
        <v>0</v>
      </c>
      <c r="Q1966" s="192">
        <f t="shared" si="245"/>
        <v>0</v>
      </c>
      <c r="R1966" s="193"/>
      <c r="S1966" s="194"/>
      <c r="T1966" s="195">
        <f t="shared" si="246"/>
        <v>0</v>
      </c>
      <c r="U1966" s="195">
        <f t="shared" si="247"/>
        <v>0</v>
      </c>
      <c r="V1966" s="195">
        <f t="shared" si="248"/>
        <v>0</v>
      </c>
      <c r="W1966" s="196" t="e">
        <f t="shared" si="249"/>
        <v>#DIV/0!</v>
      </c>
      <c r="X1966" s="197" t="e">
        <f t="shared" si="250"/>
        <v>#DIV/0!</v>
      </c>
    </row>
    <row r="1967" ht="11.4" hidden="1" customHeight="1" spans="1:24">
      <c r="A1967" s="184" t="s">
        <v>3197</v>
      </c>
      <c r="B1967" s="184" t="s">
        <v>109</v>
      </c>
      <c r="C1967" s="184" t="s">
        <v>1101</v>
      </c>
      <c r="D1967" s="185" t="s">
        <v>704</v>
      </c>
      <c r="E1967" s="186" t="s">
        <v>906</v>
      </c>
      <c r="F1967" s="186" t="s">
        <v>907</v>
      </c>
      <c r="G1967" s="186" t="s">
        <v>1102</v>
      </c>
      <c r="H1967" s="186" t="s">
        <v>1741</v>
      </c>
      <c r="I1967" s="187" t="s">
        <v>1151</v>
      </c>
      <c r="J1967" s="187" t="s">
        <v>1152</v>
      </c>
      <c r="K1967" s="188"/>
      <c r="L1967" s="188"/>
      <c r="M1967" s="189" t="s">
        <v>807</v>
      </c>
      <c r="N1967" s="190">
        <v>39.05</v>
      </c>
      <c r="O1967" s="190">
        <f t="shared" si="243"/>
        <v>42.56</v>
      </c>
      <c r="P1967" s="191">
        <f t="shared" si="244"/>
        <v>0</v>
      </c>
      <c r="Q1967" s="192">
        <f t="shared" si="245"/>
        <v>0</v>
      </c>
      <c r="R1967" s="193"/>
      <c r="S1967" s="194"/>
      <c r="T1967" s="195">
        <f t="shared" si="246"/>
        <v>0</v>
      </c>
      <c r="U1967" s="195">
        <f t="shared" si="247"/>
        <v>0</v>
      </c>
      <c r="V1967" s="195">
        <f t="shared" si="248"/>
        <v>0</v>
      </c>
      <c r="W1967" s="196" t="e">
        <f t="shared" si="249"/>
        <v>#DIV/0!</v>
      </c>
      <c r="X1967" s="197" t="e">
        <f t="shared" si="250"/>
        <v>#DIV/0!</v>
      </c>
    </row>
    <row r="1968" ht="11.4" hidden="1" customHeight="1" spans="1:24">
      <c r="A1968" s="184" t="s">
        <v>3197</v>
      </c>
      <c r="B1968" s="184" t="s">
        <v>109</v>
      </c>
      <c r="C1968" s="184" t="s">
        <v>1101</v>
      </c>
      <c r="D1968" s="185" t="s">
        <v>704</v>
      </c>
      <c r="E1968" s="186" t="s">
        <v>906</v>
      </c>
      <c r="F1968" s="186" t="s">
        <v>907</v>
      </c>
      <c r="G1968" s="186" t="s">
        <v>1102</v>
      </c>
      <c r="H1968" s="186" t="s">
        <v>1741</v>
      </c>
      <c r="I1968" s="187" t="s">
        <v>1743</v>
      </c>
      <c r="J1968" s="187" t="s">
        <v>1744</v>
      </c>
      <c r="K1968" s="188"/>
      <c r="L1968" s="188"/>
      <c r="M1968" s="189" t="s">
        <v>847</v>
      </c>
      <c r="N1968" s="190">
        <v>46.31</v>
      </c>
      <c r="O1968" s="190">
        <f t="shared" si="243"/>
        <v>50.48</v>
      </c>
      <c r="P1968" s="191">
        <f t="shared" si="244"/>
        <v>0</v>
      </c>
      <c r="Q1968" s="192">
        <f t="shared" si="245"/>
        <v>0</v>
      </c>
      <c r="R1968" s="193"/>
      <c r="S1968" s="194"/>
      <c r="T1968" s="195">
        <f t="shared" si="246"/>
        <v>0</v>
      </c>
      <c r="U1968" s="195">
        <f t="shared" si="247"/>
        <v>0</v>
      </c>
      <c r="V1968" s="195">
        <f t="shared" si="248"/>
        <v>0</v>
      </c>
      <c r="W1968" s="196" t="e">
        <f t="shared" si="249"/>
        <v>#DIV/0!</v>
      </c>
      <c r="X1968" s="197" t="e">
        <f t="shared" si="250"/>
        <v>#DIV/0!</v>
      </c>
    </row>
    <row r="1969" ht="11.4" hidden="1" customHeight="1" spans="1:24">
      <c r="A1969" s="184" t="s">
        <v>3197</v>
      </c>
      <c r="B1969" s="184" t="s">
        <v>109</v>
      </c>
      <c r="C1969" s="184" t="s">
        <v>1101</v>
      </c>
      <c r="D1969" s="185" t="s">
        <v>704</v>
      </c>
      <c r="E1969" s="186" t="s">
        <v>906</v>
      </c>
      <c r="F1969" s="186" t="s">
        <v>907</v>
      </c>
      <c r="G1969" s="186" t="s">
        <v>1102</v>
      </c>
      <c r="H1969" s="186" t="s">
        <v>1479</v>
      </c>
      <c r="I1969" s="187" t="s">
        <v>1745</v>
      </c>
      <c r="J1969" s="187" t="s">
        <v>1746</v>
      </c>
      <c r="K1969" s="188"/>
      <c r="L1969" s="188"/>
      <c r="M1969" s="189" t="s">
        <v>847</v>
      </c>
      <c r="N1969" s="190">
        <v>118.11</v>
      </c>
      <c r="O1969" s="190">
        <f t="shared" si="243"/>
        <v>128.74</v>
      </c>
      <c r="P1969" s="191">
        <f t="shared" si="244"/>
        <v>0</v>
      </c>
      <c r="Q1969" s="192">
        <f t="shared" si="245"/>
        <v>0</v>
      </c>
      <c r="R1969" s="193"/>
      <c r="S1969" s="194"/>
      <c r="T1969" s="195">
        <f t="shared" si="246"/>
        <v>0</v>
      </c>
      <c r="U1969" s="195">
        <f t="shared" si="247"/>
        <v>0</v>
      </c>
      <c r="V1969" s="195">
        <f t="shared" si="248"/>
        <v>0</v>
      </c>
      <c r="W1969" s="196" t="e">
        <f t="shared" si="249"/>
        <v>#DIV/0!</v>
      </c>
      <c r="X1969" s="197" t="e">
        <f t="shared" si="250"/>
        <v>#DIV/0!</v>
      </c>
    </row>
    <row r="1970" ht="11.4" hidden="1" customHeight="1" spans="1:24">
      <c r="A1970" s="184" t="s">
        <v>3197</v>
      </c>
      <c r="B1970" s="184" t="s">
        <v>109</v>
      </c>
      <c r="C1970" s="184" t="s">
        <v>1101</v>
      </c>
      <c r="D1970" s="185" t="s">
        <v>704</v>
      </c>
      <c r="E1970" s="186" t="s">
        <v>906</v>
      </c>
      <c r="F1970" s="186" t="s">
        <v>907</v>
      </c>
      <c r="G1970" s="186" t="s">
        <v>1102</v>
      </c>
      <c r="H1970" s="186" t="s">
        <v>1479</v>
      </c>
      <c r="I1970" s="187" t="s">
        <v>1747</v>
      </c>
      <c r="J1970" s="187" t="s">
        <v>1748</v>
      </c>
      <c r="K1970" s="188"/>
      <c r="L1970" s="188"/>
      <c r="M1970" s="189" t="s">
        <v>847</v>
      </c>
      <c r="N1970" s="190">
        <v>113.49</v>
      </c>
      <c r="O1970" s="190">
        <f t="shared" si="243"/>
        <v>123.7</v>
      </c>
      <c r="P1970" s="191">
        <f t="shared" si="244"/>
        <v>0</v>
      </c>
      <c r="Q1970" s="192">
        <f t="shared" si="245"/>
        <v>0</v>
      </c>
      <c r="R1970" s="193"/>
      <c r="S1970" s="194"/>
      <c r="T1970" s="195">
        <f t="shared" si="246"/>
        <v>0</v>
      </c>
      <c r="U1970" s="195">
        <f t="shared" si="247"/>
        <v>0</v>
      </c>
      <c r="V1970" s="195">
        <f t="shared" si="248"/>
        <v>0</v>
      </c>
      <c r="W1970" s="196" t="e">
        <f t="shared" si="249"/>
        <v>#DIV/0!</v>
      </c>
      <c r="X1970" s="197" t="e">
        <f t="shared" si="250"/>
        <v>#DIV/0!</v>
      </c>
    </row>
    <row r="1971" ht="11.4" hidden="1" customHeight="1" spans="1:24">
      <c r="A1971" s="184" t="s">
        <v>3197</v>
      </c>
      <c r="B1971" s="184" t="s">
        <v>109</v>
      </c>
      <c r="C1971" s="184" t="s">
        <v>1101</v>
      </c>
      <c r="D1971" s="185" t="s">
        <v>704</v>
      </c>
      <c r="E1971" s="186" t="s">
        <v>906</v>
      </c>
      <c r="F1971" s="186" t="s">
        <v>907</v>
      </c>
      <c r="G1971" s="186" t="s">
        <v>1102</v>
      </c>
      <c r="H1971" s="186" t="s">
        <v>1479</v>
      </c>
      <c r="I1971" s="187" t="s">
        <v>1749</v>
      </c>
      <c r="J1971" s="187" t="s">
        <v>1750</v>
      </c>
      <c r="K1971" s="188"/>
      <c r="L1971" s="188"/>
      <c r="M1971" s="189" t="s">
        <v>847</v>
      </c>
      <c r="N1971" s="190">
        <v>118.11</v>
      </c>
      <c r="O1971" s="190">
        <f t="shared" si="243"/>
        <v>128.74</v>
      </c>
      <c r="P1971" s="191">
        <f t="shared" si="244"/>
        <v>0</v>
      </c>
      <c r="Q1971" s="192">
        <f t="shared" si="245"/>
        <v>0</v>
      </c>
      <c r="R1971" s="193"/>
      <c r="S1971" s="194"/>
      <c r="T1971" s="195">
        <f t="shared" si="246"/>
        <v>0</v>
      </c>
      <c r="U1971" s="195">
        <f t="shared" si="247"/>
        <v>0</v>
      </c>
      <c r="V1971" s="195">
        <f t="shared" si="248"/>
        <v>0</v>
      </c>
      <c r="W1971" s="196" t="e">
        <f t="shared" si="249"/>
        <v>#DIV/0!</v>
      </c>
      <c r="X1971" s="197" t="e">
        <f t="shared" si="250"/>
        <v>#DIV/0!</v>
      </c>
    </row>
    <row r="1972" ht="11.4" hidden="1" customHeight="1" spans="1:24">
      <c r="A1972" s="184" t="s">
        <v>3197</v>
      </c>
      <c r="B1972" s="184" t="s">
        <v>109</v>
      </c>
      <c r="C1972" s="184" t="s">
        <v>1101</v>
      </c>
      <c r="D1972" s="185" t="s">
        <v>704</v>
      </c>
      <c r="E1972" s="186" t="s">
        <v>906</v>
      </c>
      <c r="F1972" s="186" t="s">
        <v>907</v>
      </c>
      <c r="G1972" s="186" t="s">
        <v>1102</v>
      </c>
      <c r="H1972" s="186" t="s">
        <v>1479</v>
      </c>
      <c r="I1972" s="187" t="s">
        <v>1751</v>
      </c>
      <c r="J1972" s="187" t="s">
        <v>1752</v>
      </c>
      <c r="K1972" s="188"/>
      <c r="L1972" s="188"/>
      <c r="M1972" s="189" t="s">
        <v>847</v>
      </c>
      <c r="N1972" s="190">
        <v>467.36</v>
      </c>
      <c r="O1972" s="190">
        <f t="shared" si="243"/>
        <v>509.42</v>
      </c>
      <c r="P1972" s="191">
        <f t="shared" si="244"/>
        <v>0</v>
      </c>
      <c r="Q1972" s="192">
        <f t="shared" si="245"/>
        <v>0</v>
      </c>
      <c r="R1972" s="193"/>
      <c r="S1972" s="194"/>
      <c r="T1972" s="195">
        <f t="shared" si="246"/>
        <v>0</v>
      </c>
      <c r="U1972" s="195">
        <f t="shared" si="247"/>
        <v>0</v>
      </c>
      <c r="V1972" s="195">
        <f t="shared" si="248"/>
        <v>0</v>
      </c>
      <c r="W1972" s="196" t="e">
        <f t="shared" si="249"/>
        <v>#DIV/0!</v>
      </c>
      <c r="X1972" s="197" t="e">
        <f t="shared" si="250"/>
        <v>#DIV/0!</v>
      </c>
    </row>
    <row r="1973" ht="11.4" hidden="1" customHeight="1" spans="1:24">
      <c r="A1973" s="184" t="s">
        <v>3197</v>
      </c>
      <c r="B1973" s="184" t="s">
        <v>109</v>
      </c>
      <c r="C1973" s="184" t="s">
        <v>1101</v>
      </c>
      <c r="D1973" s="185" t="s">
        <v>704</v>
      </c>
      <c r="E1973" s="186" t="s">
        <v>906</v>
      </c>
      <c r="F1973" s="186" t="s">
        <v>907</v>
      </c>
      <c r="G1973" s="186" t="s">
        <v>1102</v>
      </c>
      <c r="H1973" s="186" t="s">
        <v>1479</v>
      </c>
      <c r="I1973" s="187" t="s">
        <v>1753</v>
      </c>
      <c r="J1973" s="187" t="s">
        <v>1754</v>
      </c>
      <c r="K1973" s="188"/>
      <c r="L1973" s="188"/>
      <c r="M1973" s="189" t="s">
        <v>1755</v>
      </c>
      <c r="N1973" s="190">
        <v>184.69</v>
      </c>
      <c r="O1973" s="190">
        <f t="shared" si="243"/>
        <v>201.31</v>
      </c>
      <c r="P1973" s="191">
        <f t="shared" si="244"/>
        <v>0</v>
      </c>
      <c r="Q1973" s="192">
        <f t="shared" si="245"/>
        <v>0</v>
      </c>
      <c r="R1973" s="193"/>
      <c r="S1973" s="194"/>
      <c r="T1973" s="195">
        <f t="shared" si="246"/>
        <v>0</v>
      </c>
      <c r="U1973" s="195">
        <f t="shared" si="247"/>
        <v>0</v>
      </c>
      <c r="V1973" s="195">
        <f t="shared" si="248"/>
        <v>0</v>
      </c>
      <c r="W1973" s="196" t="e">
        <f t="shared" si="249"/>
        <v>#DIV/0!</v>
      </c>
      <c r="X1973" s="197" t="e">
        <f t="shared" si="250"/>
        <v>#DIV/0!</v>
      </c>
    </row>
    <row r="1974" ht="11.4" hidden="1" customHeight="1" spans="1:24">
      <c r="A1974" s="184" t="s">
        <v>3197</v>
      </c>
      <c r="B1974" s="184" t="s">
        <v>109</v>
      </c>
      <c r="C1974" s="184" t="s">
        <v>1101</v>
      </c>
      <c r="D1974" s="185" t="s">
        <v>704</v>
      </c>
      <c r="E1974" s="186" t="s">
        <v>906</v>
      </c>
      <c r="F1974" s="186" t="s">
        <v>907</v>
      </c>
      <c r="G1974" s="186" t="s">
        <v>1102</v>
      </c>
      <c r="H1974" s="186" t="s">
        <v>1479</v>
      </c>
      <c r="I1974" s="187" t="s">
        <v>1756</v>
      </c>
      <c r="J1974" s="187" t="s">
        <v>1757</v>
      </c>
      <c r="K1974" s="188"/>
      <c r="L1974" s="188"/>
      <c r="M1974" s="189" t="s">
        <v>1755</v>
      </c>
      <c r="N1974" s="190">
        <v>374.99</v>
      </c>
      <c r="O1974" s="190">
        <f t="shared" si="243"/>
        <v>408.74</v>
      </c>
      <c r="P1974" s="191">
        <f t="shared" si="244"/>
        <v>0</v>
      </c>
      <c r="Q1974" s="192">
        <f t="shared" si="245"/>
        <v>0</v>
      </c>
      <c r="R1974" s="193"/>
      <c r="S1974" s="194"/>
      <c r="T1974" s="195">
        <f t="shared" si="246"/>
        <v>0</v>
      </c>
      <c r="U1974" s="195">
        <f t="shared" si="247"/>
        <v>0</v>
      </c>
      <c r="V1974" s="195">
        <f t="shared" si="248"/>
        <v>0</v>
      </c>
      <c r="W1974" s="196" t="e">
        <f t="shared" si="249"/>
        <v>#DIV/0!</v>
      </c>
      <c r="X1974" s="197" t="e">
        <f t="shared" si="250"/>
        <v>#DIV/0!</v>
      </c>
    </row>
    <row r="1975" ht="11.4" hidden="1" customHeight="1" spans="1:24">
      <c r="A1975" s="184" t="s">
        <v>3197</v>
      </c>
      <c r="B1975" s="184" t="s">
        <v>109</v>
      </c>
      <c r="C1975" s="184" t="s">
        <v>1101</v>
      </c>
      <c r="D1975" s="185" t="s">
        <v>704</v>
      </c>
      <c r="E1975" s="186" t="s">
        <v>906</v>
      </c>
      <c r="F1975" s="186" t="s">
        <v>907</v>
      </c>
      <c r="G1975" s="186" t="s">
        <v>1102</v>
      </c>
      <c r="H1975" s="186" t="s">
        <v>1479</v>
      </c>
      <c r="I1975" s="187" t="s">
        <v>1758</v>
      </c>
      <c r="J1975" s="187" t="s">
        <v>1759</v>
      </c>
      <c r="K1975" s="188"/>
      <c r="L1975" s="188"/>
      <c r="M1975" s="189" t="s">
        <v>847</v>
      </c>
      <c r="N1975" s="190">
        <v>167.98</v>
      </c>
      <c r="O1975" s="190">
        <f t="shared" si="243"/>
        <v>183.1</v>
      </c>
      <c r="P1975" s="191">
        <f t="shared" si="244"/>
        <v>0</v>
      </c>
      <c r="Q1975" s="192">
        <f t="shared" si="245"/>
        <v>0</v>
      </c>
      <c r="R1975" s="193"/>
      <c r="S1975" s="194"/>
      <c r="T1975" s="195">
        <f t="shared" si="246"/>
        <v>0</v>
      </c>
      <c r="U1975" s="195">
        <f t="shared" si="247"/>
        <v>0</v>
      </c>
      <c r="V1975" s="195">
        <f t="shared" si="248"/>
        <v>0</v>
      </c>
      <c r="W1975" s="196" t="e">
        <f t="shared" si="249"/>
        <v>#DIV/0!</v>
      </c>
      <c r="X1975" s="197" t="e">
        <f t="shared" si="250"/>
        <v>#DIV/0!</v>
      </c>
    </row>
    <row r="1976" ht="11.4" hidden="1" customHeight="1" spans="1:24">
      <c r="A1976" s="184" t="s">
        <v>3197</v>
      </c>
      <c r="B1976" s="184" t="s">
        <v>109</v>
      </c>
      <c r="C1976" s="184" t="s">
        <v>1101</v>
      </c>
      <c r="D1976" s="185" t="s">
        <v>704</v>
      </c>
      <c r="E1976" s="186" t="s">
        <v>906</v>
      </c>
      <c r="F1976" s="186" t="s">
        <v>907</v>
      </c>
      <c r="G1976" s="186" t="s">
        <v>1102</v>
      </c>
      <c r="H1976" s="186" t="s">
        <v>1479</v>
      </c>
      <c r="I1976" s="187" t="s">
        <v>1760</v>
      </c>
      <c r="J1976" s="187" t="s">
        <v>1761</v>
      </c>
      <c r="K1976" s="188"/>
      <c r="L1976" s="188"/>
      <c r="M1976" s="189" t="s">
        <v>847</v>
      </c>
      <c r="N1976" s="190">
        <v>147.41</v>
      </c>
      <c r="O1976" s="190">
        <f t="shared" si="243"/>
        <v>160.68</v>
      </c>
      <c r="P1976" s="191">
        <f t="shared" si="244"/>
        <v>0</v>
      </c>
      <c r="Q1976" s="192">
        <f t="shared" si="245"/>
        <v>0</v>
      </c>
      <c r="R1976" s="193"/>
      <c r="S1976" s="194"/>
      <c r="T1976" s="195">
        <f t="shared" si="246"/>
        <v>0</v>
      </c>
      <c r="U1976" s="195">
        <f t="shared" si="247"/>
        <v>0</v>
      </c>
      <c r="V1976" s="195">
        <f t="shared" si="248"/>
        <v>0</v>
      </c>
      <c r="W1976" s="196" t="e">
        <f t="shared" si="249"/>
        <v>#DIV/0!</v>
      </c>
      <c r="X1976" s="197" t="e">
        <f t="shared" si="250"/>
        <v>#DIV/0!</v>
      </c>
    </row>
    <row r="1977" ht="11.4" hidden="1" customHeight="1" spans="1:24">
      <c r="A1977" s="184" t="s">
        <v>3197</v>
      </c>
      <c r="B1977" s="184" t="s">
        <v>109</v>
      </c>
      <c r="C1977" s="184" t="s">
        <v>1101</v>
      </c>
      <c r="D1977" s="185" t="s">
        <v>704</v>
      </c>
      <c r="E1977" s="186" t="s">
        <v>906</v>
      </c>
      <c r="F1977" s="186" t="s">
        <v>907</v>
      </c>
      <c r="G1977" s="186" t="s">
        <v>1102</v>
      </c>
      <c r="H1977" s="186" t="s">
        <v>1479</v>
      </c>
      <c r="I1977" s="187" t="s">
        <v>1294</v>
      </c>
      <c r="J1977" s="187" t="s">
        <v>1295</v>
      </c>
      <c r="K1977" s="188"/>
      <c r="L1977" s="188"/>
      <c r="M1977" s="189" t="s">
        <v>847</v>
      </c>
      <c r="N1977" s="190">
        <v>169.19</v>
      </c>
      <c r="O1977" s="190">
        <f t="shared" si="243"/>
        <v>184.42</v>
      </c>
      <c r="P1977" s="191">
        <f t="shared" si="244"/>
        <v>0</v>
      </c>
      <c r="Q1977" s="192">
        <f t="shared" si="245"/>
        <v>0</v>
      </c>
      <c r="R1977" s="193"/>
      <c r="S1977" s="194"/>
      <c r="T1977" s="195">
        <f t="shared" si="246"/>
        <v>0</v>
      </c>
      <c r="U1977" s="195">
        <f t="shared" si="247"/>
        <v>0</v>
      </c>
      <c r="V1977" s="195">
        <f t="shared" si="248"/>
        <v>0</v>
      </c>
      <c r="W1977" s="196" t="e">
        <f t="shared" si="249"/>
        <v>#DIV/0!</v>
      </c>
      <c r="X1977" s="197" t="e">
        <f t="shared" si="250"/>
        <v>#DIV/0!</v>
      </c>
    </row>
    <row r="1978" ht="11.4" hidden="1" customHeight="1" spans="1:24">
      <c r="A1978" s="184" t="s">
        <v>3197</v>
      </c>
      <c r="B1978" s="184" t="s">
        <v>109</v>
      </c>
      <c r="C1978" s="184" t="s">
        <v>1101</v>
      </c>
      <c r="D1978" s="185" t="s">
        <v>704</v>
      </c>
      <c r="E1978" s="186" t="s">
        <v>906</v>
      </c>
      <c r="F1978" s="186" t="s">
        <v>907</v>
      </c>
      <c r="G1978" s="186" t="s">
        <v>1102</v>
      </c>
      <c r="H1978" s="186" t="s">
        <v>1479</v>
      </c>
      <c r="I1978" s="187" t="s">
        <v>1314</v>
      </c>
      <c r="J1978" s="187" t="s">
        <v>1315</v>
      </c>
      <c r="K1978" s="188"/>
      <c r="L1978" s="188"/>
      <c r="M1978" s="189" t="s">
        <v>847</v>
      </c>
      <c r="N1978" s="190">
        <v>179.53</v>
      </c>
      <c r="O1978" s="190">
        <f t="shared" si="243"/>
        <v>195.69</v>
      </c>
      <c r="P1978" s="191">
        <f t="shared" si="244"/>
        <v>0</v>
      </c>
      <c r="Q1978" s="192">
        <f t="shared" si="245"/>
        <v>0</v>
      </c>
      <c r="R1978" s="193"/>
      <c r="S1978" s="194"/>
      <c r="T1978" s="195">
        <f t="shared" si="246"/>
        <v>0</v>
      </c>
      <c r="U1978" s="195">
        <f t="shared" si="247"/>
        <v>0</v>
      </c>
      <c r="V1978" s="195">
        <f t="shared" si="248"/>
        <v>0</v>
      </c>
      <c r="W1978" s="196" t="e">
        <f t="shared" si="249"/>
        <v>#DIV/0!</v>
      </c>
      <c r="X1978" s="197" t="e">
        <f t="shared" si="250"/>
        <v>#DIV/0!</v>
      </c>
    </row>
    <row r="1979" ht="11.4" hidden="1" customHeight="1" spans="1:24">
      <c r="A1979" s="184" t="s">
        <v>3197</v>
      </c>
      <c r="B1979" s="184" t="s">
        <v>109</v>
      </c>
      <c r="C1979" s="184" t="s">
        <v>1101</v>
      </c>
      <c r="D1979" s="185" t="s">
        <v>704</v>
      </c>
      <c r="E1979" s="186" t="s">
        <v>906</v>
      </c>
      <c r="F1979" s="186" t="s">
        <v>907</v>
      </c>
      <c r="G1979" s="186" t="s">
        <v>1102</v>
      </c>
      <c r="H1979" s="186" t="s">
        <v>1479</v>
      </c>
      <c r="I1979" s="187" t="s">
        <v>1316</v>
      </c>
      <c r="J1979" s="187" t="s">
        <v>1317</v>
      </c>
      <c r="K1979" s="188"/>
      <c r="L1979" s="188"/>
      <c r="M1979" s="189" t="s">
        <v>847</v>
      </c>
      <c r="N1979" s="190">
        <v>168.64</v>
      </c>
      <c r="O1979" s="190">
        <f t="shared" si="243"/>
        <v>183.82</v>
      </c>
      <c r="P1979" s="191">
        <f t="shared" si="244"/>
        <v>0</v>
      </c>
      <c r="Q1979" s="192">
        <f t="shared" si="245"/>
        <v>0</v>
      </c>
      <c r="R1979" s="193"/>
      <c r="S1979" s="194"/>
      <c r="T1979" s="195">
        <f t="shared" si="246"/>
        <v>0</v>
      </c>
      <c r="U1979" s="195">
        <f t="shared" si="247"/>
        <v>0</v>
      </c>
      <c r="V1979" s="195">
        <f t="shared" si="248"/>
        <v>0</v>
      </c>
      <c r="W1979" s="196" t="e">
        <f t="shared" si="249"/>
        <v>#DIV/0!</v>
      </c>
      <c r="X1979" s="197" t="e">
        <f t="shared" si="250"/>
        <v>#DIV/0!</v>
      </c>
    </row>
    <row r="1980" ht="11.4" hidden="1" customHeight="1" spans="1:24">
      <c r="A1980" s="184" t="s">
        <v>3197</v>
      </c>
      <c r="B1980" s="184" t="s">
        <v>109</v>
      </c>
      <c r="C1980" s="184" t="s">
        <v>1101</v>
      </c>
      <c r="D1980" s="185" t="s">
        <v>704</v>
      </c>
      <c r="E1980" s="186" t="s">
        <v>906</v>
      </c>
      <c r="F1980" s="186" t="s">
        <v>907</v>
      </c>
      <c r="G1980" s="186" t="s">
        <v>1102</v>
      </c>
      <c r="H1980" s="186" t="s">
        <v>1479</v>
      </c>
      <c r="I1980" s="187" t="s">
        <v>1318</v>
      </c>
      <c r="J1980" s="187" t="s">
        <v>1319</v>
      </c>
      <c r="K1980" s="188"/>
      <c r="L1980" s="188"/>
      <c r="M1980" s="189" t="s">
        <v>847</v>
      </c>
      <c r="N1980" s="190">
        <v>179.53</v>
      </c>
      <c r="O1980" s="190">
        <f t="shared" si="243"/>
        <v>195.69</v>
      </c>
      <c r="P1980" s="191">
        <f t="shared" si="244"/>
        <v>0</v>
      </c>
      <c r="Q1980" s="192">
        <f t="shared" si="245"/>
        <v>0</v>
      </c>
      <c r="R1980" s="193"/>
      <c r="S1980" s="194"/>
      <c r="T1980" s="195">
        <f t="shared" si="246"/>
        <v>0</v>
      </c>
      <c r="U1980" s="195">
        <f t="shared" si="247"/>
        <v>0</v>
      </c>
      <c r="V1980" s="195">
        <f t="shared" si="248"/>
        <v>0</v>
      </c>
      <c r="W1980" s="196" t="e">
        <f t="shared" si="249"/>
        <v>#DIV/0!</v>
      </c>
      <c r="X1980" s="197" t="e">
        <f t="shared" si="250"/>
        <v>#DIV/0!</v>
      </c>
    </row>
    <row r="1981" ht="11.4" hidden="1" customHeight="1" spans="1:24">
      <c r="A1981" s="184" t="s">
        <v>3197</v>
      </c>
      <c r="B1981" s="184" t="s">
        <v>109</v>
      </c>
      <c r="C1981" s="184" t="s">
        <v>1101</v>
      </c>
      <c r="D1981" s="185" t="s">
        <v>704</v>
      </c>
      <c r="E1981" s="186" t="s">
        <v>906</v>
      </c>
      <c r="F1981" s="186" t="s">
        <v>907</v>
      </c>
      <c r="G1981" s="186" t="s">
        <v>1102</v>
      </c>
      <c r="H1981" s="186" t="s">
        <v>1479</v>
      </c>
      <c r="I1981" s="187" t="s">
        <v>1175</v>
      </c>
      <c r="J1981" s="187" t="s">
        <v>1176</v>
      </c>
      <c r="K1981" s="188"/>
      <c r="L1981" s="188"/>
      <c r="M1981" s="189" t="s">
        <v>847</v>
      </c>
      <c r="N1981" s="190">
        <v>114.06</v>
      </c>
      <c r="O1981" s="190">
        <f t="shared" si="243"/>
        <v>124.33</v>
      </c>
      <c r="P1981" s="191">
        <f t="shared" si="244"/>
        <v>0</v>
      </c>
      <c r="Q1981" s="192">
        <f t="shared" si="245"/>
        <v>0</v>
      </c>
      <c r="R1981" s="193"/>
      <c r="S1981" s="194"/>
      <c r="T1981" s="195">
        <f t="shared" si="246"/>
        <v>0</v>
      </c>
      <c r="U1981" s="195">
        <f t="shared" si="247"/>
        <v>0</v>
      </c>
      <c r="V1981" s="195">
        <f t="shared" si="248"/>
        <v>0</v>
      </c>
      <c r="W1981" s="196" t="e">
        <f t="shared" si="249"/>
        <v>#DIV/0!</v>
      </c>
      <c r="X1981" s="197" t="e">
        <f t="shared" si="250"/>
        <v>#DIV/0!</v>
      </c>
    </row>
    <row r="1982" ht="11.4" hidden="1" customHeight="1" spans="1:24">
      <c r="A1982" s="184" t="s">
        <v>3197</v>
      </c>
      <c r="B1982" s="184" t="s">
        <v>109</v>
      </c>
      <c r="C1982" s="184" t="s">
        <v>1101</v>
      </c>
      <c r="D1982" s="185" t="s">
        <v>704</v>
      </c>
      <c r="E1982" s="186" t="s">
        <v>906</v>
      </c>
      <c r="F1982" s="186" t="s">
        <v>907</v>
      </c>
      <c r="G1982" s="186" t="s">
        <v>1102</v>
      </c>
      <c r="H1982" s="186" t="s">
        <v>1479</v>
      </c>
      <c r="I1982" s="187" t="s">
        <v>1178</v>
      </c>
      <c r="J1982" s="187" t="s">
        <v>1179</v>
      </c>
      <c r="K1982" s="188"/>
      <c r="L1982" s="188"/>
      <c r="M1982" s="189" t="s">
        <v>847</v>
      </c>
      <c r="N1982" s="190">
        <v>197.83</v>
      </c>
      <c r="O1982" s="190">
        <f t="shared" si="243"/>
        <v>215.63</v>
      </c>
      <c r="P1982" s="191">
        <f t="shared" si="244"/>
        <v>0</v>
      </c>
      <c r="Q1982" s="192">
        <f t="shared" si="245"/>
        <v>0</v>
      </c>
      <c r="R1982" s="193"/>
      <c r="S1982" s="194"/>
      <c r="T1982" s="195">
        <f t="shared" si="246"/>
        <v>0</v>
      </c>
      <c r="U1982" s="195">
        <f t="shared" si="247"/>
        <v>0</v>
      </c>
      <c r="V1982" s="195">
        <f t="shared" si="248"/>
        <v>0</v>
      </c>
      <c r="W1982" s="196" t="e">
        <f t="shared" si="249"/>
        <v>#DIV/0!</v>
      </c>
      <c r="X1982" s="197" t="e">
        <f t="shared" si="250"/>
        <v>#DIV/0!</v>
      </c>
    </row>
    <row r="1983" ht="11.4" hidden="1" customHeight="1" spans="1:24">
      <c r="A1983" s="184" t="s">
        <v>3197</v>
      </c>
      <c r="B1983" s="184" t="s">
        <v>109</v>
      </c>
      <c r="C1983" s="184" t="s">
        <v>1101</v>
      </c>
      <c r="D1983" s="185" t="s">
        <v>704</v>
      </c>
      <c r="E1983" s="186" t="s">
        <v>906</v>
      </c>
      <c r="F1983" s="186" t="s">
        <v>907</v>
      </c>
      <c r="G1983" s="186" t="s">
        <v>1102</v>
      </c>
      <c r="H1983" s="186" t="s">
        <v>1479</v>
      </c>
      <c r="I1983" s="187" t="s">
        <v>1181</v>
      </c>
      <c r="J1983" s="187" t="s">
        <v>1182</v>
      </c>
      <c r="K1983" s="188"/>
      <c r="L1983" s="188"/>
      <c r="M1983" s="189" t="s">
        <v>847</v>
      </c>
      <c r="N1983" s="190">
        <v>182.9</v>
      </c>
      <c r="O1983" s="190">
        <f t="shared" si="243"/>
        <v>199.36</v>
      </c>
      <c r="P1983" s="191">
        <f t="shared" si="244"/>
        <v>0</v>
      </c>
      <c r="Q1983" s="192">
        <f t="shared" si="245"/>
        <v>0</v>
      </c>
      <c r="R1983" s="193"/>
      <c r="S1983" s="194"/>
      <c r="T1983" s="195">
        <f t="shared" si="246"/>
        <v>0</v>
      </c>
      <c r="U1983" s="195">
        <f t="shared" si="247"/>
        <v>0</v>
      </c>
      <c r="V1983" s="195">
        <f t="shared" si="248"/>
        <v>0</v>
      </c>
      <c r="W1983" s="196" t="e">
        <f t="shared" si="249"/>
        <v>#DIV/0!</v>
      </c>
      <c r="X1983" s="197" t="e">
        <f t="shared" si="250"/>
        <v>#DIV/0!</v>
      </c>
    </row>
    <row r="1984" ht="11.4" hidden="1" customHeight="1" spans="1:24">
      <c r="A1984" s="184" t="s">
        <v>3197</v>
      </c>
      <c r="B1984" s="184" t="s">
        <v>109</v>
      </c>
      <c r="C1984" s="184" t="s">
        <v>1101</v>
      </c>
      <c r="D1984" s="185" t="s">
        <v>704</v>
      </c>
      <c r="E1984" s="186" t="s">
        <v>906</v>
      </c>
      <c r="F1984" s="186" t="s">
        <v>907</v>
      </c>
      <c r="G1984" s="186" t="s">
        <v>1102</v>
      </c>
      <c r="H1984" s="186" t="s">
        <v>1479</v>
      </c>
      <c r="I1984" s="187" t="s">
        <v>1183</v>
      </c>
      <c r="J1984" s="187" t="s">
        <v>1184</v>
      </c>
      <c r="K1984" s="188"/>
      <c r="L1984" s="188"/>
      <c r="M1984" s="189" t="s">
        <v>847</v>
      </c>
      <c r="N1984" s="190">
        <v>186.66</v>
      </c>
      <c r="O1984" s="190">
        <f t="shared" si="243"/>
        <v>203.46</v>
      </c>
      <c r="P1984" s="191">
        <f t="shared" si="244"/>
        <v>0</v>
      </c>
      <c r="Q1984" s="192">
        <f t="shared" si="245"/>
        <v>0</v>
      </c>
      <c r="R1984" s="193"/>
      <c r="S1984" s="194"/>
      <c r="T1984" s="195">
        <f t="shared" si="246"/>
        <v>0</v>
      </c>
      <c r="U1984" s="195">
        <f t="shared" si="247"/>
        <v>0</v>
      </c>
      <c r="V1984" s="195">
        <f t="shared" si="248"/>
        <v>0</v>
      </c>
      <c r="W1984" s="196" t="e">
        <f t="shared" si="249"/>
        <v>#DIV/0!</v>
      </c>
      <c r="X1984" s="197" t="e">
        <f t="shared" si="250"/>
        <v>#DIV/0!</v>
      </c>
    </row>
    <row r="1985" ht="11.4" hidden="1" customHeight="1" spans="1:24">
      <c r="A1985" s="184" t="s">
        <v>3197</v>
      </c>
      <c r="B1985" s="184" t="s">
        <v>109</v>
      </c>
      <c r="C1985" s="184" t="s">
        <v>1101</v>
      </c>
      <c r="D1985" s="185" t="s">
        <v>704</v>
      </c>
      <c r="E1985" s="186" t="s">
        <v>906</v>
      </c>
      <c r="F1985" s="186" t="s">
        <v>907</v>
      </c>
      <c r="G1985" s="186" t="s">
        <v>1102</v>
      </c>
      <c r="H1985" s="186" t="s">
        <v>1479</v>
      </c>
      <c r="I1985" s="187" t="s">
        <v>1185</v>
      </c>
      <c r="J1985" s="187" t="s">
        <v>1186</v>
      </c>
      <c r="K1985" s="188"/>
      <c r="L1985" s="188"/>
      <c r="M1985" s="189" t="s">
        <v>847</v>
      </c>
      <c r="N1985" s="190">
        <v>174.35</v>
      </c>
      <c r="O1985" s="190">
        <f t="shared" si="243"/>
        <v>190.04</v>
      </c>
      <c r="P1985" s="191">
        <f t="shared" si="244"/>
        <v>0</v>
      </c>
      <c r="Q1985" s="192">
        <f t="shared" si="245"/>
        <v>0</v>
      </c>
      <c r="R1985" s="193"/>
      <c r="S1985" s="194"/>
      <c r="T1985" s="195">
        <f t="shared" si="246"/>
        <v>0</v>
      </c>
      <c r="U1985" s="195">
        <f t="shared" si="247"/>
        <v>0</v>
      </c>
      <c r="V1985" s="195">
        <f t="shared" si="248"/>
        <v>0</v>
      </c>
      <c r="W1985" s="196" t="e">
        <f t="shared" si="249"/>
        <v>#DIV/0!</v>
      </c>
      <c r="X1985" s="197" t="e">
        <f t="shared" si="250"/>
        <v>#DIV/0!</v>
      </c>
    </row>
    <row r="1986" ht="11.4" hidden="1" customHeight="1" spans="1:24">
      <c r="A1986" s="184" t="s">
        <v>3197</v>
      </c>
      <c r="B1986" s="184" t="s">
        <v>109</v>
      </c>
      <c r="C1986" s="184" t="s">
        <v>1101</v>
      </c>
      <c r="D1986" s="185" t="s">
        <v>704</v>
      </c>
      <c r="E1986" s="186" t="s">
        <v>906</v>
      </c>
      <c r="F1986" s="186" t="s">
        <v>907</v>
      </c>
      <c r="G1986" s="186" t="s">
        <v>1102</v>
      </c>
      <c r="H1986" s="186" t="s">
        <v>1479</v>
      </c>
      <c r="I1986" s="187" t="s">
        <v>1193</v>
      </c>
      <c r="J1986" s="187" t="s">
        <v>1194</v>
      </c>
      <c r="K1986" s="188"/>
      <c r="L1986" s="188"/>
      <c r="M1986" s="189" t="s">
        <v>847</v>
      </c>
      <c r="N1986" s="190">
        <v>70.85</v>
      </c>
      <c r="O1986" s="190">
        <f t="shared" si="243"/>
        <v>77.23</v>
      </c>
      <c r="P1986" s="191">
        <f t="shared" si="244"/>
        <v>0</v>
      </c>
      <c r="Q1986" s="192">
        <f t="shared" si="245"/>
        <v>0</v>
      </c>
      <c r="R1986" s="193"/>
      <c r="S1986" s="194"/>
      <c r="T1986" s="195">
        <f t="shared" si="246"/>
        <v>0</v>
      </c>
      <c r="U1986" s="195">
        <f t="shared" si="247"/>
        <v>0</v>
      </c>
      <c r="V1986" s="195">
        <f t="shared" si="248"/>
        <v>0</v>
      </c>
      <c r="W1986" s="196" t="e">
        <f t="shared" si="249"/>
        <v>#DIV/0!</v>
      </c>
      <c r="X1986" s="197" t="e">
        <f t="shared" si="250"/>
        <v>#DIV/0!</v>
      </c>
    </row>
    <row r="1987" ht="11.4" hidden="1" customHeight="1" spans="1:24">
      <c r="A1987" s="184" t="s">
        <v>3197</v>
      </c>
      <c r="B1987" s="184" t="s">
        <v>109</v>
      </c>
      <c r="C1987" s="184" t="s">
        <v>1101</v>
      </c>
      <c r="D1987" s="185" t="s">
        <v>704</v>
      </c>
      <c r="E1987" s="186" t="s">
        <v>906</v>
      </c>
      <c r="F1987" s="186" t="s">
        <v>907</v>
      </c>
      <c r="G1987" s="186" t="s">
        <v>1102</v>
      </c>
      <c r="H1987" s="186" t="s">
        <v>1479</v>
      </c>
      <c r="I1987" s="187" t="s">
        <v>1195</v>
      </c>
      <c r="J1987" s="187" t="s">
        <v>1196</v>
      </c>
      <c r="K1987" s="188"/>
      <c r="L1987" s="188"/>
      <c r="M1987" s="189" t="s">
        <v>847</v>
      </c>
      <c r="N1987" s="190">
        <v>307.56</v>
      </c>
      <c r="O1987" s="190">
        <f t="shared" si="243"/>
        <v>335.24</v>
      </c>
      <c r="P1987" s="191">
        <f t="shared" si="244"/>
        <v>0</v>
      </c>
      <c r="Q1987" s="192">
        <f t="shared" si="245"/>
        <v>0</v>
      </c>
      <c r="R1987" s="193"/>
      <c r="S1987" s="194"/>
      <c r="T1987" s="195">
        <f t="shared" si="246"/>
        <v>0</v>
      </c>
      <c r="U1987" s="195">
        <f t="shared" si="247"/>
        <v>0</v>
      </c>
      <c r="V1987" s="195">
        <f t="shared" si="248"/>
        <v>0</v>
      </c>
      <c r="W1987" s="196" t="e">
        <f t="shared" si="249"/>
        <v>#DIV/0!</v>
      </c>
      <c r="X1987" s="197" t="e">
        <f t="shared" si="250"/>
        <v>#DIV/0!</v>
      </c>
    </row>
    <row r="1988" ht="11.4" hidden="1" customHeight="1" spans="1:24">
      <c r="A1988" s="184" t="s">
        <v>3197</v>
      </c>
      <c r="B1988" s="184" t="s">
        <v>109</v>
      </c>
      <c r="C1988" s="184" t="s">
        <v>1101</v>
      </c>
      <c r="D1988" s="185" t="s">
        <v>704</v>
      </c>
      <c r="E1988" s="186" t="s">
        <v>906</v>
      </c>
      <c r="F1988" s="186" t="s">
        <v>907</v>
      </c>
      <c r="G1988" s="186" t="s">
        <v>1102</v>
      </c>
      <c r="H1988" s="186" t="s">
        <v>1479</v>
      </c>
      <c r="I1988" s="187" t="s">
        <v>1197</v>
      </c>
      <c r="J1988" s="187" t="s">
        <v>1198</v>
      </c>
      <c r="K1988" s="188"/>
      <c r="L1988" s="188"/>
      <c r="M1988" s="189" t="s">
        <v>847</v>
      </c>
      <c r="N1988" s="190">
        <v>39.59</v>
      </c>
      <c r="O1988" s="190">
        <f t="shared" si="243"/>
        <v>43.15</v>
      </c>
      <c r="P1988" s="191">
        <f t="shared" si="244"/>
        <v>0</v>
      </c>
      <c r="Q1988" s="192">
        <f t="shared" si="245"/>
        <v>0</v>
      </c>
      <c r="R1988" s="193"/>
      <c r="S1988" s="194"/>
      <c r="T1988" s="195">
        <f t="shared" si="246"/>
        <v>0</v>
      </c>
      <c r="U1988" s="195">
        <f t="shared" si="247"/>
        <v>0</v>
      </c>
      <c r="V1988" s="195">
        <f t="shared" si="248"/>
        <v>0</v>
      </c>
      <c r="W1988" s="196" t="e">
        <f t="shared" si="249"/>
        <v>#DIV/0!</v>
      </c>
      <c r="X1988" s="197" t="e">
        <f t="shared" si="250"/>
        <v>#DIV/0!</v>
      </c>
    </row>
    <row r="1989" ht="11.4" hidden="1" customHeight="1" spans="1:24">
      <c r="A1989" s="184" t="s">
        <v>3197</v>
      </c>
      <c r="B1989" s="184" t="s">
        <v>109</v>
      </c>
      <c r="C1989" s="184" t="s">
        <v>1101</v>
      </c>
      <c r="D1989" s="185" t="s">
        <v>704</v>
      </c>
      <c r="E1989" s="186" t="s">
        <v>906</v>
      </c>
      <c r="F1989" s="186" t="s">
        <v>907</v>
      </c>
      <c r="G1989" s="186" t="s">
        <v>1102</v>
      </c>
      <c r="H1989" s="186" t="s">
        <v>1479</v>
      </c>
      <c r="I1989" s="187" t="s">
        <v>1559</v>
      </c>
      <c r="J1989" s="187" t="s">
        <v>1560</v>
      </c>
      <c r="K1989" s="188"/>
      <c r="L1989" s="188"/>
      <c r="M1989" s="189" t="s">
        <v>847</v>
      </c>
      <c r="N1989" s="190">
        <v>58.39</v>
      </c>
      <c r="O1989" s="190">
        <f t="shared" si="243"/>
        <v>63.65</v>
      </c>
      <c r="P1989" s="191">
        <f t="shared" si="244"/>
        <v>0</v>
      </c>
      <c r="Q1989" s="192">
        <f t="shared" si="245"/>
        <v>0</v>
      </c>
      <c r="R1989" s="193"/>
      <c r="S1989" s="194"/>
      <c r="T1989" s="195">
        <f t="shared" si="246"/>
        <v>0</v>
      </c>
      <c r="U1989" s="195">
        <f t="shared" si="247"/>
        <v>0</v>
      </c>
      <c r="V1989" s="195">
        <f t="shared" si="248"/>
        <v>0</v>
      </c>
      <c r="W1989" s="196" t="e">
        <f t="shared" si="249"/>
        <v>#DIV/0!</v>
      </c>
      <c r="X1989" s="197" t="e">
        <f t="shared" si="250"/>
        <v>#DIV/0!</v>
      </c>
    </row>
    <row r="1990" ht="11.4" hidden="1" customHeight="1" spans="1:24">
      <c r="A1990" s="184" t="s">
        <v>3197</v>
      </c>
      <c r="B1990" s="184" t="s">
        <v>109</v>
      </c>
      <c r="C1990" s="184" t="s">
        <v>1101</v>
      </c>
      <c r="D1990" s="185" t="s">
        <v>704</v>
      </c>
      <c r="E1990" s="186" t="s">
        <v>906</v>
      </c>
      <c r="F1990" s="186" t="s">
        <v>907</v>
      </c>
      <c r="G1990" s="186" t="s">
        <v>1102</v>
      </c>
      <c r="H1990" s="186" t="s">
        <v>1479</v>
      </c>
      <c r="I1990" s="187" t="s">
        <v>1203</v>
      </c>
      <c r="J1990" s="187" t="s">
        <v>1204</v>
      </c>
      <c r="K1990" s="188"/>
      <c r="L1990" s="188"/>
      <c r="M1990" s="189" t="s">
        <v>847</v>
      </c>
      <c r="N1990" s="190">
        <v>17.39</v>
      </c>
      <c r="O1990" s="190">
        <f t="shared" si="243"/>
        <v>18.96</v>
      </c>
      <c r="P1990" s="191">
        <f t="shared" si="244"/>
        <v>0</v>
      </c>
      <c r="Q1990" s="192">
        <f t="shared" si="245"/>
        <v>0</v>
      </c>
      <c r="R1990" s="193"/>
      <c r="S1990" s="194"/>
      <c r="T1990" s="195">
        <f t="shared" si="246"/>
        <v>0</v>
      </c>
      <c r="U1990" s="195">
        <f t="shared" si="247"/>
        <v>0</v>
      </c>
      <c r="V1990" s="195">
        <f t="shared" si="248"/>
        <v>0</v>
      </c>
      <c r="W1990" s="196" t="e">
        <f t="shared" si="249"/>
        <v>#DIV/0!</v>
      </c>
      <c r="X1990" s="197" t="e">
        <f t="shared" si="250"/>
        <v>#DIV/0!</v>
      </c>
    </row>
    <row r="1991" ht="11.4" hidden="1" customHeight="1" spans="1:24">
      <c r="A1991" s="184" t="s">
        <v>3197</v>
      </c>
      <c r="B1991" s="184" t="s">
        <v>109</v>
      </c>
      <c r="C1991" s="184" t="s">
        <v>1101</v>
      </c>
      <c r="D1991" s="185" t="s">
        <v>704</v>
      </c>
      <c r="E1991" s="186" t="s">
        <v>906</v>
      </c>
      <c r="F1991" s="186" t="s">
        <v>907</v>
      </c>
      <c r="G1991" s="186" t="s">
        <v>1102</v>
      </c>
      <c r="H1991" s="186" t="s">
        <v>1763</v>
      </c>
      <c r="I1991" s="187" t="s">
        <v>1723</v>
      </c>
      <c r="J1991" s="187" t="s">
        <v>1724</v>
      </c>
      <c r="K1991" s="188"/>
      <c r="L1991" s="188"/>
      <c r="M1991" s="189" t="s">
        <v>847</v>
      </c>
      <c r="N1991" s="190">
        <v>132.76</v>
      </c>
      <c r="O1991" s="190">
        <f t="shared" si="243"/>
        <v>144.71</v>
      </c>
      <c r="P1991" s="191">
        <f t="shared" si="244"/>
        <v>0</v>
      </c>
      <c r="Q1991" s="192">
        <f t="shared" si="245"/>
        <v>0</v>
      </c>
      <c r="R1991" s="193"/>
      <c r="S1991" s="194"/>
      <c r="T1991" s="195">
        <f t="shared" si="246"/>
        <v>0</v>
      </c>
      <c r="U1991" s="195">
        <f t="shared" si="247"/>
        <v>0</v>
      </c>
      <c r="V1991" s="195">
        <f t="shared" si="248"/>
        <v>0</v>
      </c>
      <c r="W1991" s="196" t="e">
        <f t="shared" si="249"/>
        <v>#DIV/0!</v>
      </c>
      <c r="X1991" s="197" t="e">
        <f t="shared" si="250"/>
        <v>#DIV/0!</v>
      </c>
    </row>
    <row r="1992" ht="11.4" hidden="1" customHeight="1" spans="1:24">
      <c r="A1992" s="184" t="s">
        <v>3197</v>
      </c>
      <c r="B1992" s="184" t="s">
        <v>109</v>
      </c>
      <c r="C1992" s="184" t="s">
        <v>1101</v>
      </c>
      <c r="D1992" s="185" t="s">
        <v>704</v>
      </c>
      <c r="E1992" s="186" t="s">
        <v>906</v>
      </c>
      <c r="F1992" s="186" t="s">
        <v>907</v>
      </c>
      <c r="G1992" s="186" t="s">
        <v>1102</v>
      </c>
      <c r="H1992" s="186" t="s">
        <v>1763</v>
      </c>
      <c r="I1992" s="187" t="s">
        <v>1764</v>
      </c>
      <c r="J1992" s="187" t="s">
        <v>1765</v>
      </c>
      <c r="K1992" s="188"/>
      <c r="L1992" s="188"/>
      <c r="M1992" s="189" t="s">
        <v>847</v>
      </c>
      <c r="N1992" s="190">
        <v>139.73</v>
      </c>
      <c r="O1992" s="190">
        <f t="shared" si="243"/>
        <v>152.31</v>
      </c>
      <c r="P1992" s="191">
        <f t="shared" si="244"/>
        <v>0</v>
      </c>
      <c r="Q1992" s="192">
        <f t="shared" si="245"/>
        <v>0</v>
      </c>
      <c r="R1992" s="193"/>
      <c r="S1992" s="194"/>
      <c r="T1992" s="195">
        <f t="shared" si="246"/>
        <v>0</v>
      </c>
      <c r="U1992" s="195">
        <f t="shared" si="247"/>
        <v>0</v>
      </c>
      <c r="V1992" s="195">
        <f t="shared" si="248"/>
        <v>0</v>
      </c>
      <c r="W1992" s="196" t="e">
        <f t="shared" si="249"/>
        <v>#DIV/0!</v>
      </c>
      <c r="X1992" s="197" t="e">
        <f t="shared" si="250"/>
        <v>#DIV/0!</v>
      </c>
    </row>
    <row r="1993" ht="11.4" hidden="1" customHeight="1" spans="1:24">
      <c r="A1993" s="184" t="s">
        <v>3197</v>
      </c>
      <c r="B1993" s="184" t="s">
        <v>109</v>
      </c>
      <c r="C1993" s="184" t="s">
        <v>1101</v>
      </c>
      <c r="D1993" s="185" t="s">
        <v>704</v>
      </c>
      <c r="E1993" s="186" t="s">
        <v>906</v>
      </c>
      <c r="F1993" s="186" t="s">
        <v>907</v>
      </c>
      <c r="G1993" s="186" t="s">
        <v>1102</v>
      </c>
      <c r="H1993" s="186" t="s">
        <v>1763</v>
      </c>
      <c r="I1993" s="187" t="s">
        <v>1359</v>
      </c>
      <c r="J1993" s="187" t="s">
        <v>1360</v>
      </c>
      <c r="K1993" s="188"/>
      <c r="L1993" s="188"/>
      <c r="M1993" s="189" t="s">
        <v>847</v>
      </c>
      <c r="N1993" s="190">
        <v>127.36</v>
      </c>
      <c r="O1993" s="190">
        <f t="shared" si="243"/>
        <v>138.82</v>
      </c>
      <c r="P1993" s="191">
        <f t="shared" si="244"/>
        <v>0</v>
      </c>
      <c r="Q1993" s="192">
        <f t="shared" si="245"/>
        <v>0</v>
      </c>
      <c r="R1993" s="193"/>
      <c r="S1993" s="194"/>
      <c r="T1993" s="195">
        <f t="shared" si="246"/>
        <v>0</v>
      </c>
      <c r="U1993" s="195">
        <f t="shared" si="247"/>
        <v>0</v>
      </c>
      <c r="V1993" s="195">
        <f t="shared" si="248"/>
        <v>0</v>
      </c>
      <c r="W1993" s="196" t="e">
        <f t="shared" si="249"/>
        <v>#DIV/0!</v>
      </c>
      <c r="X1993" s="197" t="e">
        <f t="shared" si="250"/>
        <v>#DIV/0!</v>
      </c>
    </row>
    <row r="1994" ht="11.4" hidden="1" customHeight="1" spans="1:24">
      <c r="A1994" s="184" t="s">
        <v>3197</v>
      </c>
      <c r="B1994" s="184" t="s">
        <v>109</v>
      </c>
      <c r="C1994" s="184" t="s">
        <v>1101</v>
      </c>
      <c r="D1994" s="185" t="s">
        <v>704</v>
      </c>
      <c r="E1994" s="186" t="s">
        <v>906</v>
      </c>
      <c r="F1994" s="186" t="s">
        <v>907</v>
      </c>
      <c r="G1994" s="186" t="s">
        <v>1102</v>
      </c>
      <c r="H1994" s="186" t="s">
        <v>1763</v>
      </c>
      <c r="I1994" s="187" t="s">
        <v>1362</v>
      </c>
      <c r="J1994" s="187" t="s">
        <v>1363</v>
      </c>
      <c r="K1994" s="188"/>
      <c r="L1994" s="188"/>
      <c r="M1994" s="189" t="s">
        <v>847</v>
      </c>
      <c r="N1994" s="190">
        <v>138.36</v>
      </c>
      <c r="O1994" s="190">
        <f t="shared" si="243"/>
        <v>150.81</v>
      </c>
      <c r="P1994" s="191">
        <f t="shared" si="244"/>
        <v>0</v>
      </c>
      <c r="Q1994" s="192">
        <f t="shared" si="245"/>
        <v>0</v>
      </c>
      <c r="R1994" s="193"/>
      <c r="S1994" s="194"/>
      <c r="T1994" s="195">
        <f t="shared" si="246"/>
        <v>0</v>
      </c>
      <c r="U1994" s="195">
        <f t="shared" si="247"/>
        <v>0</v>
      </c>
      <c r="V1994" s="195">
        <f t="shared" si="248"/>
        <v>0</v>
      </c>
      <c r="W1994" s="196" t="e">
        <f t="shared" si="249"/>
        <v>#DIV/0!</v>
      </c>
      <c r="X1994" s="197" t="e">
        <f t="shared" si="250"/>
        <v>#DIV/0!</v>
      </c>
    </row>
    <row r="1995" ht="11.4" hidden="1" customHeight="1" spans="1:24">
      <c r="A1995" s="184" t="s">
        <v>3197</v>
      </c>
      <c r="B1995" s="184" t="s">
        <v>109</v>
      </c>
      <c r="C1995" s="184" t="s">
        <v>1101</v>
      </c>
      <c r="D1995" s="185" t="s">
        <v>704</v>
      </c>
      <c r="E1995" s="186" t="s">
        <v>906</v>
      </c>
      <c r="F1995" s="186" t="s">
        <v>907</v>
      </c>
      <c r="G1995" s="186" t="s">
        <v>1102</v>
      </c>
      <c r="H1995" s="186" t="s">
        <v>1763</v>
      </c>
      <c r="I1995" s="187" t="s">
        <v>1766</v>
      </c>
      <c r="J1995" s="187" t="s">
        <v>1767</v>
      </c>
      <c r="K1995" s="188"/>
      <c r="L1995" s="188"/>
      <c r="M1995" s="189" t="s">
        <v>807</v>
      </c>
      <c r="N1995" s="190">
        <v>323.64</v>
      </c>
      <c r="O1995" s="190">
        <f t="shared" si="243"/>
        <v>352.77</v>
      </c>
      <c r="P1995" s="191">
        <f t="shared" si="244"/>
        <v>0</v>
      </c>
      <c r="Q1995" s="192">
        <f t="shared" si="245"/>
        <v>0</v>
      </c>
      <c r="R1995" s="193"/>
      <c r="S1995" s="194"/>
      <c r="T1995" s="195">
        <f t="shared" si="246"/>
        <v>0</v>
      </c>
      <c r="U1995" s="195">
        <f t="shared" si="247"/>
        <v>0</v>
      </c>
      <c r="V1995" s="195">
        <f t="shared" si="248"/>
        <v>0</v>
      </c>
      <c r="W1995" s="196" t="e">
        <f t="shared" si="249"/>
        <v>#DIV/0!</v>
      </c>
      <c r="X1995" s="197" t="e">
        <f t="shared" si="250"/>
        <v>#DIV/0!</v>
      </c>
    </row>
    <row r="1996" ht="11.4" hidden="1" customHeight="1" spans="1:24">
      <c r="A1996" s="184" t="s">
        <v>3197</v>
      </c>
      <c r="B1996" s="184" t="s">
        <v>109</v>
      </c>
      <c r="C1996" s="184" t="s">
        <v>1101</v>
      </c>
      <c r="D1996" s="185" t="s">
        <v>704</v>
      </c>
      <c r="E1996" s="186" t="s">
        <v>906</v>
      </c>
      <c r="F1996" s="186" t="s">
        <v>907</v>
      </c>
      <c r="G1996" s="186" t="s">
        <v>1102</v>
      </c>
      <c r="H1996" s="186" t="s">
        <v>1768</v>
      </c>
      <c r="I1996" s="187" t="s">
        <v>1769</v>
      </c>
      <c r="J1996" s="187" t="s">
        <v>1770</v>
      </c>
      <c r="K1996" s="188"/>
      <c r="L1996" s="188"/>
      <c r="M1996" s="189" t="s">
        <v>807</v>
      </c>
      <c r="N1996" s="190">
        <v>1368.15</v>
      </c>
      <c r="O1996" s="190">
        <f t="shared" si="243"/>
        <v>1491.28</v>
      </c>
      <c r="P1996" s="191">
        <f t="shared" si="244"/>
        <v>0</v>
      </c>
      <c r="Q1996" s="192">
        <f t="shared" si="245"/>
        <v>0</v>
      </c>
      <c r="R1996" s="193"/>
      <c r="S1996" s="194"/>
      <c r="T1996" s="195">
        <f t="shared" si="246"/>
        <v>0</v>
      </c>
      <c r="U1996" s="195">
        <f t="shared" si="247"/>
        <v>0</v>
      </c>
      <c r="V1996" s="195">
        <f t="shared" si="248"/>
        <v>0</v>
      </c>
      <c r="W1996" s="196" t="e">
        <f t="shared" si="249"/>
        <v>#DIV/0!</v>
      </c>
      <c r="X1996" s="197" t="e">
        <f t="shared" si="250"/>
        <v>#DIV/0!</v>
      </c>
    </row>
    <row r="1997" ht="11.4" hidden="1" customHeight="1" spans="1:24">
      <c r="A1997" s="184" t="s">
        <v>3197</v>
      </c>
      <c r="B1997" s="184" t="s">
        <v>109</v>
      </c>
      <c r="C1997" s="184" t="s">
        <v>1101</v>
      </c>
      <c r="D1997" s="185" t="s">
        <v>704</v>
      </c>
      <c r="E1997" s="186" t="s">
        <v>906</v>
      </c>
      <c r="F1997" s="186" t="s">
        <v>907</v>
      </c>
      <c r="G1997" s="186" t="s">
        <v>1102</v>
      </c>
      <c r="H1997" s="186" t="s">
        <v>1768</v>
      </c>
      <c r="I1997" s="187" t="s">
        <v>1771</v>
      </c>
      <c r="J1997" s="187" t="s">
        <v>1772</v>
      </c>
      <c r="K1997" s="188"/>
      <c r="L1997" s="188"/>
      <c r="M1997" s="189" t="s">
        <v>793</v>
      </c>
      <c r="N1997" s="190">
        <v>1175</v>
      </c>
      <c r="O1997" s="190">
        <f t="shared" ref="O1997:O2060" si="251">ROUND(N1997*(1+$F$10),2)</f>
        <v>1280.75</v>
      </c>
      <c r="P1997" s="191">
        <f t="shared" ref="P1997:P2060" si="252">ROUND(K1997*N1997,2)</f>
        <v>0</v>
      </c>
      <c r="Q1997" s="192">
        <f t="shared" ref="Q1997:Q2060" si="253">ROUND(L1997*N1997,2)</f>
        <v>0</v>
      </c>
      <c r="R1997" s="193"/>
      <c r="S1997" s="194"/>
      <c r="T1997" s="195">
        <f t="shared" ref="T1997:T2060" si="254">K1997-L1997</f>
        <v>0</v>
      </c>
      <c r="U1997" s="195">
        <f t="shared" ref="U1997:U2060" si="255">P1997-Q1997</f>
        <v>0</v>
      </c>
      <c r="V1997" s="195">
        <f t="shared" ref="V1997:V2060" si="256">ABS(U1997)</f>
        <v>0</v>
      </c>
      <c r="W1997" s="196" t="e">
        <f t="shared" ref="W1997:W2060" si="257">T1997/L1997</f>
        <v>#DIV/0!</v>
      </c>
      <c r="X1997" s="197" t="e">
        <f t="shared" ref="X1997:X2060" si="258">ABS(W1997)</f>
        <v>#DIV/0!</v>
      </c>
    </row>
    <row r="1998" ht="11.4" hidden="1" customHeight="1" spans="1:24">
      <c r="A1998" s="184" t="s">
        <v>3197</v>
      </c>
      <c r="B1998" s="184" t="s">
        <v>109</v>
      </c>
      <c r="C1998" s="184" t="s">
        <v>1101</v>
      </c>
      <c r="D1998" s="185" t="s">
        <v>704</v>
      </c>
      <c r="E1998" s="186" t="s">
        <v>906</v>
      </c>
      <c r="F1998" s="186" t="s">
        <v>907</v>
      </c>
      <c r="G1998" s="186" t="s">
        <v>1102</v>
      </c>
      <c r="H1998" s="186" t="s">
        <v>1768</v>
      </c>
      <c r="I1998" s="187" t="s">
        <v>1774</v>
      </c>
      <c r="J1998" s="187" t="s">
        <v>1775</v>
      </c>
      <c r="K1998" s="188"/>
      <c r="L1998" s="188"/>
      <c r="M1998" s="189" t="s">
        <v>793</v>
      </c>
      <c r="N1998" s="190"/>
      <c r="O1998" s="190">
        <f t="shared" si="251"/>
        <v>0</v>
      </c>
      <c r="P1998" s="191">
        <f t="shared" si="252"/>
        <v>0</v>
      </c>
      <c r="Q1998" s="192">
        <f t="shared" si="253"/>
        <v>0</v>
      </c>
      <c r="R1998" s="193"/>
      <c r="S1998" s="194"/>
      <c r="T1998" s="195">
        <f t="shared" si="254"/>
        <v>0</v>
      </c>
      <c r="U1998" s="195">
        <f t="shared" si="255"/>
        <v>0</v>
      </c>
      <c r="V1998" s="195">
        <f t="shared" si="256"/>
        <v>0</v>
      </c>
      <c r="W1998" s="196" t="e">
        <f t="shared" si="257"/>
        <v>#DIV/0!</v>
      </c>
      <c r="X1998" s="197" t="e">
        <f t="shared" si="258"/>
        <v>#DIV/0!</v>
      </c>
    </row>
    <row r="1999" ht="11.4" hidden="1" customHeight="1" spans="1:24">
      <c r="A1999" s="184" t="s">
        <v>3197</v>
      </c>
      <c r="B1999" s="184" t="s">
        <v>109</v>
      </c>
      <c r="C1999" s="184" t="s">
        <v>1101</v>
      </c>
      <c r="D1999" s="185" t="s">
        <v>704</v>
      </c>
      <c r="E1999" s="186" t="s">
        <v>906</v>
      </c>
      <c r="F1999" s="186" t="s">
        <v>907</v>
      </c>
      <c r="G1999" s="186" t="s">
        <v>1102</v>
      </c>
      <c r="H1999" s="186" t="s">
        <v>1768</v>
      </c>
      <c r="I1999" s="187" t="s">
        <v>1776</v>
      </c>
      <c r="J1999" s="187" t="s">
        <v>1777</v>
      </c>
      <c r="K1999" s="188"/>
      <c r="L1999" s="188"/>
      <c r="M1999" s="189" t="s">
        <v>1778</v>
      </c>
      <c r="N1999" s="190">
        <v>1841.7</v>
      </c>
      <c r="O1999" s="190">
        <f t="shared" si="251"/>
        <v>2007.45</v>
      </c>
      <c r="P1999" s="191">
        <f t="shared" si="252"/>
        <v>0</v>
      </c>
      <c r="Q1999" s="192">
        <f t="shared" si="253"/>
        <v>0</v>
      </c>
      <c r="R1999" s="193"/>
      <c r="S1999" s="194"/>
      <c r="T1999" s="195">
        <f t="shared" si="254"/>
        <v>0</v>
      </c>
      <c r="U1999" s="195">
        <f t="shared" si="255"/>
        <v>0</v>
      </c>
      <c r="V1999" s="195">
        <f t="shared" si="256"/>
        <v>0</v>
      </c>
      <c r="W1999" s="196" t="e">
        <f t="shared" si="257"/>
        <v>#DIV/0!</v>
      </c>
      <c r="X1999" s="197" t="e">
        <f t="shared" si="258"/>
        <v>#DIV/0!</v>
      </c>
    </row>
    <row r="2000" ht="11.4" hidden="1" customHeight="1" spans="1:24">
      <c r="A2000" s="184" t="s">
        <v>3197</v>
      </c>
      <c r="B2000" s="184" t="s">
        <v>109</v>
      </c>
      <c r="C2000" s="184" t="s">
        <v>1101</v>
      </c>
      <c r="D2000" s="185" t="s">
        <v>704</v>
      </c>
      <c r="E2000" s="186" t="s">
        <v>906</v>
      </c>
      <c r="F2000" s="186" t="s">
        <v>907</v>
      </c>
      <c r="G2000" s="186" t="s">
        <v>1102</v>
      </c>
      <c r="H2000" s="186" t="s">
        <v>1768</v>
      </c>
      <c r="I2000" s="187" t="s">
        <v>1779</v>
      </c>
      <c r="J2000" s="187" t="s">
        <v>1780</v>
      </c>
      <c r="K2000" s="188"/>
      <c r="L2000" s="188"/>
      <c r="M2000" s="189" t="s">
        <v>793</v>
      </c>
      <c r="N2000" s="190">
        <v>493.05</v>
      </c>
      <c r="O2000" s="190">
        <f t="shared" si="251"/>
        <v>537.42</v>
      </c>
      <c r="P2000" s="191">
        <f t="shared" si="252"/>
        <v>0</v>
      </c>
      <c r="Q2000" s="192">
        <f t="shared" si="253"/>
        <v>0</v>
      </c>
      <c r="R2000" s="193"/>
      <c r="S2000" s="194"/>
      <c r="T2000" s="195">
        <f t="shared" si="254"/>
        <v>0</v>
      </c>
      <c r="U2000" s="195">
        <f t="shared" si="255"/>
        <v>0</v>
      </c>
      <c r="V2000" s="195">
        <f t="shared" si="256"/>
        <v>0</v>
      </c>
      <c r="W2000" s="196" t="e">
        <f t="shared" si="257"/>
        <v>#DIV/0!</v>
      </c>
      <c r="X2000" s="197" t="e">
        <f t="shared" si="258"/>
        <v>#DIV/0!</v>
      </c>
    </row>
    <row r="2001" ht="11.4" hidden="1" customHeight="1" spans="1:24">
      <c r="A2001" s="184" t="s">
        <v>3198</v>
      </c>
      <c r="B2001" s="184" t="s">
        <v>130</v>
      </c>
      <c r="C2001" s="184" t="s">
        <v>1782</v>
      </c>
      <c r="D2001" s="185" t="s">
        <v>704</v>
      </c>
      <c r="E2001" s="186" t="s">
        <v>906</v>
      </c>
      <c r="F2001" s="186" t="s">
        <v>907</v>
      </c>
      <c r="G2001" s="186" t="s">
        <v>1102</v>
      </c>
      <c r="H2001" s="186" t="s">
        <v>1783</v>
      </c>
      <c r="I2001" s="187" t="s">
        <v>1784</v>
      </c>
      <c r="J2001" s="187" t="s">
        <v>1785</v>
      </c>
      <c r="K2001" s="188"/>
      <c r="L2001" s="188"/>
      <c r="M2001" s="189" t="s">
        <v>847</v>
      </c>
      <c r="N2001" s="190">
        <v>153.82</v>
      </c>
      <c r="O2001" s="190">
        <f t="shared" si="251"/>
        <v>167.66</v>
      </c>
      <c r="P2001" s="191">
        <f t="shared" si="252"/>
        <v>0</v>
      </c>
      <c r="Q2001" s="192">
        <f t="shared" si="253"/>
        <v>0</v>
      </c>
      <c r="R2001" s="193"/>
      <c r="S2001" s="194"/>
      <c r="T2001" s="195">
        <f t="shared" si="254"/>
        <v>0</v>
      </c>
      <c r="U2001" s="195">
        <f t="shared" si="255"/>
        <v>0</v>
      </c>
      <c r="V2001" s="195">
        <f t="shared" si="256"/>
        <v>0</v>
      </c>
      <c r="W2001" s="196" t="e">
        <f t="shared" si="257"/>
        <v>#DIV/0!</v>
      </c>
      <c r="X2001" s="197" t="e">
        <f t="shared" si="258"/>
        <v>#DIV/0!</v>
      </c>
    </row>
    <row r="2002" ht="11.4" hidden="1" customHeight="1" spans="1:24">
      <c r="A2002" s="184" t="s">
        <v>3198</v>
      </c>
      <c r="B2002" s="184" t="s">
        <v>130</v>
      </c>
      <c r="C2002" s="184" t="s">
        <v>1782</v>
      </c>
      <c r="D2002" s="185" t="s">
        <v>704</v>
      </c>
      <c r="E2002" s="186" t="s">
        <v>906</v>
      </c>
      <c r="F2002" s="186" t="s">
        <v>907</v>
      </c>
      <c r="G2002" s="186" t="s">
        <v>1102</v>
      </c>
      <c r="H2002" s="186" t="s">
        <v>1783</v>
      </c>
      <c r="I2002" s="187" t="s">
        <v>1786</v>
      </c>
      <c r="J2002" s="187" t="s">
        <v>1787</v>
      </c>
      <c r="K2002" s="188"/>
      <c r="L2002" s="188"/>
      <c r="M2002" s="189" t="s">
        <v>847</v>
      </c>
      <c r="N2002" s="190">
        <v>121.97</v>
      </c>
      <c r="O2002" s="190">
        <f t="shared" si="251"/>
        <v>132.95</v>
      </c>
      <c r="P2002" s="191">
        <f t="shared" si="252"/>
        <v>0</v>
      </c>
      <c r="Q2002" s="192">
        <f t="shared" si="253"/>
        <v>0</v>
      </c>
      <c r="R2002" s="193"/>
      <c r="S2002" s="194"/>
      <c r="T2002" s="195">
        <f t="shared" si="254"/>
        <v>0</v>
      </c>
      <c r="U2002" s="195">
        <f t="shared" si="255"/>
        <v>0</v>
      </c>
      <c r="V2002" s="195">
        <f t="shared" si="256"/>
        <v>0</v>
      </c>
      <c r="W2002" s="196" t="e">
        <f t="shared" si="257"/>
        <v>#DIV/0!</v>
      </c>
      <c r="X2002" s="197" t="e">
        <f t="shared" si="258"/>
        <v>#DIV/0!</v>
      </c>
    </row>
    <row r="2003" ht="11.4" hidden="1" customHeight="1" spans="1:24">
      <c r="A2003" s="184" t="s">
        <v>3198</v>
      </c>
      <c r="B2003" s="184" t="s">
        <v>130</v>
      </c>
      <c r="C2003" s="184" t="s">
        <v>1782</v>
      </c>
      <c r="D2003" s="185" t="s">
        <v>704</v>
      </c>
      <c r="E2003" s="186" t="s">
        <v>906</v>
      </c>
      <c r="F2003" s="186" t="s">
        <v>907</v>
      </c>
      <c r="G2003" s="186" t="s">
        <v>1102</v>
      </c>
      <c r="H2003" s="186" t="s">
        <v>1783</v>
      </c>
      <c r="I2003" s="187" t="s">
        <v>1788</v>
      </c>
      <c r="J2003" s="187" t="s">
        <v>1789</v>
      </c>
      <c r="K2003" s="188"/>
      <c r="L2003" s="188"/>
      <c r="M2003" s="189" t="s">
        <v>847</v>
      </c>
      <c r="N2003" s="190">
        <v>93.01</v>
      </c>
      <c r="O2003" s="190">
        <f t="shared" si="251"/>
        <v>101.38</v>
      </c>
      <c r="P2003" s="191">
        <f t="shared" si="252"/>
        <v>0</v>
      </c>
      <c r="Q2003" s="192">
        <f t="shared" si="253"/>
        <v>0</v>
      </c>
      <c r="R2003" s="193"/>
      <c r="S2003" s="194"/>
      <c r="T2003" s="195">
        <f t="shared" si="254"/>
        <v>0</v>
      </c>
      <c r="U2003" s="195">
        <f t="shared" si="255"/>
        <v>0</v>
      </c>
      <c r="V2003" s="195">
        <f t="shared" si="256"/>
        <v>0</v>
      </c>
      <c r="W2003" s="196" t="e">
        <f t="shared" si="257"/>
        <v>#DIV/0!</v>
      </c>
      <c r="X2003" s="197" t="e">
        <f t="shared" si="258"/>
        <v>#DIV/0!</v>
      </c>
    </row>
    <row r="2004" ht="11.4" hidden="1" customHeight="1" spans="1:24">
      <c r="A2004" s="184" t="s">
        <v>3198</v>
      </c>
      <c r="B2004" s="184" t="s">
        <v>130</v>
      </c>
      <c r="C2004" s="184" t="s">
        <v>1782</v>
      </c>
      <c r="D2004" s="185" t="s">
        <v>704</v>
      </c>
      <c r="E2004" s="186" t="s">
        <v>906</v>
      </c>
      <c r="F2004" s="186" t="s">
        <v>907</v>
      </c>
      <c r="G2004" s="186" t="s">
        <v>1102</v>
      </c>
      <c r="H2004" s="186" t="s">
        <v>1783</v>
      </c>
      <c r="I2004" s="187" t="s">
        <v>1790</v>
      </c>
      <c r="J2004" s="187" t="s">
        <v>1791</v>
      </c>
      <c r="K2004" s="188"/>
      <c r="L2004" s="188"/>
      <c r="M2004" s="189" t="s">
        <v>847</v>
      </c>
      <c r="N2004" s="190">
        <v>147.12</v>
      </c>
      <c r="O2004" s="190">
        <f t="shared" si="251"/>
        <v>160.36</v>
      </c>
      <c r="P2004" s="191">
        <f t="shared" si="252"/>
        <v>0</v>
      </c>
      <c r="Q2004" s="192">
        <f t="shared" si="253"/>
        <v>0</v>
      </c>
      <c r="R2004" s="193"/>
      <c r="S2004" s="194"/>
      <c r="T2004" s="195">
        <f t="shared" si="254"/>
        <v>0</v>
      </c>
      <c r="U2004" s="195">
        <f t="shared" si="255"/>
        <v>0</v>
      </c>
      <c r="V2004" s="195">
        <f t="shared" si="256"/>
        <v>0</v>
      </c>
      <c r="W2004" s="196" t="e">
        <f t="shared" si="257"/>
        <v>#DIV/0!</v>
      </c>
      <c r="X2004" s="197" t="e">
        <f t="shared" si="258"/>
        <v>#DIV/0!</v>
      </c>
    </row>
    <row r="2005" ht="11.4" hidden="1" customHeight="1" spans="1:24">
      <c r="A2005" s="184" t="s">
        <v>3198</v>
      </c>
      <c r="B2005" s="184" t="s">
        <v>130</v>
      </c>
      <c r="C2005" s="184" t="s">
        <v>1782</v>
      </c>
      <c r="D2005" s="185" t="s">
        <v>704</v>
      </c>
      <c r="E2005" s="186" t="s">
        <v>906</v>
      </c>
      <c r="F2005" s="186" t="s">
        <v>907</v>
      </c>
      <c r="G2005" s="186" t="s">
        <v>1102</v>
      </c>
      <c r="H2005" s="186" t="s">
        <v>1783</v>
      </c>
      <c r="I2005" s="187" t="s">
        <v>1792</v>
      </c>
      <c r="J2005" s="187" t="s">
        <v>1793</v>
      </c>
      <c r="K2005" s="188"/>
      <c r="L2005" s="188"/>
      <c r="M2005" s="189" t="s">
        <v>847</v>
      </c>
      <c r="N2005" s="190">
        <v>246.52</v>
      </c>
      <c r="O2005" s="190">
        <f t="shared" si="251"/>
        <v>268.71</v>
      </c>
      <c r="P2005" s="191">
        <f t="shared" si="252"/>
        <v>0</v>
      </c>
      <c r="Q2005" s="192">
        <f t="shared" si="253"/>
        <v>0</v>
      </c>
      <c r="R2005" s="193"/>
      <c r="S2005" s="194"/>
      <c r="T2005" s="195">
        <f t="shared" si="254"/>
        <v>0</v>
      </c>
      <c r="U2005" s="195">
        <f t="shared" si="255"/>
        <v>0</v>
      </c>
      <c r="V2005" s="195">
        <f t="shared" si="256"/>
        <v>0</v>
      </c>
      <c r="W2005" s="196" t="e">
        <f t="shared" si="257"/>
        <v>#DIV/0!</v>
      </c>
      <c r="X2005" s="197" t="e">
        <f t="shared" si="258"/>
        <v>#DIV/0!</v>
      </c>
    </row>
    <row r="2006" ht="11.4" hidden="1" customHeight="1" spans="1:24">
      <c r="A2006" s="184" t="s">
        <v>3198</v>
      </c>
      <c r="B2006" s="184" t="s">
        <v>130</v>
      </c>
      <c r="C2006" s="184" t="s">
        <v>1782</v>
      </c>
      <c r="D2006" s="185" t="s">
        <v>704</v>
      </c>
      <c r="E2006" s="186" t="s">
        <v>906</v>
      </c>
      <c r="F2006" s="186" t="s">
        <v>907</v>
      </c>
      <c r="G2006" s="186" t="s">
        <v>1102</v>
      </c>
      <c r="H2006" s="186" t="s">
        <v>1783</v>
      </c>
      <c r="I2006" s="187" t="s">
        <v>1794</v>
      </c>
      <c r="J2006" s="187" t="s">
        <v>1795</v>
      </c>
      <c r="K2006" s="188"/>
      <c r="L2006" s="188"/>
      <c r="M2006" s="189" t="s">
        <v>847</v>
      </c>
      <c r="N2006" s="190">
        <v>142.03</v>
      </c>
      <c r="O2006" s="190">
        <f t="shared" si="251"/>
        <v>154.81</v>
      </c>
      <c r="P2006" s="191">
        <f t="shared" si="252"/>
        <v>0</v>
      </c>
      <c r="Q2006" s="192">
        <f t="shared" si="253"/>
        <v>0</v>
      </c>
      <c r="R2006" s="193"/>
      <c r="S2006" s="194"/>
      <c r="T2006" s="195">
        <f t="shared" si="254"/>
        <v>0</v>
      </c>
      <c r="U2006" s="195">
        <f t="shared" si="255"/>
        <v>0</v>
      </c>
      <c r="V2006" s="195">
        <f t="shared" si="256"/>
        <v>0</v>
      </c>
      <c r="W2006" s="196" t="e">
        <f t="shared" si="257"/>
        <v>#DIV/0!</v>
      </c>
      <c r="X2006" s="197" t="e">
        <f t="shared" si="258"/>
        <v>#DIV/0!</v>
      </c>
    </row>
    <row r="2007" ht="11.4" hidden="1" customHeight="1" spans="1:24">
      <c r="A2007" s="184" t="s">
        <v>3198</v>
      </c>
      <c r="B2007" s="184" t="s">
        <v>130</v>
      </c>
      <c r="C2007" s="184" t="s">
        <v>1782</v>
      </c>
      <c r="D2007" s="185" t="s">
        <v>704</v>
      </c>
      <c r="E2007" s="186" t="s">
        <v>906</v>
      </c>
      <c r="F2007" s="186" t="s">
        <v>907</v>
      </c>
      <c r="G2007" s="186" t="s">
        <v>1102</v>
      </c>
      <c r="H2007" s="186" t="s">
        <v>1783</v>
      </c>
      <c r="I2007" s="187" t="s">
        <v>1796</v>
      </c>
      <c r="J2007" s="187" t="s">
        <v>1797</v>
      </c>
      <c r="K2007" s="188"/>
      <c r="L2007" s="188"/>
      <c r="M2007" s="189" t="s">
        <v>807</v>
      </c>
      <c r="N2007" s="190">
        <v>550.98</v>
      </c>
      <c r="O2007" s="190">
        <f t="shared" si="251"/>
        <v>600.57</v>
      </c>
      <c r="P2007" s="191">
        <f t="shared" si="252"/>
        <v>0</v>
      </c>
      <c r="Q2007" s="192">
        <f t="shared" si="253"/>
        <v>0</v>
      </c>
      <c r="R2007" s="193"/>
      <c r="S2007" s="194"/>
      <c r="T2007" s="195">
        <f t="shared" si="254"/>
        <v>0</v>
      </c>
      <c r="U2007" s="195">
        <f t="shared" si="255"/>
        <v>0</v>
      </c>
      <c r="V2007" s="195">
        <f t="shared" si="256"/>
        <v>0</v>
      </c>
      <c r="W2007" s="196" t="e">
        <f t="shared" si="257"/>
        <v>#DIV/0!</v>
      </c>
      <c r="X2007" s="197" t="e">
        <f t="shared" si="258"/>
        <v>#DIV/0!</v>
      </c>
    </row>
    <row r="2008" ht="11.4" hidden="1" customHeight="1" spans="1:24">
      <c r="A2008" s="184" t="s">
        <v>3198</v>
      </c>
      <c r="B2008" s="184" t="s">
        <v>130</v>
      </c>
      <c r="C2008" s="184" t="s">
        <v>1782</v>
      </c>
      <c r="D2008" s="185" t="s">
        <v>704</v>
      </c>
      <c r="E2008" s="186" t="s">
        <v>906</v>
      </c>
      <c r="F2008" s="186" t="s">
        <v>907</v>
      </c>
      <c r="G2008" s="186" t="s">
        <v>1102</v>
      </c>
      <c r="H2008" s="186" t="s">
        <v>1783</v>
      </c>
      <c r="I2008" s="187" t="s">
        <v>1799</v>
      </c>
      <c r="J2008" s="187" t="s">
        <v>1800</v>
      </c>
      <c r="K2008" s="188"/>
      <c r="L2008" s="188"/>
      <c r="M2008" s="189" t="s">
        <v>847</v>
      </c>
      <c r="N2008" s="190">
        <v>360.14</v>
      </c>
      <c r="O2008" s="190">
        <f t="shared" si="251"/>
        <v>392.55</v>
      </c>
      <c r="P2008" s="191">
        <f t="shared" si="252"/>
        <v>0</v>
      </c>
      <c r="Q2008" s="192">
        <f t="shared" si="253"/>
        <v>0</v>
      </c>
      <c r="R2008" s="193"/>
      <c r="S2008" s="194"/>
      <c r="T2008" s="195">
        <f t="shared" si="254"/>
        <v>0</v>
      </c>
      <c r="U2008" s="195">
        <f t="shared" si="255"/>
        <v>0</v>
      </c>
      <c r="V2008" s="195">
        <f t="shared" si="256"/>
        <v>0</v>
      </c>
      <c r="W2008" s="196" t="e">
        <f t="shared" si="257"/>
        <v>#DIV/0!</v>
      </c>
      <c r="X2008" s="197" t="e">
        <f t="shared" si="258"/>
        <v>#DIV/0!</v>
      </c>
    </row>
    <row r="2009" ht="11.4" hidden="1" customHeight="1" spans="1:24">
      <c r="A2009" s="184" t="s">
        <v>3198</v>
      </c>
      <c r="B2009" s="184" t="s">
        <v>130</v>
      </c>
      <c r="C2009" s="184" t="s">
        <v>1782</v>
      </c>
      <c r="D2009" s="185" t="s">
        <v>704</v>
      </c>
      <c r="E2009" s="186" t="s">
        <v>906</v>
      </c>
      <c r="F2009" s="186" t="s">
        <v>907</v>
      </c>
      <c r="G2009" s="186" t="s">
        <v>1102</v>
      </c>
      <c r="H2009" s="186" t="s">
        <v>1783</v>
      </c>
      <c r="I2009" s="187" t="s">
        <v>1801</v>
      </c>
      <c r="J2009" s="187" t="s">
        <v>1802</v>
      </c>
      <c r="K2009" s="188"/>
      <c r="L2009" s="188"/>
      <c r="M2009" s="189" t="s">
        <v>847</v>
      </c>
      <c r="N2009" s="190">
        <v>36.37</v>
      </c>
      <c r="O2009" s="190">
        <f t="shared" si="251"/>
        <v>39.64</v>
      </c>
      <c r="P2009" s="191">
        <f t="shared" si="252"/>
        <v>0</v>
      </c>
      <c r="Q2009" s="192">
        <f t="shared" si="253"/>
        <v>0</v>
      </c>
      <c r="R2009" s="193"/>
      <c r="S2009" s="194"/>
      <c r="T2009" s="195">
        <f t="shared" si="254"/>
        <v>0</v>
      </c>
      <c r="U2009" s="195">
        <f t="shared" si="255"/>
        <v>0</v>
      </c>
      <c r="V2009" s="195">
        <f t="shared" si="256"/>
        <v>0</v>
      </c>
      <c r="W2009" s="196" t="e">
        <f t="shared" si="257"/>
        <v>#DIV/0!</v>
      </c>
      <c r="X2009" s="197" t="e">
        <f t="shared" si="258"/>
        <v>#DIV/0!</v>
      </c>
    </row>
    <row r="2010" ht="11.4" hidden="1" customHeight="1" spans="1:24">
      <c r="A2010" s="184" t="s">
        <v>3198</v>
      </c>
      <c r="B2010" s="184" t="s">
        <v>130</v>
      </c>
      <c r="C2010" s="184" t="s">
        <v>1782</v>
      </c>
      <c r="D2010" s="185" t="s">
        <v>704</v>
      </c>
      <c r="E2010" s="186" t="s">
        <v>906</v>
      </c>
      <c r="F2010" s="186" t="s">
        <v>907</v>
      </c>
      <c r="G2010" s="186" t="s">
        <v>1102</v>
      </c>
      <c r="H2010" s="186" t="s">
        <v>1783</v>
      </c>
      <c r="I2010" s="187" t="s">
        <v>1803</v>
      </c>
      <c r="J2010" s="187" t="s">
        <v>1804</v>
      </c>
      <c r="K2010" s="188"/>
      <c r="L2010" s="188"/>
      <c r="M2010" s="189" t="s">
        <v>847</v>
      </c>
      <c r="N2010" s="190">
        <v>106.36</v>
      </c>
      <c r="O2010" s="190">
        <f t="shared" si="251"/>
        <v>115.93</v>
      </c>
      <c r="P2010" s="191">
        <f t="shared" si="252"/>
        <v>0</v>
      </c>
      <c r="Q2010" s="192">
        <f t="shared" si="253"/>
        <v>0</v>
      </c>
      <c r="R2010" s="193"/>
      <c r="S2010" s="194"/>
      <c r="T2010" s="195">
        <f t="shared" si="254"/>
        <v>0</v>
      </c>
      <c r="U2010" s="195">
        <f t="shared" si="255"/>
        <v>0</v>
      </c>
      <c r="V2010" s="195">
        <f t="shared" si="256"/>
        <v>0</v>
      </c>
      <c r="W2010" s="196" t="e">
        <f t="shared" si="257"/>
        <v>#DIV/0!</v>
      </c>
      <c r="X2010" s="197" t="e">
        <f t="shared" si="258"/>
        <v>#DIV/0!</v>
      </c>
    </row>
    <row r="2011" ht="11.4" hidden="1" customHeight="1" spans="1:24">
      <c r="A2011" s="184" t="s">
        <v>3199</v>
      </c>
      <c r="B2011" s="184" t="s">
        <v>127</v>
      </c>
      <c r="C2011" s="184" t="s">
        <v>1101</v>
      </c>
      <c r="D2011" s="185" t="s">
        <v>704</v>
      </c>
      <c r="E2011" s="186" t="s">
        <v>906</v>
      </c>
      <c r="F2011" s="186" t="s">
        <v>907</v>
      </c>
      <c r="G2011" s="186" t="s">
        <v>1102</v>
      </c>
      <c r="H2011" s="186" t="s">
        <v>1806</v>
      </c>
      <c r="I2011" s="187" t="s">
        <v>1807</v>
      </c>
      <c r="J2011" s="187" t="s">
        <v>1808</v>
      </c>
      <c r="K2011" s="188"/>
      <c r="L2011" s="188"/>
      <c r="M2011" s="189" t="s">
        <v>1500</v>
      </c>
      <c r="N2011" s="190">
        <v>2585.55</v>
      </c>
      <c r="O2011" s="190">
        <f t="shared" si="251"/>
        <v>2818.25</v>
      </c>
      <c r="P2011" s="191">
        <f t="shared" si="252"/>
        <v>0</v>
      </c>
      <c r="Q2011" s="192">
        <f t="shared" si="253"/>
        <v>0</v>
      </c>
      <c r="R2011" s="193"/>
      <c r="S2011" s="194"/>
      <c r="T2011" s="195">
        <f t="shared" si="254"/>
        <v>0</v>
      </c>
      <c r="U2011" s="195">
        <f t="shared" si="255"/>
        <v>0</v>
      </c>
      <c r="V2011" s="195">
        <f t="shared" si="256"/>
        <v>0</v>
      </c>
      <c r="W2011" s="196" t="e">
        <f t="shared" si="257"/>
        <v>#DIV/0!</v>
      </c>
      <c r="X2011" s="197" t="e">
        <f t="shared" si="258"/>
        <v>#DIV/0!</v>
      </c>
    </row>
    <row r="2012" ht="11.4" hidden="1" customHeight="1" spans="1:24">
      <c r="A2012" s="184" t="s">
        <v>3199</v>
      </c>
      <c r="B2012" s="184" t="s">
        <v>127</v>
      </c>
      <c r="C2012" s="184" t="s">
        <v>1101</v>
      </c>
      <c r="D2012" s="185" t="s">
        <v>704</v>
      </c>
      <c r="E2012" s="186" t="s">
        <v>906</v>
      </c>
      <c r="F2012" s="186" t="s">
        <v>907</v>
      </c>
      <c r="G2012" s="186" t="s">
        <v>1102</v>
      </c>
      <c r="H2012" s="186" t="s">
        <v>1806</v>
      </c>
      <c r="I2012" s="187" t="s">
        <v>1809</v>
      </c>
      <c r="J2012" s="187" t="s">
        <v>1810</v>
      </c>
      <c r="K2012" s="188"/>
      <c r="L2012" s="188"/>
      <c r="M2012" s="189" t="s">
        <v>1500</v>
      </c>
      <c r="N2012" s="190">
        <v>2585.55</v>
      </c>
      <c r="O2012" s="190">
        <f t="shared" si="251"/>
        <v>2818.25</v>
      </c>
      <c r="P2012" s="191">
        <f t="shared" si="252"/>
        <v>0</v>
      </c>
      <c r="Q2012" s="192">
        <f t="shared" si="253"/>
        <v>0</v>
      </c>
      <c r="R2012" s="193"/>
      <c r="S2012" s="194"/>
      <c r="T2012" s="195">
        <f t="shared" si="254"/>
        <v>0</v>
      </c>
      <c r="U2012" s="195">
        <f t="shared" si="255"/>
        <v>0</v>
      </c>
      <c r="V2012" s="195">
        <f t="shared" si="256"/>
        <v>0</v>
      </c>
      <c r="W2012" s="196" t="e">
        <f t="shared" si="257"/>
        <v>#DIV/0!</v>
      </c>
      <c r="X2012" s="197" t="e">
        <f t="shared" si="258"/>
        <v>#DIV/0!</v>
      </c>
    </row>
    <row r="2013" ht="11.4" hidden="1" customHeight="1" spans="1:24">
      <c r="A2013" s="184" t="s">
        <v>3199</v>
      </c>
      <c r="B2013" s="184" t="s">
        <v>127</v>
      </c>
      <c r="C2013" s="184" t="s">
        <v>1101</v>
      </c>
      <c r="D2013" s="185" t="s">
        <v>704</v>
      </c>
      <c r="E2013" s="186" t="s">
        <v>906</v>
      </c>
      <c r="F2013" s="186" t="s">
        <v>907</v>
      </c>
      <c r="G2013" s="186" t="s">
        <v>1102</v>
      </c>
      <c r="H2013" s="186" t="s">
        <v>1806</v>
      </c>
      <c r="I2013" s="187" t="s">
        <v>1811</v>
      </c>
      <c r="J2013" s="187" t="s">
        <v>1812</v>
      </c>
      <c r="K2013" s="188"/>
      <c r="L2013" s="188"/>
      <c r="M2013" s="189" t="s">
        <v>1500</v>
      </c>
      <c r="N2013" s="190">
        <v>2941.14</v>
      </c>
      <c r="O2013" s="190">
        <f t="shared" si="251"/>
        <v>3205.84</v>
      </c>
      <c r="P2013" s="191">
        <f t="shared" si="252"/>
        <v>0</v>
      </c>
      <c r="Q2013" s="192">
        <f t="shared" si="253"/>
        <v>0</v>
      </c>
      <c r="R2013" s="193"/>
      <c r="S2013" s="194"/>
      <c r="T2013" s="195">
        <f t="shared" si="254"/>
        <v>0</v>
      </c>
      <c r="U2013" s="195">
        <f t="shared" si="255"/>
        <v>0</v>
      </c>
      <c r="V2013" s="195">
        <f t="shared" si="256"/>
        <v>0</v>
      </c>
      <c r="W2013" s="196" t="e">
        <f t="shared" si="257"/>
        <v>#DIV/0!</v>
      </c>
      <c r="X2013" s="197" t="e">
        <f t="shared" si="258"/>
        <v>#DIV/0!</v>
      </c>
    </row>
    <row r="2014" ht="11.4" hidden="1" customHeight="1" spans="1:24">
      <c r="A2014" s="184" t="s">
        <v>3199</v>
      </c>
      <c r="B2014" s="184" t="s">
        <v>127</v>
      </c>
      <c r="C2014" s="184" t="s">
        <v>1101</v>
      </c>
      <c r="D2014" s="185" t="s">
        <v>704</v>
      </c>
      <c r="E2014" s="186" t="s">
        <v>906</v>
      </c>
      <c r="F2014" s="186" t="s">
        <v>907</v>
      </c>
      <c r="G2014" s="186" t="s">
        <v>1102</v>
      </c>
      <c r="H2014" s="186" t="s">
        <v>1806</v>
      </c>
      <c r="I2014" s="187" t="s">
        <v>1813</v>
      </c>
      <c r="J2014" s="187" t="s">
        <v>1814</v>
      </c>
      <c r="K2014" s="188"/>
      <c r="L2014" s="188"/>
      <c r="M2014" s="189" t="s">
        <v>1500</v>
      </c>
      <c r="N2014" s="190">
        <v>1580.15</v>
      </c>
      <c r="O2014" s="190">
        <f t="shared" si="251"/>
        <v>1722.36</v>
      </c>
      <c r="P2014" s="191">
        <f t="shared" si="252"/>
        <v>0</v>
      </c>
      <c r="Q2014" s="192">
        <f t="shared" si="253"/>
        <v>0</v>
      </c>
      <c r="R2014" s="193"/>
      <c r="S2014" s="194"/>
      <c r="T2014" s="195">
        <f t="shared" si="254"/>
        <v>0</v>
      </c>
      <c r="U2014" s="195">
        <f t="shared" si="255"/>
        <v>0</v>
      </c>
      <c r="V2014" s="195">
        <f t="shared" si="256"/>
        <v>0</v>
      </c>
      <c r="W2014" s="196" t="e">
        <f t="shared" si="257"/>
        <v>#DIV/0!</v>
      </c>
      <c r="X2014" s="197" t="e">
        <f t="shared" si="258"/>
        <v>#DIV/0!</v>
      </c>
    </row>
    <row r="2015" ht="11.4" hidden="1" customHeight="1" spans="1:24">
      <c r="A2015" s="184" t="s">
        <v>3199</v>
      </c>
      <c r="B2015" s="184" t="s">
        <v>127</v>
      </c>
      <c r="C2015" s="184" t="s">
        <v>1101</v>
      </c>
      <c r="D2015" s="185" t="s">
        <v>704</v>
      </c>
      <c r="E2015" s="186" t="s">
        <v>906</v>
      </c>
      <c r="F2015" s="186" t="s">
        <v>907</v>
      </c>
      <c r="G2015" s="186" t="s">
        <v>1102</v>
      </c>
      <c r="H2015" s="186" t="s">
        <v>1806</v>
      </c>
      <c r="I2015" s="187" t="s">
        <v>1815</v>
      </c>
      <c r="J2015" s="187" t="s">
        <v>1816</v>
      </c>
      <c r="K2015" s="188"/>
      <c r="L2015" s="188"/>
      <c r="M2015" s="189" t="s">
        <v>1500</v>
      </c>
      <c r="N2015" s="190">
        <v>1238.26</v>
      </c>
      <c r="O2015" s="190">
        <f t="shared" si="251"/>
        <v>1349.7</v>
      </c>
      <c r="P2015" s="191">
        <f t="shared" si="252"/>
        <v>0</v>
      </c>
      <c r="Q2015" s="192">
        <f t="shared" si="253"/>
        <v>0</v>
      </c>
      <c r="R2015" s="193"/>
      <c r="S2015" s="194"/>
      <c r="T2015" s="195">
        <f t="shared" si="254"/>
        <v>0</v>
      </c>
      <c r="U2015" s="195">
        <f t="shared" si="255"/>
        <v>0</v>
      </c>
      <c r="V2015" s="195">
        <f t="shared" si="256"/>
        <v>0</v>
      </c>
      <c r="W2015" s="196" t="e">
        <f t="shared" si="257"/>
        <v>#DIV/0!</v>
      </c>
      <c r="X2015" s="197" t="e">
        <f t="shared" si="258"/>
        <v>#DIV/0!</v>
      </c>
    </row>
    <row r="2016" ht="11.4" hidden="1" customHeight="1" spans="1:24">
      <c r="A2016" s="184" t="s">
        <v>3199</v>
      </c>
      <c r="B2016" s="184" t="s">
        <v>127</v>
      </c>
      <c r="C2016" s="184" t="s">
        <v>1101</v>
      </c>
      <c r="D2016" s="185" t="s">
        <v>704</v>
      </c>
      <c r="E2016" s="186" t="s">
        <v>906</v>
      </c>
      <c r="F2016" s="186" t="s">
        <v>907</v>
      </c>
      <c r="G2016" s="186" t="s">
        <v>1102</v>
      </c>
      <c r="H2016" s="186" t="s">
        <v>1806</v>
      </c>
      <c r="I2016" s="187" t="s">
        <v>1817</v>
      </c>
      <c r="J2016" s="187" t="s">
        <v>1818</v>
      </c>
      <c r="K2016" s="188"/>
      <c r="L2016" s="188"/>
      <c r="M2016" s="189" t="s">
        <v>1500</v>
      </c>
      <c r="N2016" s="190">
        <v>1580.15</v>
      </c>
      <c r="O2016" s="190">
        <f t="shared" si="251"/>
        <v>1722.36</v>
      </c>
      <c r="P2016" s="191">
        <f t="shared" si="252"/>
        <v>0</v>
      </c>
      <c r="Q2016" s="192">
        <f t="shared" si="253"/>
        <v>0</v>
      </c>
      <c r="R2016" s="193"/>
      <c r="S2016" s="194"/>
      <c r="T2016" s="195">
        <f t="shared" si="254"/>
        <v>0</v>
      </c>
      <c r="U2016" s="195">
        <f t="shared" si="255"/>
        <v>0</v>
      </c>
      <c r="V2016" s="195">
        <f t="shared" si="256"/>
        <v>0</v>
      </c>
      <c r="W2016" s="196" t="e">
        <f t="shared" si="257"/>
        <v>#DIV/0!</v>
      </c>
      <c r="X2016" s="197" t="e">
        <f t="shared" si="258"/>
        <v>#DIV/0!</v>
      </c>
    </row>
    <row r="2017" ht="11.4" hidden="1" customHeight="1" spans="1:24">
      <c r="A2017" s="184" t="s">
        <v>3199</v>
      </c>
      <c r="B2017" s="184" t="s">
        <v>127</v>
      </c>
      <c r="C2017" s="184" t="s">
        <v>1101</v>
      </c>
      <c r="D2017" s="185" t="s">
        <v>704</v>
      </c>
      <c r="E2017" s="186" t="s">
        <v>906</v>
      </c>
      <c r="F2017" s="186" t="s">
        <v>907</v>
      </c>
      <c r="G2017" s="186" t="s">
        <v>1102</v>
      </c>
      <c r="H2017" s="186" t="s">
        <v>1806</v>
      </c>
      <c r="I2017" s="187" t="s">
        <v>1819</v>
      </c>
      <c r="J2017" s="187" t="s">
        <v>1820</v>
      </c>
      <c r="K2017" s="188"/>
      <c r="L2017" s="188"/>
      <c r="M2017" s="189" t="s">
        <v>1500</v>
      </c>
      <c r="N2017" s="190">
        <v>1238.26</v>
      </c>
      <c r="O2017" s="190">
        <f t="shared" si="251"/>
        <v>1349.7</v>
      </c>
      <c r="P2017" s="191">
        <f t="shared" si="252"/>
        <v>0</v>
      </c>
      <c r="Q2017" s="192">
        <f t="shared" si="253"/>
        <v>0</v>
      </c>
      <c r="R2017" s="193"/>
      <c r="S2017" s="194"/>
      <c r="T2017" s="195">
        <f t="shared" si="254"/>
        <v>0</v>
      </c>
      <c r="U2017" s="195">
        <f t="shared" si="255"/>
        <v>0</v>
      </c>
      <c r="V2017" s="195">
        <f t="shared" si="256"/>
        <v>0</v>
      </c>
      <c r="W2017" s="196" t="e">
        <f t="shared" si="257"/>
        <v>#DIV/0!</v>
      </c>
      <c r="X2017" s="197" t="e">
        <f t="shared" si="258"/>
        <v>#DIV/0!</v>
      </c>
    </row>
    <row r="2018" ht="11.4" hidden="1" customHeight="1" spans="1:24">
      <c r="A2018" s="184" t="s">
        <v>3199</v>
      </c>
      <c r="B2018" s="184" t="s">
        <v>127</v>
      </c>
      <c r="C2018" s="184" t="s">
        <v>1101</v>
      </c>
      <c r="D2018" s="185" t="s">
        <v>704</v>
      </c>
      <c r="E2018" s="186" t="s">
        <v>906</v>
      </c>
      <c r="F2018" s="186" t="s">
        <v>907</v>
      </c>
      <c r="G2018" s="186" t="s">
        <v>1102</v>
      </c>
      <c r="H2018" s="186" t="s">
        <v>1806</v>
      </c>
      <c r="I2018" s="187" t="s">
        <v>1821</v>
      </c>
      <c r="J2018" s="187" t="s">
        <v>1822</v>
      </c>
      <c r="K2018" s="188"/>
      <c r="L2018" s="188"/>
      <c r="M2018" s="189" t="s">
        <v>1500</v>
      </c>
      <c r="N2018" s="190">
        <v>972.95</v>
      </c>
      <c r="O2018" s="190">
        <f t="shared" si="251"/>
        <v>1060.52</v>
      </c>
      <c r="P2018" s="191">
        <f t="shared" si="252"/>
        <v>0</v>
      </c>
      <c r="Q2018" s="192">
        <f t="shared" si="253"/>
        <v>0</v>
      </c>
      <c r="R2018" s="193"/>
      <c r="S2018" s="194"/>
      <c r="T2018" s="195">
        <f t="shared" si="254"/>
        <v>0</v>
      </c>
      <c r="U2018" s="195">
        <f t="shared" si="255"/>
        <v>0</v>
      </c>
      <c r="V2018" s="195">
        <f t="shared" si="256"/>
        <v>0</v>
      </c>
      <c r="W2018" s="196" t="e">
        <f t="shared" si="257"/>
        <v>#DIV/0!</v>
      </c>
      <c r="X2018" s="197" t="e">
        <f t="shared" si="258"/>
        <v>#DIV/0!</v>
      </c>
    </row>
    <row r="2019" ht="11.4" hidden="1" customHeight="1" spans="1:24">
      <c r="A2019" s="184" t="s">
        <v>3199</v>
      </c>
      <c r="B2019" s="184" t="s">
        <v>127</v>
      </c>
      <c r="C2019" s="184" t="s">
        <v>1101</v>
      </c>
      <c r="D2019" s="185" t="s">
        <v>704</v>
      </c>
      <c r="E2019" s="186" t="s">
        <v>906</v>
      </c>
      <c r="F2019" s="186" t="s">
        <v>907</v>
      </c>
      <c r="G2019" s="186" t="s">
        <v>1102</v>
      </c>
      <c r="H2019" s="186" t="s">
        <v>1806</v>
      </c>
      <c r="I2019" s="187" t="s">
        <v>1823</v>
      </c>
      <c r="J2019" s="187" t="s">
        <v>1824</v>
      </c>
      <c r="K2019" s="188"/>
      <c r="L2019" s="188"/>
      <c r="M2019" s="189" t="s">
        <v>1500</v>
      </c>
      <c r="N2019" s="190">
        <v>1852.95</v>
      </c>
      <c r="O2019" s="190">
        <f t="shared" si="251"/>
        <v>2019.72</v>
      </c>
      <c r="P2019" s="191">
        <f t="shared" si="252"/>
        <v>0</v>
      </c>
      <c r="Q2019" s="192">
        <f t="shared" si="253"/>
        <v>0</v>
      </c>
      <c r="R2019" s="193"/>
      <c r="S2019" s="194"/>
      <c r="T2019" s="195">
        <f t="shared" si="254"/>
        <v>0</v>
      </c>
      <c r="U2019" s="195">
        <f t="shared" si="255"/>
        <v>0</v>
      </c>
      <c r="V2019" s="195">
        <f t="shared" si="256"/>
        <v>0</v>
      </c>
      <c r="W2019" s="196" t="e">
        <f t="shared" si="257"/>
        <v>#DIV/0!</v>
      </c>
      <c r="X2019" s="197" t="e">
        <f t="shared" si="258"/>
        <v>#DIV/0!</v>
      </c>
    </row>
    <row r="2020" ht="11.4" hidden="1" customHeight="1" spans="1:24">
      <c r="A2020" s="184" t="s">
        <v>3199</v>
      </c>
      <c r="B2020" s="184" t="s">
        <v>127</v>
      </c>
      <c r="C2020" s="184" t="s">
        <v>1101</v>
      </c>
      <c r="D2020" s="185" t="s">
        <v>704</v>
      </c>
      <c r="E2020" s="186" t="s">
        <v>906</v>
      </c>
      <c r="F2020" s="186" t="s">
        <v>907</v>
      </c>
      <c r="G2020" s="186" t="s">
        <v>1102</v>
      </c>
      <c r="H2020" s="186" t="s">
        <v>1806</v>
      </c>
      <c r="I2020" s="187" t="s">
        <v>1825</v>
      </c>
      <c r="J2020" s="187" t="s">
        <v>1826</v>
      </c>
      <c r="K2020" s="188"/>
      <c r="L2020" s="188"/>
      <c r="M2020" s="189" t="s">
        <v>989</v>
      </c>
      <c r="N2020" s="190">
        <v>2221.2</v>
      </c>
      <c r="O2020" s="190">
        <f t="shared" si="251"/>
        <v>2421.11</v>
      </c>
      <c r="P2020" s="191">
        <f t="shared" si="252"/>
        <v>0</v>
      </c>
      <c r="Q2020" s="192">
        <f t="shared" si="253"/>
        <v>0</v>
      </c>
      <c r="R2020" s="193"/>
      <c r="S2020" s="194"/>
      <c r="T2020" s="195">
        <f t="shared" si="254"/>
        <v>0</v>
      </c>
      <c r="U2020" s="195">
        <f t="shared" si="255"/>
        <v>0</v>
      </c>
      <c r="V2020" s="195">
        <f t="shared" si="256"/>
        <v>0</v>
      </c>
      <c r="W2020" s="196" t="e">
        <f t="shared" si="257"/>
        <v>#DIV/0!</v>
      </c>
      <c r="X2020" s="197" t="e">
        <f t="shared" si="258"/>
        <v>#DIV/0!</v>
      </c>
    </row>
    <row r="2021" ht="11.4" hidden="1" customHeight="1" spans="1:24">
      <c r="A2021" s="184" t="s">
        <v>3199</v>
      </c>
      <c r="B2021" s="184" t="s">
        <v>127</v>
      </c>
      <c r="C2021" s="184" t="s">
        <v>1101</v>
      </c>
      <c r="D2021" s="185" t="s">
        <v>704</v>
      </c>
      <c r="E2021" s="186" t="s">
        <v>906</v>
      </c>
      <c r="F2021" s="186" t="s">
        <v>907</v>
      </c>
      <c r="G2021" s="186" t="s">
        <v>1102</v>
      </c>
      <c r="H2021" s="186" t="s">
        <v>1806</v>
      </c>
      <c r="I2021" s="187" t="s">
        <v>1827</v>
      </c>
      <c r="J2021" s="187" t="s">
        <v>1828</v>
      </c>
      <c r="K2021" s="188"/>
      <c r="L2021" s="188"/>
      <c r="M2021" s="189" t="s">
        <v>1500</v>
      </c>
      <c r="N2021" s="190">
        <v>1687.95</v>
      </c>
      <c r="O2021" s="190">
        <f t="shared" si="251"/>
        <v>1839.87</v>
      </c>
      <c r="P2021" s="191">
        <f t="shared" si="252"/>
        <v>0</v>
      </c>
      <c r="Q2021" s="192">
        <f t="shared" si="253"/>
        <v>0</v>
      </c>
      <c r="R2021" s="193"/>
      <c r="S2021" s="194"/>
      <c r="T2021" s="195">
        <f t="shared" si="254"/>
        <v>0</v>
      </c>
      <c r="U2021" s="195">
        <f t="shared" si="255"/>
        <v>0</v>
      </c>
      <c r="V2021" s="195">
        <f t="shared" si="256"/>
        <v>0</v>
      </c>
      <c r="W2021" s="196" t="e">
        <f t="shared" si="257"/>
        <v>#DIV/0!</v>
      </c>
      <c r="X2021" s="197" t="e">
        <f t="shared" si="258"/>
        <v>#DIV/0!</v>
      </c>
    </row>
    <row r="2022" ht="11.4" hidden="1" customHeight="1" spans="1:24">
      <c r="A2022" s="184" t="s">
        <v>3199</v>
      </c>
      <c r="B2022" s="184" t="s">
        <v>127</v>
      </c>
      <c r="C2022" s="184" t="s">
        <v>1101</v>
      </c>
      <c r="D2022" s="185" t="s">
        <v>704</v>
      </c>
      <c r="E2022" s="186" t="s">
        <v>906</v>
      </c>
      <c r="F2022" s="186" t="s">
        <v>907</v>
      </c>
      <c r="G2022" s="186" t="s">
        <v>1102</v>
      </c>
      <c r="H2022" s="186" t="s">
        <v>1806</v>
      </c>
      <c r="I2022" s="187" t="s">
        <v>1829</v>
      </c>
      <c r="J2022" s="187" t="s">
        <v>1830</v>
      </c>
      <c r="K2022" s="188"/>
      <c r="L2022" s="188"/>
      <c r="M2022" s="189" t="s">
        <v>847</v>
      </c>
      <c r="N2022" s="190">
        <v>1204.38</v>
      </c>
      <c r="O2022" s="190">
        <f t="shared" si="251"/>
        <v>1312.77</v>
      </c>
      <c r="P2022" s="191">
        <f t="shared" si="252"/>
        <v>0</v>
      </c>
      <c r="Q2022" s="192">
        <f t="shared" si="253"/>
        <v>0</v>
      </c>
      <c r="R2022" s="193"/>
      <c r="S2022" s="194"/>
      <c r="T2022" s="195">
        <f t="shared" si="254"/>
        <v>0</v>
      </c>
      <c r="U2022" s="195">
        <f t="shared" si="255"/>
        <v>0</v>
      </c>
      <c r="V2022" s="195">
        <f t="shared" si="256"/>
        <v>0</v>
      </c>
      <c r="W2022" s="196" t="e">
        <f t="shared" si="257"/>
        <v>#DIV/0!</v>
      </c>
      <c r="X2022" s="197" t="e">
        <f t="shared" si="258"/>
        <v>#DIV/0!</v>
      </c>
    </row>
    <row r="2023" ht="11.4" hidden="1" customHeight="1" spans="1:24">
      <c r="A2023" s="184" t="s">
        <v>3199</v>
      </c>
      <c r="B2023" s="184" t="s">
        <v>127</v>
      </c>
      <c r="C2023" s="184" t="s">
        <v>1101</v>
      </c>
      <c r="D2023" s="185" t="s">
        <v>704</v>
      </c>
      <c r="E2023" s="186" t="s">
        <v>906</v>
      </c>
      <c r="F2023" s="186" t="s">
        <v>907</v>
      </c>
      <c r="G2023" s="186" t="s">
        <v>1102</v>
      </c>
      <c r="H2023" s="186" t="s">
        <v>1806</v>
      </c>
      <c r="I2023" s="187" t="s">
        <v>1831</v>
      </c>
      <c r="J2023" s="187" t="s">
        <v>1832</v>
      </c>
      <c r="K2023" s="188"/>
      <c r="L2023" s="188"/>
      <c r="M2023" s="189" t="s">
        <v>1500</v>
      </c>
      <c r="N2023" s="190">
        <v>2804.45</v>
      </c>
      <c r="O2023" s="190">
        <f t="shared" si="251"/>
        <v>3056.85</v>
      </c>
      <c r="P2023" s="191">
        <f t="shared" si="252"/>
        <v>0</v>
      </c>
      <c r="Q2023" s="192">
        <f t="shared" si="253"/>
        <v>0</v>
      </c>
      <c r="R2023" s="193"/>
      <c r="S2023" s="194"/>
      <c r="T2023" s="195">
        <f t="shared" si="254"/>
        <v>0</v>
      </c>
      <c r="U2023" s="195">
        <f t="shared" si="255"/>
        <v>0</v>
      </c>
      <c r="V2023" s="195">
        <f t="shared" si="256"/>
        <v>0</v>
      </c>
      <c r="W2023" s="196" t="e">
        <f t="shared" si="257"/>
        <v>#DIV/0!</v>
      </c>
      <c r="X2023" s="197" t="e">
        <f t="shared" si="258"/>
        <v>#DIV/0!</v>
      </c>
    </row>
    <row r="2024" ht="11.4" hidden="1" customHeight="1" spans="1:24">
      <c r="A2024" s="184" t="s">
        <v>3199</v>
      </c>
      <c r="B2024" s="184" t="s">
        <v>127</v>
      </c>
      <c r="C2024" s="184" t="s">
        <v>1101</v>
      </c>
      <c r="D2024" s="185" t="s">
        <v>704</v>
      </c>
      <c r="E2024" s="186" t="s">
        <v>906</v>
      </c>
      <c r="F2024" s="186" t="s">
        <v>907</v>
      </c>
      <c r="G2024" s="186" t="s">
        <v>1102</v>
      </c>
      <c r="H2024" s="186" t="s">
        <v>1806</v>
      </c>
      <c r="I2024" s="187" t="s">
        <v>1833</v>
      </c>
      <c r="J2024" s="187" t="s">
        <v>1834</v>
      </c>
      <c r="K2024" s="188"/>
      <c r="L2024" s="188"/>
      <c r="M2024" s="189" t="s">
        <v>1500</v>
      </c>
      <c r="N2024" s="190">
        <v>2496.45</v>
      </c>
      <c r="O2024" s="190">
        <f t="shared" si="251"/>
        <v>2721.13</v>
      </c>
      <c r="P2024" s="191">
        <f t="shared" si="252"/>
        <v>0</v>
      </c>
      <c r="Q2024" s="192">
        <f t="shared" si="253"/>
        <v>0</v>
      </c>
      <c r="R2024" s="193"/>
      <c r="S2024" s="194"/>
      <c r="T2024" s="195">
        <f t="shared" si="254"/>
        <v>0</v>
      </c>
      <c r="U2024" s="195">
        <f t="shared" si="255"/>
        <v>0</v>
      </c>
      <c r="V2024" s="195">
        <f t="shared" si="256"/>
        <v>0</v>
      </c>
      <c r="W2024" s="196" t="e">
        <f t="shared" si="257"/>
        <v>#DIV/0!</v>
      </c>
      <c r="X2024" s="197" t="e">
        <f t="shared" si="258"/>
        <v>#DIV/0!</v>
      </c>
    </row>
    <row r="2025" ht="11.4" hidden="1" customHeight="1" spans="1:24">
      <c r="A2025" s="184" t="s">
        <v>3199</v>
      </c>
      <c r="B2025" s="184" t="s">
        <v>127</v>
      </c>
      <c r="C2025" s="184" t="s">
        <v>1101</v>
      </c>
      <c r="D2025" s="185" t="s">
        <v>704</v>
      </c>
      <c r="E2025" s="186" t="s">
        <v>906</v>
      </c>
      <c r="F2025" s="186" t="s">
        <v>907</v>
      </c>
      <c r="G2025" s="186" t="s">
        <v>1102</v>
      </c>
      <c r="H2025" s="186" t="s">
        <v>1806</v>
      </c>
      <c r="I2025" s="187" t="s">
        <v>1835</v>
      </c>
      <c r="J2025" s="187" t="s">
        <v>1836</v>
      </c>
      <c r="K2025" s="188"/>
      <c r="L2025" s="188"/>
      <c r="M2025" s="189" t="s">
        <v>1837</v>
      </c>
      <c r="N2025" s="190">
        <v>1332.65</v>
      </c>
      <c r="O2025" s="190">
        <f t="shared" si="251"/>
        <v>1452.59</v>
      </c>
      <c r="P2025" s="191">
        <f t="shared" si="252"/>
        <v>0</v>
      </c>
      <c r="Q2025" s="192">
        <f t="shared" si="253"/>
        <v>0</v>
      </c>
      <c r="R2025" s="193"/>
      <c r="S2025" s="194"/>
      <c r="T2025" s="195">
        <f t="shared" si="254"/>
        <v>0</v>
      </c>
      <c r="U2025" s="195">
        <f t="shared" si="255"/>
        <v>0</v>
      </c>
      <c r="V2025" s="195">
        <f t="shared" si="256"/>
        <v>0</v>
      </c>
      <c r="W2025" s="196" t="e">
        <f t="shared" si="257"/>
        <v>#DIV/0!</v>
      </c>
      <c r="X2025" s="197" t="e">
        <f t="shared" si="258"/>
        <v>#DIV/0!</v>
      </c>
    </row>
    <row r="2026" ht="11.4" hidden="1" customHeight="1" spans="1:24">
      <c r="A2026" s="184" t="s">
        <v>3199</v>
      </c>
      <c r="B2026" s="184" t="s">
        <v>127</v>
      </c>
      <c r="C2026" s="184" t="s">
        <v>1101</v>
      </c>
      <c r="D2026" s="185" t="s">
        <v>704</v>
      </c>
      <c r="E2026" s="186" t="s">
        <v>906</v>
      </c>
      <c r="F2026" s="186" t="s">
        <v>907</v>
      </c>
      <c r="G2026" s="186" t="s">
        <v>1102</v>
      </c>
      <c r="H2026" s="186" t="s">
        <v>1806</v>
      </c>
      <c r="I2026" s="187" t="s">
        <v>1838</v>
      </c>
      <c r="J2026" s="187" t="s">
        <v>1839</v>
      </c>
      <c r="K2026" s="188"/>
      <c r="L2026" s="188"/>
      <c r="M2026" s="189" t="s">
        <v>1837</v>
      </c>
      <c r="N2026" s="190">
        <v>689.15</v>
      </c>
      <c r="O2026" s="190">
        <f t="shared" si="251"/>
        <v>751.17</v>
      </c>
      <c r="P2026" s="191">
        <f t="shared" si="252"/>
        <v>0</v>
      </c>
      <c r="Q2026" s="192">
        <f t="shared" si="253"/>
        <v>0</v>
      </c>
      <c r="R2026" s="193"/>
      <c r="S2026" s="194"/>
      <c r="T2026" s="195">
        <f t="shared" si="254"/>
        <v>0</v>
      </c>
      <c r="U2026" s="195">
        <f t="shared" si="255"/>
        <v>0</v>
      </c>
      <c r="V2026" s="195">
        <f t="shared" si="256"/>
        <v>0</v>
      </c>
      <c r="W2026" s="196" t="e">
        <f t="shared" si="257"/>
        <v>#DIV/0!</v>
      </c>
      <c r="X2026" s="197" t="e">
        <f t="shared" si="258"/>
        <v>#DIV/0!</v>
      </c>
    </row>
    <row r="2027" ht="11.4" hidden="1" customHeight="1" spans="1:24">
      <c r="A2027" s="184" t="s">
        <v>3199</v>
      </c>
      <c r="B2027" s="184" t="s">
        <v>127</v>
      </c>
      <c r="C2027" s="184" t="s">
        <v>1101</v>
      </c>
      <c r="D2027" s="185" t="s">
        <v>704</v>
      </c>
      <c r="E2027" s="186" t="s">
        <v>906</v>
      </c>
      <c r="F2027" s="186" t="s">
        <v>907</v>
      </c>
      <c r="G2027" s="186" t="s">
        <v>1102</v>
      </c>
      <c r="H2027" s="186" t="s">
        <v>1806</v>
      </c>
      <c r="I2027" s="187" t="s">
        <v>1840</v>
      </c>
      <c r="J2027" s="187" t="s">
        <v>1841</v>
      </c>
      <c r="K2027" s="188"/>
      <c r="L2027" s="188"/>
      <c r="M2027" s="189" t="s">
        <v>807</v>
      </c>
      <c r="N2027" s="190">
        <v>76.08</v>
      </c>
      <c r="O2027" s="190">
        <f t="shared" si="251"/>
        <v>82.93</v>
      </c>
      <c r="P2027" s="191">
        <f t="shared" si="252"/>
        <v>0</v>
      </c>
      <c r="Q2027" s="192">
        <f t="shared" si="253"/>
        <v>0</v>
      </c>
      <c r="R2027" s="193"/>
      <c r="S2027" s="194"/>
      <c r="T2027" s="195">
        <f t="shared" si="254"/>
        <v>0</v>
      </c>
      <c r="U2027" s="195">
        <f t="shared" si="255"/>
        <v>0</v>
      </c>
      <c r="V2027" s="195">
        <f t="shared" si="256"/>
        <v>0</v>
      </c>
      <c r="W2027" s="196" t="e">
        <f t="shared" si="257"/>
        <v>#DIV/0!</v>
      </c>
      <c r="X2027" s="197" t="e">
        <f t="shared" si="258"/>
        <v>#DIV/0!</v>
      </c>
    </row>
    <row r="2028" ht="11.4" hidden="1" customHeight="1" spans="1:24">
      <c r="A2028" s="184" t="s">
        <v>3199</v>
      </c>
      <c r="B2028" s="184" t="s">
        <v>127</v>
      </c>
      <c r="C2028" s="184" t="s">
        <v>1101</v>
      </c>
      <c r="D2028" s="185" t="s">
        <v>704</v>
      </c>
      <c r="E2028" s="186" t="s">
        <v>906</v>
      </c>
      <c r="F2028" s="186" t="s">
        <v>907</v>
      </c>
      <c r="G2028" s="186" t="s">
        <v>1102</v>
      </c>
      <c r="H2028" s="186" t="s">
        <v>1806</v>
      </c>
      <c r="I2028" s="187" t="s">
        <v>1495</v>
      </c>
      <c r="J2028" s="187" t="s">
        <v>1496</v>
      </c>
      <c r="K2028" s="188"/>
      <c r="L2028" s="188"/>
      <c r="M2028" s="189" t="s">
        <v>807</v>
      </c>
      <c r="N2028" s="190">
        <v>114.14</v>
      </c>
      <c r="O2028" s="190">
        <f t="shared" si="251"/>
        <v>124.41</v>
      </c>
      <c r="P2028" s="191">
        <f t="shared" si="252"/>
        <v>0</v>
      </c>
      <c r="Q2028" s="192">
        <f t="shared" si="253"/>
        <v>0</v>
      </c>
      <c r="R2028" s="193"/>
      <c r="S2028" s="194"/>
      <c r="T2028" s="195">
        <f t="shared" si="254"/>
        <v>0</v>
      </c>
      <c r="U2028" s="195">
        <f t="shared" si="255"/>
        <v>0</v>
      </c>
      <c r="V2028" s="195">
        <f t="shared" si="256"/>
        <v>0</v>
      </c>
      <c r="W2028" s="196" t="e">
        <f t="shared" si="257"/>
        <v>#DIV/0!</v>
      </c>
      <c r="X2028" s="197" t="e">
        <f t="shared" si="258"/>
        <v>#DIV/0!</v>
      </c>
    </row>
    <row r="2029" ht="11.4" hidden="1" customHeight="1" spans="1:24">
      <c r="A2029" s="184" t="s">
        <v>3199</v>
      </c>
      <c r="B2029" s="184" t="s">
        <v>127</v>
      </c>
      <c r="C2029" s="184" t="s">
        <v>1101</v>
      </c>
      <c r="D2029" s="185" t="s">
        <v>704</v>
      </c>
      <c r="E2029" s="186" t="s">
        <v>906</v>
      </c>
      <c r="F2029" s="186" t="s">
        <v>907</v>
      </c>
      <c r="G2029" s="186" t="s">
        <v>1102</v>
      </c>
      <c r="H2029" s="186" t="s">
        <v>1806</v>
      </c>
      <c r="I2029" s="187" t="s">
        <v>1842</v>
      </c>
      <c r="J2029" s="187" t="s">
        <v>1843</v>
      </c>
      <c r="K2029" s="188"/>
      <c r="L2029" s="188"/>
      <c r="M2029" s="189" t="s">
        <v>847</v>
      </c>
      <c r="N2029" s="190">
        <v>46.31</v>
      </c>
      <c r="O2029" s="190">
        <f t="shared" si="251"/>
        <v>50.48</v>
      </c>
      <c r="P2029" s="191">
        <f t="shared" si="252"/>
        <v>0</v>
      </c>
      <c r="Q2029" s="192">
        <f t="shared" si="253"/>
        <v>0</v>
      </c>
      <c r="R2029" s="193"/>
      <c r="S2029" s="194"/>
      <c r="T2029" s="195">
        <f t="shared" si="254"/>
        <v>0</v>
      </c>
      <c r="U2029" s="195">
        <f t="shared" si="255"/>
        <v>0</v>
      </c>
      <c r="V2029" s="195">
        <f t="shared" si="256"/>
        <v>0</v>
      </c>
      <c r="W2029" s="196" t="e">
        <f t="shared" si="257"/>
        <v>#DIV/0!</v>
      </c>
      <c r="X2029" s="197" t="e">
        <f t="shared" si="258"/>
        <v>#DIV/0!</v>
      </c>
    </row>
    <row r="2030" ht="11.4" hidden="1" customHeight="1" spans="1:24">
      <c r="A2030" s="184" t="s">
        <v>3199</v>
      </c>
      <c r="B2030" s="184" t="s">
        <v>127</v>
      </c>
      <c r="C2030" s="184" t="s">
        <v>1101</v>
      </c>
      <c r="D2030" s="185" t="s">
        <v>704</v>
      </c>
      <c r="E2030" s="186" t="s">
        <v>906</v>
      </c>
      <c r="F2030" s="186" t="s">
        <v>907</v>
      </c>
      <c r="G2030" s="186" t="s">
        <v>1102</v>
      </c>
      <c r="H2030" s="186" t="s">
        <v>1806</v>
      </c>
      <c r="I2030" s="187" t="s">
        <v>1844</v>
      </c>
      <c r="J2030" s="187" t="s">
        <v>1845</v>
      </c>
      <c r="K2030" s="188"/>
      <c r="L2030" s="188"/>
      <c r="M2030" s="189" t="s">
        <v>847</v>
      </c>
      <c r="N2030" s="190">
        <v>284.15</v>
      </c>
      <c r="O2030" s="190">
        <f t="shared" si="251"/>
        <v>309.72</v>
      </c>
      <c r="P2030" s="191">
        <f t="shared" si="252"/>
        <v>0</v>
      </c>
      <c r="Q2030" s="192">
        <f t="shared" si="253"/>
        <v>0</v>
      </c>
      <c r="R2030" s="193"/>
      <c r="S2030" s="194"/>
      <c r="T2030" s="195">
        <f t="shared" si="254"/>
        <v>0</v>
      </c>
      <c r="U2030" s="195">
        <f t="shared" si="255"/>
        <v>0</v>
      </c>
      <c r="V2030" s="195">
        <f t="shared" si="256"/>
        <v>0</v>
      </c>
      <c r="W2030" s="196" t="e">
        <f t="shared" si="257"/>
        <v>#DIV/0!</v>
      </c>
      <c r="X2030" s="197" t="e">
        <f t="shared" si="258"/>
        <v>#DIV/0!</v>
      </c>
    </row>
    <row r="2031" ht="11.4" hidden="1" customHeight="1" spans="1:24">
      <c r="A2031" s="184" t="s">
        <v>3199</v>
      </c>
      <c r="B2031" s="184" t="s">
        <v>127</v>
      </c>
      <c r="C2031" s="184" t="s">
        <v>1101</v>
      </c>
      <c r="D2031" s="185" t="s">
        <v>704</v>
      </c>
      <c r="E2031" s="186" t="s">
        <v>906</v>
      </c>
      <c r="F2031" s="186" t="s">
        <v>907</v>
      </c>
      <c r="G2031" s="186" t="s">
        <v>1102</v>
      </c>
      <c r="H2031" s="186" t="s">
        <v>1806</v>
      </c>
      <c r="I2031" s="187" t="s">
        <v>1846</v>
      </c>
      <c r="J2031" s="187" t="s">
        <v>1847</v>
      </c>
      <c r="K2031" s="188"/>
      <c r="L2031" s="188"/>
      <c r="M2031" s="189" t="s">
        <v>847</v>
      </c>
      <c r="N2031" s="190">
        <v>648</v>
      </c>
      <c r="O2031" s="190">
        <f t="shared" si="251"/>
        <v>706.32</v>
      </c>
      <c r="P2031" s="191">
        <f t="shared" si="252"/>
        <v>0</v>
      </c>
      <c r="Q2031" s="192">
        <f t="shared" si="253"/>
        <v>0</v>
      </c>
      <c r="R2031" s="193"/>
      <c r="S2031" s="194"/>
      <c r="T2031" s="195">
        <f t="shared" si="254"/>
        <v>0</v>
      </c>
      <c r="U2031" s="195">
        <f t="shared" si="255"/>
        <v>0</v>
      </c>
      <c r="V2031" s="195">
        <f t="shared" si="256"/>
        <v>0</v>
      </c>
      <c r="W2031" s="196" t="e">
        <f t="shared" si="257"/>
        <v>#DIV/0!</v>
      </c>
      <c r="X2031" s="197" t="e">
        <f t="shared" si="258"/>
        <v>#DIV/0!</v>
      </c>
    </row>
    <row r="2032" ht="11.4" hidden="1" customHeight="1" spans="1:24">
      <c r="A2032" s="184" t="s">
        <v>3199</v>
      </c>
      <c r="B2032" s="184" t="s">
        <v>127</v>
      </c>
      <c r="C2032" s="184" t="s">
        <v>1101</v>
      </c>
      <c r="D2032" s="185" t="s">
        <v>704</v>
      </c>
      <c r="E2032" s="186" t="s">
        <v>906</v>
      </c>
      <c r="F2032" s="186" t="s">
        <v>907</v>
      </c>
      <c r="G2032" s="186" t="s">
        <v>1102</v>
      </c>
      <c r="H2032" s="186" t="s">
        <v>1806</v>
      </c>
      <c r="I2032" s="187" t="s">
        <v>1848</v>
      </c>
      <c r="J2032" s="187" t="s">
        <v>1849</v>
      </c>
      <c r="K2032" s="188"/>
      <c r="L2032" s="188"/>
      <c r="M2032" s="189" t="s">
        <v>807</v>
      </c>
      <c r="N2032" s="190">
        <v>75.27</v>
      </c>
      <c r="O2032" s="190">
        <f t="shared" si="251"/>
        <v>82.04</v>
      </c>
      <c r="P2032" s="191">
        <f t="shared" si="252"/>
        <v>0</v>
      </c>
      <c r="Q2032" s="192">
        <f t="shared" si="253"/>
        <v>0</v>
      </c>
      <c r="R2032" s="193"/>
      <c r="S2032" s="194"/>
      <c r="T2032" s="195">
        <f t="shared" si="254"/>
        <v>0</v>
      </c>
      <c r="U2032" s="195">
        <f t="shared" si="255"/>
        <v>0</v>
      </c>
      <c r="V2032" s="195">
        <f t="shared" si="256"/>
        <v>0</v>
      </c>
      <c r="W2032" s="196" t="e">
        <f t="shared" si="257"/>
        <v>#DIV/0!</v>
      </c>
      <c r="X2032" s="197" t="e">
        <f t="shared" si="258"/>
        <v>#DIV/0!</v>
      </c>
    </row>
    <row r="2033" ht="11.4" hidden="1" customHeight="1" spans="1:24">
      <c r="A2033" s="184" t="s">
        <v>3199</v>
      </c>
      <c r="B2033" s="184" t="s">
        <v>127</v>
      </c>
      <c r="C2033" s="184" t="s">
        <v>1101</v>
      </c>
      <c r="D2033" s="185" t="s">
        <v>704</v>
      </c>
      <c r="E2033" s="186" t="s">
        <v>906</v>
      </c>
      <c r="F2033" s="186" t="s">
        <v>907</v>
      </c>
      <c r="G2033" s="186" t="s">
        <v>1102</v>
      </c>
      <c r="H2033" s="186" t="s">
        <v>1806</v>
      </c>
      <c r="I2033" s="187" t="s">
        <v>1851</v>
      </c>
      <c r="J2033" s="187" t="s">
        <v>1852</v>
      </c>
      <c r="K2033" s="188"/>
      <c r="L2033" s="188"/>
      <c r="M2033" s="189" t="s">
        <v>807</v>
      </c>
      <c r="N2033" s="190">
        <v>845.78</v>
      </c>
      <c r="O2033" s="190">
        <f t="shared" si="251"/>
        <v>921.9</v>
      </c>
      <c r="P2033" s="191">
        <f t="shared" si="252"/>
        <v>0</v>
      </c>
      <c r="Q2033" s="192">
        <f t="shared" si="253"/>
        <v>0</v>
      </c>
      <c r="R2033" s="193"/>
      <c r="S2033" s="194"/>
      <c r="T2033" s="195">
        <f t="shared" si="254"/>
        <v>0</v>
      </c>
      <c r="U2033" s="195">
        <f t="shared" si="255"/>
        <v>0</v>
      </c>
      <c r="V2033" s="195">
        <f t="shared" si="256"/>
        <v>0</v>
      </c>
      <c r="W2033" s="196" t="e">
        <f t="shared" si="257"/>
        <v>#DIV/0!</v>
      </c>
      <c r="X2033" s="197" t="e">
        <f t="shared" si="258"/>
        <v>#DIV/0!</v>
      </c>
    </row>
    <row r="2034" ht="11.4" hidden="1" customHeight="1" spans="1:24">
      <c r="A2034" s="184" t="s">
        <v>3199</v>
      </c>
      <c r="B2034" s="184" t="s">
        <v>127</v>
      </c>
      <c r="C2034" s="184" t="s">
        <v>1101</v>
      </c>
      <c r="D2034" s="185" t="s">
        <v>704</v>
      </c>
      <c r="E2034" s="186" t="s">
        <v>906</v>
      </c>
      <c r="F2034" s="186" t="s">
        <v>907</v>
      </c>
      <c r="G2034" s="186" t="s">
        <v>1102</v>
      </c>
      <c r="H2034" s="186" t="s">
        <v>1806</v>
      </c>
      <c r="I2034" s="187" t="s">
        <v>1854</v>
      </c>
      <c r="J2034" s="187" t="s">
        <v>1855</v>
      </c>
      <c r="K2034" s="188"/>
      <c r="L2034" s="188"/>
      <c r="M2034" s="189" t="s">
        <v>1018</v>
      </c>
      <c r="N2034" s="190">
        <v>658.89</v>
      </c>
      <c r="O2034" s="190">
        <f t="shared" si="251"/>
        <v>718.19</v>
      </c>
      <c r="P2034" s="191">
        <f t="shared" si="252"/>
        <v>0</v>
      </c>
      <c r="Q2034" s="192">
        <f t="shared" si="253"/>
        <v>0</v>
      </c>
      <c r="R2034" s="193"/>
      <c r="S2034" s="194"/>
      <c r="T2034" s="195">
        <f t="shared" si="254"/>
        <v>0</v>
      </c>
      <c r="U2034" s="195">
        <f t="shared" si="255"/>
        <v>0</v>
      </c>
      <c r="V2034" s="195">
        <f t="shared" si="256"/>
        <v>0</v>
      </c>
      <c r="W2034" s="196" t="e">
        <f t="shared" si="257"/>
        <v>#DIV/0!</v>
      </c>
      <c r="X2034" s="197" t="e">
        <f t="shared" si="258"/>
        <v>#DIV/0!</v>
      </c>
    </row>
    <row r="2035" ht="11.4" hidden="1" customHeight="1" spans="1:24">
      <c r="A2035" s="184" t="s">
        <v>3199</v>
      </c>
      <c r="B2035" s="184" t="s">
        <v>127</v>
      </c>
      <c r="C2035" s="184" t="s">
        <v>1101</v>
      </c>
      <c r="D2035" s="185" t="s">
        <v>704</v>
      </c>
      <c r="E2035" s="186" t="s">
        <v>906</v>
      </c>
      <c r="F2035" s="186" t="s">
        <v>907</v>
      </c>
      <c r="G2035" s="186" t="s">
        <v>1102</v>
      </c>
      <c r="H2035" s="186" t="s">
        <v>1806</v>
      </c>
      <c r="I2035" s="187" t="s">
        <v>1856</v>
      </c>
      <c r="J2035" s="187" t="s">
        <v>1857</v>
      </c>
      <c r="K2035" s="188"/>
      <c r="L2035" s="188"/>
      <c r="M2035" s="189" t="s">
        <v>793</v>
      </c>
      <c r="N2035" s="190">
        <v>1160</v>
      </c>
      <c r="O2035" s="190">
        <f t="shared" si="251"/>
        <v>1264.4</v>
      </c>
      <c r="P2035" s="191">
        <f t="shared" si="252"/>
        <v>0</v>
      </c>
      <c r="Q2035" s="192">
        <f t="shared" si="253"/>
        <v>0</v>
      </c>
      <c r="R2035" s="193"/>
      <c r="S2035" s="194"/>
      <c r="T2035" s="195">
        <f t="shared" si="254"/>
        <v>0</v>
      </c>
      <c r="U2035" s="195">
        <f t="shared" si="255"/>
        <v>0</v>
      </c>
      <c r="V2035" s="195">
        <f t="shared" si="256"/>
        <v>0</v>
      </c>
      <c r="W2035" s="196" t="e">
        <f t="shared" si="257"/>
        <v>#DIV/0!</v>
      </c>
      <c r="X2035" s="197" t="e">
        <f t="shared" si="258"/>
        <v>#DIV/0!</v>
      </c>
    </row>
    <row r="2036" ht="11.4" hidden="1" customHeight="1" spans="1:24">
      <c r="A2036" s="184" t="s">
        <v>3199</v>
      </c>
      <c r="B2036" s="184" t="s">
        <v>127</v>
      </c>
      <c r="C2036" s="184" t="s">
        <v>1101</v>
      </c>
      <c r="D2036" s="185" t="s">
        <v>704</v>
      </c>
      <c r="E2036" s="186" t="s">
        <v>906</v>
      </c>
      <c r="F2036" s="186" t="s">
        <v>907</v>
      </c>
      <c r="G2036" s="186" t="s">
        <v>1102</v>
      </c>
      <c r="H2036" s="186" t="s">
        <v>1806</v>
      </c>
      <c r="I2036" s="187" t="s">
        <v>1858</v>
      </c>
      <c r="J2036" s="187" t="s">
        <v>1859</v>
      </c>
      <c r="K2036" s="188"/>
      <c r="L2036" s="188"/>
      <c r="M2036" s="189" t="s">
        <v>847</v>
      </c>
      <c r="N2036" s="190">
        <v>54</v>
      </c>
      <c r="O2036" s="190">
        <f t="shared" si="251"/>
        <v>58.86</v>
      </c>
      <c r="P2036" s="191">
        <f t="shared" si="252"/>
        <v>0</v>
      </c>
      <c r="Q2036" s="192">
        <f t="shared" si="253"/>
        <v>0</v>
      </c>
      <c r="R2036" s="193"/>
      <c r="S2036" s="194"/>
      <c r="T2036" s="195">
        <f t="shared" si="254"/>
        <v>0</v>
      </c>
      <c r="U2036" s="195">
        <f t="shared" si="255"/>
        <v>0</v>
      </c>
      <c r="V2036" s="195">
        <f t="shared" si="256"/>
        <v>0</v>
      </c>
      <c r="W2036" s="196" t="e">
        <f t="shared" si="257"/>
        <v>#DIV/0!</v>
      </c>
      <c r="X2036" s="197" t="e">
        <f t="shared" si="258"/>
        <v>#DIV/0!</v>
      </c>
    </row>
    <row r="2037" ht="11.4" hidden="1" customHeight="1" spans="1:24">
      <c r="A2037" s="184" t="s">
        <v>3199</v>
      </c>
      <c r="B2037" s="184" t="s">
        <v>127</v>
      </c>
      <c r="C2037" s="184" t="s">
        <v>1101</v>
      </c>
      <c r="D2037" s="185" t="s">
        <v>704</v>
      </c>
      <c r="E2037" s="186" t="s">
        <v>906</v>
      </c>
      <c r="F2037" s="186" t="s">
        <v>907</v>
      </c>
      <c r="G2037" s="186" t="s">
        <v>1102</v>
      </c>
      <c r="H2037" s="186" t="s">
        <v>1806</v>
      </c>
      <c r="I2037" s="187" t="s">
        <v>1860</v>
      </c>
      <c r="J2037" s="187" t="s">
        <v>1861</v>
      </c>
      <c r="K2037" s="188"/>
      <c r="L2037" s="188"/>
      <c r="M2037" s="189" t="s">
        <v>847</v>
      </c>
      <c r="N2037" s="190">
        <v>89.42</v>
      </c>
      <c r="O2037" s="190">
        <f t="shared" si="251"/>
        <v>97.47</v>
      </c>
      <c r="P2037" s="191">
        <f t="shared" si="252"/>
        <v>0</v>
      </c>
      <c r="Q2037" s="192">
        <f t="shared" si="253"/>
        <v>0</v>
      </c>
      <c r="R2037" s="193"/>
      <c r="S2037" s="194"/>
      <c r="T2037" s="195">
        <f t="shared" si="254"/>
        <v>0</v>
      </c>
      <c r="U2037" s="195">
        <f t="shared" si="255"/>
        <v>0</v>
      </c>
      <c r="V2037" s="195">
        <f t="shared" si="256"/>
        <v>0</v>
      </c>
      <c r="W2037" s="196" t="e">
        <f t="shared" si="257"/>
        <v>#DIV/0!</v>
      </c>
      <c r="X2037" s="197" t="e">
        <f t="shared" si="258"/>
        <v>#DIV/0!</v>
      </c>
    </row>
    <row r="2038" ht="11.4" hidden="1" customHeight="1" spans="1:24">
      <c r="A2038" s="184" t="s">
        <v>3199</v>
      </c>
      <c r="B2038" s="184" t="s">
        <v>127</v>
      </c>
      <c r="C2038" s="184" t="s">
        <v>1101</v>
      </c>
      <c r="D2038" s="185" t="s">
        <v>704</v>
      </c>
      <c r="E2038" s="186" t="s">
        <v>906</v>
      </c>
      <c r="F2038" s="186" t="s">
        <v>907</v>
      </c>
      <c r="G2038" s="186" t="s">
        <v>1102</v>
      </c>
      <c r="H2038" s="186" t="s">
        <v>1806</v>
      </c>
      <c r="I2038" s="187" t="s">
        <v>1862</v>
      </c>
      <c r="J2038" s="187" t="s">
        <v>1863</v>
      </c>
      <c r="K2038" s="188"/>
      <c r="L2038" s="188"/>
      <c r="M2038" s="189" t="s">
        <v>847</v>
      </c>
      <c r="N2038" s="190">
        <v>85.02</v>
      </c>
      <c r="O2038" s="190">
        <f t="shared" si="251"/>
        <v>92.67</v>
      </c>
      <c r="P2038" s="191">
        <f t="shared" si="252"/>
        <v>0</v>
      </c>
      <c r="Q2038" s="192">
        <f t="shared" si="253"/>
        <v>0</v>
      </c>
      <c r="R2038" s="193"/>
      <c r="S2038" s="194"/>
      <c r="T2038" s="195">
        <f t="shared" si="254"/>
        <v>0</v>
      </c>
      <c r="U2038" s="195">
        <f t="shared" si="255"/>
        <v>0</v>
      </c>
      <c r="V2038" s="195">
        <f t="shared" si="256"/>
        <v>0</v>
      </c>
      <c r="W2038" s="196" t="e">
        <f t="shared" si="257"/>
        <v>#DIV/0!</v>
      </c>
      <c r="X2038" s="197" t="e">
        <f t="shared" si="258"/>
        <v>#DIV/0!</v>
      </c>
    </row>
    <row r="2039" ht="11.4" hidden="1" customHeight="1" spans="1:24">
      <c r="A2039" s="184" t="s">
        <v>3199</v>
      </c>
      <c r="B2039" s="184" t="s">
        <v>127</v>
      </c>
      <c r="C2039" s="184" t="s">
        <v>1101</v>
      </c>
      <c r="D2039" s="185" t="s">
        <v>704</v>
      </c>
      <c r="E2039" s="186" t="s">
        <v>906</v>
      </c>
      <c r="F2039" s="186" t="s">
        <v>907</v>
      </c>
      <c r="G2039" s="186" t="s">
        <v>1102</v>
      </c>
      <c r="H2039" s="186" t="s">
        <v>1806</v>
      </c>
      <c r="I2039" s="187" t="s">
        <v>1864</v>
      </c>
      <c r="J2039" s="187" t="s">
        <v>1865</v>
      </c>
      <c r="K2039" s="188"/>
      <c r="L2039" s="188"/>
      <c r="M2039" s="189" t="s">
        <v>847</v>
      </c>
      <c r="N2039" s="190">
        <v>93.63</v>
      </c>
      <c r="O2039" s="190">
        <f t="shared" si="251"/>
        <v>102.06</v>
      </c>
      <c r="P2039" s="191">
        <f t="shared" si="252"/>
        <v>0</v>
      </c>
      <c r="Q2039" s="192">
        <f t="shared" si="253"/>
        <v>0</v>
      </c>
      <c r="R2039" s="193"/>
      <c r="S2039" s="194"/>
      <c r="T2039" s="195">
        <f t="shared" si="254"/>
        <v>0</v>
      </c>
      <c r="U2039" s="195">
        <f t="shared" si="255"/>
        <v>0</v>
      </c>
      <c r="V2039" s="195">
        <f t="shared" si="256"/>
        <v>0</v>
      </c>
      <c r="W2039" s="196" t="e">
        <f t="shared" si="257"/>
        <v>#DIV/0!</v>
      </c>
      <c r="X2039" s="197" t="e">
        <f t="shared" si="258"/>
        <v>#DIV/0!</v>
      </c>
    </row>
    <row r="2040" ht="11.4" hidden="1" customHeight="1" spans="1:24">
      <c r="A2040" s="184" t="s">
        <v>3199</v>
      </c>
      <c r="B2040" s="184" t="s">
        <v>127</v>
      </c>
      <c r="C2040" s="184" t="s">
        <v>1101</v>
      </c>
      <c r="D2040" s="185" t="s">
        <v>704</v>
      </c>
      <c r="E2040" s="186" t="s">
        <v>906</v>
      </c>
      <c r="F2040" s="186" t="s">
        <v>907</v>
      </c>
      <c r="G2040" s="186" t="s">
        <v>1102</v>
      </c>
      <c r="H2040" s="186" t="s">
        <v>1806</v>
      </c>
      <c r="I2040" s="187" t="s">
        <v>1866</v>
      </c>
      <c r="J2040" s="187" t="s">
        <v>1867</v>
      </c>
      <c r="K2040" s="188"/>
      <c r="L2040" s="188"/>
      <c r="M2040" s="189" t="s">
        <v>1018</v>
      </c>
      <c r="N2040" s="190">
        <v>14.17</v>
      </c>
      <c r="O2040" s="190">
        <f t="shared" si="251"/>
        <v>15.45</v>
      </c>
      <c r="P2040" s="191">
        <f t="shared" si="252"/>
        <v>0</v>
      </c>
      <c r="Q2040" s="192">
        <f t="shared" si="253"/>
        <v>0</v>
      </c>
      <c r="R2040" s="193"/>
      <c r="S2040" s="194"/>
      <c r="T2040" s="195">
        <f t="shared" si="254"/>
        <v>0</v>
      </c>
      <c r="U2040" s="195">
        <f t="shared" si="255"/>
        <v>0</v>
      </c>
      <c r="V2040" s="195">
        <f t="shared" si="256"/>
        <v>0</v>
      </c>
      <c r="W2040" s="196" t="e">
        <f t="shared" si="257"/>
        <v>#DIV/0!</v>
      </c>
      <c r="X2040" s="197" t="e">
        <f t="shared" si="258"/>
        <v>#DIV/0!</v>
      </c>
    </row>
    <row r="2041" ht="11.4" hidden="1" customHeight="1" spans="1:24">
      <c r="A2041" s="184" t="s">
        <v>3199</v>
      </c>
      <c r="B2041" s="184" t="s">
        <v>127</v>
      </c>
      <c r="C2041" s="184" t="s">
        <v>1101</v>
      </c>
      <c r="D2041" s="185" t="s">
        <v>704</v>
      </c>
      <c r="E2041" s="186" t="s">
        <v>906</v>
      </c>
      <c r="F2041" s="186" t="s">
        <v>907</v>
      </c>
      <c r="G2041" s="186" t="s">
        <v>1102</v>
      </c>
      <c r="H2041" s="186" t="s">
        <v>1806</v>
      </c>
      <c r="I2041" s="187" t="s">
        <v>1868</v>
      </c>
      <c r="J2041" s="187" t="s">
        <v>1869</v>
      </c>
      <c r="K2041" s="188"/>
      <c r="L2041" s="188"/>
      <c r="M2041" s="189" t="s">
        <v>989</v>
      </c>
      <c r="N2041" s="190">
        <v>794.43</v>
      </c>
      <c r="O2041" s="190">
        <f t="shared" si="251"/>
        <v>865.93</v>
      </c>
      <c r="P2041" s="191">
        <f t="shared" si="252"/>
        <v>0</v>
      </c>
      <c r="Q2041" s="192">
        <f t="shared" si="253"/>
        <v>0</v>
      </c>
      <c r="R2041" s="193"/>
      <c r="S2041" s="194"/>
      <c r="T2041" s="195">
        <f t="shared" si="254"/>
        <v>0</v>
      </c>
      <c r="U2041" s="195">
        <f t="shared" si="255"/>
        <v>0</v>
      </c>
      <c r="V2041" s="195">
        <f t="shared" si="256"/>
        <v>0</v>
      </c>
      <c r="W2041" s="196" t="e">
        <f t="shared" si="257"/>
        <v>#DIV/0!</v>
      </c>
      <c r="X2041" s="197" t="e">
        <f t="shared" si="258"/>
        <v>#DIV/0!</v>
      </c>
    </row>
    <row r="2042" ht="11.4" hidden="1" customHeight="1" spans="1:24">
      <c r="A2042" s="184" t="s">
        <v>3199</v>
      </c>
      <c r="B2042" s="184" t="s">
        <v>127</v>
      </c>
      <c r="C2042" s="184" t="s">
        <v>1101</v>
      </c>
      <c r="D2042" s="185" t="s">
        <v>704</v>
      </c>
      <c r="E2042" s="186" t="s">
        <v>906</v>
      </c>
      <c r="F2042" s="186" t="s">
        <v>907</v>
      </c>
      <c r="G2042" s="186" t="s">
        <v>1102</v>
      </c>
      <c r="H2042" s="186" t="s">
        <v>1806</v>
      </c>
      <c r="I2042" s="187" t="s">
        <v>1870</v>
      </c>
      <c r="J2042" s="187" t="s">
        <v>1871</v>
      </c>
      <c r="K2042" s="188"/>
      <c r="L2042" s="188"/>
      <c r="M2042" s="189" t="s">
        <v>989</v>
      </c>
      <c r="N2042" s="190">
        <v>1467.85</v>
      </c>
      <c r="O2042" s="190">
        <f t="shared" si="251"/>
        <v>1599.96</v>
      </c>
      <c r="P2042" s="191">
        <f t="shared" si="252"/>
        <v>0</v>
      </c>
      <c r="Q2042" s="192">
        <f t="shared" si="253"/>
        <v>0</v>
      </c>
      <c r="R2042" s="193"/>
      <c r="S2042" s="194"/>
      <c r="T2042" s="195">
        <f t="shared" si="254"/>
        <v>0</v>
      </c>
      <c r="U2042" s="195">
        <f t="shared" si="255"/>
        <v>0</v>
      </c>
      <c r="V2042" s="195">
        <f t="shared" si="256"/>
        <v>0</v>
      </c>
      <c r="W2042" s="196" t="e">
        <f t="shared" si="257"/>
        <v>#DIV/0!</v>
      </c>
      <c r="X2042" s="197" t="e">
        <f t="shared" si="258"/>
        <v>#DIV/0!</v>
      </c>
    </row>
    <row r="2043" ht="11.4" hidden="1" customHeight="1" spans="1:24">
      <c r="A2043" s="184" t="s">
        <v>3199</v>
      </c>
      <c r="B2043" s="184" t="s">
        <v>127</v>
      </c>
      <c r="C2043" s="184" t="s">
        <v>1101</v>
      </c>
      <c r="D2043" s="185" t="s">
        <v>704</v>
      </c>
      <c r="E2043" s="186" t="s">
        <v>906</v>
      </c>
      <c r="F2043" s="186" t="s">
        <v>907</v>
      </c>
      <c r="G2043" s="186" t="s">
        <v>1102</v>
      </c>
      <c r="H2043" s="186" t="s">
        <v>1806</v>
      </c>
      <c r="I2043" s="187" t="s">
        <v>1872</v>
      </c>
      <c r="J2043" s="187" t="s">
        <v>1873</v>
      </c>
      <c r="K2043" s="188"/>
      <c r="L2043" s="188"/>
      <c r="M2043" s="189" t="s">
        <v>793</v>
      </c>
      <c r="N2043" s="190">
        <v>1545.16</v>
      </c>
      <c r="O2043" s="190">
        <f t="shared" si="251"/>
        <v>1684.22</v>
      </c>
      <c r="P2043" s="191">
        <f t="shared" si="252"/>
        <v>0</v>
      </c>
      <c r="Q2043" s="192">
        <f t="shared" si="253"/>
        <v>0</v>
      </c>
      <c r="R2043" s="193"/>
      <c r="S2043" s="194"/>
      <c r="T2043" s="195">
        <f t="shared" si="254"/>
        <v>0</v>
      </c>
      <c r="U2043" s="195">
        <f t="shared" si="255"/>
        <v>0</v>
      </c>
      <c r="V2043" s="195">
        <f t="shared" si="256"/>
        <v>0</v>
      </c>
      <c r="W2043" s="196" t="e">
        <f t="shared" si="257"/>
        <v>#DIV/0!</v>
      </c>
      <c r="X2043" s="197" t="e">
        <f t="shared" si="258"/>
        <v>#DIV/0!</v>
      </c>
    </row>
    <row r="2044" ht="11.4" hidden="1" customHeight="1" spans="1:24">
      <c r="A2044" s="184" t="s">
        <v>3199</v>
      </c>
      <c r="B2044" s="184" t="s">
        <v>109</v>
      </c>
      <c r="C2044" s="184" t="s">
        <v>1101</v>
      </c>
      <c r="D2044" s="185" t="s">
        <v>704</v>
      </c>
      <c r="E2044" s="186" t="s">
        <v>906</v>
      </c>
      <c r="F2044" s="186" t="s">
        <v>907</v>
      </c>
      <c r="G2044" s="186" t="s">
        <v>1102</v>
      </c>
      <c r="H2044" s="186" t="s">
        <v>1806</v>
      </c>
      <c r="I2044" s="187" t="s">
        <v>1874</v>
      </c>
      <c r="J2044" s="187" t="s">
        <v>1875</v>
      </c>
      <c r="K2044" s="188"/>
      <c r="L2044" s="188"/>
      <c r="M2044" s="189" t="s">
        <v>1778</v>
      </c>
      <c r="N2044" s="190">
        <v>899</v>
      </c>
      <c r="O2044" s="190">
        <f t="shared" si="251"/>
        <v>979.91</v>
      </c>
      <c r="P2044" s="191">
        <f t="shared" si="252"/>
        <v>0</v>
      </c>
      <c r="Q2044" s="192">
        <f t="shared" si="253"/>
        <v>0</v>
      </c>
      <c r="R2044" s="193"/>
      <c r="S2044" s="194"/>
      <c r="T2044" s="195">
        <f t="shared" si="254"/>
        <v>0</v>
      </c>
      <c r="U2044" s="195">
        <f t="shared" si="255"/>
        <v>0</v>
      </c>
      <c r="V2044" s="195">
        <f t="shared" si="256"/>
        <v>0</v>
      </c>
      <c r="W2044" s="196" t="e">
        <f t="shared" si="257"/>
        <v>#DIV/0!</v>
      </c>
      <c r="X2044" s="197" t="e">
        <f t="shared" si="258"/>
        <v>#DIV/0!</v>
      </c>
    </row>
    <row r="2045" ht="11.4" hidden="1" customHeight="1" spans="1:24">
      <c r="A2045" s="184" t="s">
        <v>3199</v>
      </c>
      <c r="B2045" s="184" t="s">
        <v>127</v>
      </c>
      <c r="C2045" s="184" t="s">
        <v>1101</v>
      </c>
      <c r="D2045" s="185" t="s">
        <v>704</v>
      </c>
      <c r="E2045" s="186" t="s">
        <v>906</v>
      </c>
      <c r="F2045" s="186" t="s">
        <v>907</v>
      </c>
      <c r="G2045" s="186" t="s">
        <v>1102</v>
      </c>
      <c r="H2045" s="186" t="s">
        <v>1806</v>
      </c>
      <c r="I2045" s="187" t="s">
        <v>1876</v>
      </c>
      <c r="J2045" s="187" t="s">
        <v>1877</v>
      </c>
      <c r="K2045" s="188"/>
      <c r="L2045" s="188"/>
      <c r="M2045" s="189" t="s">
        <v>847</v>
      </c>
      <c r="N2045" s="190">
        <v>45.72</v>
      </c>
      <c r="O2045" s="190">
        <f t="shared" si="251"/>
        <v>49.83</v>
      </c>
      <c r="P2045" s="191">
        <f t="shared" si="252"/>
        <v>0</v>
      </c>
      <c r="Q2045" s="192">
        <f t="shared" si="253"/>
        <v>0</v>
      </c>
      <c r="R2045" s="193"/>
      <c r="S2045" s="194"/>
      <c r="T2045" s="195">
        <f t="shared" si="254"/>
        <v>0</v>
      </c>
      <c r="U2045" s="195">
        <f t="shared" si="255"/>
        <v>0</v>
      </c>
      <c r="V2045" s="195">
        <f t="shared" si="256"/>
        <v>0</v>
      </c>
      <c r="W2045" s="196" t="e">
        <f t="shared" si="257"/>
        <v>#DIV/0!</v>
      </c>
      <c r="X2045" s="197" t="e">
        <f t="shared" si="258"/>
        <v>#DIV/0!</v>
      </c>
    </row>
    <row r="2046" ht="11.4" hidden="1" customHeight="1" spans="1:24">
      <c r="A2046" s="184" t="s">
        <v>3200</v>
      </c>
      <c r="B2046" s="184" t="s">
        <v>139</v>
      </c>
      <c r="C2046" s="184" t="s">
        <v>1880</v>
      </c>
      <c r="D2046" s="185" t="s">
        <v>704</v>
      </c>
      <c r="E2046" s="186" t="s">
        <v>906</v>
      </c>
      <c r="F2046" s="186" t="s">
        <v>907</v>
      </c>
      <c r="G2046" s="186" t="s">
        <v>1881</v>
      </c>
      <c r="H2046" s="186" t="s">
        <v>1882</v>
      </c>
      <c r="I2046" s="187" t="s">
        <v>1883</v>
      </c>
      <c r="J2046" s="187" t="s">
        <v>1884</v>
      </c>
      <c r="K2046" s="188"/>
      <c r="L2046" s="188"/>
      <c r="M2046" s="189" t="s">
        <v>793</v>
      </c>
      <c r="N2046" s="190">
        <v>4237.59</v>
      </c>
      <c r="O2046" s="190">
        <f t="shared" si="251"/>
        <v>4618.97</v>
      </c>
      <c r="P2046" s="191">
        <f t="shared" si="252"/>
        <v>0</v>
      </c>
      <c r="Q2046" s="192">
        <f t="shared" si="253"/>
        <v>0</v>
      </c>
      <c r="R2046" s="193"/>
      <c r="S2046" s="194"/>
      <c r="T2046" s="195">
        <f t="shared" si="254"/>
        <v>0</v>
      </c>
      <c r="U2046" s="195">
        <f t="shared" si="255"/>
        <v>0</v>
      </c>
      <c r="V2046" s="195">
        <f t="shared" si="256"/>
        <v>0</v>
      </c>
      <c r="W2046" s="196" t="e">
        <f t="shared" si="257"/>
        <v>#DIV/0!</v>
      </c>
      <c r="X2046" s="197" t="e">
        <f t="shared" si="258"/>
        <v>#DIV/0!</v>
      </c>
    </row>
    <row r="2047" ht="11.4" hidden="1" customHeight="1" spans="1:24">
      <c r="A2047" s="184" t="s">
        <v>3200</v>
      </c>
      <c r="B2047" s="184" t="s">
        <v>139</v>
      </c>
      <c r="C2047" s="184" t="s">
        <v>1880</v>
      </c>
      <c r="D2047" s="185" t="s">
        <v>704</v>
      </c>
      <c r="E2047" s="186" t="s">
        <v>906</v>
      </c>
      <c r="F2047" s="186" t="s">
        <v>907</v>
      </c>
      <c r="G2047" s="186" t="s">
        <v>1881</v>
      </c>
      <c r="H2047" s="186" t="s">
        <v>1882</v>
      </c>
      <c r="I2047" s="187" t="s">
        <v>1885</v>
      </c>
      <c r="J2047" s="187" t="s">
        <v>1886</v>
      </c>
      <c r="K2047" s="188"/>
      <c r="L2047" s="188"/>
      <c r="M2047" s="189" t="s">
        <v>793</v>
      </c>
      <c r="N2047" s="190">
        <v>1859</v>
      </c>
      <c r="O2047" s="190">
        <f t="shared" si="251"/>
        <v>2026.31</v>
      </c>
      <c r="P2047" s="191">
        <f t="shared" si="252"/>
        <v>0</v>
      </c>
      <c r="Q2047" s="192">
        <f t="shared" si="253"/>
        <v>0</v>
      </c>
      <c r="R2047" s="193"/>
      <c r="S2047" s="194"/>
      <c r="T2047" s="195">
        <f t="shared" si="254"/>
        <v>0</v>
      </c>
      <c r="U2047" s="195">
        <f t="shared" si="255"/>
        <v>0</v>
      </c>
      <c r="V2047" s="195">
        <f t="shared" si="256"/>
        <v>0</v>
      </c>
      <c r="W2047" s="196" t="e">
        <f t="shared" si="257"/>
        <v>#DIV/0!</v>
      </c>
      <c r="X2047" s="197" t="e">
        <f t="shared" si="258"/>
        <v>#DIV/0!</v>
      </c>
    </row>
    <row r="2048" ht="11.4" hidden="1" customHeight="1" spans="1:24">
      <c r="A2048" s="184" t="s">
        <v>3200</v>
      </c>
      <c r="B2048" s="184" t="s">
        <v>139</v>
      </c>
      <c r="C2048" s="184" t="s">
        <v>1880</v>
      </c>
      <c r="D2048" s="185" t="s">
        <v>704</v>
      </c>
      <c r="E2048" s="186" t="s">
        <v>906</v>
      </c>
      <c r="F2048" s="186" t="s">
        <v>907</v>
      </c>
      <c r="G2048" s="186" t="s">
        <v>1881</v>
      </c>
      <c r="H2048" s="186" t="s">
        <v>1882</v>
      </c>
      <c r="I2048" s="187" t="s">
        <v>1887</v>
      </c>
      <c r="J2048" s="187" t="s">
        <v>1888</v>
      </c>
      <c r="K2048" s="188"/>
      <c r="L2048" s="188"/>
      <c r="M2048" s="189" t="s">
        <v>793</v>
      </c>
      <c r="N2048" s="190">
        <v>1850</v>
      </c>
      <c r="O2048" s="190">
        <f t="shared" si="251"/>
        <v>2016.5</v>
      </c>
      <c r="P2048" s="191">
        <f t="shared" si="252"/>
        <v>0</v>
      </c>
      <c r="Q2048" s="192">
        <f t="shared" si="253"/>
        <v>0</v>
      </c>
      <c r="R2048" s="193"/>
      <c r="S2048" s="194"/>
      <c r="T2048" s="195">
        <f t="shared" si="254"/>
        <v>0</v>
      </c>
      <c r="U2048" s="195">
        <f t="shared" si="255"/>
        <v>0</v>
      </c>
      <c r="V2048" s="195">
        <f t="shared" si="256"/>
        <v>0</v>
      </c>
      <c r="W2048" s="196" t="e">
        <f t="shared" si="257"/>
        <v>#DIV/0!</v>
      </c>
      <c r="X2048" s="197" t="e">
        <f t="shared" si="258"/>
        <v>#DIV/0!</v>
      </c>
    </row>
    <row r="2049" ht="11.4" hidden="1" customHeight="1" spans="1:24">
      <c r="A2049" s="184" t="s">
        <v>3200</v>
      </c>
      <c r="B2049" s="184" t="s">
        <v>139</v>
      </c>
      <c r="C2049" s="184" t="s">
        <v>1880</v>
      </c>
      <c r="D2049" s="185" t="s">
        <v>704</v>
      </c>
      <c r="E2049" s="186" t="s">
        <v>906</v>
      </c>
      <c r="F2049" s="186" t="s">
        <v>907</v>
      </c>
      <c r="G2049" s="186" t="s">
        <v>1881</v>
      </c>
      <c r="H2049" s="186" t="s">
        <v>1882</v>
      </c>
      <c r="I2049" s="187" t="s">
        <v>1889</v>
      </c>
      <c r="J2049" s="187" t="s">
        <v>1890</v>
      </c>
      <c r="K2049" s="188"/>
      <c r="L2049" s="188"/>
      <c r="M2049" s="189" t="s">
        <v>793</v>
      </c>
      <c r="N2049" s="190"/>
      <c r="O2049" s="190">
        <f t="shared" si="251"/>
        <v>0</v>
      </c>
      <c r="P2049" s="191">
        <f t="shared" si="252"/>
        <v>0</v>
      </c>
      <c r="Q2049" s="192">
        <f t="shared" si="253"/>
        <v>0</v>
      </c>
      <c r="R2049" s="193"/>
      <c r="S2049" s="194"/>
      <c r="T2049" s="195">
        <f t="shared" si="254"/>
        <v>0</v>
      </c>
      <c r="U2049" s="195">
        <f t="shared" si="255"/>
        <v>0</v>
      </c>
      <c r="V2049" s="195">
        <f t="shared" si="256"/>
        <v>0</v>
      </c>
      <c r="W2049" s="196" t="e">
        <f t="shared" si="257"/>
        <v>#DIV/0!</v>
      </c>
      <c r="X2049" s="197" t="e">
        <f t="shared" si="258"/>
        <v>#DIV/0!</v>
      </c>
    </row>
    <row r="2050" ht="11.4" hidden="1" customHeight="1" spans="1:24">
      <c r="A2050" s="184" t="s">
        <v>3200</v>
      </c>
      <c r="B2050" s="184" t="s">
        <v>139</v>
      </c>
      <c r="C2050" s="184" t="s">
        <v>1880</v>
      </c>
      <c r="D2050" s="185" t="s">
        <v>704</v>
      </c>
      <c r="E2050" s="186" t="s">
        <v>906</v>
      </c>
      <c r="F2050" s="186" t="s">
        <v>907</v>
      </c>
      <c r="G2050" s="186" t="s">
        <v>1881</v>
      </c>
      <c r="H2050" s="186" t="s">
        <v>1891</v>
      </c>
      <c r="I2050" s="187" t="s">
        <v>1892</v>
      </c>
      <c r="J2050" s="187" t="s">
        <v>1893</v>
      </c>
      <c r="K2050" s="188"/>
      <c r="L2050" s="188"/>
      <c r="M2050" s="189" t="s">
        <v>1778</v>
      </c>
      <c r="N2050" s="190">
        <v>486.16</v>
      </c>
      <c r="O2050" s="190">
        <f t="shared" si="251"/>
        <v>529.91</v>
      </c>
      <c r="P2050" s="191">
        <f t="shared" si="252"/>
        <v>0</v>
      </c>
      <c r="Q2050" s="192">
        <f t="shared" si="253"/>
        <v>0</v>
      </c>
      <c r="R2050" s="193"/>
      <c r="S2050" s="194"/>
      <c r="T2050" s="195">
        <f t="shared" si="254"/>
        <v>0</v>
      </c>
      <c r="U2050" s="195">
        <f t="shared" si="255"/>
        <v>0</v>
      </c>
      <c r="V2050" s="195">
        <f t="shared" si="256"/>
        <v>0</v>
      </c>
      <c r="W2050" s="196" t="e">
        <f t="shared" si="257"/>
        <v>#DIV/0!</v>
      </c>
      <c r="X2050" s="197" t="e">
        <f t="shared" si="258"/>
        <v>#DIV/0!</v>
      </c>
    </row>
    <row r="2051" ht="11.4" hidden="1" customHeight="1" spans="1:24">
      <c r="A2051" s="184" t="s">
        <v>3200</v>
      </c>
      <c r="B2051" s="184" t="s">
        <v>139</v>
      </c>
      <c r="C2051" s="184" t="s">
        <v>1880</v>
      </c>
      <c r="D2051" s="185" t="s">
        <v>704</v>
      </c>
      <c r="E2051" s="186" t="s">
        <v>906</v>
      </c>
      <c r="F2051" s="186" t="s">
        <v>907</v>
      </c>
      <c r="G2051" s="186" t="s">
        <v>1881</v>
      </c>
      <c r="H2051" s="186" t="s">
        <v>1891</v>
      </c>
      <c r="I2051" s="187" t="s">
        <v>1895</v>
      </c>
      <c r="J2051" s="187" t="s">
        <v>1896</v>
      </c>
      <c r="K2051" s="188"/>
      <c r="L2051" s="188"/>
      <c r="M2051" s="189" t="s">
        <v>1018</v>
      </c>
      <c r="N2051" s="190">
        <v>105.21</v>
      </c>
      <c r="O2051" s="190">
        <f t="shared" si="251"/>
        <v>114.68</v>
      </c>
      <c r="P2051" s="191">
        <f t="shared" si="252"/>
        <v>0</v>
      </c>
      <c r="Q2051" s="192">
        <f t="shared" si="253"/>
        <v>0</v>
      </c>
      <c r="R2051" s="193"/>
      <c r="S2051" s="194"/>
      <c r="T2051" s="195">
        <f t="shared" si="254"/>
        <v>0</v>
      </c>
      <c r="U2051" s="195">
        <f t="shared" si="255"/>
        <v>0</v>
      </c>
      <c r="V2051" s="195">
        <f t="shared" si="256"/>
        <v>0</v>
      </c>
      <c r="W2051" s="196" t="e">
        <f t="shared" si="257"/>
        <v>#DIV/0!</v>
      </c>
      <c r="X2051" s="197" t="e">
        <f t="shared" si="258"/>
        <v>#DIV/0!</v>
      </c>
    </row>
    <row r="2052" ht="11.4" hidden="1" customHeight="1" spans="1:24">
      <c r="A2052" s="184" t="s">
        <v>3200</v>
      </c>
      <c r="B2052" s="184" t="s">
        <v>139</v>
      </c>
      <c r="C2052" s="184" t="s">
        <v>1880</v>
      </c>
      <c r="D2052" s="185" t="s">
        <v>704</v>
      </c>
      <c r="E2052" s="186" t="s">
        <v>906</v>
      </c>
      <c r="F2052" s="186" t="s">
        <v>907</v>
      </c>
      <c r="G2052" s="186" t="s">
        <v>1881</v>
      </c>
      <c r="H2052" s="186" t="s">
        <v>1891</v>
      </c>
      <c r="I2052" s="187" t="s">
        <v>1897</v>
      </c>
      <c r="J2052" s="187" t="s">
        <v>1898</v>
      </c>
      <c r="K2052" s="188"/>
      <c r="L2052" s="188"/>
      <c r="M2052" s="189" t="s">
        <v>1778</v>
      </c>
      <c r="N2052" s="190">
        <v>511.41</v>
      </c>
      <c r="O2052" s="190">
        <f t="shared" si="251"/>
        <v>557.44</v>
      </c>
      <c r="P2052" s="191">
        <f t="shared" si="252"/>
        <v>0</v>
      </c>
      <c r="Q2052" s="192">
        <f t="shared" si="253"/>
        <v>0</v>
      </c>
      <c r="R2052" s="193"/>
      <c r="S2052" s="194"/>
      <c r="T2052" s="195">
        <f t="shared" si="254"/>
        <v>0</v>
      </c>
      <c r="U2052" s="195">
        <f t="shared" si="255"/>
        <v>0</v>
      </c>
      <c r="V2052" s="195">
        <f t="shared" si="256"/>
        <v>0</v>
      </c>
      <c r="W2052" s="196" t="e">
        <f t="shared" si="257"/>
        <v>#DIV/0!</v>
      </c>
      <c r="X2052" s="197" t="e">
        <f t="shared" si="258"/>
        <v>#DIV/0!</v>
      </c>
    </row>
    <row r="2053" ht="11.4" hidden="1" customHeight="1" spans="1:24">
      <c r="A2053" s="184" t="s">
        <v>3200</v>
      </c>
      <c r="B2053" s="184" t="s">
        <v>139</v>
      </c>
      <c r="C2053" s="184" t="s">
        <v>1880</v>
      </c>
      <c r="D2053" s="185" t="s">
        <v>704</v>
      </c>
      <c r="E2053" s="186" t="s">
        <v>906</v>
      </c>
      <c r="F2053" s="186" t="s">
        <v>907</v>
      </c>
      <c r="G2053" s="186" t="s">
        <v>1881</v>
      </c>
      <c r="H2053" s="186" t="s">
        <v>1891</v>
      </c>
      <c r="I2053" s="187" t="s">
        <v>1899</v>
      </c>
      <c r="J2053" s="187" t="s">
        <v>1900</v>
      </c>
      <c r="K2053" s="188"/>
      <c r="L2053" s="188"/>
      <c r="M2053" s="189" t="s">
        <v>1018</v>
      </c>
      <c r="N2053" s="190">
        <v>105.85</v>
      </c>
      <c r="O2053" s="190">
        <f t="shared" si="251"/>
        <v>115.38</v>
      </c>
      <c r="P2053" s="191">
        <f t="shared" si="252"/>
        <v>0</v>
      </c>
      <c r="Q2053" s="192">
        <f t="shared" si="253"/>
        <v>0</v>
      </c>
      <c r="R2053" s="193"/>
      <c r="S2053" s="194"/>
      <c r="T2053" s="195">
        <f t="shared" si="254"/>
        <v>0</v>
      </c>
      <c r="U2053" s="195">
        <f t="shared" si="255"/>
        <v>0</v>
      </c>
      <c r="V2053" s="195">
        <f t="shared" si="256"/>
        <v>0</v>
      </c>
      <c r="W2053" s="196" t="e">
        <f t="shared" si="257"/>
        <v>#DIV/0!</v>
      </c>
      <c r="X2053" s="197" t="e">
        <f t="shared" si="258"/>
        <v>#DIV/0!</v>
      </c>
    </row>
    <row r="2054" ht="11.4" hidden="1" customHeight="1" spans="1:24">
      <c r="A2054" s="184" t="s">
        <v>3200</v>
      </c>
      <c r="B2054" s="184" t="s">
        <v>139</v>
      </c>
      <c r="C2054" s="184" t="s">
        <v>1880</v>
      </c>
      <c r="D2054" s="185" t="s">
        <v>704</v>
      </c>
      <c r="E2054" s="186" t="s">
        <v>906</v>
      </c>
      <c r="F2054" s="186" t="s">
        <v>907</v>
      </c>
      <c r="G2054" s="186" t="s">
        <v>1881</v>
      </c>
      <c r="H2054" s="186" t="s">
        <v>1891</v>
      </c>
      <c r="I2054" s="187" t="s">
        <v>1901</v>
      </c>
      <c r="J2054" s="187" t="s">
        <v>1902</v>
      </c>
      <c r="K2054" s="188"/>
      <c r="L2054" s="188"/>
      <c r="M2054" s="189" t="s">
        <v>1018</v>
      </c>
      <c r="N2054" s="190">
        <v>82.71</v>
      </c>
      <c r="O2054" s="190">
        <f t="shared" si="251"/>
        <v>90.15</v>
      </c>
      <c r="P2054" s="191">
        <f t="shared" si="252"/>
        <v>0</v>
      </c>
      <c r="Q2054" s="192">
        <f t="shared" si="253"/>
        <v>0</v>
      </c>
      <c r="R2054" s="193"/>
      <c r="S2054" s="194"/>
      <c r="T2054" s="195">
        <f t="shared" si="254"/>
        <v>0</v>
      </c>
      <c r="U2054" s="195">
        <f t="shared" si="255"/>
        <v>0</v>
      </c>
      <c r="V2054" s="195">
        <f t="shared" si="256"/>
        <v>0</v>
      </c>
      <c r="W2054" s="196" t="e">
        <f t="shared" si="257"/>
        <v>#DIV/0!</v>
      </c>
      <c r="X2054" s="197" t="e">
        <f t="shared" si="258"/>
        <v>#DIV/0!</v>
      </c>
    </row>
    <row r="2055" ht="11.4" hidden="1" customHeight="1" spans="1:24">
      <c r="A2055" s="184" t="s">
        <v>3200</v>
      </c>
      <c r="B2055" s="184" t="s">
        <v>139</v>
      </c>
      <c r="C2055" s="184" t="s">
        <v>1880</v>
      </c>
      <c r="D2055" s="185" t="s">
        <v>704</v>
      </c>
      <c r="E2055" s="186" t="s">
        <v>906</v>
      </c>
      <c r="F2055" s="186" t="s">
        <v>907</v>
      </c>
      <c r="G2055" s="186" t="s">
        <v>1881</v>
      </c>
      <c r="H2055" s="186" t="s">
        <v>1891</v>
      </c>
      <c r="I2055" s="187" t="s">
        <v>1904</v>
      </c>
      <c r="J2055" s="187" t="s">
        <v>1905</v>
      </c>
      <c r="K2055" s="188"/>
      <c r="L2055" s="188"/>
      <c r="M2055" s="189" t="s">
        <v>1018</v>
      </c>
      <c r="N2055" s="190">
        <v>536.25</v>
      </c>
      <c r="O2055" s="190">
        <f t="shared" si="251"/>
        <v>584.51</v>
      </c>
      <c r="P2055" s="191">
        <f t="shared" si="252"/>
        <v>0</v>
      </c>
      <c r="Q2055" s="192">
        <f t="shared" si="253"/>
        <v>0</v>
      </c>
      <c r="R2055" s="193"/>
      <c r="S2055" s="194"/>
      <c r="T2055" s="195">
        <f t="shared" si="254"/>
        <v>0</v>
      </c>
      <c r="U2055" s="195">
        <f t="shared" si="255"/>
        <v>0</v>
      </c>
      <c r="V2055" s="195">
        <f t="shared" si="256"/>
        <v>0</v>
      </c>
      <c r="W2055" s="196" t="e">
        <f t="shared" si="257"/>
        <v>#DIV/0!</v>
      </c>
      <c r="X2055" s="197" t="e">
        <f t="shared" si="258"/>
        <v>#DIV/0!</v>
      </c>
    </row>
    <row r="2056" ht="11.4" hidden="1" customHeight="1" spans="1:24">
      <c r="A2056" s="184" t="s">
        <v>3200</v>
      </c>
      <c r="B2056" s="184" t="s">
        <v>139</v>
      </c>
      <c r="C2056" s="184" t="s">
        <v>1880</v>
      </c>
      <c r="D2056" s="185" t="s">
        <v>704</v>
      </c>
      <c r="E2056" s="186" t="s">
        <v>906</v>
      </c>
      <c r="F2056" s="186" t="s">
        <v>907</v>
      </c>
      <c r="G2056" s="186" t="s">
        <v>1881</v>
      </c>
      <c r="H2056" s="186" t="s">
        <v>1891</v>
      </c>
      <c r="I2056" s="187" t="s">
        <v>1906</v>
      </c>
      <c r="J2056" s="187" t="s">
        <v>1907</v>
      </c>
      <c r="K2056" s="188"/>
      <c r="L2056" s="188"/>
      <c r="M2056" s="189" t="s">
        <v>1018</v>
      </c>
      <c r="N2056" s="190">
        <v>453.75</v>
      </c>
      <c r="O2056" s="190">
        <f t="shared" si="251"/>
        <v>494.59</v>
      </c>
      <c r="P2056" s="191">
        <f t="shared" si="252"/>
        <v>0</v>
      </c>
      <c r="Q2056" s="192">
        <f t="shared" si="253"/>
        <v>0</v>
      </c>
      <c r="R2056" s="193"/>
      <c r="S2056" s="194"/>
      <c r="T2056" s="195">
        <f t="shared" si="254"/>
        <v>0</v>
      </c>
      <c r="U2056" s="195">
        <f t="shared" si="255"/>
        <v>0</v>
      </c>
      <c r="V2056" s="195">
        <f t="shared" si="256"/>
        <v>0</v>
      </c>
      <c r="W2056" s="196" t="e">
        <f t="shared" si="257"/>
        <v>#DIV/0!</v>
      </c>
      <c r="X2056" s="197" t="e">
        <f t="shared" si="258"/>
        <v>#DIV/0!</v>
      </c>
    </row>
    <row r="2057" ht="11.4" hidden="1" customHeight="1" spans="1:24">
      <c r="A2057" s="184" t="s">
        <v>3200</v>
      </c>
      <c r="B2057" s="184" t="s">
        <v>139</v>
      </c>
      <c r="C2057" s="184" t="s">
        <v>1880</v>
      </c>
      <c r="D2057" s="185" t="s">
        <v>704</v>
      </c>
      <c r="E2057" s="186" t="s">
        <v>906</v>
      </c>
      <c r="F2057" s="186" t="s">
        <v>907</v>
      </c>
      <c r="G2057" s="186" t="s">
        <v>1881</v>
      </c>
      <c r="H2057" s="186" t="s">
        <v>1891</v>
      </c>
      <c r="I2057" s="187" t="s">
        <v>1908</v>
      </c>
      <c r="J2057" s="187" t="s">
        <v>1909</v>
      </c>
      <c r="K2057" s="188"/>
      <c r="L2057" s="188"/>
      <c r="M2057" s="189" t="s">
        <v>1018</v>
      </c>
      <c r="N2057" s="190">
        <v>1088.45</v>
      </c>
      <c r="O2057" s="190">
        <f t="shared" si="251"/>
        <v>1186.41</v>
      </c>
      <c r="P2057" s="191">
        <f t="shared" si="252"/>
        <v>0</v>
      </c>
      <c r="Q2057" s="192">
        <f t="shared" si="253"/>
        <v>0</v>
      </c>
      <c r="R2057" s="193"/>
      <c r="S2057" s="194"/>
      <c r="T2057" s="195">
        <f t="shared" si="254"/>
        <v>0</v>
      </c>
      <c r="U2057" s="195">
        <f t="shared" si="255"/>
        <v>0</v>
      </c>
      <c r="V2057" s="195">
        <f t="shared" si="256"/>
        <v>0</v>
      </c>
      <c r="W2057" s="196" t="e">
        <f t="shared" si="257"/>
        <v>#DIV/0!</v>
      </c>
      <c r="X2057" s="197" t="e">
        <f t="shared" si="258"/>
        <v>#DIV/0!</v>
      </c>
    </row>
    <row r="2058" ht="11.4" hidden="1" customHeight="1" spans="1:24">
      <c r="A2058" s="184" t="s">
        <v>3200</v>
      </c>
      <c r="B2058" s="184" t="s">
        <v>139</v>
      </c>
      <c r="C2058" s="184" t="s">
        <v>1880</v>
      </c>
      <c r="D2058" s="185" t="s">
        <v>704</v>
      </c>
      <c r="E2058" s="186" t="s">
        <v>906</v>
      </c>
      <c r="F2058" s="186" t="s">
        <v>907</v>
      </c>
      <c r="G2058" s="186" t="s">
        <v>1881</v>
      </c>
      <c r="H2058" s="186" t="s">
        <v>1891</v>
      </c>
      <c r="I2058" s="187" t="s">
        <v>1910</v>
      </c>
      <c r="J2058" s="187" t="s">
        <v>1911</v>
      </c>
      <c r="K2058" s="188"/>
      <c r="L2058" s="188"/>
      <c r="M2058" s="189" t="s">
        <v>1018</v>
      </c>
      <c r="N2058" s="190">
        <v>359.26</v>
      </c>
      <c r="O2058" s="190">
        <f t="shared" si="251"/>
        <v>391.59</v>
      </c>
      <c r="P2058" s="191">
        <f t="shared" si="252"/>
        <v>0</v>
      </c>
      <c r="Q2058" s="192">
        <f t="shared" si="253"/>
        <v>0</v>
      </c>
      <c r="R2058" s="193"/>
      <c r="S2058" s="194"/>
      <c r="T2058" s="195">
        <f t="shared" si="254"/>
        <v>0</v>
      </c>
      <c r="U2058" s="195">
        <f t="shared" si="255"/>
        <v>0</v>
      </c>
      <c r="V2058" s="195">
        <f t="shared" si="256"/>
        <v>0</v>
      </c>
      <c r="W2058" s="196" t="e">
        <f t="shared" si="257"/>
        <v>#DIV/0!</v>
      </c>
      <c r="X2058" s="197" t="e">
        <f t="shared" si="258"/>
        <v>#DIV/0!</v>
      </c>
    </row>
    <row r="2059" ht="11.4" hidden="1" customHeight="1" spans="1:24">
      <c r="A2059" s="184" t="s">
        <v>3200</v>
      </c>
      <c r="B2059" s="184" t="s">
        <v>139</v>
      </c>
      <c r="C2059" s="184" t="s">
        <v>1880</v>
      </c>
      <c r="D2059" s="185" t="s">
        <v>704</v>
      </c>
      <c r="E2059" s="186" t="s">
        <v>906</v>
      </c>
      <c r="F2059" s="186" t="s">
        <v>907</v>
      </c>
      <c r="G2059" s="186" t="s">
        <v>1881</v>
      </c>
      <c r="H2059" s="186" t="s">
        <v>1891</v>
      </c>
      <c r="I2059" s="187" t="s">
        <v>1912</v>
      </c>
      <c r="J2059" s="187" t="s">
        <v>1913</v>
      </c>
      <c r="K2059" s="188"/>
      <c r="L2059" s="188"/>
      <c r="M2059" s="189" t="s">
        <v>1018</v>
      </c>
      <c r="N2059" s="190">
        <v>708.28</v>
      </c>
      <c r="O2059" s="190">
        <f t="shared" si="251"/>
        <v>772.03</v>
      </c>
      <c r="P2059" s="191">
        <f t="shared" si="252"/>
        <v>0</v>
      </c>
      <c r="Q2059" s="192">
        <f t="shared" si="253"/>
        <v>0</v>
      </c>
      <c r="R2059" s="193"/>
      <c r="S2059" s="194"/>
      <c r="T2059" s="195">
        <f t="shared" si="254"/>
        <v>0</v>
      </c>
      <c r="U2059" s="195">
        <f t="shared" si="255"/>
        <v>0</v>
      </c>
      <c r="V2059" s="195">
        <f t="shared" si="256"/>
        <v>0</v>
      </c>
      <c r="W2059" s="196" t="e">
        <f t="shared" si="257"/>
        <v>#DIV/0!</v>
      </c>
      <c r="X2059" s="197" t="e">
        <f t="shared" si="258"/>
        <v>#DIV/0!</v>
      </c>
    </row>
    <row r="2060" ht="11.4" hidden="1" customHeight="1" spans="1:24">
      <c r="A2060" s="184" t="s">
        <v>3200</v>
      </c>
      <c r="B2060" s="184" t="s">
        <v>139</v>
      </c>
      <c r="C2060" s="184" t="s">
        <v>1880</v>
      </c>
      <c r="D2060" s="185" t="s">
        <v>704</v>
      </c>
      <c r="E2060" s="186" t="s">
        <v>906</v>
      </c>
      <c r="F2060" s="186" t="s">
        <v>907</v>
      </c>
      <c r="G2060" s="186" t="s">
        <v>1881</v>
      </c>
      <c r="H2060" s="186" t="s">
        <v>1891</v>
      </c>
      <c r="I2060" s="187" t="s">
        <v>1914</v>
      </c>
      <c r="J2060" s="187" t="s">
        <v>1915</v>
      </c>
      <c r="K2060" s="188"/>
      <c r="L2060" s="188"/>
      <c r="M2060" s="189" t="s">
        <v>1018</v>
      </c>
      <c r="N2060" s="190">
        <v>535.04</v>
      </c>
      <c r="O2060" s="190">
        <f t="shared" si="251"/>
        <v>583.19</v>
      </c>
      <c r="P2060" s="191">
        <f t="shared" si="252"/>
        <v>0</v>
      </c>
      <c r="Q2060" s="192">
        <f t="shared" si="253"/>
        <v>0</v>
      </c>
      <c r="R2060" s="193"/>
      <c r="S2060" s="194"/>
      <c r="T2060" s="195">
        <f t="shared" si="254"/>
        <v>0</v>
      </c>
      <c r="U2060" s="195">
        <f t="shared" si="255"/>
        <v>0</v>
      </c>
      <c r="V2060" s="195">
        <f t="shared" si="256"/>
        <v>0</v>
      </c>
      <c r="W2060" s="196" t="e">
        <f t="shared" si="257"/>
        <v>#DIV/0!</v>
      </c>
      <c r="X2060" s="197" t="e">
        <f t="shared" si="258"/>
        <v>#DIV/0!</v>
      </c>
    </row>
    <row r="2061" ht="11.4" hidden="1" customHeight="1" spans="1:24">
      <c r="A2061" s="184" t="s">
        <v>3200</v>
      </c>
      <c r="B2061" s="184" t="s">
        <v>139</v>
      </c>
      <c r="C2061" s="184" t="s">
        <v>1880</v>
      </c>
      <c r="D2061" s="185" t="s">
        <v>704</v>
      </c>
      <c r="E2061" s="186" t="s">
        <v>906</v>
      </c>
      <c r="F2061" s="186" t="s">
        <v>907</v>
      </c>
      <c r="G2061" s="186" t="s">
        <v>1881</v>
      </c>
      <c r="H2061" s="186" t="s">
        <v>1891</v>
      </c>
      <c r="I2061" s="187" t="s">
        <v>1916</v>
      </c>
      <c r="J2061" s="187" t="s">
        <v>1917</v>
      </c>
      <c r="K2061" s="188"/>
      <c r="L2061" s="188"/>
      <c r="M2061" s="189" t="s">
        <v>1018</v>
      </c>
      <c r="N2061" s="190">
        <v>752.5</v>
      </c>
      <c r="O2061" s="190">
        <f t="shared" ref="O2061:O2124" si="259">ROUND(N2061*(1+$F$10),2)</f>
        <v>820.23</v>
      </c>
      <c r="P2061" s="191">
        <f t="shared" ref="P2061:P2124" si="260">ROUND(K2061*N2061,2)</f>
        <v>0</v>
      </c>
      <c r="Q2061" s="192">
        <f t="shared" ref="Q2061:Q2124" si="261">ROUND(L2061*N2061,2)</f>
        <v>0</v>
      </c>
      <c r="R2061" s="193"/>
      <c r="S2061" s="194"/>
      <c r="T2061" s="195">
        <f t="shared" ref="T2061:T2124" si="262">K2061-L2061</f>
        <v>0</v>
      </c>
      <c r="U2061" s="195">
        <f t="shared" ref="U2061:U2124" si="263">P2061-Q2061</f>
        <v>0</v>
      </c>
      <c r="V2061" s="195">
        <f t="shared" ref="V2061:V2124" si="264">ABS(U2061)</f>
        <v>0</v>
      </c>
      <c r="W2061" s="196" t="e">
        <f t="shared" ref="W2061:W2124" si="265">T2061/L2061</f>
        <v>#DIV/0!</v>
      </c>
      <c r="X2061" s="197" t="e">
        <f t="shared" ref="X2061:X2124" si="266">ABS(W2061)</f>
        <v>#DIV/0!</v>
      </c>
    </row>
    <row r="2062" ht="11.4" hidden="1" customHeight="1" spans="1:24">
      <c r="A2062" s="184" t="s">
        <v>3200</v>
      </c>
      <c r="B2062" s="184" t="s">
        <v>139</v>
      </c>
      <c r="C2062" s="184" t="s">
        <v>1880</v>
      </c>
      <c r="D2062" s="185" t="s">
        <v>704</v>
      </c>
      <c r="E2062" s="186" t="s">
        <v>906</v>
      </c>
      <c r="F2062" s="186" t="s">
        <v>907</v>
      </c>
      <c r="G2062" s="186" t="s">
        <v>1881</v>
      </c>
      <c r="H2062" s="186" t="s">
        <v>1891</v>
      </c>
      <c r="I2062" s="187" t="s">
        <v>1918</v>
      </c>
      <c r="J2062" s="187" t="s">
        <v>1919</v>
      </c>
      <c r="K2062" s="188"/>
      <c r="L2062" s="188"/>
      <c r="M2062" s="189" t="s">
        <v>1018</v>
      </c>
      <c r="N2062" s="190">
        <v>2692.88</v>
      </c>
      <c r="O2062" s="190">
        <f t="shared" si="259"/>
        <v>2935.24</v>
      </c>
      <c r="P2062" s="191">
        <f t="shared" si="260"/>
        <v>0</v>
      </c>
      <c r="Q2062" s="192">
        <f t="shared" si="261"/>
        <v>0</v>
      </c>
      <c r="R2062" s="193"/>
      <c r="S2062" s="194"/>
      <c r="T2062" s="195">
        <f t="shared" si="262"/>
        <v>0</v>
      </c>
      <c r="U2062" s="195">
        <f t="shared" si="263"/>
        <v>0</v>
      </c>
      <c r="V2062" s="195">
        <f t="shared" si="264"/>
        <v>0</v>
      </c>
      <c r="W2062" s="196" t="e">
        <f t="shared" si="265"/>
        <v>#DIV/0!</v>
      </c>
      <c r="X2062" s="197" t="e">
        <f t="shared" si="266"/>
        <v>#DIV/0!</v>
      </c>
    </row>
    <row r="2063" ht="11.4" hidden="1" customHeight="1" spans="1:24">
      <c r="A2063" s="184" t="s">
        <v>3200</v>
      </c>
      <c r="B2063" s="184" t="s">
        <v>139</v>
      </c>
      <c r="C2063" s="184" t="s">
        <v>1880</v>
      </c>
      <c r="D2063" s="185" t="s">
        <v>704</v>
      </c>
      <c r="E2063" s="186" t="s">
        <v>906</v>
      </c>
      <c r="F2063" s="186" t="s">
        <v>907</v>
      </c>
      <c r="G2063" s="186" t="s">
        <v>1881</v>
      </c>
      <c r="H2063" s="186" t="s">
        <v>1891</v>
      </c>
      <c r="I2063" s="187" t="s">
        <v>1920</v>
      </c>
      <c r="J2063" s="187" t="s">
        <v>1921</v>
      </c>
      <c r="K2063" s="188"/>
      <c r="L2063" s="188"/>
      <c r="M2063" s="189" t="s">
        <v>1018</v>
      </c>
      <c r="N2063" s="190">
        <v>1626.1</v>
      </c>
      <c r="O2063" s="190">
        <f t="shared" si="259"/>
        <v>1772.45</v>
      </c>
      <c r="P2063" s="191">
        <f t="shared" si="260"/>
        <v>0</v>
      </c>
      <c r="Q2063" s="192">
        <f t="shared" si="261"/>
        <v>0</v>
      </c>
      <c r="R2063" s="193"/>
      <c r="S2063" s="194"/>
      <c r="T2063" s="195">
        <f t="shared" si="262"/>
        <v>0</v>
      </c>
      <c r="U2063" s="195">
        <f t="shared" si="263"/>
        <v>0</v>
      </c>
      <c r="V2063" s="195">
        <f t="shared" si="264"/>
        <v>0</v>
      </c>
      <c r="W2063" s="196" t="e">
        <f t="shared" si="265"/>
        <v>#DIV/0!</v>
      </c>
      <c r="X2063" s="197" t="e">
        <f t="shared" si="266"/>
        <v>#DIV/0!</v>
      </c>
    </row>
    <row r="2064" ht="11.4" hidden="1" customHeight="1" spans="1:24">
      <c r="A2064" s="184" t="s">
        <v>3200</v>
      </c>
      <c r="B2064" s="184" t="s">
        <v>139</v>
      </c>
      <c r="C2064" s="184" t="s">
        <v>1880</v>
      </c>
      <c r="D2064" s="185" t="s">
        <v>704</v>
      </c>
      <c r="E2064" s="186" t="s">
        <v>906</v>
      </c>
      <c r="F2064" s="186" t="s">
        <v>907</v>
      </c>
      <c r="G2064" s="186" t="s">
        <v>1881</v>
      </c>
      <c r="H2064" s="186" t="s">
        <v>1891</v>
      </c>
      <c r="I2064" s="187" t="s">
        <v>1922</v>
      </c>
      <c r="J2064" s="187" t="s">
        <v>1923</v>
      </c>
      <c r="K2064" s="188"/>
      <c r="L2064" s="188"/>
      <c r="M2064" s="189" t="s">
        <v>1018</v>
      </c>
      <c r="N2064" s="190">
        <v>1626.1</v>
      </c>
      <c r="O2064" s="190">
        <f t="shared" si="259"/>
        <v>1772.45</v>
      </c>
      <c r="P2064" s="191">
        <f t="shared" si="260"/>
        <v>0</v>
      </c>
      <c r="Q2064" s="192">
        <f t="shared" si="261"/>
        <v>0</v>
      </c>
      <c r="R2064" s="193"/>
      <c r="S2064" s="194"/>
      <c r="T2064" s="195">
        <f t="shared" si="262"/>
        <v>0</v>
      </c>
      <c r="U2064" s="195">
        <f t="shared" si="263"/>
        <v>0</v>
      </c>
      <c r="V2064" s="195">
        <f t="shared" si="264"/>
        <v>0</v>
      </c>
      <c r="W2064" s="196" t="e">
        <f t="shared" si="265"/>
        <v>#DIV/0!</v>
      </c>
      <c r="X2064" s="197" t="e">
        <f t="shared" si="266"/>
        <v>#DIV/0!</v>
      </c>
    </row>
    <row r="2065" ht="11.4" hidden="1" customHeight="1" spans="1:24">
      <c r="A2065" s="184" t="s">
        <v>3200</v>
      </c>
      <c r="B2065" s="184" t="s">
        <v>139</v>
      </c>
      <c r="C2065" s="184" t="s">
        <v>1880</v>
      </c>
      <c r="D2065" s="185" t="s">
        <v>704</v>
      </c>
      <c r="E2065" s="186" t="s">
        <v>906</v>
      </c>
      <c r="F2065" s="186" t="s">
        <v>907</v>
      </c>
      <c r="G2065" s="186" t="s">
        <v>1881</v>
      </c>
      <c r="H2065" s="186" t="s">
        <v>1891</v>
      </c>
      <c r="I2065" s="187" t="s">
        <v>1924</v>
      </c>
      <c r="J2065" s="187" t="s">
        <v>1925</v>
      </c>
      <c r="K2065" s="188"/>
      <c r="L2065" s="188"/>
      <c r="M2065" s="189" t="s">
        <v>1018</v>
      </c>
      <c r="N2065" s="190">
        <v>1632.71</v>
      </c>
      <c r="O2065" s="190">
        <f t="shared" si="259"/>
        <v>1779.65</v>
      </c>
      <c r="P2065" s="191">
        <f t="shared" si="260"/>
        <v>0</v>
      </c>
      <c r="Q2065" s="192">
        <f t="shared" si="261"/>
        <v>0</v>
      </c>
      <c r="R2065" s="193"/>
      <c r="S2065" s="194"/>
      <c r="T2065" s="195">
        <f t="shared" si="262"/>
        <v>0</v>
      </c>
      <c r="U2065" s="195">
        <f t="shared" si="263"/>
        <v>0</v>
      </c>
      <c r="V2065" s="195">
        <f t="shared" si="264"/>
        <v>0</v>
      </c>
      <c r="W2065" s="196" t="e">
        <f t="shared" si="265"/>
        <v>#DIV/0!</v>
      </c>
      <c r="X2065" s="197" t="e">
        <f t="shared" si="266"/>
        <v>#DIV/0!</v>
      </c>
    </row>
    <row r="2066" ht="11.4" hidden="1" customHeight="1" spans="1:24">
      <c r="A2066" s="184" t="s">
        <v>3200</v>
      </c>
      <c r="B2066" s="184" t="s">
        <v>139</v>
      </c>
      <c r="C2066" s="184" t="s">
        <v>1880</v>
      </c>
      <c r="D2066" s="185" t="s">
        <v>704</v>
      </c>
      <c r="E2066" s="186" t="s">
        <v>906</v>
      </c>
      <c r="F2066" s="186" t="s">
        <v>907</v>
      </c>
      <c r="G2066" s="186" t="s">
        <v>1881</v>
      </c>
      <c r="H2066" s="186" t="s">
        <v>1891</v>
      </c>
      <c r="I2066" s="187" t="s">
        <v>1926</v>
      </c>
      <c r="J2066" s="187" t="s">
        <v>1927</v>
      </c>
      <c r="K2066" s="188"/>
      <c r="L2066" s="188"/>
      <c r="M2066" s="189" t="s">
        <v>1018</v>
      </c>
      <c r="N2066" s="190">
        <v>2782.08</v>
      </c>
      <c r="O2066" s="190">
        <f t="shared" si="259"/>
        <v>3032.47</v>
      </c>
      <c r="P2066" s="191">
        <f t="shared" si="260"/>
        <v>0</v>
      </c>
      <c r="Q2066" s="192">
        <f t="shared" si="261"/>
        <v>0</v>
      </c>
      <c r="R2066" s="193"/>
      <c r="S2066" s="194"/>
      <c r="T2066" s="195">
        <f t="shared" si="262"/>
        <v>0</v>
      </c>
      <c r="U2066" s="195">
        <f t="shared" si="263"/>
        <v>0</v>
      </c>
      <c r="V2066" s="195">
        <f t="shared" si="264"/>
        <v>0</v>
      </c>
      <c r="W2066" s="196" t="e">
        <f t="shared" si="265"/>
        <v>#DIV/0!</v>
      </c>
      <c r="X2066" s="197" t="e">
        <f t="shared" si="266"/>
        <v>#DIV/0!</v>
      </c>
    </row>
    <row r="2067" ht="11.4" hidden="1" customHeight="1" spans="1:24">
      <c r="A2067" s="184" t="s">
        <v>3200</v>
      </c>
      <c r="B2067" s="184" t="s">
        <v>139</v>
      </c>
      <c r="C2067" s="184" t="s">
        <v>1880</v>
      </c>
      <c r="D2067" s="185" t="s">
        <v>704</v>
      </c>
      <c r="E2067" s="186" t="s">
        <v>906</v>
      </c>
      <c r="F2067" s="186" t="s">
        <v>907</v>
      </c>
      <c r="G2067" s="186" t="s">
        <v>1881</v>
      </c>
      <c r="H2067" s="186" t="s">
        <v>1891</v>
      </c>
      <c r="I2067" s="187" t="s">
        <v>1928</v>
      </c>
      <c r="J2067" s="187" t="s">
        <v>1929</v>
      </c>
      <c r="K2067" s="188"/>
      <c r="L2067" s="188"/>
      <c r="M2067" s="189" t="s">
        <v>807</v>
      </c>
      <c r="N2067" s="190">
        <v>34.6</v>
      </c>
      <c r="O2067" s="190">
        <f t="shared" si="259"/>
        <v>37.71</v>
      </c>
      <c r="P2067" s="191">
        <f t="shared" si="260"/>
        <v>0</v>
      </c>
      <c r="Q2067" s="192">
        <f t="shared" si="261"/>
        <v>0</v>
      </c>
      <c r="R2067" s="193"/>
      <c r="S2067" s="194"/>
      <c r="T2067" s="195">
        <f t="shared" si="262"/>
        <v>0</v>
      </c>
      <c r="U2067" s="195">
        <f t="shared" si="263"/>
        <v>0</v>
      </c>
      <c r="V2067" s="195">
        <f t="shared" si="264"/>
        <v>0</v>
      </c>
      <c r="W2067" s="196" t="e">
        <f t="shared" si="265"/>
        <v>#DIV/0!</v>
      </c>
      <c r="X2067" s="197" t="e">
        <f t="shared" si="266"/>
        <v>#DIV/0!</v>
      </c>
    </row>
    <row r="2068" ht="11.4" hidden="1" customHeight="1" spans="1:24">
      <c r="A2068" s="184" t="s">
        <v>3200</v>
      </c>
      <c r="B2068" s="184" t="s">
        <v>139</v>
      </c>
      <c r="C2068" s="184" t="s">
        <v>1880</v>
      </c>
      <c r="D2068" s="185" t="s">
        <v>704</v>
      </c>
      <c r="E2068" s="186" t="s">
        <v>906</v>
      </c>
      <c r="F2068" s="186" t="s">
        <v>907</v>
      </c>
      <c r="G2068" s="186" t="s">
        <v>1881</v>
      </c>
      <c r="H2068" s="186" t="s">
        <v>1891</v>
      </c>
      <c r="I2068" s="187" t="s">
        <v>1930</v>
      </c>
      <c r="J2068" s="187" t="s">
        <v>1931</v>
      </c>
      <c r="K2068" s="188"/>
      <c r="L2068" s="188"/>
      <c r="M2068" s="189" t="s">
        <v>807</v>
      </c>
      <c r="N2068" s="190">
        <v>34.6</v>
      </c>
      <c r="O2068" s="190">
        <f t="shared" si="259"/>
        <v>37.71</v>
      </c>
      <c r="P2068" s="191">
        <f t="shared" si="260"/>
        <v>0</v>
      </c>
      <c r="Q2068" s="192">
        <f t="shared" si="261"/>
        <v>0</v>
      </c>
      <c r="R2068" s="193"/>
      <c r="S2068" s="194"/>
      <c r="T2068" s="195">
        <f t="shared" si="262"/>
        <v>0</v>
      </c>
      <c r="U2068" s="195">
        <f t="shared" si="263"/>
        <v>0</v>
      </c>
      <c r="V2068" s="195">
        <f t="shared" si="264"/>
        <v>0</v>
      </c>
      <c r="W2068" s="196" t="e">
        <f t="shared" si="265"/>
        <v>#DIV/0!</v>
      </c>
      <c r="X2068" s="197" t="e">
        <f t="shared" si="266"/>
        <v>#DIV/0!</v>
      </c>
    </row>
    <row r="2069" ht="11.4" hidden="1" customHeight="1" spans="1:24">
      <c r="A2069" s="184" t="s">
        <v>3200</v>
      </c>
      <c r="B2069" s="184" t="s">
        <v>139</v>
      </c>
      <c r="C2069" s="184" t="s">
        <v>1880</v>
      </c>
      <c r="D2069" s="185" t="s">
        <v>704</v>
      </c>
      <c r="E2069" s="186" t="s">
        <v>906</v>
      </c>
      <c r="F2069" s="186" t="s">
        <v>907</v>
      </c>
      <c r="G2069" s="186" t="s">
        <v>1881</v>
      </c>
      <c r="H2069" s="186" t="s">
        <v>1891</v>
      </c>
      <c r="I2069" s="187" t="s">
        <v>1933</v>
      </c>
      <c r="J2069" s="187" t="s">
        <v>1934</v>
      </c>
      <c r="K2069" s="188"/>
      <c r="L2069" s="188"/>
      <c r="M2069" s="189" t="s">
        <v>1018</v>
      </c>
      <c r="N2069" s="190">
        <v>711.58</v>
      </c>
      <c r="O2069" s="190">
        <f t="shared" si="259"/>
        <v>775.62</v>
      </c>
      <c r="P2069" s="191">
        <f t="shared" si="260"/>
        <v>0</v>
      </c>
      <c r="Q2069" s="192">
        <f t="shared" si="261"/>
        <v>0</v>
      </c>
      <c r="R2069" s="193"/>
      <c r="S2069" s="194"/>
      <c r="T2069" s="195">
        <f t="shared" si="262"/>
        <v>0</v>
      </c>
      <c r="U2069" s="195">
        <f t="shared" si="263"/>
        <v>0</v>
      </c>
      <c r="V2069" s="195">
        <f t="shared" si="264"/>
        <v>0</v>
      </c>
      <c r="W2069" s="196" t="e">
        <f t="shared" si="265"/>
        <v>#DIV/0!</v>
      </c>
      <c r="X2069" s="197" t="e">
        <f t="shared" si="266"/>
        <v>#DIV/0!</v>
      </c>
    </row>
    <row r="2070" ht="11.4" hidden="1" customHeight="1" spans="1:24">
      <c r="A2070" s="184" t="s">
        <v>3200</v>
      </c>
      <c r="B2070" s="184" t="s">
        <v>139</v>
      </c>
      <c r="C2070" s="184" t="s">
        <v>1880</v>
      </c>
      <c r="D2070" s="185" t="s">
        <v>704</v>
      </c>
      <c r="E2070" s="186" t="s">
        <v>906</v>
      </c>
      <c r="F2070" s="186" t="s">
        <v>907</v>
      </c>
      <c r="G2070" s="186" t="s">
        <v>1881</v>
      </c>
      <c r="H2070" s="186" t="s">
        <v>1891</v>
      </c>
      <c r="I2070" s="187" t="s">
        <v>1935</v>
      </c>
      <c r="J2070" s="187" t="s">
        <v>1936</v>
      </c>
      <c r="K2070" s="188"/>
      <c r="L2070" s="188"/>
      <c r="M2070" s="189" t="s">
        <v>1018</v>
      </c>
      <c r="N2070" s="190">
        <v>560.34</v>
      </c>
      <c r="O2070" s="190">
        <f t="shared" si="259"/>
        <v>610.77</v>
      </c>
      <c r="P2070" s="191">
        <f t="shared" si="260"/>
        <v>0</v>
      </c>
      <c r="Q2070" s="192">
        <f t="shared" si="261"/>
        <v>0</v>
      </c>
      <c r="R2070" s="193"/>
      <c r="S2070" s="194"/>
      <c r="T2070" s="195">
        <f t="shared" si="262"/>
        <v>0</v>
      </c>
      <c r="U2070" s="195">
        <f t="shared" si="263"/>
        <v>0</v>
      </c>
      <c r="V2070" s="195">
        <f t="shared" si="264"/>
        <v>0</v>
      </c>
      <c r="W2070" s="196" t="e">
        <f t="shared" si="265"/>
        <v>#DIV/0!</v>
      </c>
      <c r="X2070" s="197" t="e">
        <f t="shared" si="266"/>
        <v>#DIV/0!</v>
      </c>
    </row>
    <row r="2071" ht="11.4" hidden="1" customHeight="1" spans="1:24">
      <c r="A2071" s="184" t="s">
        <v>3200</v>
      </c>
      <c r="B2071" s="184" t="s">
        <v>139</v>
      </c>
      <c r="C2071" s="184" t="s">
        <v>1880</v>
      </c>
      <c r="D2071" s="185" t="s">
        <v>704</v>
      </c>
      <c r="E2071" s="186" t="s">
        <v>906</v>
      </c>
      <c r="F2071" s="186" t="s">
        <v>907</v>
      </c>
      <c r="G2071" s="186" t="s">
        <v>1881</v>
      </c>
      <c r="H2071" s="186" t="s">
        <v>1891</v>
      </c>
      <c r="I2071" s="187" t="s">
        <v>1937</v>
      </c>
      <c r="J2071" s="187" t="s">
        <v>1938</v>
      </c>
      <c r="K2071" s="188"/>
      <c r="L2071" s="188"/>
      <c r="M2071" s="189" t="s">
        <v>989</v>
      </c>
      <c r="N2071" s="190">
        <v>1550.45</v>
      </c>
      <c r="O2071" s="190">
        <f t="shared" si="259"/>
        <v>1689.99</v>
      </c>
      <c r="P2071" s="191">
        <f t="shared" si="260"/>
        <v>0</v>
      </c>
      <c r="Q2071" s="192">
        <f t="shared" si="261"/>
        <v>0</v>
      </c>
      <c r="R2071" s="193"/>
      <c r="S2071" s="194"/>
      <c r="T2071" s="195">
        <f t="shared" si="262"/>
        <v>0</v>
      </c>
      <c r="U2071" s="195">
        <f t="shared" si="263"/>
        <v>0</v>
      </c>
      <c r="V2071" s="195">
        <f t="shared" si="264"/>
        <v>0</v>
      </c>
      <c r="W2071" s="196" t="e">
        <f t="shared" si="265"/>
        <v>#DIV/0!</v>
      </c>
      <c r="X2071" s="197" t="e">
        <f t="shared" si="266"/>
        <v>#DIV/0!</v>
      </c>
    </row>
    <row r="2072" ht="11.4" hidden="1" customHeight="1" spans="1:24">
      <c r="A2072" s="184" t="s">
        <v>3200</v>
      </c>
      <c r="B2072" s="184" t="s">
        <v>139</v>
      </c>
      <c r="C2072" s="184" t="s">
        <v>1880</v>
      </c>
      <c r="D2072" s="185" t="s">
        <v>704</v>
      </c>
      <c r="E2072" s="186" t="s">
        <v>906</v>
      </c>
      <c r="F2072" s="186" t="s">
        <v>907</v>
      </c>
      <c r="G2072" s="186" t="s">
        <v>1881</v>
      </c>
      <c r="H2072" s="186" t="s">
        <v>1891</v>
      </c>
      <c r="I2072" s="187" t="s">
        <v>1940</v>
      </c>
      <c r="J2072" s="187" t="s">
        <v>1941</v>
      </c>
      <c r="K2072" s="188"/>
      <c r="L2072" s="188"/>
      <c r="M2072" s="189" t="s">
        <v>989</v>
      </c>
      <c r="N2072" s="190">
        <v>1330.45</v>
      </c>
      <c r="O2072" s="190">
        <f t="shared" si="259"/>
        <v>1450.19</v>
      </c>
      <c r="P2072" s="191">
        <f t="shared" si="260"/>
        <v>0</v>
      </c>
      <c r="Q2072" s="192">
        <f t="shared" si="261"/>
        <v>0</v>
      </c>
      <c r="R2072" s="193"/>
      <c r="S2072" s="194"/>
      <c r="T2072" s="195">
        <f t="shared" si="262"/>
        <v>0</v>
      </c>
      <c r="U2072" s="195">
        <f t="shared" si="263"/>
        <v>0</v>
      </c>
      <c r="V2072" s="195">
        <f t="shared" si="264"/>
        <v>0</v>
      </c>
      <c r="W2072" s="196" t="e">
        <f t="shared" si="265"/>
        <v>#DIV/0!</v>
      </c>
      <c r="X2072" s="197" t="e">
        <f t="shared" si="266"/>
        <v>#DIV/0!</v>
      </c>
    </row>
    <row r="2073" ht="11.4" hidden="1" customHeight="1" spans="1:24">
      <c r="A2073" s="184" t="s">
        <v>3200</v>
      </c>
      <c r="B2073" s="184" t="s">
        <v>139</v>
      </c>
      <c r="C2073" s="184" t="s">
        <v>1880</v>
      </c>
      <c r="D2073" s="185" t="s">
        <v>704</v>
      </c>
      <c r="E2073" s="186" t="s">
        <v>906</v>
      </c>
      <c r="F2073" s="186" t="s">
        <v>907</v>
      </c>
      <c r="G2073" s="186" t="s">
        <v>1881</v>
      </c>
      <c r="H2073" s="186" t="s">
        <v>1891</v>
      </c>
      <c r="I2073" s="187" t="s">
        <v>1942</v>
      </c>
      <c r="J2073" s="187" t="s">
        <v>1943</v>
      </c>
      <c r="K2073" s="188"/>
      <c r="L2073" s="188"/>
      <c r="M2073" s="189" t="s">
        <v>1778</v>
      </c>
      <c r="N2073" s="190">
        <v>1736.1</v>
      </c>
      <c r="O2073" s="190">
        <f t="shared" si="259"/>
        <v>1892.35</v>
      </c>
      <c r="P2073" s="191">
        <f t="shared" si="260"/>
        <v>0</v>
      </c>
      <c r="Q2073" s="192">
        <f t="shared" si="261"/>
        <v>0</v>
      </c>
      <c r="R2073" s="193"/>
      <c r="S2073" s="194"/>
      <c r="T2073" s="195">
        <f t="shared" si="262"/>
        <v>0</v>
      </c>
      <c r="U2073" s="195">
        <f t="shared" si="263"/>
        <v>0</v>
      </c>
      <c r="V2073" s="195">
        <f t="shared" si="264"/>
        <v>0</v>
      </c>
      <c r="W2073" s="196" t="e">
        <f t="shared" si="265"/>
        <v>#DIV/0!</v>
      </c>
      <c r="X2073" s="197" t="e">
        <f t="shared" si="266"/>
        <v>#DIV/0!</v>
      </c>
    </row>
    <row r="2074" ht="11.4" hidden="1" customHeight="1" spans="1:24">
      <c r="A2074" s="184" t="s">
        <v>3200</v>
      </c>
      <c r="B2074" s="184" t="s">
        <v>139</v>
      </c>
      <c r="C2074" s="184" t="s">
        <v>1880</v>
      </c>
      <c r="D2074" s="185" t="s">
        <v>704</v>
      </c>
      <c r="E2074" s="186" t="s">
        <v>906</v>
      </c>
      <c r="F2074" s="186" t="s">
        <v>907</v>
      </c>
      <c r="G2074" s="186" t="s">
        <v>1881</v>
      </c>
      <c r="H2074" s="186" t="s">
        <v>1944</v>
      </c>
      <c r="I2074" s="187" t="s">
        <v>1945</v>
      </c>
      <c r="J2074" s="187" t="s">
        <v>1946</v>
      </c>
      <c r="K2074" s="188"/>
      <c r="L2074" s="188"/>
      <c r="M2074" s="189" t="s">
        <v>793</v>
      </c>
      <c r="N2074" s="190">
        <v>836.31</v>
      </c>
      <c r="O2074" s="190">
        <f t="shared" si="259"/>
        <v>911.58</v>
      </c>
      <c r="P2074" s="191">
        <f t="shared" si="260"/>
        <v>0</v>
      </c>
      <c r="Q2074" s="192">
        <f t="shared" si="261"/>
        <v>0</v>
      </c>
      <c r="R2074" s="193"/>
      <c r="S2074" s="194"/>
      <c r="T2074" s="195">
        <f t="shared" si="262"/>
        <v>0</v>
      </c>
      <c r="U2074" s="195">
        <f t="shared" si="263"/>
        <v>0</v>
      </c>
      <c r="V2074" s="195">
        <f t="shared" si="264"/>
        <v>0</v>
      </c>
      <c r="W2074" s="196" t="e">
        <f t="shared" si="265"/>
        <v>#DIV/0!</v>
      </c>
      <c r="X2074" s="197" t="e">
        <f t="shared" si="266"/>
        <v>#DIV/0!</v>
      </c>
    </row>
    <row r="2075" ht="11.4" hidden="1" customHeight="1" spans="1:24">
      <c r="A2075" s="184" t="s">
        <v>3200</v>
      </c>
      <c r="B2075" s="184" t="s">
        <v>139</v>
      </c>
      <c r="C2075" s="184" t="s">
        <v>1880</v>
      </c>
      <c r="D2075" s="185" t="s">
        <v>704</v>
      </c>
      <c r="E2075" s="186" t="s">
        <v>906</v>
      </c>
      <c r="F2075" s="186" t="s">
        <v>907</v>
      </c>
      <c r="G2075" s="186" t="s">
        <v>1881</v>
      </c>
      <c r="H2075" s="186" t="s">
        <v>1944</v>
      </c>
      <c r="I2075" s="187" t="s">
        <v>1948</v>
      </c>
      <c r="J2075" s="187" t="s">
        <v>1949</v>
      </c>
      <c r="K2075" s="188"/>
      <c r="L2075" s="188"/>
      <c r="M2075" s="189" t="s">
        <v>793</v>
      </c>
      <c r="N2075" s="190">
        <v>3391.6</v>
      </c>
      <c r="O2075" s="190">
        <f t="shared" si="259"/>
        <v>3696.84</v>
      </c>
      <c r="P2075" s="191">
        <f t="shared" si="260"/>
        <v>0</v>
      </c>
      <c r="Q2075" s="192">
        <f t="shared" si="261"/>
        <v>0</v>
      </c>
      <c r="R2075" s="193"/>
      <c r="S2075" s="194"/>
      <c r="T2075" s="195">
        <f t="shared" si="262"/>
        <v>0</v>
      </c>
      <c r="U2075" s="195">
        <f t="shared" si="263"/>
        <v>0</v>
      </c>
      <c r="V2075" s="195">
        <f t="shared" si="264"/>
        <v>0</v>
      </c>
      <c r="W2075" s="196" t="e">
        <f t="shared" si="265"/>
        <v>#DIV/0!</v>
      </c>
      <c r="X2075" s="197" t="e">
        <f t="shared" si="266"/>
        <v>#DIV/0!</v>
      </c>
    </row>
    <row r="2076" ht="11.4" hidden="1" customHeight="1" spans="1:24">
      <c r="A2076" s="184" t="s">
        <v>3200</v>
      </c>
      <c r="B2076" s="184" t="s">
        <v>139</v>
      </c>
      <c r="C2076" s="184" t="s">
        <v>1880</v>
      </c>
      <c r="D2076" s="185" t="s">
        <v>704</v>
      </c>
      <c r="E2076" s="186" t="s">
        <v>906</v>
      </c>
      <c r="F2076" s="186" t="s">
        <v>907</v>
      </c>
      <c r="G2076" s="186" t="s">
        <v>1881</v>
      </c>
      <c r="H2076" s="186" t="s">
        <v>1944</v>
      </c>
      <c r="I2076" s="187" t="s">
        <v>1950</v>
      </c>
      <c r="J2076" s="187" t="s">
        <v>1951</v>
      </c>
      <c r="K2076" s="188"/>
      <c r="L2076" s="188"/>
      <c r="M2076" s="189" t="s">
        <v>793</v>
      </c>
      <c r="N2076" s="190">
        <v>2028.7</v>
      </c>
      <c r="O2076" s="190">
        <f t="shared" si="259"/>
        <v>2211.28</v>
      </c>
      <c r="P2076" s="191">
        <f t="shared" si="260"/>
        <v>0</v>
      </c>
      <c r="Q2076" s="192">
        <f t="shared" si="261"/>
        <v>0</v>
      </c>
      <c r="R2076" s="193"/>
      <c r="S2076" s="194"/>
      <c r="T2076" s="195">
        <f t="shared" si="262"/>
        <v>0</v>
      </c>
      <c r="U2076" s="195">
        <f t="shared" si="263"/>
        <v>0</v>
      </c>
      <c r="V2076" s="195">
        <f t="shared" si="264"/>
        <v>0</v>
      </c>
      <c r="W2076" s="196" t="e">
        <f t="shared" si="265"/>
        <v>#DIV/0!</v>
      </c>
      <c r="X2076" s="197" t="e">
        <f t="shared" si="266"/>
        <v>#DIV/0!</v>
      </c>
    </row>
    <row r="2077" ht="11.4" hidden="1" customHeight="1" spans="1:24">
      <c r="A2077" s="184" t="s">
        <v>3200</v>
      </c>
      <c r="B2077" s="184" t="s">
        <v>139</v>
      </c>
      <c r="C2077" s="184" t="s">
        <v>1880</v>
      </c>
      <c r="D2077" s="185" t="s">
        <v>704</v>
      </c>
      <c r="E2077" s="186" t="s">
        <v>906</v>
      </c>
      <c r="F2077" s="186" t="s">
        <v>907</v>
      </c>
      <c r="G2077" s="186" t="s">
        <v>1881</v>
      </c>
      <c r="H2077" s="186" t="s">
        <v>1944</v>
      </c>
      <c r="I2077" s="187" t="s">
        <v>1952</v>
      </c>
      <c r="J2077" s="187" t="s">
        <v>1953</v>
      </c>
      <c r="K2077" s="188"/>
      <c r="L2077" s="188"/>
      <c r="M2077" s="189" t="s">
        <v>793</v>
      </c>
      <c r="N2077" s="190">
        <v>1781.2</v>
      </c>
      <c r="O2077" s="190">
        <f t="shared" si="259"/>
        <v>1941.51</v>
      </c>
      <c r="P2077" s="191">
        <f t="shared" si="260"/>
        <v>0</v>
      </c>
      <c r="Q2077" s="192">
        <f t="shared" si="261"/>
        <v>0</v>
      </c>
      <c r="R2077" s="193"/>
      <c r="S2077" s="194"/>
      <c r="T2077" s="195">
        <f t="shared" si="262"/>
        <v>0</v>
      </c>
      <c r="U2077" s="195">
        <f t="shared" si="263"/>
        <v>0</v>
      </c>
      <c r="V2077" s="195">
        <f t="shared" si="264"/>
        <v>0</v>
      </c>
      <c r="W2077" s="196" t="e">
        <f t="shared" si="265"/>
        <v>#DIV/0!</v>
      </c>
      <c r="X2077" s="197" t="e">
        <f t="shared" si="266"/>
        <v>#DIV/0!</v>
      </c>
    </row>
    <row r="2078" ht="11.4" hidden="1" customHeight="1" spans="1:24">
      <c r="A2078" s="184" t="s">
        <v>3200</v>
      </c>
      <c r="B2078" s="184" t="s">
        <v>139</v>
      </c>
      <c r="C2078" s="184" t="s">
        <v>1880</v>
      </c>
      <c r="D2078" s="185" t="s">
        <v>704</v>
      </c>
      <c r="E2078" s="186" t="s">
        <v>906</v>
      </c>
      <c r="F2078" s="186" t="s">
        <v>907</v>
      </c>
      <c r="G2078" s="186" t="s">
        <v>1881</v>
      </c>
      <c r="H2078" s="186" t="s">
        <v>1944</v>
      </c>
      <c r="I2078" s="187" t="s">
        <v>1955</v>
      </c>
      <c r="J2078" s="187" t="s">
        <v>1956</v>
      </c>
      <c r="K2078" s="188"/>
      <c r="L2078" s="188"/>
      <c r="M2078" s="189" t="s">
        <v>793</v>
      </c>
      <c r="N2078" s="190">
        <v>406.45</v>
      </c>
      <c r="O2078" s="190">
        <f t="shared" si="259"/>
        <v>443.03</v>
      </c>
      <c r="P2078" s="191">
        <f t="shared" si="260"/>
        <v>0</v>
      </c>
      <c r="Q2078" s="192">
        <f t="shared" si="261"/>
        <v>0</v>
      </c>
      <c r="R2078" s="193"/>
      <c r="S2078" s="194"/>
      <c r="T2078" s="195">
        <f t="shared" si="262"/>
        <v>0</v>
      </c>
      <c r="U2078" s="195">
        <f t="shared" si="263"/>
        <v>0</v>
      </c>
      <c r="V2078" s="195">
        <f t="shared" si="264"/>
        <v>0</v>
      </c>
      <c r="W2078" s="196" t="e">
        <f t="shared" si="265"/>
        <v>#DIV/0!</v>
      </c>
      <c r="X2078" s="197" t="e">
        <f t="shared" si="266"/>
        <v>#DIV/0!</v>
      </c>
    </row>
    <row r="2079" ht="11.4" hidden="1" customHeight="1" spans="1:24">
      <c r="A2079" s="184" t="s">
        <v>3200</v>
      </c>
      <c r="B2079" s="184" t="s">
        <v>139</v>
      </c>
      <c r="C2079" s="184" t="s">
        <v>1880</v>
      </c>
      <c r="D2079" s="185" t="s">
        <v>704</v>
      </c>
      <c r="E2079" s="186" t="s">
        <v>906</v>
      </c>
      <c r="F2079" s="186" t="s">
        <v>907</v>
      </c>
      <c r="G2079" s="186" t="s">
        <v>1881</v>
      </c>
      <c r="H2079" s="186" t="s">
        <v>1944</v>
      </c>
      <c r="I2079" s="187" t="s">
        <v>1957</v>
      </c>
      <c r="J2079" s="187" t="s">
        <v>1958</v>
      </c>
      <c r="K2079" s="188"/>
      <c r="L2079" s="188"/>
      <c r="M2079" s="189" t="s">
        <v>793</v>
      </c>
      <c r="N2079" s="190">
        <v>835.76</v>
      </c>
      <c r="O2079" s="190">
        <f t="shared" si="259"/>
        <v>910.98</v>
      </c>
      <c r="P2079" s="191">
        <f t="shared" si="260"/>
        <v>0</v>
      </c>
      <c r="Q2079" s="192">
        <f t="shared" si="261"/>
        <v>0</v>
      </c>
      <c r="R2079" s="193"/>
      <c r="S2079" s="194"/>
      <c r="T2079" s="195">
        <f t="shared" si="262"/>
        <v>0</v>
      </c>
      <c r="U2079" s="195">
        <f t="shared" si="263"/>
        <v>0</v>
      </c>
      <c r="V2079" s="195">
        <f t="shared" si="264"/>
        <v>0</v>
      </c>
      <c r="W2079" s="196" t="e">
        <f t="shared" si="265"/>
        <v>#DIV/0!</v>
      </c>
      <c r="X2079" s="197" t="e">
        <f t="shared" si="266"/>
        <v>#DIV/0!</v>
      </c>
    </row>
    <row r="2080" ht="11.4" hidden="1" customHeight="1" spans="1:24">
      <c r="A2080" s="184" t="s">
        <v>3200</v>
      </c>
      <c r="B2080" s="184" t="s">
        <v>139</v>
      </c>
      <c r="C2080" s="184" t="s">
        <v>1880</v>
      </c>
      <c r="D2080" s="185" t="s">
        <v>704</v>
      </c>
      <c r="E2080" s="186" t="s">
        <v>906</v>
      </c>
      <c r="F2080" s="186" t="s">
        <v>907</v>
      </c>
      <c r="G2080" s="186" t="s">
        <v>1881</v>
      </c>
      <c r="H2080" s="186" t="s">
        <v>1944</v>
      </c>
      <c r="I2080" s="187" t="s">
        <v>1959</v>
      </c>
      <c r="J2080" s="187" t="s">
        <v>1960</v>
      </c>
      <c r="K2080" s="188"/>
      <c r="L2080" s="188"/>
      <c r="M2080" s="189" t="s">
        <v>793</v>
      </c>
      <c r="N2080" s="190">
        <v>846.76</v>
      </c>
      <c r="O2080" s="190">
        <f t="shared" si="259"/>
        <v>922.97</v>
      </c>
      <c r="P2080" s="191">
        <f t="shared" si="260"/>
        <v>0</v>
      </c>
      <c r="Q2080" s="192">
        <f t="shared" si="261"/>
        <v>0</v>
      </c>
      <c r="R2080" s="193"/>
      <c r="S2080" s="194"/>
      <c r="T2080" s="195">
        <f t="shared" si="262"/>
        <v>0</v>
      </c>
      <c r="U2080" s="195">
        <f t="shared" si="263"/>
        <v>0</v>
      </c>
      <c r="V2080" s="195">
        <f t="shared" si="264"/>
        <v>0</v>
      </c>
      <c r="W2080" s="196" t="e">
        <f t="shared" si="265"/>
        <v>#DIV/0!</v>
      </c>
      <c r="X2080" s="197" t="e">
        <f t="shared" si="266"/>
        <v>#DIV/0!</v>
      </c>
    </row>
    <row r="2081" ht="11.4" hidden="1" customHeight="1" spans="1:24">
      <c r="A2081" s="184" t="s">
        <v>3200</v>
      </c>
      <c r="B2081" s="184" t="s">
        <v>139</v>
      </c>
      <c r="C2081" s="184" t="s">
        <v>1880</v>
      </c>
      <c r="D2081" s="185" t="s">
        <v>704</v>
      </c>
      <c r="E2081" s="186" t="s">
        <v>906</v>
      </c>
      <c r="F2081" s="186" t="s">
        <v>907</v>
      </c>
      <c r="G2081" s="186" t="s">
        <v>1881</v>
      </c>
      <c r="H2081" s="186" t="s">
        <v>1944</v>
      </c>
      <c r="I2081" s="187" t="s">
        <v>1961</v>
      </c>
      <c r="J2081" s="187" t="s">
        <v>1962</v>
      </c>
      <c r="K2081" s="188"/>
      <c r="L2081" s="188"/>
      <c r="M2081" s="189" t="s">
        <v>793</v>
      </c>
      <c r="N2081" s="190">
        <v>836.31</v>
      </c>
      <c r="O2081" s="190">
        <f t="shared" si="259"/>
        <v>911.58</v>
      </c>
      <c r="P2081" s="191">
        <f t="shared" si="260"/>
        <v>0</v>
      </c>
      <c r="Q2081" s="192">
        <f t="shared" si="261"/>
        <v>0</v>
      </c>
      <c r="R2081" s="193"/>
      <c r="S2081" s="194"/>
      <c r="T2081" s="195">
        <f t="shared" si="262"/>
        <v>0</v>
      </c>
      <c r="U2081" s="195">
        <f t="shared" si="263"/>
        <v>0</v>
      </c>
      <c r="V2081" s="195">
        <f t="shared" si="264"/>
        <v>0</v>
      </c>
      <c r="W2081" s="196" t="e">
        <f t="shared" si="265"/>
        <v>#DIV/0!</v>
      </c>
      <c r="X2081" s="197" t="e">
        <f t="shared" si="266"/>
        <v>#DIV/0!</v>
      </c>
    </row>
    <row r="2082" ht="11.4" hidden="1" customHeight="1" spans="1:24">
      <c r="A2082" s="184" t="s">
        <v>3200</v>
      </c>
      <c r="B2082" s="184" t="s">
        <v>139</v>
      </c>
      <c r="C2082" s="184" t="s">
        <v>1880</v>
      </c>
      <c r="D2082" s="185" t="s">
        <v>704</v>
      </c>
      <c r="E2082" s="186" t="s">
        <v>906</v>
      </c>
      <c r="F2082" s="186" t="s">
        <v>907</v>
      </c>
      <c r="G2082" s="186" t="s">
        <v>1881</v>
      </c>
      <c r="H2082" s="186" t="s">
        <v>1963</v>
      </c>
      <c r="I2082" s="187" t="s">
        <v>1964</v>
      </c>
      <c r="J2082" s="187" t="s">
        <v>1965</v>
      </c>
      <c r="K2082" s="188"/>
      <c r="L2082" s="188"/>
      <c r="M2082" s="189" t="s">
        <v>1778</v>
      </c>
      <c r="N2082" s="190">
        <v>500.38</v>
      </c>
      <c r="O2082" s="190">
        <f t="shared" si="259"/>
        <v>545.41</v>
      </c>
      <c r="P2082" s="191">
        <f t="shared" si="260"/>
        <v>0</v>
      </c>
      <c r="Q2082" s="192">
        <f t="shared" si="261"/>
        <v>0</v>
      </c>
      <c r="R2082" s="193"/>
      <c r="S2082" s="194"/>
      <c r="T2082" s="195">
        <f t="shared" si="262"/>
        <v>0</v>
      </c>
      <c r="U2082" s="195">
        <f t="shared" si="263"/>
        <v>0</v>
      </c>
      <c r="V2082" s="195">
        <f t="shared" si="264"/>
        <v>0</v>
      </c>
      <c r="W2082" s="196" t="e">
        <f t="shared" si="265"/>
        <v>#DIV/0!</v>
      </c>
      <c r="X2082" s="197" t="e">
        <f t="shared" si="266"/>
        <v>#DIV/0!</v>
      </c>
    </row>
    <row r="2083" ht="11.4" hidden="1" customHeight="1" spans="1:24">
      <c r="A2083" s="184" t="s">
        <v>3200</v>
      </c>
      <c r="B2083" s="184" t="s">
        <v>139</v>
      </c>
      <c r="C2083" s="184" t="s">
        <v>1880</v>
      </c>
      <c r="D2083" s="185" t="s">
        <v>704</v>
      </c>
      <c r="E2083" s="186" t="s">
        <v>906</v>
      </c>
      <c r="F2083" s="186" t="s">
        <v>907</v>
      </c>
      <c r="G2083" s="186" t="s">
        <v>1881</v>
      </c>
      <c r="H2083" s="186" t="s">
        <v>1963</v>
      </c>
      <c r="I2083" s="187" t="s">
        <v>1979</v>
      </c>
      <c r="J2083" s="187" t="s">
        <v>1978</v>
      </c>
      <c r="K2083" s="188"/>
      <c r="L2083" s="188"/>
      <c r="M2083" s="189" t="s">
        <v>1018</v>
      </c>
      <c r="N2083" s="190">
        <v>136.25</v>
      </c>
      <c r="O2083" s="190">
        <f t="shared" si="259"/>
        <v>148.51</v>
      </c>
      <c r="P2083" s="191">
        <f t="shared" si="260"/>
        <v>0</v>
      </c>
      <c r="Q2083" s="192">
        <f t="shared" si="261"/>
        <v>0</v>
      </c>
      <c r="R2083" s="193"/>
      <c r="S2083" s="194"/>
      <c r="T2083" s="195">
        <f t="shared" si="262"/>
        <v>0</v>
      </c>
      <c r="U2083" s="195">
        <f t="shared" si="263"/>
        <v>0</v>
      </c>
      <c r="V2083" s="195">
        <f t="shared" si="264"/>
        <v>0</v>
      </c>
      <c r="W2083" s="196" t="e">
        <f t="shared" si="265"/>
        <v>#DIV/0!</v>
      </c>
      <c r="X2083" s="197" t="e">
        <f t="shared" si="266"/>
        <v>#DIV/0!</v>
      </c>
    </row>
    <row r="2084" ht="11.4" hidden="1" customHeight="1" spans="1:24">
      <c r="A2084" s="184" t="s">
        <v>3200</v>
      </c>
      <c r="B2084" s="184" t="s">
        <v>139</v>
      </c>
      <c r="C2084" s="184" t="s">
        <v>1880</v>
      </c>
      <c r="D2084" s="185" t="s">
        <v>704</v>
      </c>
      <c r="E2084" s="186" t="s">
        <v>906</v>
      </c>
      <c r="F2084" s="186" t="s">
        <v>907</v>
      </c>
      <c r="G2084" s="186" t="s">
        <v>1881</v>
      </c>
      <c r="H2084" s="186" t="s">
        <v>1963</v>
      </c>
      <c r="I2084" s="187" t="s">
        <v>1966</v>
      </c>
      <c r="J2084" s="187" t="s">
        <v>1967</v>
      </c>
      <c r="K2084" s="188"/>
      <c r="L2084" s="188"/>
      <c r="M2084" s="189" t="s">
        <v>1018</v>
      </c>
      <c r="N2084" s="190">
        <v>63.27</v>
      </c>
      <c r="O2084" s="190">
        <f t="shared" si="259"/>
        <v>68.96</v>
      </c>
      <c r="P2084" s="191">
        <f t="shared" si="260"/>
        <v>0</v>
      </c>
      <c r="Q2084" s="192">
        <f t="shared" si="261"/>
        <v>0</v>
      </c>
      <c r="R2084" s="193"/>
      <c r="S2084" s="194"/>
      <c r="T2084" s="195">
        <f t="shared" si="262"/>
        <v>0</v>
      </c>
      <c r="U2084" s="195">
        <f t="shared" si="263"/>
        <v>0</v>
      </c>
      <c r="V2084" s="195">
        <f t="shared" si="264"/>
        <v>0</v>
      </c>
      <c r="W2084" s="196" t="e">
        <f t="shared" si="265"/>
        <v>#DIV/0!</v>
      </c>
      <c r="X2084" s="197" t="e">
        <f t="shared" si="266"/>
        <v>#DIV/0!</v>
      </c>
    </row>
    <row r="2085" ht="11.4" hidden="1" customHeight="1" spans="1:24">
      <c r="A2085" s="184" t="s">
        <v>3200</v>
      </c>
      <c r="B2085" s="184" t="s">
        <v>139</v>
      </c>
      <c r="C2085" s="184" t="s">
        <v>1880</v>
      </c>
      <c r="D2085" s="185" t="s">
        <v>704</v>
      </c>
      <c r="E2085" s="186" t="s">
        <v>906</v>
      </c>
      <c r="F2085" s="186" t="s">
        <v>907</v>
      </c>
      <c r="G2085" s="186" t="s">
        <v>1881</v>
      </c>
      <c r="H2085" s="186" t="s">
        <v>1963</v>
      </c>
      <c r="I2085" s="187" t="s">
        <v>1968</v>
      </c>
      <c r="J2085" s="187" t="s">
        <v>1969</v>
      </c>
      <c r="K2085" s="188"/>
      <c r="L2085" s="188"/>
      <c r="M2085" s="189" t="s">
        <v>807</v>
      </c>
      <c r="N2085" s="190">
        <v>38.86</v>
      </c>
      <c r="O2085" s="190">
        <f t="shared" si="259"/>
        <v>42.36</v>
      </c>
      <c r="P2085" s="191">
        <f t="shared" si="260"/>
        <v>0</v>
      </c>
      <c r="Q2085" s="192">
        <f t="shared" si="261"/>
        <v>0</v>
      </c>
      <c r="R2085" s="193"/>
      <c r="S2085" s="194"/>
      <c r="T2085" s="195">
        <f t="shared" si="262"/>
        <v>0</v>
      </c>
      <c r="U2085" s="195">
        <f t="shared" si="263"/>
        <v>0</v>
      </c>
      <c r="V2085" s="195">
        <f t="shared" si="264"/>
        <v>0</v>
      </c>
      <c r="W2085" s="196" t="e">
        <f t="shared" si="265"/>
        <v>#DIV/0!</v>
      </c>
      <c r="X2085" s="197" t="e">
        <f t="shared" si="266"/>
        <v>#DIV/0!</v>
      </c>
    </row>
    <row r="2086" ht="11.4" hidden="1" customHeight="1" spans="1:24">
      <c r="A2086" s="184" t="s">
        <v>3200</v>
      </c>
      <c r="B2086" s="184" t="s">
        <v>139</v>
      </c>
      <c r="C2086" s="184" t="s">
        <v>1880</v>
      </c>
      <c r="D2086" s="185" t="s">
        <v>704</v>
      </c>
      <c r="E2086" s="186" t="s">
        <v>906</v>
      </c>
      <c r="F2086" s="186" t="s">
        <v>907</v>
      </c>
      <c r="G2086" s="186" t="s">
        <v>1881</v>
      </c>
      <c r="H2086" s="186" t="s">
        <v>1971</v>
      </c>
      <c r="I2086" s="187" t="s">
        <v>1972</v>
      </c>
      <c r="J2086" s="187" t="s">
        <v>1973</v>
      </c>
      <c r="K2086" s="188"/>
      <c r="L2086" s="188"/>
      <c r="M2086" s="189" t="s">
        <v>1778</v>
      </c>
      <c r="N2086" s="190">
        <v>500.38</v>
      </c>
      <c r="O2086" s="190">
        <f t="shared" si="259"/>
        <v>545.41</v>
      </c>
      <c r="P2086" s="191">
        <f t="shared" si="260"/>
        <v>0</v>
      </c>
      <c r="Q2086" s="192">
        <f t="shared" si="261"/>
        <v>0</v>
      </c>
      <c r="R2086" s="193"/>
      <c r="S2086" s="194"/>
      <c r="T2086" s="195">
        <f t="shared" si="262"/>
        <v>0</v>
      </c>
      <c r="U2086" s="195">
        <f t="shared" si="263"/>
        <v>0</v>
      </c>
      <c r="V2086" s="195">
        <f t="shared" si="264"/>
        <v>0</v>
      </c>
      <c r="W2086" s="196" t="e">
        <f t="shared" si="265"/>
        <v>#DIV/0!</v>
      </c>
      <c r="X2086" s="197" t="e">
        <f t="shared" si="266"/>
        <v>#DIV/0!</v>
      </c>
    </row>
    <row r="2087" ht="11.4" hidden="1" customHeight="1" spans="1:24">
      <c r="A2087" s="184" t="s">
        <v>3200</v>
      </c>
      <c r="B2087" s="184" t="s">
        <v>139</v>
      </c>
      <c r="C2087" s="184" t="s">
        <v>1880</v>
      </c>
      <c r="D2087" s="185" t="s">
        <v>704</v>
      </c>
      <c r="E2087" s="186" t="s">
        <v>906</v>
      </c>
      <c r="F2087" s="186" t="s">
        <v>907</v>
      </c>
      <c r="G2087" s="186" t="s">
        <v>1881</v>
      </c>
      <c r="H2087" s="186" t="s">
        <v>1974</v>
      </c>
      <c r="I2087" s="187" t="s">
        <v>1975</v>
      </c>
      <c r="J2087" s="187" t="s">
        <v>1976</v>
      </c>
      <c r="K2087" s="188"/>
      <c r="L2087" s="188"/>
      <c r="M2087" s="189" t="s">
        <v>1018</v>
      </c>
      <c r="N2087" s="190">
        <v>136.25</v>
      </c>
      <c r="O2087" s="190">
        <f t="shared" si="259"/>
        <v>148.51</v>
      </c>
      <c r="P2087" s="191">
        <f t="shared" si="260"/>
        <v>0</v>
      </c>
      <c r="Q2087" s="192">
        <f t="shared" si="261"/>
        <v>0</v>
      </c>
      <c r="R2087" s="193"/>
      <c r="S2087" s="194"/>
      <c r="T2087" s="195">
        <f t="shared" si="262"/>
        <v>0</v>
      </c>
      <c r="U2087" s="195">
        <f t="shared" si="263"/>
        <v>0</v>
      </c>
      <c r="V2087" s="195">
        <f t="shared" si="264"/>
        <v>0</v>
      </c>
      <c r="W2087" s="196" t="e">
        <f t="shared" si="265"/>
        <v>#DIV/0!</v>
      </c>
      <c r="X2087" s="197" t="e">
        <f t="shared" si="266"/>
        <v>#DIV/0!</v>
      </c>
    </row>
    <row r="2088" ht="11.4" hidden="1" customHeight="1" spans="1:24">
      <c r="A2088" s="184" t="s">
        <v>3200</v>
      </c>
      <c r="B2088" s="184" t="s">
        <v>139</v>
      </c>
      <c r="C2088" s="184" t="s">
        <v>1880</v>
      </c>
      <c r="D2088" s="185" t="s">
        <v>704</v>
      </c>
      <c r="E2088" s="186" t="s">
        <v>906</v>
      </c>
      <c r="F2088" s="186" t="s">
        <v>907</v>
      </c>
      <c r="G2088" s="186" t="s">
        <v>1881</v>
      </c>
      <c r="H2088" s="186" t="s">
        <v>1974</v>
      </c>
      <c r="I2088" s="187" t="s">
        <v>1977</v>
      </c>
      <c r="J2088" s="187" t="s">
        <v>1978</v>
      </c>
      <c r="K2088" s="188"/>
      <c r="L2088" s="188"/>
      <c r="M2088" s="189" t="s">
        <v>1018</v>
      </c>
      <c r="N2088" s="190">
        <v>136.25</v>
      </c>
      <c r="O2088" s="190">
        <f t="shared" si="259"/>
        <v>148.51</v>
      </c>
      <c r="P2088" s="191">
        <f t="shared" si="260"/>
        <v>0</v>
      </c>
      <c r="Q2088" s="192">
        <f t="shared" si="261"/>
        <v>0</v>
      </c>
      <c r="R2088" s="193"/>
      <c r="S2088" s="194"/>
      <c r="T2088" s="195">
        <f t="shared" si="262"/>
        <v>0</v>
      </c>
      <c r="U2088" s="195">
        <f t="shared" si="263"/>
        <v>0</v>
      </c>
      <c r="V2088" s="195">
        <f t="shared" si="264"/>
        <v>0</v>
      </c>
      <c r="W2088" s="196" t="e">
        <f t="shared" si="265"/>
        <v>#DIV/0!</v>
      </c>
      <c r="X2088" s="197" t="e">
        <f t="shared" si="266"/>
        <v>#DIV/0!</v>
      </c>
    </row>
    <row r="2089" ht="11.4" hidden="1" customHeight="1" spans="1:24">
      <c r="A2089" s="184" t="s">
        <v>3200</v>
      </c>
      <c r="B2089" s="184" t="s">
        <v>139</v>
      </c>
      <c r="C2089" s="184" t="s">
        <v>1880</v>
      </c>
      <c r="D2089" s="185" t="s">
        <v>704</v>
      </c>
      <c r="E2089" s="186" t="s">
        <v>906</v>
      </c>
      <c r="F2089" s="186" t="s">
        <v>907</v>
      </c>
      <c r="G2089" s="186" t="s">
        <v>1881</v>
      </c>
      <c r="H2089" s="186" t="s">
        <v>1980</v>
      </c>
      <c r="I2089" s="187" t="s">
        <v>1981</v>
      </c>
      <c r="J2089" s="187" t="s">
        <v>1982</v>
      </c>
      <c r="K2089" s="188"/>
      <c r="L2089" s="188"/>
      <c r="M2089" s="189" t="s">
        <v>807</v>
      </c>
      <c r="N2089" s="190">
        <v>69.84</v>
      </c>
      <c r="O2089" s="190">
        <f t="shared" si="259"/>
        <v>76.13</v>
      </c>
      <c r="P2089" s="191">
        <f t="shared" si="260"/>
        <v>0</v>
      </c>
      <c r="Q2089" s="192">
        <f t="shared" si="261"/>
        <v>0</v>
      </c>
      <c r="R2089" s="193"/>
      <c r="S2089" s="194"/>
      <c r="T2089" s="195">
        <f t="shared" si="262"/>
        <v>0</v>
      </c>
      <c r="U2089" s="195">
        <f t="shared" si="263"/>
        <v>0</v>
      </c>
      <c r="V2089" s="195">
        <f t="shared" si="264"/>
        <v>0</v>
      </c>
      <c r="W2089" s="196" t="e">
        <f t="shared" si="265"/>
        <v>#DIV/0!</v>
      </c>
      <c r="X2089" s="197" t="e">
        <f t="shared" si="266"/>
        <v>#DIV/0!</v>
      </c>
    </row>
    <row r="2090" ht="11.4" hidden="1" customHeight="1" spans="1:24">
      <c r="A2090" s="184" t="s">
        <v>3200</v>
      </c>
      <c r="B2090" s="184" t="s">
        <v>139</v>
      </c>
      <c r="C2090" s="184" t="s">
        <v>1880</v>
      </c>
      <c r="D2090" s="185" t="s">
        <v>704</v>
      </c>
      <c r="E2090" s="186" t="s">
        <v>906</v>
      </c>
      <c r="F2090" s="186" t="s">
        <v>907</v>
      </c>
      <c r="G2090" s="186" t="s">
        <v>1881</v>
      </c>
      <c r="H2090" s="186" t="s">
        <v>1980</v>
      </c>
      <c r="I2090" s="187" t="s">
        <v>1984</v>
      </c>
      <c r="J2090" s="187" t="s">
        <v>3201</v>
      </c>
      <c r="K2090" s="188"/>
      <c r="L2090" s="188"/>
      <c r="M2090" s="189" t="s">
        <v>807</v>
      </c>
      <c r="N2090" s="190">
        <v>62.59</v>
      </c>
      <c r="O2090" s="190">
        <f t="shared" si="259"/>
        <v>68.22</v>
      </c>
      <c r="P2090" s="191">
        <f t="shared" si="260"/>
        <v>0</v>
      </c>
      <c r="Q2090" s="192">
        <f t="shared" si="261"/>
        <v>0</v>
      </c>
      <c r="R2090" s="193"/>
      <c r="S2090" s="194"/>
      <c r="T2090" s="195">
        <f t="shared" si="262"/>
        <v>0</v>
      </c>
      <c r="U2090" s="195">
        <f t="shared" si="263"/>
        <v>0</v>
      </c>
      <c r="V2090" s="195">
        <f t="shared" si="264"/>
        <v>0</v>
      </c>
      <c r="W2090" s="196" t="e">
        <f t="shared" si="265"/>
        <v>#DIV/0!</v>
      </c>
      <c r="X2090" s="197" t="e">
        <f t="shared" si="266"/>
        <v>#DIV/0!</v>
      </c>
    </row>
    <row r="2091" ht="11.4" hidden="1" customHeight="1" spans="1:24">
      <c r="A2091" s="184" t="s">
        <v>3200</v>
      </c>
      <c r="B2091" s="184" t="s">
        <v>139</v>
      </c>
      <c r="C2091" s="184" t="s">
        <v>1880</v>
      </c>
      <c r="D2091" s="185" t="s">
        <v>704</v>
      </c>
      <c r="E2091" s="186" t="s">
        <v>906</v>
      </c>
      <c r="F2091" s="186" t="s">
        <v>907</v>
      </c>
      <c r="G2091" s="186" t="s">
        <v>1881</v>
      </c>
      <c r="H2091" s="186" t="s">
        <v>1980</v>
      </c>
      <c r="I2091" s="187" t="s">
        <v>1987</v>
      </c>
      <c r="J2091" s="187" t="s">
        <v>3202</v>
      </c>
      <c r="K2091" s="188"/>
      <c r="L2091" s="188"/>
      <c r="M2091" s="189" t="s">
        <v>807</v>
      </c>
      <c r="N2091" s="190">
        <v>52.61</v>
      </c>
      <c r="O2091" s="190">
        <f t="shared" si="259"/>
        <v>57.34</v>
      </c>
      <c r="P2091" s="191">
        <f t="shared" si="260"/>
        <v>0</v>
      </c>
      <c r="Q2091" s="192">
        <f t="shared" si="261"/>
        <v>0</v>
      </c>
      <c r="R2091" s="193"/>
      <c r="S2091" s="194"/>
      <c r="T2091" s="195">
        <f t="shared" si="262"/>
        <v>0</v>
      </c>
      <c r="U2091" s="195">
        <f t="shared" si="263"/>
        <v>0</v>
      </c>
      <c r="V2091" s="195">
        <f t="shared" si="264"/>
        <v>0</v>
      </c>
      <c r="W2091" s="196" t="e">
        <f t="shared" si="265"/>
        <v>#DIV/0!</v>
      </c>
      <c r="X2091" s="197" t="e">
        <f t="shared" si="266"/>
        <v>#DIV/0!</v>
      </c>
    </row>
    <row r="2092" ht="11.4" hidden="1" customHeight="1" spans="1:24">
      <c r="A2092" s="184" t="s">
        <v>3200</v>
      </c>
      <c r="B2092" s="184" t="s">
        <v>139</v>
      </c>
      <c r="C2092" s="184" t="s">
        <v>1880</v>
      </c>
      <c r="D2092" s="185" t="s">
        <v>704</v>
      </c>
      <c r="E2092" s="186" t="s">
        <v>906</v>
      </c>
      <c r="F2092" s="186" t="s">
        <v>907</v>
      </c>
      <c r="G2092" s="186" t="s">
        <v>1881</v>
      </c>
      <c r="H2092" s="186" t="s">
        <v>1980</v>
      </c>
      <c r="I2092" s="187" t="s">
        <v>1989</v>
      </c>
      <c r="J2092" s="187" t="s">
        <v>1990</v>
      </c>
      <c r="K2092" s="188"/>
      <c r="L2092" s="188"/>
      <c r="M2092" s="189" t="s">
        <v>807</v>
      </c>
      <c r="N2092" s="190">
        <v>33.42</v>
      </c>
      <c r="O2092" s="190">
        <f t="shared" si="259"/>
        <v>36.43</v>
      </c>
      <c r="P2092" s="191">
        <f t="shared" si="260"/>
        <v>0</v>
      </c>
      <c r="Q2092" s="192">
        <f t="shared" si="261"/>
        <v>0</v>
      </c>
      <c r="R2092" s="193"/>
      <c r="S2092" s="194"/>
      <c r="T2092" s="195">
        <f t="shared" si="262"/>
        <v>0</v>
      </c>
      <c r="U2092" s="195">
        <f t="shared" si="263"/>
        <v>0</v>
      </c>
      <c r="V2092" s="195">
        <f t="shared" si="264"/>
        <v>0</v>
      </c>
      <c r="W2092" s="196" t="e">
        <f t="shared" si="265"/>
        <v>#DIV/0!</v>
      </c>
      <c r="X2092" s="197" t="e">
        <f t="shared" si="266"/>
        <v>#DIV/0!</v>
      </c>
    </row>
    <row r="2093" ht="11.4" hidden="1" customHeight="1" spans="1:24">
      <c r="A2093" s="184" t="s">
        <v>3200</v>
      </c>
      <c r="B2093" s="184" t="s">
        <v>139</v>
      </c>
      <c r="C2093" s="184" t="s">
        <v>1880</v>
      </c>
      <c r="D2093" s="185" t="s">
        <v>704</v>
      </c>
      <c r="E2093" s="186" t="s">
        <v>906</v>
      </c>
      <c r="F2093" s="186" t="s">
        <v>907</v>
      </c>
      <c r="G2093" s="186" t="s">
        <v>1881</v>
      </c>
      <c r="H2093" s="186" t="s">
        <v>1980</v>
      </c>
      <c r="I2093" s="187" t="s">
        <v>1991</v>
      </c>
      <c r="J2093" s="187" t="s">
        <v>1992</v>
      </c>
      <c r="K2093" s="188"/>
      <c r="L2093" s="188"/>
      <c r="M2093" s="189" t="s">
        <v>807</v>
      </c>
      <c r="N2093" s="190">
        <v>54.17</v>
      </c>
      <c r="O2093" s="190">
        <f t="shared" si="259"/>
        <v>59.05</v>
      </c>
      <c r="P2093" s="191">
        <f t="shared" si="260"/>
        <v>0</v>
      </c>
      <c r="Q2093" s="192">
        <f t="shared" si="261"/>
        <v>0</v>
      </c>
      <c r="R2093" s="193"/>
      <c r="S2093" s="194"/>
      <c r="T2093" s="195">
        <f t="shared" si="262"/>
        <v>0</v>
      </c>
      <c r="U2093" s="195">
        <f t="shared" si="263"/>
        <v>0</v>
      </c>
      <c r="V2093" s="195">
        <f t="shared" si="264"/>
        <v>0</v>
      </c>
      <c r="W2093" s="196" t="e">
        <f t="shared" si="265"/>
        <v>#DIV/0!</v>
      </c>
      <c r="X2093" s="197" t="e">
        <f t="shared" si="266"/>
        <v>#DIV/0!</v>
      </c>
    </row>
    <row r="2094" ht="11.4" hidden="1" customHeight="1" spans="1:24">
      <c r="A2094" s="184" t="s">
        <v>3200</v>
      </c>
      <c r="B2094" s="184" t="s">
        <v>139</v>
      </c>
      <c r="C2094" s="184" t="s">
        <v>1880</v>
      </c>
      <c r="D2094" s="185" t="s">
        <v>704</v>
      </c>
      <c r="E2094" s="186" t="s">
        <v>906</v>
      </c>
      <c r="F2094" s="186" t="s">
        <v>907</v>
      </c>
      <c r="G2094" s="186" t="s">
        <v>1881</v>
      </c>
      <c r="H2094" s="186" t="s">
        <v>1980</v>
      </c>
      <c r="I2094" s="187" t="s">
        <v>1993</v>
      </c>
      <c r="J2094" s="187" t="s">
        <v>3203</v>
      </c>
      <c r="K2094" s="188"/>
      <c r="L2094" s="188"/>
      <c r="M2094" s="189" t="s">
        <v>807</v>
      </c>
      <c r="N2094" s="190">
        <v>50.32</v>
      </c>
      <c r="O2094" s="190">
        <f t="shared" si="259"/>
        <v>54.85</v>
      </c>
      <c r="P2094" s="191">
        <f t="shared" si="260"/>
        <v>0</v>
      </c>
      <c r="Q2094" s="192">
        <f t="shared" si="261"/>
        <v>0</v>
      </c>
      <c r="R2094" s="193"/>
      <c r="S2094" s="194"/>
      <c r="T2094" s="195">
        <f t="shared" si="262"/>
        <v>0</v>
      </c>
      <c r="U2094" s="195">
        <f t="shared" si="263"/>
        <v>0</v>
      </c>
      <c r="V2094" s="195">
        <f t="shared" si="264"/>
        <v>0</v>
      </c>
      <c r="W2094" s="196" t="e">
        <f t="shared" si="265"/>
        <v>#DIV/0!</v>
      </c>
      <c r="X2094" s="197" t="e">
        <f t="shared" si="266"/>
        <v>#DIV/0!</v>
      </c>
    </row>
    <row r="2095" ht="11.4" hidden="1" customHeight="1" spans="1:24">
      <c r="A2095" s="184" t="s">
        <v>3200</v>
      </c>
      <c r="B2095" s="184" t="s">
        <v>139</v>
      </c>
      <c r="C2095" s="184" t="s">
        <v>1880</v>
      </c>
      <c r="D2095" s="185" t="s">
        <v>704</v>
      </c>
      <c r="E2095" s="186" t="s">
        <v>906</v>
      </c>
      <c r="F2095" s="186" t="s">
        <v>907</v>
      </c>
      <c r="G2095" s="186" t="s">
        <v>1881</v>
      </c>
      <c r="H2095" s="186" t="s">
        <v>1980</v>
      </c>
      <c r="I2095" s="187" t="s">
        <v>1995</v>
      </c>
      <c r="J2095" s="187" t="s">
        <v>3085</v>
      </c>
      <c r="K2095" s="188"/>
      <c r="L2095" s="188"/>
      <c r="M2095" s="189" t="s">
        <v>807</v>
      </c>
      <c r="N2095" s="190">
        <v>32.72</v>
      </c>
      <c r="O2095" s="190">
        <f t="shared" si="259"/>
        <v>35.66</v>
      </c>
      <c r="P2095" s="191">
        <f t="shared" si="260"/>
        <v>0</v>
      </c>
      <c r="Q2095" s="192">
        <f t="shared" si="261"/>
        <v>0</v>
      </c>
      <c r="R2095" s="193"/>
      <c r="S2095" s="194"/>
      <c r="T2095" s="195">
        <f t="shared" si="262"/>
        <v>0</v>
      </c>
      <c r="U2095" s="195">
        <f t="shared" si="263"/>
        <v>0</v>
      </c>
      <c r="V2095" s="195">
        <f t="shared" si="264"/>
        <v>0</v>
      </c>
      <c r="W2095" s="196" t="e">
        <f t="shared" si="265"/>
        <v>#DIV/0!</v>
      </c>
      <c r="X2095" s="197" t="e">
        <f t="shared" si="266"/>
        <v>#DIV/0!</v>
      </c>
    </row>
    <row r="2096" ht="11.4" hidden="1" customHeight="1" spans="1:24">
      <c r="A2096" s="184" t="s">
        <v>3200</v>
      </c>
      <c r="B2096" s="184" t="s">
        <v>139</v>
      </c>
      <c r="C2096" s="184" t="s">
        <v>1880</v>
      </c>
      <c r="D2096" s="185" t="s">
        <v>704</v>
      </c>
      <c r="E2096" s="186" t="s">
        <v>906</v>
      </c>
      <c r="F2096" s="186" t="s">
        <v>907</v>
      </c>
      <c r="G2096" s="186" t="s">
        <v>1881</v>
      </c>
      <c r="H2096" s="186" t="s">
        <v>1980</v>
      </c>
      <c r="I2096" s="187" t="s">
        <v>1997</v>
      </c>
      <c r="J2096" s="187" t="s">
        <v>1998</v>
      </c>
      <c r="K2096" s="188"/>
      <c r="L2096" s="188"/>
      <c r="M2096" s="189" t="s">
        <v>807</v>
      </c>
      <c r="N2096" s="190">
        <v>58.29</v>
      </c>
      <c r="O2096" s="190">
        <f t="shared" si="259"/>
        <v>63.54</v>
      </c>
      <c r="P2096" s="191">
        <f t="shared" si="260"/>
        <v>0</v>
      </c>
      <c r="Q2096" s="192">
        <f t="shared" si="261"/>
        <v>0</v>
      </c>
      <c r="R2096" s="193"/>
      <c r="S2096" s="194"/>
      <c r="T2096" s="195">
        <f t="shared" si="262"/>
        <v>0</v>
      </c>
      <c r="U2096" s="195">
        <f t="shared" si="263"/>
        <v>0</v>
      </c>
      <c r="V2096" s="195">
        <f t="shared" si="264"/>
        <v>0</v>
      </c>
      <c r="W2096" s="196" t="e">
        <f t="shared" si="265"/>
        <v>#DIV/0!</v>
      </c>
      <c r="X2096" s="197" t="e">
        <f t="shared" si="266"/>
        <v>#DIV/0!</v>
      </c>
    </row>
    <row r="2097" ht="11.4" hidden="1" customHeight="1" spans="1:24">
      <c r="A2097" s="184" t="s">
        <v>3200</v>
      </c>
      <c r="B2097" s="184" t="s">
        <v>139</v>
      </c>
      <c r="C2097" s="184" t="s">
        <v>1880</v>
      </c>
      <c r="D2097" s="185" t="s">
        <v>704</v>
      </c>
      <c r="E2097" s="186" t="s">
        <v>906</v>
      </c>
      <c r="F2097" s="186" t="s">
        <v>907</v>
      </c>
      <c r="G2097" s="186" t="s">
        <v>1881</v>
      </c>
      <c r="H2097" s="186" t="s">
        <v>1980</v>
      </c>
      <c r="I2097" s="187" t="s">
        <v>1999</v>
      </c>
      <c r="J2097" s="187" t="s">
        <v>3204</v>
      </c>
      <c r="K2097" s="188"/>
      <c r="L2097" s="188"/>
      <c r="M2097" s="189" t="s">
        <v>807</v>
      </c>
      <c r="N2097" s="190">
        <v>45.54</v>
      </c>
      <c r="O2097" s="190">
        <f t="shared" si="259"/>
        <v>49.64</v>
      </c>
      <c r="P2097" s="191">
        <f t="shared" si="260"/>
        <v>0</v>
      </c>
      <c r="Q2097" s="192">
        <f t="shared" si="261"/>
        <v>0</v>
      </c>
      <c r="R2097" s="193"/>
      <c r="S2097" s="194"/>
      <c r="T2097" s="195">
        <f t="shared" si="262"/>
        <v>0</v>
      </c>
      <c r="U2097" s="195">
        <f t="shared" si="263"/>
        <v>0</v>
      </c>
      <c r="V2097" s="195">
        <f t="shared" si="264"/>
        <v>0</v>
      </c>
      <c r="W2097" s="196" t="e">
        <f t="shared" si="265"/>
        <v>#DIV/0!</v>
      </c>
      <c r="X2097" s="197" t="e">
        <f t="shared" si="266"/>
        <v>#DIV/0!</v>
      </c>
    </row>
    <row r="2098" ht="11.4" hidden="1" customHeight="1" spans="1:24">
      <c r="A2098" s="184" t="s">
        <v>3200</v>
      </c>
      <c r="B2098" s="184" t="s">
        <v>139</v>
      </c>
      <c r="C2098" s="184" t="s">
        <v>1880</v>
      </c>
      <c r="D2098" s="185" t="s">
        <v>704</v>
      </c>
      <c r="E2098" s="186" t="s">
        <v>906</v>
      </c>
      <c r="F2098" s="186" t="s">
        <v>907</v>
      </c>
      <c r="G2098" s="186" t="s">
        <v>1881</v>
      </c>
      <c r="H2098" s="186" t="s">
        <v>1980</v>
      </c>
      <c r="I2098" s="187" t="s">
        <v>2001</v>
      </c>
      <c r="J2098" s="187" t="s">
        <v>3205</v>
      </c>
      <c r="K2098" s="188"/>
      <c r="L2098" s="188"/>
      <c r="M2098" s="189" t="s">
        <v>807</v>
      </c>
      <c r="N2098" s="190">
        <v>40.18</v>
      </c>
      <c r="O2098" s="190">
        <f t="shared" si="259"/>
        <v>43.8</v>
      </c>
      <c r="P2098" s="191">
        <f t="shared" si="260"/>
        <v>0</v>
      </c>
      <c r="Q2098" s="192">
        <f t="shared" si="261"/>
        <v>0</v>
      </c>
      <c r="R2098" s="193"/>
      <c r="S2098" s="194"/>
      <c r="T2098" s="195">
        <f t="shared" si="262"/>
        <v>0</v>
      </c>
      <c r="U2098" s="195">
        <f t="shared" si="263"/>
        <v>0</v>
      </c>
      <c r="V2098" s="195">
        <f t="shared" si="264"/>
        <v>0</v>
      </c>
      <c r="W2098" s="196" t="e">
        <f t="shared" si="265"/>
        <v>#DIV/0!</v>
      </c>
      <c r="X2098" s="197" t="e">
        <f t="shared" si="266"/>
        <v>#DIV/0!</v>
      </c>
    </row>
    <row r="2099" ht="11.4" hidden="1" customHeight="1" spans="1:24">
      <c r="A2099" s="184" t="s">
        <v>3200</v>
      </c>
      <c r="B2099" s="184" t="s">
        <v>139</v>
      </c>
      <c r="C2099" s="184" t="s">
        <v>1880</v>
      </c>
      <c r="D2099" s="185" t="s">
        <v>704</v>
      </c>
      <c r="E2099" s="186" t="s">
        <v>906</v>
      </c>
      <c r="F2099" s="186" t="s">
        <v>907</v>
      </c>
      <c r="G2099" s="186" t="s">
        <v>1881</v>
      </c>
      <c r="H2099" s="186" t="s">
        <v>1980</v>
      </c>
      <c r="I2099" s="187" t="s">
        <v>2003</v>
      </c>
      <c r="J2099" s="187" t="s">
        <v>3086</v>
      </c>
      <c r="K2099" s="188"/>
      <c r="L2099" s="188"/>
      <c r="M2099" s="189" t="s">
        <v>807</v>
      </c>
      <c r="N2099" s="190">
        <v>28.14</v>
      </c>
      <c r="O2099" s="190">
        <f t="shared" si="259"/>
        <v>30.67</v>
      </c>
      <c r="P2099" s="191">
        <f t="shared" si="260"/>
        <v>0</v>
      </c>
      <c r="Q2099" s="192">
        <f t="shared" si="261"/>
        <v>0</v>
      </c>
      <c r="R2099" s="193"/>
      <c r="S2099" s="194"/>
      <c r="T2099" s="195">
        <f t="shared" si="262"/>
        <v>0</v>
      </c>
      <c r="U2099" s="195">
        <f t="shared" si="263"/>
        <v>0</v>
      </c>
      <c r="V2099" s="195">
        <f t="shared" si="264"/>
        <v>0</v>
      </c>
      <c r="W2099" s="196" t="e">
        <f t="shared" si="265"/>
        <v>#DIV/0!</v>
      </c>
      <c r="X2099" s="197" t="e">
        <f t="shared" si="266"/>
        <v>#DIV/0!</v>
      </c>
    </row>
    <row r="2100" ht="11.4" hidden="1" customHeight="1" spans="1:24">
      <c r="A2100" s="184" t="s">
        <v>3200</v>
      </c>
      <c r="B2100" s="184" t="s">
        <v>139</v>
      </c>
      <c r="C2100" s="184" t="s">
        <v>1880</v>
      </c>
      <c r="D2100" s="185" t="s">
        <v>704</v>
      </c>
      <c r="E2100" s="186" t="s">
        <v>906</v>
      </c>
      <c r="F2100" s="186" t="s">
        <v>907</v>
      </c>
      <c r="G2100" s="186" t="s">
        <v>1881</v>
      </c>
      <c r="H2100" s="186" t="s">
        <v>1980</v>
      </c>
      <c r="I2100" s="187" t="s">
        <v>2005</v>
      </c>
      <c r="J2100" s="187" t="s">
        <v>3087</v>
      </c>
      <c r="K2100" s="188"/>
      <c r="L2100" s="188"/>
      <c r="M2100" s="189" t="s">
        <v>807</v>
      </c>
      <c r="N2100" s="190">
        <v>28.15</v>
      </c>
      <c r="O2100" s="190">
        <f t="shared" si="259"/>
        <v>30.68</v>
      </c>
      <c r="P2100" s="191">
        <f t="shared" si="260"/>
        <v>0</v>
      </c>
      <c r="Q2100" s="192">
        <f t="shared" si="261"/>
        <v>0</v>
      </c>
      <c r="R2100" s="193"/>
      <c r="S2100" s="194"/>
      <c r="T2100" s="195">
        <f t="shared" si="262"/>
        <v>0</v>
      </c>
      <c r="U2100" s="195">
        <f t="shared" si="263"/>
        <v>0</v>
      </c>
      <c r="V2100" s="195">
        <f t="shared" si="264"/>
        <v>0</v>
      </c>
      <c r="W2100" s="196" t="e">
        <f t="shared" si="265"/>
        <v>#DIV/0!</v>
      </c>
      <c r="X2100" s="197" t="e">
        <f t="shared" si="266"/>
        <v>#DIV/0!</v>
      </c>
    </row>
    <row r="2101" ht="11.4" hidden="1" customHeight="1" spans="1:24">
      <c r="A2101" s="184" t="s">
        <v>3200</v>
      </c>
      <c r="B2101" s="184" t="s">
        <v>139</v>
      </c>
      <c r="C2101" s="184" t="s">
        <v>1880</v>
      </c>
      <c r="D2101" s="185" t="s">
        <v>704</v>
      </c>
      <c r="E2101" s="186" t="s">
        <v>906</v>
      </c>
      <c r="F2101" s="186" t="s">
        <v>907</v>
      </c>
      <c r="G2101" s="186" t="s">
        <v>1881</v>
      </c>
      <c r="H2101" s="186" t="s">
        <v>1980</v>
      </c>
      <c r="I2101" s="187" t="s">
        <v>2007</v>
      </c>
      <c r="J2101" s="187" t="s">
        <v>2008</v>
      </c>
      <c r="K2101" s="188"/>
      <c r="L2101" s="188"/>
      <c r="M2101" s="189" t="s">
        <v>1018</v>
      </c>
      <c r="N2101" s="190">
        <v>1059.51</v>
      </c>
      <c r="O2101" s="190">
        <f t="shared" si="259"/>
        <v>1154.87</v>
      </c>
      <c r="P2101" s="191">
        <f t="shared" si="260"/>
        <v>0</v>
      </c>
      <c r="Q2101" s="192">
        <f t="shared" si="261"/>
        <v>0</v>
      </c>
      <c r="R2101" s="193"/>
      <c r="S2101" s="194"/>
      <c r="T2101" s="195">
        <f t="shared" si="262"/>
        <v>0</v>
      </c>
      <c r="U2101" s="195">
        <f t="shared" si="263"/>
        <v>0</v>
      </c>
      <c r="V2101" s="195">
        <f t="shared" si="264"/>
        <v>0</v>
      </c>
      <c r="W2101" s="196" t="e">
        <f t="shared" si="265"/>
        <v>#DIV/0!</v>
      </c>
      <c r="X2101" s="197" t="e">
        <f t="shared" si="266"/>
        <v>#DIV/0!</v>
      </c>
    </row>
    <row r="2102" ht="11.4" hidden="1" customHeight="1" spans="1:24">
      <c r="A2102" s="184" t="s">
        <v>3200</v>
      </c>
      <c r="B2102" s="184" t="s">
        <v>139</v>
      </c>
      <c r="C2102" s="184" t="s">
        <v>1880</v>
      </c>
      <c r="D2102" s="185" t="s">
        <v>704</v>
      </c>
      <c r="E2102" s="186" t="s">
        <v>906</v>
      </c>
      <c r="F2102" s="186" t="s">
        <v>907</v>
      </c>
      <c r="G2102" s="186" t="s">
        <v>1881</v>
      </c>
      <c r="H2102" s="186" t="s">
        <v>1980</v>
      </c>
      <c r="I2102" s="187" t="s">
        <v>2009</v>
      </c>
      <c r="J2102" s="187" t="s">
        <v>2010</v>
      </c>
      <c r="K2102" s="188"/>
      <c r="L2102" s="188"/>
      <c r="M2102" s="189" t="s">
        <v>1018</v>
      </c>
      <c r="N2102" s="190">
        <v>829.5</v>
      </c>
      <c r="O2102" s="190">
        <f t="shared" si="259"/>
        <v>904.16</v>
      </c>
      <c r="P2102" s="191">
        <f t="shared" si="260"/>
        <v>0</v>
      </c>
      <c r="Q2102" s="192">
        <f t="shared" si="261"/>
        <v>0</v>
      </c>
      <c r="R2102" s="193"/>
      <c r="S2102" s="194"/>
      <c r="T2102" s="195">
        <f t="shared" si="262"/>
        <v>0</v>
      </c>
      <c r="U2102" s="195">
        <f t="shared" si="263"/>
        <v>0</v>
      </c>
      <c r="V2102" s="195">
        <f t="shared" si="264"/>
        <v>0</v>
      </c>
      <c r="W2102" s="196" t="e">
        <f t="shared" si="265"/>
        <v>#DIV/0!</v>
      </c>
      <c r="X2102" s="197" t="e">
        <f t="shared" si="266"/>
        <v>#DIV/0!</v>
      </c>
    </row>
    <row r="2103" ht="11.4" hidden="1" customHeight="1" spans="1:24">
      <c r="A2103" s="184" t="s">
        <v>3200</v>
      </c>
      <c r="B2103" s="184" t="s">
        <v>139</v>
      </c>
      <c r="C2103" s="184" t="s">
        <v>1880</v>
      </c>
      <c r="D2103" s="185" t="s">
        <v>704</v>
      </c>
      <c r="E2103" s="186" t="s">
        <v>906</v>
      </c>
      <c r="F2103" s="186" t="s">
        <v>907</v>
      </c>
      <c r="G2103" s="186" t="s">
        <v>1881</v>
      </c>
      <c r="H2103" s="186" t="s">
        <v>1980</v>
      </c>
      <c r="I2103" s="187" t="s">
        <v>2011</v>
      </c>
      <c r="J2103" s="187" t="s">
        <v>2012</v>
      </c>
      <c r="K2103" s="188"/>
      <c r="L2103" s="188"/>
      <c r="M2103" s="189" t="s">
        <v>1018</v>
      </c>
      <c r="N2103" s="190">
        <v>698.6</v>
      </c>
      <c r="O2103" s="190">
        <f t="shared" si="259"/>
        <v>761.47</v>
      </c>
      <c r="P2103" s="191">
        <f t="shared" si="260"/>
        <v>0</v>
      </c>
      <c r="Q2103" s="192">
        <f t="shared" si="261"/>
        <v>0</v>
      </c>
      <c r="R2103" s="193"/>
      <c r="S2103" s="194"/>
      <c r="T2103" s="195">
        <f t="shared" si="262"/>
        <v>0</v>
      </c>
      <c r="U2103" s="195">
        <f t="shared" si="263"/>
        <v>0</v>
      </c>
      <c r="V2103" s="195">
        <f t="shared" si="264"/>
        <v>0</v>
      </c>
      <c r="W2103" s="196" t="e">
        <f t="shared" si="265"/>
        <v>#DIV/0!</v>
      </c>
      <c r="X2103" s="197" t="e">
        <f t="shared" si="266"/>
        <v>#DIV/0!</v>
      </c>
    </row>
    <row r="2104" ht="11.4" hidden="1" customHeight="1" spans="1:24">
      <c r="A2104" s="184" t="s">
        <v>3200</v>
      </c>
      <c r="B2104" s="184" t="s">
        <v>139</v>
      </c>
      <c r="C2104" s="184" t="s">
        <v>1880</v>
      </c>
      <c r="D2104" s="185" t="s">
        <v>704</v>
      </c>
      <c r="E2104" s="186" t="s">
        <v>906</v>
      </c>
      <c r="F2104" s="186" t="s">
        <v>907</v>
      </c>
      <c r="G2104" s="186" t="s">
        <v>1881</v>
      </c>
      <c r="H2104" s="186" t="s">
        <v>1980</v>
      </c>
      <c r="I2104" s="187" t="s">
        <v>2013</v>
      </c>
      <c r="J2104" s="187" t="s">
        <v>2014</v>
      </c>
      <c r="K2104" s="188"/>
      <c r="L2104" s="188"/>
      <c r="M2104" s="189" t="s">
        <v>1018</v>
      </c>
      <c r="N2104" s="190">
        <v>996.7</v>
      </c>
      <c r="O2104" s="190">
        <f t="shared" si="259"/>
        <v>1086.4</v>
      </c>
      <c r="P2104" s="191">
        <f t="shared" si="260"/>
        <v>0</v>
      </c>
      <c r="Q2104" s="192">
        <f t="shared" si="261"/>
        <v>0</v>
      </c>
      <c r="R2104" s="193"/>
      <c r="S2104" s="194"/>
      <c r="T2104" s="195">
        <f t="shared" si="262"/>
        <v>0</v>
      </c>
      <c r="U2104" s="195">
        <f t="shared" si="263"/>
        <v>0</v>
      </c>
      <c r="V2104" s="195">
        <f t="shared" si="264"/>
        <v>0</v>
      </c>
      <c r="W2104" s="196" t="e">
        <f t="shared" si="265"/>
        <v>#DIV/0!</v>
      </c>
      <c r="X2104" s="197" t="e">
        <f t="shared" si="266"/>
        <v>#DIV/0!</v>
      </c>
    </row>
    <row r="2105" ht="11.4" hidden="1" customHeight="1" spans="1:24">
      <c r="A2105" s="184" t="s">
        <v>3200</v>
      </c>
      <c r="B2105" s="184" t="s">
        <v>139</v>
      </c>
      <c r="C2105" s="184" t="s">
        <v>1880</v>
      </c>
      <c r="D2105" s="185" t="s">
        <v>704</v>
      </c>
      <c r="E2105" s="186" t="s">
        <v>906</v>
      </c>
      <c r="F2105" s="186" t="s">
        <v>907</v>
      </c>
      <c r="G2105" s="186" t="s">
        <v>1881</v>
      </c>
      <c r="H2105" s="186" t="s">
        <v>1980</v>
      </c>
      <c r="I2105" s="187" t="s">
        <v>2015</v>
      </c>
      <c r="J2105" s="187" t="s">
        <v>2016</v>
      </c>
      <c r="K2105" s="188"/>
      <c r="L2105" s="188"/>
      <c r="M2105" s="189" t="s">
        <v>1018</v>
      </c>
      <c r="N2105" s="190">
        <v>563.75</v>
      </c>
      <c r="O2105" s="190">
        <f t="shared" si="259"/>
        <v>614.49</v>
      </c>
      <c r="P2105" s="191">
        <f t="shared" si="260"/>
        <v>0</v>
      </c>
      <c r="Q2105" s="192">
        <f t="shared" si="261"/>
        <v>0</v>
      </c>
      <c r="R2105" s="193"/>
      <c r="S2105" s="194"/>
      <c r="T2105" s="195">
        <f t="shared" si="262"/>
        <v>0</v>
      </c>
      <c r="U2105" s="195">
        <f t="shared" si="263"/>
        <v>0</v>
      </c>
      <c r="V2105" s="195">
        <f t="shared" si="264"/>
        <v>0</v>
      </c>
      <c r="W2105" s="196" t="e">
        <f t="shared" si="265"/>
        <v>#DIV/0!</v>
      </c>
      <c r="X2105" s="197" t="e">
        <f t="shared" si="266"/>
        <v>#DIV/0!</v>
      </c>
    </row>
    <row r="2106" ht="11.4" hidden="1" customHeight="1" spans="1:24">
      <c r="A2106" s="184" t="s">
        <v>3200</v>
      </c>
      <c r="B2106" s="184" t="s">
        <v>139</v>
      </c>
      <c r="C2106" s="184" t="s">
        <v>1880</v>
      </c>
      <c r="D2106" s="185" t="s">
        <v>704</v>
      </c>
      <c r="E2106" s="186" t="s">
        <v>906</v>
      </c>
      <c r="F2106" s="186" t="s">
        <v>907</v>
      </c>
      <c r="G2106" s="186" t="s">
        <v>1881</v>
      </c>
      <c r="H2106" s="186" t="s">
        <v>1980</v>
      </c>
      <c r="I2106" s="187" t="s">
        <v>2018</v>
      </c>
      <c r="J2106" s="187" t="s">
        <v>2019</v>
      </c>
      <c r="K2106" s="188"/>
      <c r="L2106" s="188"/>
      <c r="M2106" s="189" t="s">
        <v>1018</v>
      </c>
      <c r="N2106" s="190">
        <v>551.65</v>
      </c>
      <c r="O2106" s="190">
        <f t="shared" si="259"/>
        <v>601.3</v>
      </c>
      <c r="P2106" s="191">
        <f t="shared" si="260"/>
        <v>0</v>
      </c>
      <c r="Q2106" s="192">
        <f t="shared" si="261"/>
        <v>0</v>
      </c>
      <c r="R2106" s="193"/>
      <c r="S2106" s="194"/>
      <c r="T2106" s="195">
        <f t="shared" si="262"/>
        <v>0</v>
      </c>
      <c r="U2106" s="195">
        <f t="shared" si="263"/>
        <v>0</v>
      </c>
      <c r="V2106" s="195">
        <f t="shared" si="264"/>
        <v>0</v>
      </c>
      <c r="W2106" s="196" t="e">
        <f t="shared" si="265"/>
        <v>#DIV/0!</v>
      </c>
      <c r="X2106" s="197" t="e">
        <f t="shared" si="266"/>
        <v>#DIV/0!</v>
      </c>
    </row>
    <row r="2107" ht="11.4" hidden="1" customHeight="1" spans="1:24">
      <c r="A2107" s="184" t="s">
        <v>3200</v>
      </c>
      <c r="B2107" s="184" t="s">
        <v>139</v>
      </c>
      <c r="C2107" s="184" t="s">
        <v>1880</v>
      </c>
      <c r="D2107" s="185" t="s">
        <v>704</v>
      </c>
      <c r="E2107" s="186" t="s">
        <v>906</v>
      </c>
      <c r="F2107" s="186" t="s">
        <v>907</v>
      </c>
      <c r="G2107" s="186" t="s">
        <v>1881</v>
      </c>
      <c r="H2107" s="186" t="s">
        <v>1980</v>
      </c>
      <c r="I2107" s="187" t="s">
        <v>2020</v>
      </c>
      <c r="J2107" s="187" t="s">
        <v>2021</v>
      </c>
      <c r="K2107" s="188"/>
      <c r="L2107" s="188"/>
      <c r="M2107" s="189" t="s">
        <v>1018</v>
      </c>
      <c r="N2107" s="190">
        <v>252.22</v>
      </c>
      <c r="O2107" s="190">
        <f t="shared" si="259"/>
        <v>274.92</v>
      </c>
      <c r="P2107" s="191">
        <f t="shared" si="260"/>
        <v>0</v>
      </c>
      <c r="Q2107" s="192">
        <f t="shared" si="261"/>
        <v>0</v>
      </c>
      <c r="R2107" s="193"/>
      <c r="S2107" s="194"/>
      <c r="T2107" s="195">
        <f t="shared" si="262"/>
        <v>0</v>
      </c>
      <c r="U2107" s="195">
        <f t="shared" si="263"/>
        <v>0</v>
      </c>
      <c r="V2107" s="195">
        <f t="shared" si="264"/>
        <v>0</v>
      </c>
      <c r="W2107" s="196" t="e">
        <f t="shared" si="265"/>
        <v>#DIV/0!</v>
      </c>
      <c r="X2107" s="197" t="e">
        <f t="shared" si="266"/>
        <v>#DIV/0!</v>
      </c>
    </row>
    <row r="2108" ht="11.4" hidden="1" customHeight="1" spans="1:24">
      <c r="A2108" s="184" t="s">
        <v>3200</v>
      </c>
      <c r="B2108" s="184" t="s">
        <v>139</v>
      </c>
      <c r="C2108" s="184" t="s">
        <v>1880</v>
      </c>
      <c r="D2108" s="185" t="s">
        <v>704</v>
      </c>
      <c r="E2108" s="186" t="s">
        <v>906</v>
      </c>
      <c r="F2108" s="186" t="s">
        <v>907</v>
      </c>
      <c r="G2108" s="186" t="s">
        <v>1881</v>
      </c>
      <c r="H2108" s="186" t="s">
        <v>1980</v>
      </c>
      <c r="I2108" s="187" t="s">
        <v>2022</v>
      </c>
      <c r="J2108" s="187" t="s">
        <v>2023</v>
      </c>
      <c r="K2108" s="188"/>
      <c r="L2108" s="188"/>
      <c r="M2108" s="189" t="s">
        <v>807</v>
      </c>
      <c r="N2108" s="190">
        <v>51.8</v>
      </c>
      <c r="O2108" s="190">
        <f t="shared" si="259"/>
        <v>56.46</v>
      </c>
      <c r="P2108" s="191">
        <f t="shared" si="260"/>
        <v>0</v>
      </c>
      <c r="Q2108" s="192">
        <f t="shared" si="261"/>
        <v>0</v>
      </c>
      <c r="R2108" s="193"/>
      <c r="S2108" s="194"/>
      <c r="T2108" s="195">
        <f t="shared" si="262"/>
        <v>0</v>
      </c>
      <c r="U2108" s="195">
        <f t="shared" si="263"/>
        <v>0</v>
      </c>
      <c r="V2108" s="195">
        <f t="shared" si="264"/>
        <v>0</v>
      </c>
      <c r="W2108" s="196" t="e">
        <f t="shared" si="265"/>
        <v>#DIV/0!</v>
      </c>
      <c r="X2108" s="197" t="e">
        <f t="shared" si="266"/>
        <v>#DIV/0!</v>
      </c>
    </row>
    <row r="2109" ht="11.4" hidden="1" customHeight="1" spans="1:24">
      <c r="A2109" s="184" t="s">
        <v>3200</v>
      </c>
      <c r="B2109" s="184" t="s">
        <v>139</v>
      </c>
      <c r="C2109" s="184" t="s">
        <v>1880</v>
      </c>
      <c r="D2109" s="185" t="s">
        <v>704</v>
      </c>
      <c r="E2109" s="186" t="s">
        <v>906</v>
      </c>
      <c r="F2109" s="186" t="s">
        <v>907</v>
      </c>
      <c r="G2109" s="186" t="s">
        <v>1881</v>
      </c>
      <c r="H2109" s="186" t="s">
        <v>1980</v>
      </c>
      <c r="I2109" s="187" t="s">
        <v>2024</v>
      </c>
      <c r="J2109" s="187" t="s">
        <v>2025</v>
      </c>
      <c r="K2109" s="188"/>
      <c r="L2109" s="188"/>
      <c r="M2109" s="189" t="s">
        <v>807</v>
      </c>
      <c r="N2109" s="190">
        <v>73.06</v>
      </c>
      <c r="O2109" s="190">
        <f t="shared" si="259"/>
        <v>79.64</v>
      </c>
      <c r="P2109" s="191">
        <f t="shared" si="260"/>
        <v>0</v>
      </c>
      <c r="Q2109" s="192">
        <f t="shared" si="261"/>
        <v>0</v>
      </c>
      <c r="R2109" s="193"/>
      <c r="S2109" s="194"/>
      <c r="T2109" s="195">
        <f t="shared" si="262"/>
        <v>0</v>
      </c>
      <c r="U2109" s="195">
        <f t="shared" si="263"/>
        <v>0</v>
      </c>
      <c r="V2109" s="195">
        <f t="shared" si="264"/>
        <v>0</v>
      </c>
      <c r="W2109" s="196" t="e">
        <f t="shared" si="265"/>
        <v>#DIV/0!</v>
      </c>
      <c r="X2109" s="197" t="e">
        <f t="shared" si="266"/>
        <v>#DIV/0!</v>
      </c>
    </row>
    <row r="2110" ht="11.4" hidden="1" customHeight="1" spans="1:24">
      <c r="A2110" s="184" t="s">
        <v>3200</v>
      </c>
      <c r="B2110" s="184" t="s">
        <v>139</v>
      </c>
      <c r="C2110" s="184" t="s">
        <v>1880</v>
      </c>
      <c r="D2110" s="185" t="s">
        <v>704</v>
      </c>
      <c r="E2110" s="186" t="s">
        <v>906</v>
      </c>
      <c r="F2110" s="186" t="s">
        <v>907</v>
      </c>
      <c r="G2110" s="186" t="s">
        <v>1881</v>
      </c>
      <c r="H2110" s="186" t="s">
        <v>1980</v>
      </c>
      <c r="I2110" s="187" t="s">
        <v>2026</v>
      </c>
      <c r="J2110" s="187" t="s">
        <v>2027</v>
      </c>
      <c r="K2110" s="188"/>
      <c r="L2110" s="188"/>
      <c r="M2110" s="189" t="s">
        <v>807</v>
      </c>
      <c r="N2110" s="190">
        <v>55.68</v>
      </c>
      <c r="O2110" s="190">
        <f t="shared" si="259"/>
        <v>60.69</v>
      </c>
      <c r="P2110" s="191">
        <f t="shared" si="260"/>
        <v>0</v>
      </c>
      <c r="Q2110" s="192">
        <f t="shared" si="261"/>
        <v>0</v>
      </c>
      <c r="R2110" s="193"/>
      <c r="S2110" s="194"/>
      <c r="T2110" s="195">
        <f t="shared" si="262"/>
        <v>0</v>
      </c>
      <c r="U2110" s="195">
        <f t="shared" si="263"/>
        <v>0</v>
      </c>
      <c r="V2110" s="195">
        <f t="shared" si="264"/>
        <v>0</v>
      </c>
      <c r="W2110" s="196" t="e">
        <f t="shared" si="265"/>
        <v>#DIV/0!</v>
      </c>
      <c r="X2110" s="197" t="e">
        <f t="shared" si="266"/>
        <v>#DIV/0!</v>
      </c>
    </row>
    <row r="2111" ht="11.4" hidden="1" customHeight="1" spans="1:24">
      <c r="A2111" s="184" t="s">
        <v>3200</v>
      </c>
      <c r="B2111" s="184" t="s">
        <v>139</v>
      </c>
      <c r="C2111" s="184" t="s">
        <v>1880</v>
      </c>
      <c r="D2111" s="185" t="s">
        <v>704</v>
      </c>
      <c r="E2111" s="186" t="s">
        <v>906</v>
      </c>
      <c r="F2111" s="186" t="s">
        <v>907</v>
      </c>
      <c r="G2111" s="186" t="s">
        <v>1881</v>
      </c>
      <c r="H2111" s="186" t="s">
        <v>1980</v>
      </c>
      <c r="I2111" s="187" t="s">
        <v>2028</v>
      </c>
      <c r="J2111" s="187" t="s">
        <v>2029</v>
      </c>
      <c r="K2111" s="188"/>
      <c r="L2111" s="188"/>
      <c r="M2111" s="189" t="s">
        <v>807</v>
      </c>
      <c r="N2111" s="190">
        <v>37.65</v>
      </c>
      <c r="O2111" s="190">
        <f t="shared" si="259"/>
        <v>41.04</v>
      </c>
      <c r="P2111" s="191">
        <f t="shared" si="260"/>
        <v>0</v>
      </c>
      <c r="Q2111" s="192">
        <f t="shared" si="261"/>
        <v>0</v>
      </c>
      <c r="R2111" s="193"/>
      <c r="S2111" s="194"/>
      <c r="T2111" s="195">
        <f t="shared" si="262"/>
        <v>0</v>
      </c>
      <c r="U2111" s="195">
        <f t="shared" si="263"/>
        <v>0</v>
      </c>
      <c r="V2111" s="195">
        <f t="shared" si="264"/>
        <v>0</v>
      </c>
      <c r="W2111" s="196" t="e">
        <f t="shared" si="265"/>
        <v>#DIV/0!</v>
      </c>
      <c r="X2111" s="197" t="e">
        <f t="shared" si="266"/>
        <v>#DIV/0!</v>
      </c>
    </row>
    <row r="2112" ht="11.4" hidden="1" customHeight="1" spans="1:24">
      <c r="A2112" s="184" t="s">
        <v>3200</v>
      </c>
      <c r="B2112" s="184" t="s">
        <v>139</v>
      </c>
      <c r="C2112" s="184" t="s">
        <v>1880</v>
      </c>
      <c r="D2112" s="185" t="s">
        <v>704</v>
      </c>
      <c r="E2112" s="186" t="s">
        <v>906</v>
      </c>
      <c r="F2112" s="186" t="s">
        <v>907</v>
      </c>
      <c r="G2112" s="186" t="s">
        <v>1881</v>
      </c>
      <c r="H2112" s="186" t="s">
        <v>1980</v>
      </c>
      <c r="I2112" s="187" t="s">
        <v>2030</v>
      </c>
      <c r="J2112" s="187" t="s">
        <v>2031</v>
      </c>
      <c r="K2112" s="188"/>
      <c r="L2112" s="188"/>
      <c r="M2112" s="189" t="s">
        <v>989</v>
      </c>
      <c r="N2112" s="190">
        <v>842.05</v>
      </c>
      <c r="O2112" s="190">
        <f t="shared" si="259"/>
        <v>917.83</v>
      </c>
      <c r="P2112" s="191">
        <f t="shared" si="260"/>
        <v>0</v>
      </c>
      <c r="Q2112" s="192">
        <f t="shared" si="261"/>
        <v>0</v>
      </c>
      <c r="R2112" s="193"/>
      <c r="S2112" s="194"/>
      <c r="T2112" s="195">
        <f t="shared" si="262"/>
        <v>0</v>
      </c>
      <c r="U2112" s="195">
        <f t="shared" si="263"/>
        <v>0</v>
      </c>
      <c r="V2112" s="195">
        <f t="shared" si="264"/>
        <v>0</v>
      </c>
      <c r="W2112" s="196" t="e">
        <f t="shared" si="265"/>
        <v>#DIV/0!</v>
      </c>
      <c r="X2112" s="197" t="e">
        <f t="shared" si="266"/>
        <v>#DIV/0!</v>
      </c>
    </row>
    <row r="2113" ht="11.4" hidden="1" customHeight="1" spans="1:24">
      <c r="A2113" s="184" t="s">
        <v>3200</v>
      </c>
      <c r="B2113" s="184" t="s">
        <v>139</v>
      </c>
      <c r="C2113" s="184" t="s">
        <v>1880</v>
      </c>
      <c r="D2113" s="185" t="s">
        <v>704</v>
      </c>
      <c r="E2113" s="186" t="s">
        <v>906</v>
      </c>
      <c r="F2113" s="186" t="s">
        <v>907</v>
      </c>
      <c r="G2113" s="186" t="s">
        <v>1881</v>
      </c>
      <c r="H2113" s="186" t="s">
        <v>2032</v>
      </c>
      <c r="I2113" s="187" t="s">
        <v>2033</v>
      </c>
      <c r="J2113" s="187" t="s">
        <v>2034</v>
      </c>
      <c r="K2113" s="188"/>
      <c r="L2113" s="188"/>
      <c r="M2113" s="189" t="s">
        <v>1018</v>
      </c>
      <c r="N2113" s="190">
        <v>505.45</v>
      </c>
      <c r="O2113" s="190">
        <f t="shared" si="259"/>
        <v>550.94</v>
      </c>
      <c r="P2113" s="191">
        <f t="shared" si="260"/>
        <v>0</v>
      </c>
      <c r="Q2113" s="192">
        <f t="shared" si="261"/>
        <v>0</v>
      </c>
      <c r="R2113" s="193"/>
      <c r="S2113" s="194"/>
      <c r="T2113" s="195">
        <f t="shared" si="262"/>
        <v>0</v>
      </c>
      <c r="U2113" s="195">
        <f t="shared" si="263"/>
        <v>0</v>
      </c>
      <c r="V2113" s="195">
        <f t="shared" si="264"/>
        <v>0</v>
      </c>
      <c r="W2113" s="196" t="e">
        <f t="shared" si="265"/>
        <v>#DIV/0!</v>
      </c>
      <c r="X2113" s="197" t="e">
        <f t="shared" si="266"/>
        <v>#DIV/0!</v>
      </c>
    </row>
    <row r="2114" ht="11.4" hidden="1" customHeight="1" spans="1:24">
      <c r="A2114" s="184" t="s">
        <v>3200</v>
      </c>
      <c r="B2114" s="184" t="s">
        <v>139</v>
      </c>
      <c r="C2114" s="184" t="s">
        <v>1880</v>
      </c>
      <c r="D2114" s="185" t="s">
        <v>704</v>
      </c>
      <c r="E2114" s="186" t="s">
        <v>906</v>
      </c>
      <c r="F2114" s="186" t="s">
        <v>907</v>
      </c>
      <c r="G2114" s="186" t="s">
        <v>1881</v>
      </c>
      <c r="H2114" s="186" t="s">
        <v>2032</v>
      </c>
      <c r="I2114" s="187" t="s">
        <v>2036</v>
      </c>
      <c r="J2114" s="187" t="s">
        <v>2037</v>
      </c>
      <c r="K2114" s="188"/>
      <c r="L2114" s="188"/>
      <c r="M2114" s="189" t="s">
        <v>807</v>
      </c>
      <c r="N2114" s="190">
        <v>34.75</v>
      </c>
      <c r="O2114" s="190">
        <f t="shared" si="259"/>
        <v>37.88</v>
      </c>
      <c r="P2114" s="191">
        <f t="shared" si="260"/>
        <v>0</v>
      </c>
      <c r="Q2114" s="192">
        <f t="shared" si="261"/>
        <v>0</v>
      </c>
      <c r="R2114" s="193"/>
      <c r="S2114" s="194"/>
      <c r="T2114" s="195">
        <f t="shared" si="262"/>
        <v>0</v>
      </c>
      <c r="U2114" s="195">
        <f t="shared" si="263"/>
        <v>0</v>
      </c>
      <c r="V2114" s="195">
        <f t="shared" si="264"/>
        <v>0</v>
      </c>
      <c r="W2114" s="196" t="e">
        <f t="shared" si="265"/>
        <v>#DIV/0!</v>
      </c>
      <c r="X2114" s="197" t="e">
        <f t="shared" si="266"/>
        <v>#DIV/0!</v>
      </c>
    </row>
    <row r="2115" ht="11.4" hidden="1" customHeight="1" spans="1:24">
      <c r="A2115" s="184" t="s">
        <v>3200</v>
      </c>
      <c r="B2115" s="184" t="s">
        <v>139</v>
      </c>
      <c r="C2115" s="184" t="s">
        <v>1880</v>
      </c>
      <c r="D2115" s="185" t="s">
        <v>704</v>
      </c>
      <c r="E2115" s="186" t="s">
        <v>906</v>
      </c>
      <c r="F2115" s="186" t="s">
        <v>907</v>
      </c>
      <c r="G2115" s="186" t="s">
        <v>1881</v>
      </c>
      <c r="H2115" s="186" t="s">
        <v>2032</v>
      </c>
      <c r="I2115" s="187" t="s">
        <v>2038</v>
      </c>
      <c r="J2115" s="187" t="s">
        <v>2039</v>
      </c>
      <c r="K2115" s="188"/>
      <c r="L2115" s="188"/>
      <c r="M2115" s="189" t="s">
        <v>807</v>
      </c>
      <c r="N2115" s="190">
        <v>34.75</v>
      </c>
      <c r="O2115" s="190">
        <f t="shared" si="259"/>
        <v>37.88</v>
      </c>
      <c r="P2115" s="191">
        <f t="shared" si="260"/>
        <v>0</v>
      </c>
      <c r="Q2115" s="192">
        <f t="shared" si="261"/>
        <v>0</v>
      </c>
      <c r="R2115" s="193"/>
      <c r="S2115" s="194"/>
      <c r="T2115" s="195">
        <f t="shared" si="262"/>
        <v>0</v>
      </c>
      <c r="U2115" s="195">
        <f t="shared" si="263"/>
        <v>0</v>
      </c>
      <c r="V2115" s="195">
        <f t="shared" si="264"/>
        <v>0</v>
      </c>
      <c r="W2115" s="196" t="e">
        <f t="shared" si="265"/>
        <v>#DIV/0!</v>
      </c>
      <c r="X2115" s="197" t="e">
        <f t="shared" si="266"/>
        <v>#DIV/0!</v>
      </c>
    </row>
    <row r="2116" ht="11.4" hidden="1" customHeight="1" spans="1:24">
      <c r="A2116" s="184" t="s">
        <v>3200</v>
      </c>
      <c r="B2116" s="184" t="s">
        <v>139</v>
      </c>
      <c r="C2116" s="184" t="s">
        <v>1880</v>
      </c>
      <c r="D2116" s="185" t="s">
        <v>704</v>
      </c>
      <c r="E2116" s="186" t="s">
        <v>906</v>
      </c>
      <c r="F2116" s="186" t="s">
        <v>907</v>
      </c>
      <c r="G2116" s="186" t="s">
        <v>1881</v>
      </c>
      <c r="H2116" s="186" t="s">
        <v>2032</v>
      </c>
      <c r="I2116" s="187" t="s">
        <v>2040</v>
      </c>
      <c r="J2116" s="187" t="s">
        <v>2041</v>
      </c>
      <c r="K2116" s="188"/>
      <c r="L2116" s="188"/>
      <c r="M2116" s="189" t="s">
        <v>989</v>
      </c>
      <c r="N2116" s="190">
        <v>762.65</v>
      </c>
      <c r="O2116" s="190">
        <f t="shared" si="259"/>
        <v>831.29</v>
      </c>
      <c r="P2116" s="191">
        <f t="shared" si="260"/>
        <v>0</v>
      </c>
      <c r="Q2116" s="192">
        <f t="shared" si="261"/>
        <v>0</v>
      </c>
      <c r="R2116" s="193"/>
      <c r="S2116" s="194"/>
      <c r="T2116" s="195">
        <f t="shared" si="262"/>
        <v>0</v>
      </c>
      <c r="U2116" s="195">
        <f t="shared" si="263"/>
        <v>0</v>
      </c>
      <c r="V2116" s="195">
        <f t="shared" si="264"/>
        <v>0</v>
      </c>
      <c r="W2116" s="196" t="e">
        <f t="shared" si="265"/>
        <v>#DIV/0!</v>
      </c>
      <c r="X2116" s="197" t="e">
        <f t="shared" si="266"/>
        <v>#DIV/0!</v>
      </c>
    </row>
    <row r="2117" ht="11.4" hidden="1" customHeight="1" spans="1:24">
      <c r="A2117" s="184" t="s">
        <v>3200</v>
      </c>
      <c r="B2117" s="184" t="s">
        <v>139</v>
      </c>
      <c r="C2117" s="184" t="s">
        <v>1880</v>
      </c>
      <c r="D2117" s="185" t="s">
        <v>704</v>
      </c>
      <c r="E2117" s="186" t="s">
        <v>906</v>
      </c>
      <c r="F2117" s="186" t="s">
        <v>907</v>
      </c>
      <c r="G2117" s="186" t="s">
        <v>1881</v>
      </c>
      <c r="H2117" s="186" t="s">
        <v>2032</v>
      </c>
      <c r="I2117" s="187" t="s">
        <v>2042</v>
      </c>
      <c r="J2117" s="187" t="s">
        <v>2043</v>
      </c>
      <c r="K2117" s="188"/>
      <c r="L2117" s="188"/>
      <c r="M2117" s="189" t="s">
        <v>1018</v>
      </c>
      <c r="N2117" s="190">
        <v>374.11</v>
      </c>
      <c r="O2117" s="190">
        <f t="shared" si="259"/>
        <v>407.78</v>
      </c>
      <c r="P2117" s="191">
        <f t="shared" si="260"/>
        <v>0</v>
      </c>
      <c r="Q2117" s="192">
        <f t="shared" si="261"/>
        <v>0</v>
      </c>
      <c r="R2117" s="193"/>
      <c r="S2117" s="194"/>
      <c r="T2117" s="195">
        <f t="shared" si="262"/>
        <v>0</v>
      </c>
      <c r="U2117" s="195">
        <f t="shared" si="263"/>
        <v>0</v>
      </c>
      <c r="V2117" s="195">
        <f t="shared" si="264"/>
        <v>0</v>
      </c>
      <c r="W2117" s="196" t="e">
        <f t="shared" si="265"/>
        <v>#DIV/0!</v>
      </c>
      <c r="X2117" s="197" t="e">
        <f t="shared" si="266"/>
        <v>#DIV/0!</v>
      </c>
    </row>
    <row r="2118" ht="11.4" hidden="1" customHeight="1" spans="1:24">
      <c r="A2118" s="184" t="s">
        <v>3200</v>
      </c>
      <c r="B2118" s="184" t="s">
        <v>139</v>
      </c>
      <c r="C2118" s="184" t="s">
        <v>1880</v>
      </c>
      <c r="D2118" s="185" t="s">
        <v>704</v>
      </c>
      <c r="E2118" s="186" t="s">
        <v>906</v>
      </c>
      <c r="F2118" s="186" t="s">
        <v>907</v>
      </c>
      <c r="G2118" s="186" t="s">
        <v>1881</v>
      </c>
      <c r="H2118" s="186" t="s">
        <v>2032</v>
      </c>
      <c r="I2118" s="187" t="s">
        <v>2044</v>
      </c>
      <c r="J2118" s="187" t="s">
        <v>2045</v>
      </c>
      <c r="K2118" s="188"/>
      <c r="L2118" s="188"/>
      <c r="M2118" s="189" t="s">
        <v>807</v>
      </c>
      <c r="N2118" s="190">
        <v>37.94</v>
      </c>
      <c r="O2118" s="190">
        <f t="shared" si="259"/>
        <v>41.35</v>
      </c>
      <c r="P2118" s="191">
        <f t="shared" si="260"/>
        <v>0</v>
      </c>
      <c r="Q2118" s="192">
        <f t="shared" si="261"/>
        <v>0</v>
      </c>
      <c r="R2118" s="193"/>
      <c r="S2118" s="194"/>
      <c r="T2118" s="195">
        <f t="shared" si="262"/>
        <v>0</v>
      </c>
      <c r="U2118" s="195">
        <f t="shared" si="263"/>
        <v>0</v>
      </c>
      <c r="V2118" s="195">
        <f t="shared" si="264"/>
        <v>0</v>
      </c>
      <c r="W2118" s="196" t="e">
        <f t="shared" si="265"/>
        <v>#DIV/0!</v>
      </c>
      <c r="X2118" s="197" t="e">
        <f t="shared" si="266"/>
        <v>#DIV/0!</v>
      </c>
    </row>
    <row r="2119" ht="11.4" hidden="1" customHeight="1" spans="1:24">
      <c r="A2119" s="184" t="s">
        <v>3200</v>
      </c>
      <c r="B2119" s="184" t="s">
        <v>139</v>
      </c>
      <c r="C2119" s="184" t="s">
        <v>1880</v>
      </c>
      <c r="D2119" s="185" t="s">
        <v>704</v>
      </c>
      <c r="E2119" s="186" t="s">
        <v>906</v>
      </c>
      <c r="F2119" s="186" t="s">
        <v>907</v>
      </c>
      <c r="G2119" s="186" t="s">
        <v>1881</v>
      </c>
      <c r="H2119" s="186" t="s">
        <v>2046</v>
      </c>
      <c r="I2119" s="187" t="s">
        <v>2047</v>
      </c>
      <c r="J2119" s="187" t="s">
        <v>2048</v>
      </c>
      <c r="K2119" s="188"/>
      <c r="L2119" s="188"/>
      <c r="M2119" s="189" t="s">
        <v>1018</v>
      </c>
      <c r="N2119" s="190">
        <v>563.75</v>
      </c>
      <c r="O2119" s="190">
        <f t="shared" si="259"/>
        <v>614.49</v>
      </c>
      <c r="P2119" s="191">
        <f t="shared" si="260"/>
        <v>0</v>
      </c>
      <c r="Q2119" s="192">
        <f t="shared" si="261"/>
        <v>0</v>
      </c>
      <c r="R2119" s="193"/>
      <c r="S2119" s="194"/>
      <c r="T2119" s="195">
        <f t="shared" si="262"/>
        <v>0</v>
      </c>
      <c r="U2119" s="195">
        <f t="shared" si="263"/>
        <v>0</v>
      </c>
      <c r="V2119" s="195">
        <f t="shared" si="264"/>
        <v>0</v>
      </c>
      <c r="W2119" s="196" t="e">
        <f t="shared" si="265"/>
        <v>#DIV/0!</v>
      </c>
      <c r="X2119" s="197" t="e">
        <f t="shared" si="266"/>
        <v>#DIV/0!</v>
      </c>
    </row>
    <row r="2120" ht="11.4" hidden="1" customHeight="1" spans="1:24">
      <c r="A2120" s="184" t="s">
        <v>3200</v>
      </c>
      <c r="B2120" s="184" t="s">
        <v>139</v>
      </c>
      <c r="C2120" s="184" t="s">
        <v>1880</v>
      </c>
      <c r="D2120" s="185" t="s">
        <v>704</v>
      </c>
      <c r="E2120" s="186" t="s">
        <v>906</v>
      </c>
      <c r="F2120" s="186" t="s">
        <v>907</v>
      </c>
      <c r="G2120" s="186" t="s">
        <v>1881</v>
      </c>
      <c r="H2120" s="186" t="s">
        <v>2046</v>
      </c>
      <c r="I2120" s="187" t="s">
        <v>2049</v>
      </c>
      <c r="J2120" s="187" t="s">
        <v>2050</v>
      </c>
      <c r="K2120" s="188"/>
      <c r="L2120" s="188"/>
      <c r="M2120" s="189" t="s">
        <v>1018</v>
      </c>
      <c r="N2120" s="190">
        <v>468.33</v>
      </c>
      <c r="O2120" s="190">
        <f t="shared" si="259"/>
        <v>510.48</v>
      </c>
      <c r="P2120" s="191">
        <f t="shared" si="260"/>
        <v>0</v>
      </c>
      <c r="Q2120" s="192">
        <f t="shared" si="261"/>
        <v>0</v>
      </c>
      <c r="R2120" s="193"/>
      <c r="S2120" s="194"/>
      <c r="T2120" s="195">
        <f t="shared" si="262"/>
        <v>0</v>
      </c>
      <c r="U2120" s="195">
        <f t="shared" si="263"/>
        <v>0</v>
      </c>
      <c r="V2120" s="195">
        <f t="shared" si="264"/>
        <v>0</v>
      </c>
      <c r="W2120" s="196" t="e">
        <f t="shared" si="265"/>
        <v>#DIV/0!</v>
      </c>
      <c r="X2120" s="197" t="e">
        <f t="shared" si="266"/>
        <v>#DIV/0!</v>
      </c>
    </row>
    <row r="2121" ht="11.4" hidden="1" customHeight="1" spans="1:24">
      <c r="A2121" s="184" t="s">
        <v>3200</v>
      </c>
      <c r="B2121" s="184" t="s">
        <v>139</v>
      </c>
      <c r="C2121" s="184" t="s">
        <v>1880</v>
      </c>
      <c r="D2121" s="185" t="s">
        <v>704</v>
      </c>
      <c r="E2121" s="186" t="s">
        <v>906</v>
      </c>
      <c r="F2121" s="186" t="s">
        <v>907</v>
      </c>
      <c r="G2121" s="186" t="s">
        <v>1881</v>
      </c>
      <c r="H2121" s="186" t="s">
        <v>2046</v>
      </c>
      <c r="I2121" s="187" t="s">
        <v>2051</v>
      </c>
      <c r="J2121" s="187" t="s">
        <v>2052</v>
      </c>
      <c r="K2121" s="188"/>
      <c r="L2121" s="188"/>
      <c r="M2121" s="189" t="s">
        <v>1778</v>
      </c>
      <c r="N2121" s="190">
        <v>748</v>
      </c>
      <c r="O2121" s="190">
        <f t="shared" si="259"/>
        <v>815.32</v>
      </c>
      <c r="P2121" s="191">
        <f t="shared" si="260"/>
        <v>0</v>
      </c>
      <c r="Q2121" s="192">
        <f t="shared" si="261"/>
        <v>0</v>
      </c>
      <c r="R2121" s="193"/>
      <c r="S2121" s="194"/>
      <c r="T2121" s="195">
        <f t="shared" si="262"/>
        <v>0</v>
      </c>
      <c r="U2121" s="195">
        <f t="shared" si="263"/>
        <v>0</v>
      </c>
      <c r="V2121" s="195">
        <f t="shared" si="264"/>
        <v>0</v>
      </c>
      <c r="W2121" s="196" t="e">
        <f t="shared" si="265"/>
        <v>#DIV/0!</v>
      </c>
      <c r="X2121" s="197" t="e">
        <f t="shared" si="266"/>
        <v>#DIV/0!</v>
      </c>
    </row>
    <row r="2122" ht="11.4" hidden="1" customHeight="1" spans="1:24">
      <c r="A2122" s="184" t="s">
        <v>3200</v>
      </c>
      <c r="B2122" s="184" t="s">
        <v>139</v>
      </c>
      <c r="C2122" s="184" t="s">
        <v>1880</v>
      </c>
      <c r="D2122" s="185" t="s">
        <v>704</v>
      </c>
      <c r="E2122" s="186" t="s">
        <v>906</v>
      </c>
      <c r="F2122" s="186" t="s">
        <v>907</v>
      </c>
      <c r="G2122" s="186" t="s">
        <v>1881</v>
      </c>
      <c r="H2122" s="186" t="s">
        <v>2046</v>
      </c>
      <c r="I2122" s="187" t="s">
        <v>2053</v>
      </c>
      <c r="J2122" s="187" t="s">
        <v>2054</v>
      </c>
      <c r="K2122" s="188"/>
      <c r="L2122" s="188"/>
      <c r="M2122" s="189" t="s">
        <v>793</v>
      </c>
      <c r="N2122" s="190">
        <v>1950</v>
      </c>
      <c r="O2122" s="190">
        <f t="shared" si="259"/>
        <v>2125.5</v>
      </c>
      <c r="P2122" s="191">
        <f t="shared" si="260"/>
        <v>0</v>
      </c>
      <c r="Q2122" s="192">
        <f t="shared" si="261"/>
        <v>0</v>
      </c>
      <c r="R2122" s="193"/>
      <c r="S2122" s="194"/>
      <c r="T2122" s="195">
        <f t="shared" si="262"/>
        <v>0</v>
      </c>
      <c r="U2122" s="195">
        <f t="shared" si="263"/>
        <v>0</v>
      </c>
      <c r="V2122" s="195">
        <f t="shared" si="264"/>
        <v>0</v>
      </c>
      <c r="W2122" s="196" t="e">
        <f t="shared" si="265"/>
        <v>#DIV/0!</v>
      </c>
      <c r="X2122" s="197" t="e">
        <f t="shared" si="266"/>
        <v>#DIV/0!</v>
      </c>
    </row>
    <row r="2123" ht="11.4" hidden="1" customHeight="1" spans="1:24">
      <c r="A2123" s="184" t="s">
        <v>3200</v>
      </c>
      <c r="B2123" s="184" t="s">
        <v>139</v>
      </c>
      <c r="C2123" s="184" t="s">
        <v>1880</v>
      </c>
      <c r="D2123" s="185" t="s">
        <v>704</v>
      </c>
      <c r="E2123" s="186" t="s">
        <v>906</v>
      </c>
      <c r="F2123" s="186" t="s">
        <v>907</v>
      </c>
      <c r="G2123" s="186" t="s">
        <v>1881</v>
      </c>
      <c r="H2123" s="186" t="s">
        <v>2046</v>
      </c>
      <c r="I2123" s="187" t="s">
        <v>2055</v>
      </c>
      <c r="J2123" s="187" t="s">
        <v>2056</v>
      </c>
      <c r="K2123" s="188"/>
      <c r="L2123" s="188"/>
      <c r="M2123" s="189" t="s">
        <v>989</v>
      </c>
      <c r="N2123" s="190">
        <v>3005.9</v>
      </c>
      <c r="O2123" s="190">
        <f t="shared" si="259"/>
        <v>3276.43</v>
      </c>
      <c r="P2123" s="191">
        <f t="shared" si="260"/>
        <v>0</v>
      </c>
      <c r="Q2123" s="192">
        <f t="shared" si="261"/>
        <v>0</v>
      </c>
      <c r="R2123" s="193"/>
      <c r="S2123" s="194"/>
      <c r="T2123" s="195">
        <f t="shared" si="262"/>
        <v>0</v>
      </c>
      <c r="U2123" s="195">
        <f t="shared" si="263"/>
        <v>0</v>
      </c>
      <c r="V2123" s="195">
        <f t="shared" si="264"/>
        <v>0</v>
      </c>
      <c r="W2123" s="196" t="e">
        <f t="shared" si="265"/>
        <v>#DIV/0!</v>
      </c>
      <c r="X2123" s="197" t="e">
        <f t="shared" si="266"/>
        <v>#DIV/0!</v>
      </c>
    </row>
    <row r="2124" ht="11.4" hidden="1" customHeight="1" spans="1:24">
      <c r="A2124" s="184" t="s">
        <v>3200</v>
      </c>
      <c r="B2124" s="184" t="s">
        <v>139</v>
      </c>
      <c r="C2124" s="184" t="s">
        <v>1880</v>
      </c>
      <c r="D2124" s="185" t="s">
        <v>704</v>
      </c>
      <c r="E2124" s="186" t="s">
        <v>906</v>
      </c>
      <c r="F2124" s="186" t="s">
        <v>907</v>
      </c>
      <c r="G2124" s="186" t="s">
        <v>1881</v>
      </c>
      <c r="H2124" s="186" t="s">
        <v>2046</v>
      </c>
      <c r="I2124" s="187" t="s">
        <v>2057</v>
      </c>
      <c r="J2124" s="187" t="s">
        <v>2058</v>
      </c>
      <c r="K2124" s="188"/>
      <c r="L2124" s="188"/>
      <c r="M2124" s="189" t="s">
        <v>989</v>
      </c>
      <c r="N2124" s="190">
        <v>4713.1</v>
      </c>
      <c r="O2124" s="190">
        <f t="shared" si="259"/>
        <v>5137.28</v>
      </c>
      <c r="P2124" s="191">
        <f t="shared" si="260"/>
        <v>0</v>
      </c>
      <c r="Q2124" s="192">
        <f t="shared" si="261"/>
        <v>0</v>
      </c>
      <c r="R2124" s="193"/>
      <c r="S2124" s="194"/>
      <c r="T2124" s="195">
        <f t="shared" si="262"/>
        <v>0</v>
      </c>
      <c r="U2124" s="195">
        <f t="shared" si="263"/>
        <v>0</v>
      </c>
      <c r="V2124" s="195">
        <f t="shared" si="264"/>
        <v>0</v>
      </c>
      <c r="W2124" s="196" t="e">
        <f t="shared" si="265"/>
        <v>#DIV/0!</v>
      </c>
      <c r="X2124" s="197" t="e">
        <f t="shared" si="266"/>
        <v>#DIV/0!</v>
      </c>
    </row>
    <row r="2125" ht="11.4" hidden="1" customHeight="1" spans="1:24">
      <c r="A2125" s="184" t="s">
        <v>3200</v>
      </c>
      <c r="B2125" s="184" t="s">
        <v>139</v>
      </c>
      <c r="C2125" s="184" t="s">
        <v>1880</v>
      </c>
      <c r="D2125" s="185" t="s">
        <v>704</v>
      </c>
      <c r="E2125" s="186" t="s">
        <v>906</v>
      </c>
      <c r="F2125" s="186" t="s">
        <v>907</v>
      </c>
      <c r="G2125" s="186" t="s">
        <v>1881</v>
      </c>
      <c r="H2125" s="186" t="s">
        <v>2059</v>
      </c>
      <c r="I2125" s="187" t="s">
        <v>2060</v>
      </c>
      <c r="J2125" s="187" t="s">
        <v>2061</v>
      </c>
      <c r="K2125" s="188"/>
      <c r="L2125" s="188"/>
      <c r="M2125" s="189" t="s">
        <v>1018</v>
      </c>
      <c r="N2125" s="190">
        <v>269.86</v>
      </c>
      <c r="O2125" s="190">
        <f t="shared" ref="O2125:O2188" si="267">ROUND(N2125*(1+$F$10),2)</f>
        <v>294.15</v>
      </c>
      <c r="P2125" s="191">
        <f t="shared" ref="P2125:P2188" si="268">ROUND(K2125*N2125,2)</f>
        <v>0</v>
      </c>
      <c r="Q2125" s="192">
        <f t="shared" ref="Q2125:Q2188" si="269">ROUND(L2125*N2125,2)</f>
        <v>0</v>
      </c>
      <c r="R2125" s="193"/>
      <c r="S2125" s="194"/>
      <c r="T2125" s="195">
        <f t="shared" ref="T2125:T2188" si="270">K2125-L2125</f>
        <v>0</v>
      </c>
      <c r="U2125" s="195">
        <f t="shared" ref="U2125:U2188" si="271">P2125-Q2125</f>
        <v>0</v>
      </c>
      <c r="V2125" s="195">
        <f t="shared" ref="V2125:V2188" si="272">ABS(U2125)</f>
        <v>0</v>
      </c>
      <c r="W2125" s="196" t="e">
        <f t="shared" ref="W2125:W2188" si="273">T2125/L2125</f>
        <v>#DIV/0!</v>
      </c>
      <c r="X2125" s="197" t="e">
        <f t="shared" ref="X2125:X2188" si="274">ABS(W2125)</f>
        <v>#DIV/0!</v>
      </c>
    </row>
    <row r="2126" ht="11.4" hidden="1" customHeight="1" spans="1:24">
      <c r="A2126" s="184" t="s">
        <v>3200</v>
      </c>
      <c r="B2126" s="184" t="s">
        <v>139</v>
      </c>
      <c r="C2126" s="184" t="s">
        <v>1880</v>
      </c>
      <c r="D2126" s="185" t="s">
        <v>704</v>
      </c>
      <c r="E2126" s="186" t="s">
        <v>906</v>
      </c>
      <c r="F2126" s="186" t="s">
        <v>907</v>
      </c>
      <c r="G2126" s="186" t="s">
        <v>1881</v>
      </c>
      <c r="H2126" s="186" t="s">
        <v>2059</v>
      </c>
      <c r="I2126" s="187" t="s">
        <v>2062</v>
      </c>
      <c r="J2126" s="187" t="s">
        <v>2063</v>
      </c>
      <c r="K2126" s="188"/>
      <c r="L2126" s="188"/>
      <c r="M2126" s="189" t="s">
        <v>1018</v>
      </c>
      <c r="N2126" s="190">
        <v>236.86</v>
      </c>
      <c r="O2126" s="190">
        <f t="shared" si="267"/>
        <v>258.18</v>
      </c>
      <c r="P2126" s="191">
        <f t="shared" si="268"/>
        <v>0</v>
      </c>
      <c r="Q2126" s="192">
        <f t="shared" si="269"/>
        <v>0</v>
      </c>
      <c r="R2126" s="193"/>
      <c r="S2126" s="194"/>
      <c r="T2126" s="195">
        <f t="shared" si="270"/>
        <v>0</v>
      </c>
      <c r="U2126" s="195">
        <f t="shared" si="271"/>
        <v>0</v>
      </c>
      <c r="V2126" s="195">
        <f t="shared" si="272"/>
        <v>0</v>
      </c>
      <c r="W2126" s="196" t="e">
        <f t="shared" si="273"/>
        <v>#DIV/0!</v>
      </c>
      <c r="X2126" s="197" t="e">
        <f t="shared" si="274"/>
        <v>#DIV/0!</v>
      </c>
    </row>
    <row r="2127" ht="11.4" hidden="1" customHeight="1" spans="1:24">
      <c r="A2127" s="184" t="s">
        <v>3200</v>
      </c>
      <c r="B2127" s="184" t="s">
        <v>139</v>
      </c>
      <c r="C2127" s="184" t="s">
        <v>1880</v>
      </c>
      <c r="D2127" s="185" t="s">
        <v>704</v>
      </c>
      <c r="E2127" s="186" t="s">
        <v>906</v>
      </c>
      <c r="F2127" s="186" t="s">
        <v>907</v>
      </c>
      <c r="G2127" s="186" t="s">
        <v>1881</v>
      </c>
      <c r="H2127" s="186" t="s">
        <v>2059</v>
      </c>
      <c r="I2127" s="187" t="s">
        <v>2064</v>
      </c>
      <c r="J2127" s="187" t="s">
        <v>2065</v>
      </c>
      <c r="K2127" s="188"/>
      <c r="L2127" s="188"/>
      <c r="M2127" s="189" t="s">
        <v>1018</v>
      </c>
      <c r="N2127" s="190">
        <v>256.66</v>
      </c>
      <c r="O2127" s="190">
        <f t="shared" si="267"/>
        <v>279.76</v>
      </c>
      <c r="P2127" s="191">
        <f t="shared" si="268"/>
        <v>0</v>
      </c>
      <c r="Q2127" s="192">
        <f t="shared" si="269"/>
        <v>0</v>
      </c>
      <c r="R2127" s="193"/>
      <c r="S2127" s="194"/>
      <c r="T2127" s="195">
        <f t="shared" si="270"/>
        <v>0</v>
      </c>
      <c r="U2127" s="195">
        <f t="shared" si="271"/>
        <v>0</v>
      </c>
      <c r="V2127" s="195">
        <f t="shared" si="272"/>
        <v>0</v>
      </c>
      <c r="W2127" s="196" t="e">
        <f t="shared" si="273"/>
        <v>#DIV/0!</v>
      </c>
      <c r="X2127" s="197" t="e">
        <f t="shared" si="274"/>
        <v>#DIV/0!</v>
      </c>
    </row>
    <row r="2128" ht="11.4" hidden="1" customHeight="1" spans="1:24">
      <c r="A2128" s="184" t="s">
        <v>3200</v>
      </c>
      <c r="B2128" s="184" t="s">
        <v>139</v>
      </c>
      <c r="C2128" s="184" t="s">
        <v>1880</v>
      </c>
      <c r="D2128" s="185" t="s">
        <v>704</v>
      </c>
      <c r="E2128" s="186" t="s">
        <v>906</v>
      </c>
      <c r="F2128" s="186" t="s">
        <v>907</v>
      </c>
      <c r="G2128" s="186" t="s">
        <v>1881</v>
      </c>
      <c r="H2128" s="186" t="s">
        <v>2066</v>
      </c>
      <c r="I2128" s="187" t="s">
        <v>2067</v>
      </c>
      <c r="J2128" s="187" t="s">
        <v>2068</v>
      </c>
      <c r="K2128" s="188"/>
      <c r="L2128" s="188"/>
      <c r="M2128" s="189" t="s">
        <v>807</v>
      </c>
      <c r="N2128" s="190">
        <v>16.99</v>
      </c>
      <c r="O2128" s="190">
        <f t="shared" si="267"/>
        <v>18.52</v>
      </c>
      <c r="P2128" s="191">
        <f t="shared" si="268"/>
        <v>0</v>
      </c>
      <c r="Q2128" s="192">
        <f t="shared" si="269"/>
        <v>0</v>
      </c>
      <c r="R2128" s="193"/>
      <c r="S2128" s="194"/>
      <c r="T2128" s="195">
        <f t="shared" si="270"/>
        <v>0</v>
      </c>
      <c r="U2128" s="195">
        <f t="shared" si="271"/>
        <v>0</v>
      </c>
      <c r="V2128" s="195">
        <f t="shared" si="272"/>
        <v>0</v>
      </c>
      <c r="W2128" s="196" t="e">
        <f t="shared" si="273"/>
        <v>#DIV/0!</v>
      </c>
      <c r="X2128" s="197" t="e">
        <f t="shared" si="274"/>
        <v>#DIV/0!</v>
      </c>
    </row>
    <row r="2129" ht="11.4" hidden="1" customHeight="1" spans="1:24">
      <c r="A2129" s="184" t="s">
        <v>3200</v>
      </c>
      <c r="B2129" s="184" t="s">
        <v>139</v>
      </c>
      <c r="C2129" s="184" t="s">
        <v>1880</v>
      </c>
      <c r="D2129" s="185" t="s">
        <v>704</v>
      </c>
      <c r="E2129" s="186" t="s">
        <v>906</v>
      </c>
      <c r="F2129" s="186" t="s">
        <v>907</v>
      </c>
      <c r="G2129" s="186" t="s">
        <v>1881</v>
      </c>
      <c r="H2129" s="186" t="s">
        <v>2046</v>
      </c>
      <c r="I2129" s="187" t="s">
        <v>2069</v>
      </c>
      <c r="J2129" s="187" t="s">
        <v>2070</v>
      </c>
      <c r="K2129" s="188"/>
      <c r="L2129" s="188"/>
      <c r="M2129" s="189" t="s">
        <v>807</v>
      </c>
      <c r="N2129" s="190">
        <v>12.5</v>
      </c>
      <c r="O2129" s="190">
        <f t="shared" si="267"/>
        <v>13.63</v>
      </c>
      <c r="P2129" s="191">
        <f t="shared" si="268"/>
        <v>0</v>
      </c>
      <c r="Q2129" s="192">
        <f t="shared" si="269"/>
        <v>0</v>
      </c>
      <c r="R2129" s="193"/>
      <c r="S2129" s="194"/>
      <c r="T2129" s="195">
        <f t="shared" si="270"/>
        <v>0</v>
      </c>
      <c r="U2129" s="195">
        <f t="shared" si="271"/>
        <v>0</v>
      </c>
      <c r="V2129" s="195">
        <f t="shared" si="272"/>
        <v>0</v>
      </c>
      <c r="W2129" s="196" t="e">
        <f t="shared" si="273"/>
        <v>#DIV/0!</v>
      </c>
      <c r="X2129" s="197" t="e">
        <f t="shared" si="274"/>
        <v>#DIV/0!</v>
      </c>
    </row>
    <row r="2130" ht="11.4" hidden="1" customHeight="1" spans="1:24">
      <c r="A2130" s="184" t="s">
        <v>3200</v>
      </c>
      <c r="B2130" s="184" t="s">
        <v>139</v>
      </c>
      <c r="C2130" s="184" t="s">
        <v>1880</v>
      </c>
      <c r="D2130" s="185" t="s">
        <v>704</v>
      </c>
      <c r="E2130" s="186" t="s">
        <v>906</v>
      </c>
      <c r="F2130" s="186" t="s">
        <v>907</v>
      </c>
      <c r="G2130" s="186" t="s">
        <v>1881</v>
      </c>
      <c r="H2130" s="186" t="s">
        <v>2046</v>
      </c>
      <c r="I2130" s="187" t="s">
        <v>2071</v>
      </c>
      <c r="J2130" s="187" t="s">
        <v>2072</v>
      </c>
      <c r="K2130" s="188"/>
      <c r="L2130" s="188"/>
      <c r="M2130" s="189" t="s">
        <v>807</v>
      </c>
      <c r="N2130" s="190">
        <v>12</v>
      </c>
      <c r="O2130" s="190">
        <f t="shared" si="267"/>
        <v>13.08</v>
      </c>
      <c r="P2130" s="191">
        <f t="shared" si="268"/>
        <v>0</v>
      </c>
      <c r="Q2130" s="192">
        <f t="shared" si="269"/>
        <v>0</v>
      </c>
      <c r="R2130" s="193"/>
      <c r="S2130" s="194"/>
      <c r="T2130" s="195">
        <f t="shared" si="270"/>
        <v>0</v>
      </c>
      <c r="U2130" s="195">
        <f t="shared" si="271"/>
        <v>0</v>
      </c>
      <c r="V2130" s="195">
        <f t="shared" si="272"/>
        <v>0</v>
      </c>
      <c r="W2130" s="196" t="e">
        <f t="shared" si="273"/>
        <v>#DIV/0!</v>
      </c>
      <c r="X2130" s="197" t="e">
        <f t="shared" si="274"/>
        <v>#DIV/0!</v>
      </c>
    </row>
    <row r="2131" ht="11.4" hidden="1" customHeight="1" spans="1:24">
      <c r="A2131" s="184" t="s">
        <v>3206</v>
      </c>
      <c r="B2131" s="184" t="s">
        <v>145</v>
      </c>
      <c r="C2131" s="184" t="s">
        <v>2074</v>
      </c>
      <c r="D2131" s="185" t="s">
        <v>704</v>
      </c>
      <c r="E2131" s="186" t="s">
        <v>906</v>
      </c>
      <c r="F2131" s="186" t="s">
        <v>907</v>
      </c>
      <c r="G2131" s="186" t="s">
        <v>2075</v>
      </c>
      <c r="H2131" s="186" t="s">
        <v>2076</v>
      </c>
      <c r="I2131" s="187" t="s">
        <v>2077</v>
      </c>
      <c r="J2131" s="187" t="s">
        <v>2078</v>
      </c>
      <c r="K2131" s="188"/>
      <c r="L2131" s="188"/>
      <c r="M2131" s="189" t="s">
        <v>1018</v>
      </c>
      <c r="N2131" s="190">
        <v>27.3</v>
      </c>
      <c r="O2131" s="190">
        <f t="shared" si="267"/>
        <v>29.76</v>
      </c>
      <c r="P2131" s="191">
        <f t="shared" si="268"/>
        <v>0</v>
      </c>
      <c r="Q2131" s="192">
        <f t="shared" si="269"/>
        <v>0</v>
      </c>
      <c r="R2131" s="193"/>
      <c r="S2131" s="194"/>
      <c r="T2131" s="195">
        <f t="shared" si="270"/>
        <v>0</v>
      </c>
      <c r="U2131" s="195">
        <f t="shared" si="271"/>
        <v>0</v>
      </c>
      <c r="V2131" s="195">
        <f t="shared" si="272"/>
        <v>0</v>
      </c>
      <c r="W2131" s="196" t="e">
        <f t="shared" si="273"/>
        <v>#DIV/0!</v>
      </c>
      <c r="X2131" s="197" t="e">
        <f t="shared" si="274"/>
        <v>#DIV/0!</v>
      </c>
    </row>
    <row r="2132" ht="11.4" hidden="1" customHeight="1" spans="1:24">
      <c r="A2132" s="184" t="s">
        <v>3206</v>
      </c>
      <c r="B2132" s="184" t="s">
        <v>145</v>
      </c>
      <c r="C2132" s="184" t="s">
        <v>2074</v>
      </c>
      <c r="D2132" s="185" t="s">
        <v>704</v>
      </c>
      <c r="E2132" s="186" t="s">
        <v>906</v>
      </c>
      <c r="F2132" s="186" t="s">
        <v>907</v>
      </c>
      <c r="G2132" s="186" t="s">
        <v>2075</v>
      </c>
      <c r="H2132" s="186" t="s">
        <v>2076</v>
      </c>
      <c r="I2132" s="187" t="s">
        <v>2079</v>
      </c>
      <c r="J2132" s="187" t="s">
        <v>2080</v>
      </c>
      <c r="K2132" s="188"/>
      <c r="L2132" s="188"/>
      <c r="M2132" s="189" t="s">
        <v>1018</v>
      </c>
      <c r="N2132" s="190">
        <v>63</v>
      </c>
      <c r="O2132" s="190">
        <f t="shared" si="267"/>
        <v>68.67</v>
      </c>
      <c r="P2132" s="191">
        <f t="shared" si="268"/>
        <v>0</v>
      </c>
      <c r="Q2132" s="192">
        <f t="shared" si="269"/>
        <v>0</v>
      </c>
      <c r="R2132" s="193"/>
      <c r="S2132" s="194"/>
      <c r="T2132" s="195">
        <f t="shared" si="270"/>
        <v>0</v>
      </c>
      <c r="U2132" s="195">
        <f t="shared" si="271"/>
        <v>0</v>
      </c>
      <c r="V2132" s="195">
        <f t="shared" si="272"/>
        <v>0</v>
      </c>
      <c r="W2132" s="196" t="e">
        <f t="shared" si="273"/>
        <v>#DIV/0!</v>
      </c>
      <c r="X2132" s="197" t="e">
        <f t="shared" si="274"/>
        <v>#DIV/0!</v>
      </c>
    </row>
    <row r="2133" ht="11.4" hidden="1" customHeight="1" spans="1:24">
      <c r="A2133" s="184" t="s">
        <v>3206</v>
      </c>
      <c r="B2133" s="184" t="s">
        <v>145</v>
      </c>
      <c r="C2133" s="184" t="s">
        <v>2074</v>
      </c>
      <c r="D2133" s="185" t="s">
        <v>704</v>
      </c>
      <c r="E2133" s="186" t="s">
        <v>906</v>
      </c>
      <c r="F2133" s="186" t="s">
        <v>907</v>
      </c>
      <c r="G2133" s="186" t="s">
        <v>2075</v>
      </c>
      <c r="H2133" s="186" t="s">
        <v>2076</v>
      </c>
      <c r="I2133" s="187" t="s">
        <v>2081</v>
      </c>
      <c r="J2133" s="187" t="s">
        <v>2082</v>
      </c>
      <c r="K2133" s="188"/>
      <c r="L2133" s="188"/>
      <c r="M2133" s="189" t="s">
        <v>1018</v>
      </c>
      <c r="N2133" s="190">
        <v>36.75</v>
      </c>
      <c r="O2133" s="190">
        <f t="shared" si="267"/>
        <v>40.06</v>
      </c>
      <c r="P2133" s="191">
        <f t="shared" si="268"/>
        <v>0</v>
      </c>
      <c r="Q2133" s="192">
        <f t="shared" si="269"/>
        <v>0</v>
      </c>
      <c r="R2133" s="193"/>
      <c r="S2133" s="194"/>
      <c r="T2133" s="195">
        <f t="shared" si="270"/>
        <v>0</v>
      </c>
      <c r="U2133" s="195">
        <f t="shared" si="271"/>
        <v>0</v>
      </c>
      <c r="V2133" s="195">
        <f t="shared" si="272"/>
        <v>0</v>
      </c>
      <c r="W2133" s="196" t="e">
        <f t="shared" si="273"/>
        <v>#DIV/0!</v>
      </c>
      <c r="X2133" s="197" t="e">
        <f t="shared" si="274"/>
        <v>#DIV/0!</v>
      </c>
    </row>
    <row r="2134" ht="11.4" hidden="1" customHeight="1" spans="1:24">
      <c r="A2134" s="184" t="s">
        <v>3206</v>
      </c>
      <c r="B2134" s="184" t="s">
        <v>145</v>
      </c>
      <c r="C2134" s="184" t="s">
        <v>2074</v>
      </c>
      <c r="D2134" s="185" t="s">
        <v>704</v>
      </c>
      <c r="E2134" s="186" t="s">
        <v>906</v>
      </c>
      <c r="F2134" s="186" t="s">
        <v>907</v>
      </c>
      <c r="G2134" s="186" t="s">
        <v>2075</v>
      </c>
      <c r="H2134" s="186" t="s">
        <v>2076</v>
      </c>
      <c r="I2134" s="187" t="s">
        <v>2083</v>
      </c>
      <c r="J2134" s="187" t="s">
        <v>2084</v>
      </c>
      <c r="K2134" s="188"/>
      <c r="L2134" s="188"/>
      <c r="M2134" s="189" t="s">
        <v>1018</v>
      </c>
      <c r="N2134" s="190">
        <v>42</v>
      </c>
      <c r="O2134" s="190">
        <f t="shared" si="267"/>
        <v>45.78</v>
      </c>
      <c r="P2134" s="191">
        <f t="shared" si="268"/>
        <v>0</v>
      </c>
      <c r="Q2134" s="192">
        <f t="shared" si="269"/>
        <v>0</v>
      </c>
      <c r="R2134" s="193"/>
      <c r="S2134" s="194"/>
      <c r="T2134" s="195">
        <f t="shared" si="270"/>
        <v>0</v>
      </c>
      <c r="U2134" s="195">
        <f t="shared" si="271"/>
        <v>0</v>
      </c>
      <c r="V2134" s="195">
        <f t="shared" si="272"/>
        <v>0</v>
      </c>
      <c r="W2134" s="196" t="e">
        <f t="shared" si="273"/>
        <v>#DIV/0!</v>
      </c>
      <c r="X2134" s="197" t="e">
        <f t="shared" si="274"/>
        <v>#DIV/0!</v>
      </c>
    </row>
    <row r="2135" ht="11.4" hidden="1" customHeight="1" spans="1:24">
      <c r="A2135" s="184" t="s">
        <v>3206</v>
      </c>
      <c r="B2135" s="184" t="s">
        <v>145</v>
      </c>
      <c r="C2135" s="184" t="s">
        <v>2074</v>
      </c>
      <c r="D2135" s="185" t="s">
        <v>704</v>
      </c>
      <c r="E2135" s="186" t="s">
        <v>906</v>
      </c>
      <c r="F2135" s="186" t="s">
        <v>907</v>
      </c>
      <c r="G2135" s="186" t="s">
        <v>2075</v>
      </c>
      <c r="H2135" s="186" t="s">
        <v>2076</v>
      </c>
      <c r="I2135" s="187" t="s">
        <v>2085</v>
      </c>
      <c r="J2135" s="187" t="s">
        <v>2086</v>
      </c>
      <c r="K2135" s="188"/>
      <c r="L2135" s="188"/>
      <c r="M2135" s="189" t="s">
        <v>1018</v>
      </c>
      <c r="N2135" s="190">
        <v>40.95</v>
      </c>
      <c r="O2135" s="190">
        <f t="shared" si="267"/>
        <v>44.64</v>
      </c>
      <c r="P2135" s="191">
        <f t="shared" si="268"/>
        <v>0</v>
      </c>
      <c r="Q2135" s="192">
        <f t="shared" si="269"/>
        <v>0</v>
      </c>
      <c r="R2135" s="193"/>
      <c r="S2135" s="194"/>
      <c r="T2135" s="195">
        <f t="shared" si="270"/>
        <v>0</v>
      </c>
      <c r="U2135" s="195">
        <f t="shared" si="271"/>
        <v>0</v>
      </c>
      <c r="V2135" s="195">
        <f t="shared" si="272"/>
        <v>0</v>
      </c>
      <c r="W2135" s="196" t="e">
        <f t="shared" si="273"/>
        <v>#DIV/0!</v>
      </c>
      <c r="X2135" s="197" t="e">
        <f t="shared" si="274"/>
        <v>#DIV/0!</v>
      </c>
    </row>
    <row r="2136" ht="11.4" hidden="1" customHeight="1" spans="1:24">
      <c r="A2136" s="184" t="s">
        <v>3206</v>
      </c>
      <c r="B2136" s="184" t="s">
        <v>145</v>
      </c>
      <c r="C2136" s="184" t="s">
        <v>2074</v>
      </c>
      <c r="D2136" s="185" t="s">
        <v>704</v>
      </c>
      <c r="E2136" s="186" t="s">
        <v>906</v>
      </c>
      <c r="F2136" s="186" t="s">
        <v>907</v>
      </c>
      <c r="G2136" s="186" t="s">
        <v>2075</v>
      </c>
      <c r="H2136" s="186" t="s">
        <v>2076</v>
      </c>
      <c r="I2136" s="187" t="s">
        <v>2087</v>
      </c>
      <c r="J2136" s="187" t="s">
        <v>2088</v>
      </c>
      <c r="K2136" s="188"/>
      <c r="L2136" s="188"/>
      <c r="M2136" s="189" t="s">
        <v>1018</v>
      </c>
      <c r="N2136" s="190">
        <v>94.5</v>
      </c>
      <c r="O2136" s="190">
        <f t="shared" si="267"/>
        <v>103.01</v>
      </c>
      <c r="P2136" s="191">
        <f t="shared" si="268"/>
        <v>0</v>
      </c>
      <c r="Q2136" s="192">
        <f t="shared" si="269"/>
        <v>0</v>
      </c>
      <c r="R2136" s="193"/>
      <c r="S2136" s="194"/>
      <c r="T2136" s="195">
        <f t="shared" si="270"/>
        <v>0</v>
      </c>
      <c r="U2136" s="195">
        <f t="shared" si="271"/>
        <v>0</v>
      </c>
      <c r="V2136" s="195">
        <f t="shared" si="272"/>
        <v>0</v>
      </c>
      <c r="W2136" s="196" t="e">
        <f t="shared" si="273"/>
        <v>#DIV/0!</v>
      </c>
      <c r="X2136" s="197" t="e">
        <f t="shared" si="274"/>
        <v>#DIV/0!</v>
      </c>
    </row>
    <row r="2137" ht="11.4" hidden="1" customHeight="1" spans="1:24">
      <c r="A2137" s="184" t="s">
        <v>3206</v>
      </c>
      <c r="B2137" s="184" t="s">
        <v>145</v>
      </c>
      <c r="C2137" s="184" t="s">
        <v>2074</v>
      </c>
      <c r="D2137" s="185" t="s">
        <v>704</v>
      </c>
      <c r="E2137" s="186" t="s">
        <v>906</v>
      </c>
      <c r="F2137" s="186" t="s">
        <v>907</v>
      </c>
      <c r="G2137" s="186" t="s">
        <v>2075</v>
      </c>
      <c r="H2137" s="186" t="s">
        <v>2076</v>
      </c>
      <c r="I2137" s="187" t="s">
        <v>2089</v>
      </c>
      <c r="J2137" s="187" t="s">
        <v>2090</v>
      </c>
      <c r="K2137" s="188"/>
      <c r="L2137" s="188"/>
      <c r="M2137" s="189" t="s">
        <v>1018</v>
      </c>
      <c r="N2137" s="190">
        <v>131.25</v>
      </c>
      <c r="O2137" s="190">
        <f t="shared" si="267"/>
        <v>143.06</v>
      </c>
      <c r="P2137" s="191">
        <f t="shared" si="268"/>
        <v>0</v>
      </c>
      <c r="Q2137" s="192">
        <f t="shared" si="269"/>
        <v>0</v>
      </c>
      <c r="R2137" s="193"/>
      <c r="S2137" s="194"/>
      <c r="T2137" s="195">
        <f t="shared" si="270"/>
        <v>0</v>
      </c>
      <c r="U2137" s="195">
        <f t="shared" si="271"/>
        <v>0</v>
      </c>
      <c r="V2137" s="195">
        <f t="shared" si="272"/>
        <v>0</v>
      </c>
      <c r="W2137" s="196" t="e">
        <f t="shared" si="273"/>
        <v>#DIV/0!</v>
      </c>
      <c r="X2137" s="197" t="e">
        <f t="shared" si="274"/>
        <v>#DIV/0!</v>
      </c>
    </row>
    <row r="2138" ht="11.4" hidden="1" customHeight="1" spans="1:24">
      <c r="A2138" s="184" t="s">
        <v>3206</v>
      </c>
      <c r="B2138" s="184" t="s">
        <v>145</v>
      </c>
      <c r="C2138" s="184" t="s">
        <v>2074</v>
      </c>
      <c r="D2138" s="185" t="s">
        <v>704</v>
      </c>
      <c r="E2138" s="186" t="s">
        <v>906</v>
      </c>
      <c r="F2138" s="186" t="s">
        <v>907</v>
      </c>
      <c r="G2138" s="186" t="s">
        <v>2075</v>
      </c>
      <c r="H2138" s="186" t="s">
        <v>2076</v>
      </c>
      <c r="I2138" s="187" t="s">
        <v>2091</v>
      </c>
      <c r="J2138" s="187" t="s">
        <v>2092</v>
      </c>
      <c r="K2138" s="188"/>
      <c r="L2138" s="188"/>
      <c r="M2138" s="189" t="s">
        <v>1018</v>
      </c>
      <c r="N2138" s="190">
        <v>222.6</v>
      </c>
      <c r="O2138" s="190">
        <f t="shared" si="267"/>
        <v>242.63</v>
      </c>
      <c r="P2138" s="191">
        <f t="shared" si="268"/>
        <v>0</v>
      </c>
      <c r="Q2138" s="192">
        <f t="shared" si="269"/>
        <v>0</v>
      </c>
      <c r="R2138" s="193"/>
      <c r="S2138" s="194"/>
      <c r="T2138" s="195">
        <f t="shared" si="270"/>
        <v>0</v>
      </c>
      <c r="U2138" s="195">
        <f t="shared" si="271"/>
        <v>0</v>
      </c>
      <c r="V2138" s="195">
        <f t="shared" si="272"/>
        <v>0</v>
      </c>
      <c r="W2138" s="196" t="e">
        <f t="shared" si="273"/>
        <v>#DIV/0!</v>
      </c>
      <c r="X2138" s="197" t="e">
        <f t="shared" si="274"/>
        <v>#DIV/0!</v>
      </c>
    </row>
    <row r="2139" ht="11.4" hidden="1" customHeight="1" spans="1:24">
      <c r="A2139" s="184" t="s">
        <v>3206</v>
      </c>
      <c r="B2139" s="184" t="s">
        <v>145</v>
      </c>
      <c r="C2139" s="184" t="s">
        <v>2074</v>
      </c>
      <c r="D2139" s="185" t="s">
        <v>704</v>
      </c>
      <c r="E2139" s="186" t="s">
        <v>906</v>
      </c>
      <c r="F2139" s="186" t="s">
        <v>907</v>
      </c>
      <c r="G2139" s="186" t="s">
        <v>2075</v>
      </c>
      <c r="H2139" s="186" t="s">
        <v>2076</v>
      </c>
      <c r="I2139" s="187" t="s">
        <v>2093</v>
      </c>
      <c r="J2139" s="187" t="s">
        <v>2094</v>
      </c>
      <c r="K2139" s="188"/>
      <c r="L2139" s="188"/>
      <c r="M2139" s="189" t="s">
        <v>1018</v>
      </c>
      <c r="N2139" s="190">
        <v>176.4</v>
      </c>
      <c r="O2139" s="190">
        <f t="shared" si="267"/>
        <v>192.28</v>
      </c>
      <c r="P2139" s="191">
        <f t="shared" si="268"/>
        <v>0</v>
      </c>
      <c r="Q2139" s="192">
        <f t="shared" si="269"/>
        <v>0</v>
      </c>
      <c r="R2139" s="193"/>
      <c r="S2139" s="194"/>
      <c r="T2139" s="195">
        <f t="shared" si="270"/>
        <v>0</v>
      </c>
      <c r="U2139" s="195">
        <f t="shared" si="271"/>
        <v>0</v>
      </c>
      <c r="V2139" s="195">
        <f t="shared" si="272"/>
        <v>0</v>
      </c>
      <c r="W2139" s="196" t="e">
        <f t="shared" si="273"/>
        <v>#DIV/0!</v>
      </c>
      <c r="X2139" s="197" t="e">
        <f t="shared" si="274"/>
        <v>#DIV/0!</v>
      </c>
    </row>
    <row r="2140" ht="11.4" hidden="1" customHeight="1" spans="1:24">
      <c r="A2140" s="184" t="s">
        <v>3206</v>
      </c>
      <c r="B2140" s="184" t="s">
        <v>145</v>
      </c>
      <c r="C2140" s="184" t="s">
        <v>2074</v>
      </c>
      <c r="D2140" s="185" t="s">
        <v>704</v>
      </c>
      <c r="E2140" s="186" t="s">
        <v>906</v>
      </c>
      <c r="F2140" s="186" t="s">
        <v>907</v>
      </c>
      <c r="G2140" s="186" t="s">
        <v>2075</v>
      </c>
      <c r="H2140" s="186" t="s">
        <v>2076</v>
      </c>
      <c r="I2140" s="187" t="s">
        <v>2095</v>
      </c>
      <c r="J2140" s="187" t="s">
        <v>2096</v>
      </c>
      <c r="K2140" s="188"/>
      <c r="L2140" s="188"/>
      <c r="M2140" s="189" t="s">
        <v>1018</v>
      </c>
      <c r="N2140" s="190">
        <v>134.4</v>
      </c>
      <c r="O2140" s="190">
        <f t="shared" si="267"/>
        <v>146.5</v>
      </c>
      <c r="P2140" s="191">
        <f t="shared" si="268"/>
        <v>0</v>
      </c>
      <c r="Q2140" s="192">
        <f t="shared" si="269"/>
        <v>0</v>
      </c>
      <c r="R2140" s="193"/>
      <c r="S2140" s="194"/>
      <c r="T2140" s="195">
        <f t="shared" si="270"/>
        <v>0</v>
      </c>
      <c r="U2140" s="195">
        <f t="shared" si="271"/>
        <v>0</v>
      </c>
      <c r="V2140" s="195">
        <f t="shared" si="272"/>
        <v>0</v>
      </c>
      <c r="W2140" s="196" t="e">
        <f t="shared" si="273"/>
        <v>#DIV/0!</v>
      </c>
      <c r="X2140" s="197" t="e">
        <f t="shared" si="274"/>
        <v>#DIV/0!</v>
      </c>
    </row>
    <row r="2141" ht="11.4" hidden="1" customHeight="1" spans="1:24">
      <c r="A2141" s="184" t="s">
        <v>3206</v>
      </c>
      <c r="B2141" s="184" t="s">
        <v>145</v>
      </c>
      <c r="C2141" s="184" t="s">
        <v>2074</v>
      </c>
      <c r="D2141" s="185" t="s">
        <v>704</v>
      </c>
      <c r="E2141" s="186" t="s">
        <v>906</v>
      </c>
      <c r="F2141" s="186" t="s">
        <v>907</v>
      </c>
      <c r="G2141" s="186" t="s">
        <v>2075</v>
      </c>
      <c r="H2141" s="186" t="s">
        <v>2076</v>
      </c>
      <c r="I2141" s="187" t="s">
        <v>2097</v>
      </c>
      <c r="J2141" s="187" t="s">
        <v>2098</v>
      </c>
      <c r="K2141" s="188"/>
      <c r="L2141" s="188"/>
      <c r="M2141" s="189" t="s">
        <v>1018</v>
      </c>
      <c r="N2141" s="190">
        <v>152.56</v>
      </c>
      <c r="O2141" s="190">
        <f t="shared" si="267"/>
        <v>166.29</v>
      </c>
      <c r="P2141" s="191">
        <f t="shared" si="268"/>
        <v>0</v>
      </c>
      <c r="Q2141" s="192">
        <f t="shared" si="269"/>
        <v>0</v>
      </c>
      <c r="R2141" s="193"/>
      <c r="S2141" s="194"/>
      <c r="T2141" s="195">
        <f t="shared" si="270"/>
        <v>0</v>
      </c>
      <c r="U2141" s="195">
        <f t="shared" si="271"/>
        <v>0</v>
      </c>
      <c r="V2141" s="195">
        <f t="shared" si="272"/>
        <v>0</v>
      </c>
      <c r="W2141" s="196" t="e">
        <f t="shared" si="273"/>
        <v>#DIV/0!</v>
      </c>
      <c r="X2141" s="197" t="e">
        <f t="shared" si="274"/>
        <v>#DIV/0!</v>
      </c>
    </row>
    <row r="2142" ht="11.4" hidden="1" customHeight="1" spans="1:24">
      <c r="A2142" s="184" t="s">
        <v>3206</v>
      </c>
      <c r="B2142" s="184" t="s">
        <v>145</v>
      </c>
      <c r="C2142" s="184" t="s">
        <v>2074</v>
      </c>
      <c r="D2142" s="185" t="s">
        <v>704</v>
      </c>
      <c r="E2142" s="186" t="s">
        <v>906</v>
      </c>
      <c r="F2142" s="186" t="s">
        <v>907</v>
      </c>
      <c r="G2142" s="186" t="s">
        <v>2075</v>
      </c>
      <c r="H2142" s="186" t="s">
        <v>2076</v>
      </c>
      <c r="I2142" s="187" t="s">
        <v>2099</v>
      </c>
      <c r="J2142" s="187" t="s">
        <v>2100</v>
      </c>
      <c r="K2142" s="188"/>
      <c r="L2142" s="188"/>
      <c r="M2142" s="189" t="s">
        <v>1018</v>
      </c>
      <c r="N2142" s="190">
        <v>222.6</v>
      </c>
      <c r="O2142" s="190">
        <f t="shared" si="267"/>
        <v>242.63</v>
      </c>
      <c r="P2142" s="191">
        <f t="shared" si="268"/>
        <v>0</v>
      </c>
      <c r="Q2142" s="192">
        <f t="shared" si="269"/>
        <v>0</v>
      </c>
      <c r="R2142" s="193"/>
      <c r="S2142" s="194"/>
      <c r="T2142" s="195">
        <f t="shared" si="270"/>
        <v>0</v>
      </c>
      <c r="U2142" s="195">
        <f t="shared" si="271"/>
        <v>0</v>
      </c>
      <c r="V2142" s="195">
        <f t="shared" si="272"/>
        <v>0</v>
      </c>
      <c r="W2142" s="196" t="e">
        <f t="shared" si="273"/>
        <v>#DIV/0!</v>
      </c>
      <c r="X2142" s="197" t="e">
        <f t="shared" si="274"/>
        <v>#DIV/0!</v>
      </c>
    </row>
    <row r="2143" ht="11.4" hidden="1" customHeight="1" spans="1:24">
      <c r="A2143" s="184" t="s">
        <v>3206</v>
      </c>
      <c r="B2143" s="184" t="s">
        <v>145</v>
      </c>
      <c r="C2143" s="184" t="s">
        <v>2074</v>
      </c>
      <c r="D2143" s="185" t="s">
        <v>704</v>
      </c>
      <c r="E2143" s="186" t="s">
        <v>906</v>
      </c>
      <c r="F2143" s="186" t="s">
        <v>907</v>
      </c>
      <c r="G2143" s="186" t="s">
        <v>2075</v>
      </c>
      <c r="H2143" s="186" t="s">
        <v>2076</v>
      </c>
      <c r="I2143" s="187" t="s">
        <v>2101</v>
      </c>
      <c r="J2143" s="187" t="s">
        <v>2102</v>
      </c>
      <c r="K2143" s="188"/>
      <c r="L2143" s="188"/>
      <c r="M2143" s="189" t="s">
        <v>1018</v>
      </c>
      <c r="N2143" s="190">
        <v>86.1</v>
      </c>
      <c r="O2143" s="190">
        <f t="shared" si="267"/>
        <v>93.85</v>
      </c>
      <c r="P2143" s="191">
        <f t="shared" si="268"/>
        <v>0</v>
      </c>
      <c r="Q2143" s="192">
        <f t="shared" si="269"/>
        <v>0</v>
      </c>
      <c r="R2143" s="193"/>
      <c r="S2143" s="194"/>
      <c r="T2143" s="195">
        <f t="shared" si="270"/>
        <v>0</v>
      </c>
      <c r="U2143" s="195">
        <f t="shared" si="271"/>
        <v>0</v>
      </c>
      <c r="V2143" s="195">
        <f t="shared" si="272"/>
        <v>0</v>
      </c>
      <c r="W2143" s="196" t="e">
        <f t="shared" si="273"/>
        <v>#DIV/0!</v>
      </c>
      <c r="X2143" s="197" t="e">
        <f t="shared" si="274"/>
        <v>#DIV/0!</v>
      </c>
    </row>
    <row r="2144" ht="11.4" hidden="1" customHeight="1" spans="1:24">
      <c r="A2144" s="184" t="s">
        <v>3206</v>
      </c>
      <c r="B2144" s="184" t="s">
        <v>145</v>
      </c>
      <c r="C2144" s="184" t="s">
        <v>2074</v>
      </c>
      <c r="D2144" s="185" t="s">
        <v>704</v>
      </c>
      <c r="E2144" s="186" t="s">
        <v>906</v>
      </c>
      <c r="F2144" s="186" t="s">
        <v>907</v>
      </c>
      <c r="G2144" s="186" t="s">
        <v>2075</v>
      </c>
      <c r="H2144" s="186" t="s">
        <v>2076</v>
      </c>
      <c r="I2144" s="187" t="s">
        <v>2103</v>
      </c>
      <c r="J2144" s="187" t="s">
        <v>2104</v>
      </c>
      <c r="K2144" s="188"/>
      <c r="L2144" s="188"/>
      <c r="M2144" s="189" t="s">
        <v>1018</v>
      </c>
      <c r="N2144" s="190">
        <v>261.15</v>
      </c>
      <c r="O2144" s="190">
        <f t="shared" si="267"/>
        <v>284.65</v>
      </c>
      <c r="P2144" s="191">
        <f t="shared" si="268"/>
        <v>0</v>
      </c>
      <c r="Q2144" s="192">
        <f t="shared" si="269"/>
        <v>0</v>
      </c>
      <c r="R2144" s="193"/>
      <c r="S2144" s="194"/>
      <c r="T2144" s="195">
        <f t="shared" si="270"/>
        <v>0</v>
      </c>
      <c r="U2144" s="195">
        <f t="shared" si="271"/>
        <v>0</v>
      </c>
      <c r="V2144" s="195">
        <f t="shared" si="272"/>
        <v>0</v>
      </c>
      <c r="W2144" s="196" t="e">
        <f t="shared" si="273"/>
        <v>#DIV/0!</v>
      </c>
      <c r="X2144" s="197" t="e">
        <f t="shared" si="274"/>
        <v>#DIV/0!</v>
      </c>
    </row>
    <row r="2145" ht="11.4" hidden="1" customHeight="1" spans="1:24">
      <c r="A2145" s="184" t="s">
        <v>3206</v>
      </c>
      <c r="B2145" s="184" t="s">
        <v>145</v>
      </c>
      <c r="C2145" s="184" t="s">
        <v>2074</v>
      </c>
      <c r="D2145" s="185" t="s">
        <v>704</v>
      </c>
      <c r="E2145" s="186" t="s">
        <v>906</v>
      </c>
      <c r="F2145" s="186" t="s">
        <v>907</v>
      </c>
      <c r="G2145" s="186" t="s">
        <v>2075</v>
      </c>
      <c r="H2145" s="186" t="s">
        <v>2076</v>
      </c>
      <c r="I2145" s="187" t="s">
        <v>2105</v>
      </c>
      <c r="J2145" s="187" t="s">
        <v>2106</v>
      </c>
      <c r="K2145" s="188"/>
      <c r="L2145" s="188"/>
      <c r="M2145" s="189" t="s">
        <v>1018</v>
      </c>
      <c r="N2145" s="190">
        <v>420</v>
      </c>
      <c r="O2145" s="190">
        <f t="shared" si="267"/>
        <v>457.8</v>
      </c>
      <c r="P2145" s="191">
        <f t="shared" si="268"/>
        <v>0</v>
      </c>
      <c r="Q2145" s="192">
        <f t="shared" si="269"/>
        <v>0</v>
      </c>
      <c r="R2145" s="193"/>
      <c r="S2145" s="194"/>
      <c r="T2145" s="195">
        <f t="shared" si="270"/>
        <v>0</v>
      </c>
      <c r="U2145" s="195">
        <f t="shared" si="271"/>
        <v>0</v>
      </c>
      <c r="V2145" s="195">
        <f t="shared" si="272"/>
        <v>0</v>
      </c>
      <c r="W2145" s="196" t="e">
        <f t="shared" si="273"/>
        <v>#DIV/0!</v>
      </c>
      <c r="X2145" s="197" t="e">
        <f t="shared" si="274"/>
        <v>#DIV/0!</v>
      </c>
    </row>
    <row r="2146" ht="11.4" hidden="1" customHeight="1" spans="1:24">
      <c r="A2146" s="184" t="s">
        <v>3206</v>
      </c>
      <c r="B2146" s="184" t="s">
        <v>145</v>
      </c>
      <c r="C2146" s="184" t="s">
        <v>2074</v>
      </c>
      <c r="D2146" s="185" t="s">
        <v>704</v>
      </c>
      <c r="E2146" s="186" t="s">
        <v>906</v>
      </c>
      <c r="F2146" s="186" t="s">
        <v>907</v>
      </c>
      <c r="G2146" s="186" t="s">
        <v>2075</v>
      </c>
      <c r="H2146" s="186" t="s">
        <v>2076</v>
      </c>
      <c r="I2146" s="187" t="s">
        <v>2107</v>
      </c>
      <c r="J2146" s="187" t="s">
        <v>2108</v>
      </c>
      <c r="K2146" s="188"/>
      <c r="L2146" s="188"/>
      <c r="M2146" s="189" t="s">
        <v>1018</v>
      </c>
      <c r="N2146" s="190">
        <v>222.6</v>
      </c>
      <c r="O2146" s="190">
        <f t="shared" si="267"/>
        <v>242.63</v>
      </c>
      <c r="P2146" s="191">
        <f t="shared" si="268"/>
        <v>0</v>
      </c>
      <c r="Q2146" s="192">
        <f t="shared" si="269"/>
        <v>0</v>
      </c>
      <c r="R2146" s="193"/>
      <c r="S2146" s="194"/>
      <c r="T2146" s="195">
        <f t="shared" si="270"/>
        <v>0</v>
      </c>
      <c r="U2146" s="195">
        <f t="shared" si="271"/>
        <v>0</v>
      </c>
      <c r="V2146" s="195">
        <f t="shared" si="272"/>
        <v>0</v>
      </c>
      <c r="W2146" s="196" t="e">
        <f t="shared" si="273"/>
        <v>#DIV/0!</v>
      </c>
      <c r="X2146" s="197" t="e">
        <f t="shared" si="274"/>
        <v>#DIV/0!</v>
      </c>
    </row>
    <row r="2147" ht="11.4" hidden="1" customHeight="1" spans="1:24">
      <c r="A2147" s="184" t="s">
        <v>3206</v>
      </c>
      <c r="B2147" s="184" t="s">
        <v>145</v>
      </c>
      <c r="C2147" s="184" t="s">
        <v>2074</v>
      </c>
      <c r="D2147" s="185" t="s">
        <v>704</v>
      </c>
      <c r="E2147" s="186" t="s">
        <v>906</v>
      </c>
      <c r="F2147" s="186" t="s">
        <v>907</v>
      </c>
      <c r="G2147" s="186" t="s">
        <v>2075</v>
      </c>
      <c r="H2147" s="186" t="s">
        <v>2076</v>
      </c>
      <c r="I2147" s="187" t="s">
        <v>2109</v>
      </c>
      <c r="J2147" s="187" t="s">
        <v>2110</v>
      </c>
      <c r="K2147" s="188"/>
      <c r="L2147" s="188"/>
      <c r="M2147" s="189" t="s">
        <v>1018</v>
      </c>
      <c r="N2147" s="190">
        <v>173.25</v>
      </c>
      <c r="O2147" s="190">
        <f t="shared" si="267"/>
        <v>188.84</v>
      </c>
      <c r="P2147" s="191">
        <f t="shared" si="268"/>
        <v>0</v>
      </c>
      <c r="Q2147" s="192">
        <f t="shared" si="269"/>
        <v>0</v>
      </c>
      <c r="R2147" s="193"/>
      <c r="S2147" s="194"/>
      <c r="T2147" s="195">
        <f t="shared" si="270"/>
        <v>0</v>
      </c>
      <c r="U2147" s="195">
        <f t="shared" si="271"/>
        <v>0</v>
      </c>
      <c r="V2147" s="195">
        <f t="shared" si="272"/>
        <v>0</v>
      </c>
      <c r="W2147" s="196" t="e">
        <f t="shared" si="273"/>
        <v>#DIV/0!</v>
      </c>
      <c r="X2147" s="197" t="e">
        <f t="shared" si="274"/>
        <v>#DIV/0!</v>
      </c>
    </row>
    <row r="2148" ht="11.4" hidden="1" customHeight="1" spans="1:24">
      <c r="A2148" s="184" t="s">
        <v>3206</v>
      </c>
      <c r="B2148" s="184" t="s">
        <v>145</v>
      </c>
      <c r="C2148" s="184" t="s">
        <v>2074</v>
      </c>
      <c r="D2148" s="185" t="s">
        <v>704</v>
      </c>
      <c r="E2148" s="186" t="s">
        <v>906</v>
      </c>
      <c r="F2148" s="186" t="s">
        <v>907</v>
      </c>
      <c r="G2148" s="186" t="s">
        <v>2075</v>
      </c>
      <c r="H2148" s="186" t="s">
        <v>2076</v>
      </c>
      <c r="I2148" s="187" t="s">
        <v>2111</v>
      </c>
      <c r="J2148" s="187" t="s">
        <v>2112</v>
      </c>
      <c r="K2148" s="188"/>
      <c r="L2148" s="188"/>
      <c r="M2148" s="189" t="s">
        <v>1018</v>
      </c>
      <c r="N2148" s="190">
        <v>134.4</v>
      </c>
      <c r="O2148" s="190">
        <f t="shared" si="267"/>
        <v>146.5</v>
      </c>
      <c r="P2148" s="191">
        <f t="shared" si="268"/>
        <v>0</v>
      </c>
      <c r="Q2148" s="192">
        <f t="shared" si="269"/>
        <v>0</v>
      </c>
      <c r="R2148" s="193"/>
      <c r="S2148" s="194"/>
      <c r="T2148" s="195">
        <f t="shared" si="270"/>
        <v>0</v>
      </c>
      <c r="U2148" s="195">
        <f t="shared" si="271"/>
        <v>0</v>
      </c>
      <c r="V2148" s="195">
        <f t="shared" si="272"/>
        <v>0</v>
      </c>
      <c r="W2148" s="196" t="e">
        <f t="shared" si="273"/>
        <v>#DIV/0!</v>
      </c>
      <c r="X2148" s="197" t="e">
        <f t="shared" si="274"/>
        <v>#DIV/0!</v>
      </c>
    </row>
    <row r="2149" ht="11.4" hidden="1" customHeight="1" spans="1:24">
      <c r="A2149" s="184" t="s">
        <v>3206</v>
      </c>
      <c r="B2149" s="184" t="s">
        <v>145</v>
      </c>
      <c r="C2149" s="184" t="s">
        <v>2074</v>
      </c>
      <c r="D2149" s="185" t="s">
        <v>704</v>
      </c>
      <c r="E2149" s="186" t="s">
        <v>906</v>
      </c>
      <c r="F2149" s="186" t="s">
        <v>907</v>
      </c>
      <c r="G2149" s="186" t="s">
        <v>2075</v>
      </c>
      <c r="H2149" s="186" t="s">
        <v>2076</v>
      </c>
      <c r="I2149" s="187" t="s">
        <v>2113</v>
      </c>
      <c r="J2149" s="187" t="s">
        <v>2114</v>
      </c>
      <c r="K2149" s="188"/>
      <c r="L2149" s="188"/>
      <c r="M2149" s="189" t="s">
        <v>1018</v>
      </c>
      <c r="N2149" s="190">
        <v>498.75</v>
      </c>
      <c r="O2149" s="190">
        <f t="shared" si="267"/>
        <v>543.64</v>
      </c>
      <c r="P2149" s="191">
        <f t="shared" si="268"/>
        <v>0</v>
      </c>
      <c r="Q2149" s="192">
        <f t="shared" si="269"/>
        <v>0</v>
      </c>
      <c r="R2149" s="193"/>
      <c r="S2149" s="194"/>
      <c r="T2149" s="195">
        <f t="shared" si="270"/>
        <v>0</v>
      </c>
      <c r="U2149" s="195">
        <f t="shared" si="271"/>
        <v>0</v>
      </c>
      <c r="V2149" s="195">
        <f t="shared" si="272"/>
        <v>0</v>
      </c>
      <c r="W2149" s="196" t="e">
        <f t="shared" si="273"/>
        <v>#DIV/0!</v>
      </c>
      <c r="X2149" s="197" t="e">
        <f t="shared" si="274"/>
        <v>#DIV/0!</v>
      </c>
    </row>
    <row r="2150" ht="11.4" hidden="1" customHeight="1" spans="1:24">
      <c r="A2150" s="184" t="s">
        <v>3206</v>
      </c>
      <c r="B2150" s="184" t="s">
        <v>145</v>
      </c>
      <c r="C2150" s="184" t="s">
        <v>2074</v>
      </c>
      <c r="D2150" s="185" t="s">
        <v>704</v>
      </c>
      <c r="E2150" s="186" t="s">
        <v>906</v>
      </c>
      <c r="F2150" s="186" t="s">
        <v>907</v>
      </c>
      <c r="G2150" s="186" t="s">
        <v>2075</v>
      </c>
      <c r="H2150" s="186" t="s">
        <v>2076</v>
      </c>
      <c r="I2150" s="187" t="s">
        <v>2115</v>
      </c>
      <c r="J2150" s="187" t="s">
        <v>2116</v>
      </c>
      <c r="K2150" s="188"/>
      <c r="L2150" s="188"/>
      <c r="M2150" s="189" t="s">
        <v>1018</v>
      </c>
      <c r="N2150" s="190">
        <v>346.5</v>
      </c>
      <c r="O2150" s="190">
        <f t="shared" si="267"/>
        <v>377.69</v>
      </c>
      <c r="P2150" s="191">
        <f t="shared" si="268"/>
        <v>0</v>
      </c>
      <c r="Q2150" s="192">
        <f t="shared" si="269"/>
        <v>0</v>
      </c>
      <c r="R2150" s="193"/>
      <c r="S2150" s="194"/>
      <c r="T2150" s="195">
        <f t="shared" si="270"/>
        <v>0</v>
      </c>
      <c r="U2150" s="195">
        <f t="shared" si="271"/>
        <v>0</v>
      </c>
      <c r="V2150" s="195">
        <f t="shared" si="272"/>
        <v>0</v>
      </c>
      <c r="W2150" s="196" t="e">
        <f t="shared" si="273"/>
        <v>#DIV/0!</v>
      </c>
      <c r="X2150" s="197" t="e">
        <f t="shared" si="274"/>
        <v>#DIV/0!</v>
      </c>
    </row>
    <row r="2151" ht="11.4" hidden="1" customHeight="1" spans="1:24">
      <c r="A2151" s="184" t="s">
        <v>3206</v>
      </c>
      <c r="B2151" s="184" t="s">
        <v>145</v>
      </c>
      <c r="C2151" s="184" t="s">
        <v>2074</v>
      </c>
      <c r="D2151" s="185" t="s">
        <v>704</v>
      </c>
      <c r="E2151" s="186" t="s">
        <v>906</v>
      </c>
      <c r="F2151" s="186" t="s">
        <v>907</v>
      </c>
      <c r="G2151" s="186" t="s">
        <v>2075</v>
      </c>
      <c r="H2151" s="186" t="s">
        <v>2076</v>
      </c>
      <c r="I2151" s="187" t="s">
        <v>2117</v>
      </c>
      <c r="J2151" s="187" t="s">
        <v>2118</v>
      </c>
      <c r="K2151" s="188"/>
      <c r="L2151" s="188"/>
      <c r="M2151" s="189" t="s">
        <v>807</v>
      </c>
      <c r="N2151" s="190">
        <v>42</v>
      </c>
      <c r="O2151" s="190">
        <f t="shared" si="267"/>
        <v>45.78</v>
      </c>
      <c r="P2151" s="191">
        <f t="shared" si="268"/>
        <v>0</v>
      </c>
      <c r="Q2151" s="192">
        <f t="shared" si="269"/>
        <v>0</v>
      </c>
      <c r="R2151" s="193"/>
      <c r="S2151" s="194"/>
      <c r="T2151" s="195">
        <f t="shared" si="270"/>
        <v>0</v>
      </c>
      <c r="U2151" s="195">
        <f t="shared" si="271"/>
        <v>0</v>
      </c>
      <c r="V2151" s="195">
        <f t="shared" si="272"/>
        <v>0</v>
      </c>
      <c r="W2151" s="196" t="e">
        <f t="shared" si="273"/>
        <v>#DIV/0!</v>
      </c>
      <c r="X2151" s="197" t="e">
        <f t="shared" si="274"/>
        <v>#DIV/0!</v>
      </c>
    </row>
    <row r="2152" ht="11.4" hidden="1" customHeight="1" spans="1:24">
      <c r="A2152" s="184" t="s">
        <v>3206</v>
      </c>
      <c r="B2152" s="184" t="s">
        <v>145</v>
      </c>
      <c r="C2152" s="184" t="s">
        <v>2074</v>
      </c>
      <c r="D2152" s="185" t="s">
        <v>704</v>
      </c>
      <c r="E2152" s="186" t="s">
        <v>906</v>
      </c>
      <c r="F2152" s="186" t="s">
        <v>907</v>
      </c>
      <c r="G2152" s="186" t="s">
        <v>2075</v>
      </c>
      <c r="H2152" s="186" t="s">
        <v>2076</v>
      </c>
      <c r="I2152" s="187" t="s">
        <v>2119</v>
      </c>
      <c r="J2152" s="187" t="s">
        <v>2120</v>
      </c>
      <c r="K2152" s="188"/>
      <c r="L2152" s="188"/>
      <c r="M2152" s="189" t="s">
        <v>1018</v>
      </c>
      <c r="N2152" s="190">
        <v>75.6</v>
      </c>
      <c r="O2152" s="190">
        <f t="shared" si="267"/>
        <v>82.4</v>
      </c>
      <c r="P2152" s="191">
        <f t="shared" si="268"/>
        <v>0</v>
      </c>
      <c r="Q2152" s="192">
        <f t="shared" si="269"/>
        <v>0</v>
      </c>
      <c r="R2152" s="193"/>
      <c r="S2152" s="194"/>
      <c r="T2152" s="195">
        <f t="shared" si="270"/>
        <v>0</v>
      </c>
      <c r="U2152" s="195">
        <f t="shared" si="271"/>
        <v>0</v>
      </c>
      <c r="V2152" s="195">
        <f t="shared" si="272"/>
        <v>0</v>
      </c>
      <c r="W2152" s="196" t="e">
        <f t="shared" si="273"/>
        <v>#DIV/0!</v>
      </c>
      <c r="X2152" s="197" t="e">
        <f t="shared" si="274"/>
        <v>#DIV/0!</v>
      </c>
    </row>
    <row r="2153" ht="11.4" hidden="1" customHeight="1" spans="1:24">
      <c r="A2153" s="184" t="s">
        <v>3206</v>
      </c>
      <c r="B2153" s="184" t="s">
        <v>145</v>
      </c>
      <c r="C2153" s="184" t="s">
        <v>2074</v>
      </c>
      <c r="D2153" s="185" t="s">
        <v>704</v>
      </c>
      <c r="E2153" s="186" t="s">
        <v>906</v>
      </c>
      <c r="F2153" s="186" t="s">
        <v>907</v>
      </c>
      <c r="G2153" s="186" t="s">
        <v>2075</v>
      </c>
      <c r="H2153" s="186" t="s">
        <v>2076</v>
      </c>
      <c r="I2153" s="187" t="s">
        <v>2121</v>
      </c>
      <c r="J2153" s="187" t="s">
        <v>2122</v>
      </c>
      <c r="K2153" s="188"/>
      <c r="L2153" s="188"/>
      <c r="M2153" s="189" t="s">
        <v>1018</v>
      </c>
      <c r="N2153" s="190">
        <v>38.85</v>
      </c>
      <c r="O2153" s="190">
        <f t="shared" si="267"/>
        <v>42.35</v>
      </c>
      <c r="P2153" s="191">
        <f t="shared" si="268"/>
        <v>0</v>
      </c>
      <c r="Q2153" s="192">
        <f t="shared" si="269"/>
        <v>0</v>
      </c>
      <c r="R2153" s="193"/>
      <c r="S2153" s="194"/>
      <c r="T2153" s="195">
        <f t="shared" si="270"/>
        <v>0</v>
      </c>
      <c r="U2153" s="195">
        <f t="shared" si="271"/>
        <v>0</v>
      </c>
      <c r="V2153" s="195">
        <f t="shared" si="272"/>
        <v>0</v>
      </c>
      <c r="W2153" s="196" t="e">
        <f t="shared" si="273"/>
        <v>#DIV/0!</v>
      </c>
      <c r="X2153" s="197" t="e">
        <f t="shared" si="274"/>
        <v>#DIV/0!</v>
      </c>
    </row>
    <row r="2154" ht="11.4" hidden="1" customHeight="1" spans="1:24">
      <c r="A2154" s="184" t="s">
        <v>3206</v>
      </c>
      <c r="B2154" s="184" t="s">
        <v>145</v>
      </c>
      <c r="C2154" s="184" t="s">
        <v>2074</v>
      </c>
      <c r="D2154" s="185" t="s">
        <v>704</v>
      </c>
      <c r="E2154" s="186" t="s">
        <v>906</v>
      </c>
      <c r="F2154" s="186" t="s">
        <v>907</v>
      </c>
      <c r="G2154" s="186" t="s">
        <v>2075</v>
      </c>
      <c r="H2154" s="186" t="s">
        <v>2076</v>
      </c>
      <c r="I2154" s="187" t="s">
        <v>2123</v>
      </c>
      <c r="J2154" s="187" t="s">
        <v>2124</v>
      </c>
      <c r="K2154" s="188"/>
      <c r="L2154" s="188"/>
      <c r="M2154" s="189" t="s">
        <v>1018</v>
      </c>
      <c r="N2154" s="190">
        <v>8.4</v>
      </c>
      <c r="O2154" s="190">
        <f t="shared" si="267"/>
        <v>9.16</v>
      </c>
      <c r="P2154" s="191">
        <f t="shared" si="268"/>
        <v>0</v>
      </c>
      <c r="Q2154" s="192">
        <f t="shared" si="269"/>
        <v>0</v>
      </c>
      <c r="R2154" s="193"/>
      <c r="S2154" s="194"/>
      <c r="T2154" s="195">
        <f t="shared" si="270"/>
        <v>0</v>
      </c>
      <c r="U2154" s="195">
        <f t="shared" si="271"/>
        <v>0</v>
      </c>
      <c r="V2154" s="195">
        <f t="shared" si="272"/>
        <v>0</v>
      </c>
      <c r="W2154" s="196" t="e">
        <f t="shared" si="273"/>
        <v>#DIV/0!</v>
      </c>
      <c r="X2154" s="197" t="e">
        <f t="shared" si="274"/>
        <v>#DIV/0!</v>
      </c>
    </row>
    <row r="2155" ht="11.4" hidden="1" customHeight="1" spans="1:24">
      <c r="A2155" s="184" t="s">
        <v>3206</v>
      </c>
      <c r="B2155" s="184" t="s">
        <v>145</v>
      </c>
      <c r="C2155" s="184" t="s">
        <v>2074</v>
      </c>
      <c r="D2155" s="185" t="s">
        <v>704</v>
      </c>
      <c r="E2155" s="186" t="s">
        <v>906</v>
      </c>
      <c r="F2155" s="186" t="s">
        <v>907</v>
      </c>
      <c r="G2155" s="186" t="s">
        <v>2075</v>
      </c>
      <c r="H2155" s="186" t="s">
        <v>2076</v>
      </c>
      <c r="I2155" s="187" t="s">
        <v>2125</v>
      </c>
      <c r="J2155" s="187" t="s">
        <v>2126</v>
      </c>
      <c r="K2155" s="188"/>
      <c r="L2155" s="188"/>
      <c r="M2155" s="189" t="s">
        <v>1018</v>
      </c>
      <c r="N2155" s="190">
        <v>119.7</v>
      </c>
      <c r="O2155" s="190">
        <f t="shared" si="267"/>
        <v>130.47</v>
      </c>
      <c r="P2155" s="191">
        <f t="shared" si="268"/>
        <v>0</v>
      </c>
      <c r="Q2155" s="192">
        <f t="shared" si="269"/>
        <v>0</v>
      </c>
      <c r="R2155" s="193"/>
      <c r="S2155" s="194"/>
      <c r="T2155" s="195">
        <f t="shared" si="270"/>
        <v>0</v>
      </c>
      <c r="U2155" s="195">
        <f t="shared" si="271"/>
        <v>0</v>
      </c>
      <c r="V2155" s="195">
        <f t="shared" si="272"/>
        <v>0</v>
      </c>
      <c r="W2155" s="196" t="e">
        <f t="shared" si="273"/>
        <v>#DIV/0!</v>
      </c>
      <c r="X2155" s="197" t="e">
        <f t="shared" si="274"/>
        <v>#DIV/0!</v>
      </c>
    </row>
    <row r="2156" ht="11.4" hidden="1" customHeight="1" spans="1:24">
      <c r="A2156" s="184" t="s">
        <v>3206</v>
      </c>
      <c r="B2156" s="184" t="s">
        <v>145</v>
      </c>
      <c r="C2156" s="184" t="s">
        <v>2074</v>
      </c>
      <c r="D2156" s="185" t="s">
        <v>704</v>
      </c>
      <c r="E2156" s="186" t="s">
        <v>906</v>
      </c>
      <c r="F2156" s="186" t="s">
        <v>907</v>
      </c>
      <c r="G2156" s="186" t="s">
        <v>2075</v>
      </c>
      <c r="H2156" s="186" t="s">
        <v>2076</v>
      </c>
      <c r="I2156" s="187" t="s">
        <v>2127</v>
      </c>
      <c r="J2156" s="187" t="s">
        <v>2128</v>
      </c>
      <c r="K2156" s="188"/>
      <c r="L2156" s="188"/>
      <c r="M2156" s="189" t="s">
        <v>1018</v>
      </c>
      <c r="N2156" s="190">
        <v>28.35</v>
      </c>
      <c r="O2156" s="190">
        <f t="shared" si="267"/>
        <v>30.9</v>
      </c>
      <c r="P2156" s="191">
        <f t="shared" si="268"/>
        <v>0</v>
      </c>
      <c r="Q2156" s="192">
        <f t="shared" si="269"/>
        <v>0</v>
      </c>
      <c r="R2156" s="193"/>
      <c r="S2156" s="194"/>
      <c r="T2156" s="195">
        <f t="shared" si="270"/>
        <v>0</v>
      </c>
      <c r="U2156" s="195">
        <f t="shared" si="271"/>
        <v>0</v>
      </c>
      <c r="V2156" s="195">
        <f t="shared" si="272"/>
        <v>0</v>
      </c>
      <c r="W2156" s="196" t="e">
        <f t="shared" si="273"/>
        <v>#DIV/0!</v>
      </c>
      <c r="X2156" s="197" t="e">
        <f t="shared" si="274"/>
        <v>#DIV/0!</v>
      </c>
    </row>
    <row r="2157" ht="11.4" hidden="1" customHeight="1" spans="1:24">
      <c r="A2157" s="184" t="s">
        <v>3206</v>
      </c>
      <c r="B2157" s="184" t="s">
        <v>145</v>
      </c>
      <c r="C2157" s="184" t="s">
        <v>2074</v>
      </c>
      <c r="D2157" s="185" t="s">
        <v>704</v>
      </c>
      <c r="E2157" s="186" t="s">
        <v>906</v>
      </c>
      <c r="F2157" s="186" t="s">
        <v>907</v>
      </c>
      <c r="G2157" s="186" t="s">
        <v>2075</v>
      </c>
      <c r="H2157" s="186" t="s">
        <v>2076</v>
      </c>
      <c r="I2157" s="187" t="s">
        <v>2129</v>
      </c>
      <c r="J2157" s="187" t="s">
        <v>2130</v>
      </c>
      <c r="K2157" s="188"/>
      <c r="L2157" s="188"/>
      <c r="M2157" s="189" t="s">
        <v>1018</v>
      </c>
      <c r="N2157" s="190">
        <v>102.9</v>
      </c>
      <c r="O2157" s="190">
        <f t="shared" si="267"/>
        <v>112.16</v>
      </c>
      <c r="P2157" s="191">
        <f t="shared" si="268"/>
        <v>0</v>
      </c>
      <c r="Q2157" s="192">
        <f t="shared" si="269"/>
        <v>0</v>
      </c>
      <c r="R2157" s="193"/>
      <c r="S2157" s="194"/>
      <c r="T2157" s="195">
        <f t="shared" si="270"/>
        <v>0</v>
      </c>
      <c r="U2157" s="195">
        <f t="shared" si="271"/>
        <v>0</v>
      </c>
      <c r="V2157" s="195">
        <f t="shared" si="272"/>
        <v>0</v>
      </c>
      <c r="W2157" s="196" t="e">
        <f t="shared" si="273"/>
        <v>#DIV/0!</v>
      </c>
      <c r="X2157" s="197" t="e">
        <f t="shared" si="274"/>
        <v>#DIV/0!</v>
      </c>
    </row>
    <row r="2158" ht="11.4" hidden="1" customHeight="1" spans="1:24">
      <c r="A2158" s="184" t="s">
        <v>3206</v>
      </c>
      <c r="B2158" s="184" t="s">
        <v>145</v>
      </c>
      <c r="C2158" s="184" t="s">
        <v>2074</v>
      </c>
      <c r="D2158" s="185" t="s">
        <v>704</v>
      </c>
      <c r="E2158" s="186" t="s">
        <v>906</v>
      </c>
      <c r="F2158" s="186" t="s">
        <v>907</v>
      </c>
      <c r="G2158" s="186" t="s">
        <v>2075</v>
      </c>
      <c r="H2158" s="186" t="s">
        <v>2076</v>
      </c>
      <c r="I2158" s="187" t="s">
        <v>2131</v>
      </c>
      <c r="J2158" s="187" t="s">
        <v>2132</v>
      </c>
      <c r="K2158" s="188"/>
      <c r="L2158" s="188"/>
      <c r="M2158" s="189" t="s">
        <v>1018</v>
      </c>
      <c r="N2158" s="190">
        <v>176.4</v>
      </c>
      <c r="O2158" s="190">
        <f t="shared" si="267"/>
        <v>192.28</v>
      </c>
      <c r="P2158" s="191">
        <f t="shared" si="268"/>
        <v>0</v>
      </c>
      <c r="Q2158" s="192">
        <f t="shared" si="269"/>
        <v>0</v>
      </c>
      <c r="R2158" s="193"/>
      <c r="S2158" s="194"/>
      <c r="T2158" s="195">
        <f t="shared" si="270"/>
        <v>0</v>
      </c>
      <c r="U2158" s="195">
        <f t="shared" si="271"/>
        <v>0</v>
      </c>
      <c r="V2158" s="195">
        <f t="shared" si="272"/>
        <v>0</v>
      </c>
      <c r="W2158" s="196" t="e">
        <f t="shared" si="273"/>
        <v>#DIV/0!</v>
      </c>
      <c r="X2158" s="197" t="e">
        <f t="shared" si="274"/>
        <v>#DIV/0!</v>
      </c>
    </row>
    <row r="2159" ht="11.4" hidden="1" customHeight="1" spans="1:24">
      <c r="A2159" s="184" t="s">
        <v>3206</v>
      </c>
      <c r="B2159" s="184" t="s">
        <v>145</v>
      </c>
      <c r="C2159" s="184" t="s">
        <v>2074</v>
      </c>
      <c r="D2159" s="185" t="s">
        <v>704</v>
      </c>
      <c r="E2159" s="186" t="s">
        <v>906</v>
      </c>
      <c r="F2159" s="186" t="s">
        <v>907</v>
      </c>
      <c r="G2159" s="186" t="s">
        <v>2075</v>
      </c>
      <c r="H2159" s="186" t="s">
        <v>2076</v>
      </c>
      <c r="I2159" s="187" t="s">
        <v>2133</v>
      </c>
      <c r="J2159" s="187" t="s">
        <v>2134</v>
      </c>
      <c r="K2159" s="188"/>
      <c r="L2159" s="188"/>
      <c r="M2159" s="189" t="s">
        <v>1018</v>
      </c>
      <c r="N2159" s="190">
        <v>176.4</v>
      </c>
      <c r="O2159" s="190">
        <f t="shared" si="267"/>
        <v>192.28</v>
      </c>
      <c r="P2159" s="191">
        <f t="shared" si="268"/>
        <v>0</v>
      </c>
      <c r="Q2159" s="192">
        <f t="shared" si="269"/>
        <v>0</v>
      </c>
      <c r="R2159" s="193"/>
      <c r="S2159" s="194"/>
      <c r="T2159" s="195">
        <f t="shared" si="270"/>
        <v>0</v>
      </c>
      <c r="U2159" s="195">
        <f t="shared" si="271"/>
        <v>0</v>
      </c>
      <c r="V2159" s="195">
        <f t="shared" si="272"/>
        <v>0</v>
      </c>
      <c r="W2159" s="196" t="e">
        <f t="shared" si="273"/>
        <v>#DIV/0!</v>
      </c>
      <c r="X2159" s="197" t="e">
        <f t="shared" si="274"/>
        <v>#DIV/0!</v>
      </c>
    </row>
    <row r="2160" ht="11.4" hidden="1" customHeight="1" spans="1:24">
      <c r="A2160" s="184" t="s">
        <v>3206</v>
      </c>
      <c r="B2160" s="184" t="s">
        <v>145</v>
      </c>
      <c r="C2160" s="184" t="s">
        <v>2074</v>
      </c>
      <c r="D2160" s="185" t="s">
        <v>704</v>
      </c>
      <c r="E2160" s="186" t="s">
        <v>906</v>
      </c>
      <c r="F2160" s="186" t="s">
        <v>907</v>
      </c>
      <c r="G2160" s="186" t="s">
        <v>2075</v>
      </c>
      <c r="H2160" s="186" t="s">
        <v>2076</v>
      </c>
      <c r="I2160" s="187" t="s">
        <v>2135</v>
      </c>
      <c r="J2160" s="187" t="s">
        <v>2136</v>
      </c>
      <c r="K2160" s="188"/>
      <c r="L2160" s="188"/>
      <c r="M2160" s="189" t="s">
        <v>1018</v>
      </c>
      <c r="N2160" s="190">
        <v>97.65</v>
      </c>
      <c r="O2160" s="190">
        <f t="shared" si="267"/>
        <v>106.44</v>
      </c>
      <c r="P2160" s="191">
        <f t="shared" si="268"/>
        <v>0</v>
      </c>
      <c r="Q2160" s="192">
        <f t="shared" si="269"/>
        <v>0</v>
      </c>
      <c r="R2160" s="193"/>
      <c r="S2160" s="194"/>
      <c r="T2160" s="195">
        <f t="shared" si="270"/>
        <v>0</v>
      </c>
      <c r="U2160" s="195">
        <f t="shared" si="271"/>
        <v>0</v>
      </c>
      <c r="V2160" s="195">
        <f t="shared" si="272"/>
        <v>0</v>
      </c>
      <c r="W2160" s="196" t="e">
        <f t="shared" si="273"/>
        <v>#DIV/0!</v>
      </c>
      <c r="X2160" s="197" t="e">
        <f t="shared" si="274"/>
        <v>#DIV/0!</v>
      </c>
    </row>
    <row r="2161" ht="11.4" hidden="1" customHeight="1" spans="1:24">
      <c r="A2161" s="184" t="s">
        <v>3206</v>
      </c>
      <c r="B2161" s="184" t="s">
        <v>145</v>
      </c>
      <c r="C2161" s="184" t="s">
        <v>2074</v>
      </c>
      <c r="D2161" s="185" t="s">
        <v>704</v>
      </c>
      <c r="E2161" s="186" t="s">
        <v>906</v>
      </c>
      <c r="F2161" s="186" t="s">
        <v>907</v>
      </c>
      <c r="G2161" s="186" t="s">
        <v>2075</v>
      </c>
      <c r="H2161" s="186" t="s">
        <v>2076</v>
      </c>
      <c r="I2161" s="187" t="s">
        <v>2137</v>
      </c>
      <c r="J2161" s="187" t="s">
        <v>2138</v>
      </c>
      <c r="K2161" s="188"/>
      <c r="L2161" s="188"/>
      <c r="M2161" s="189" t="s">
        <v>807</v>
      </c>
      <c r="N2161" s="190">
        <v>46.2</v>
      </c>
      <c r="O2161" s="190">
        <f t="shared" si="267"/>
        <v>50.36</v>
      </c>
      <c r="P2161" s="191">
        <f t="shared" si="268"/>
        <v>0</v>
      </c>
      <c r="Q2161" s="192">
        <f t="shared" si="269"/>
        <v>0</v>
      </c>
      <c r="R2161" s="193"/>
      <c r="S2161" s="194"/>
      <c r="T2161" s="195">
        <f t="shared" si="270"/>
        <v>0</v>
      </c>
      <c r="U2161" s="195">
        <f t="shared" si="271"/>
        <v>0</v>
      </c>
      <c r="V2161" s="195">
        <f t="shared" si="272"/>
        <v>0</v>
      </c>
      <c r="W2161" s="196" t="e">
        <f t="shared" si="273"/>
        <v>#DIV/0!</v>
      </c>
      <c r="X2161" s="197" t="e">
        <f t="shared" si="274"/>
        <v>#DIV/0!</v>
      </c>
    </row>
    <row r="2162" ht="11.4" hidden="1" customHeight="1" spans="1:24">
      <c r="A2162" s="184" t="s">
        <v>3206</v>
      </c>
      <c r="B2162" s="184" t="s">
        <v>145</v>
      </c>
      <c r="C2162" s="184" t="s">
        <v>2074</v>
      </c>
      <c r="D2162" s="185" t="s">
        <v>704</v>
      </c>
      <c r="E2162" s="186" t="s">
        <v>906</v>
      </c>
      <c r="F2162" s="186" t="s">
        <v>907</v>
      </c>
      <c r="G2162" s="186" t="s">
        <v>2139</v>
      </c>
      <c r="H2162" s="186" t="s">
        <v>2076</v>
      </c>
      <c r="I2162" s="187" t="s">
        <v>2140</v>
      </c>
      <c r="J2162" s="187" t="s">
        <v>2141</v>
      </c>
      <c r="K2162" s="188"/>
      <c r="L2162" s="188"/>
      <c r="M2162" s="189" t="s">
        <v>1018</v>
      </c>
      <c r="N2162" s="190">
        <v>36.75</v>
      </c>
      <c r="O2162" s="190">
        <f t="shared" si="267"/>
        <v>40.06</v>
      </c>
      <c r="P2162" s="191">
        <f t="shared" si="268"/>
        <v>0</v>
      </c>
      <c r="Q2162" s="192">
        <f t="shared" si="269"/>
        <v>0</v>
      </c>
      <c r="R2162" s="193"/>
      <c r="S2162" s="194"/>
      <c r="T2162" s="195">
        <f t="shared" si="270"/>
        <v>0</v>
      </c>
      <c r="U2162" s="195">
        <f t="shared" si="271"/>
        <v>0</v>
      </c>
      <c r="V2162" s="195">
        <f t="shared" si="272"/>
        <v>0</v>
      </c>
      <c r="W2162" s="196" t="e">
        <f t="shared" si="273"/>
        <v>#DIV/0!</v>
      </c>
      <c r="X2162" s="197" t="e">
        <f t="shared" si="274"/>
        <v>#DIV/0!</v>
      </c>
    </row>
    <row r="2163" ht="11.4" hidden="1" customHeight="1" spans="1:24">
      <c r="A2163" s="184" t="s">
        <v>3206</v>
      </c>
      <c r="B2163" s="184" t="s">
        <v>145</v>
      </c>
      <c r="C2163" s="184" t="s">
        <v>2074</v>
      </c>
      <c r="D2163" s="185" t="s">
        <v>704</v>
      </c>
      <c r="E2163" s="186" t="s">
        <v>906</v>
      </c>
      <c r="F2163" s="186" t="s">
        <v>907</v>
      </c>
      <c r="G2163" s="186" t="s">
        <v>2075</v>
      </c>
      <c r="H2163" s="186" t="s">
        <v>2076</v>
      </c>
      <c r="I2163" s="187" t="s">
        <v>2142</v>
      </c>
      <c r="J2163" s="187" t="s">
        <v>2143</v>
      </c>
      <c r="K2163" s="188"/>
      <c r="L2163" s="188"/>
      <c r="M2163" s="189" t="s">
        <v>1018</v>
      </c>
      <c r="N2163" s="190">
        <v>92.4</v>
      </c>
      <c r="O2163" s="190">
        <f t="shared" si="267"/>
        <v>100.72</v>
      </c>
      <c r="P2163" s="191">
        <f t="shared" si="268"/>
        <v>0</v>
      </c>
      <c r="Q2163" s="192">
        <f t="shared" si="269"/>
        <v>0</v>
      </c>
      <c r="R2163" s="193"/>
      <c r="S2163" s="194"/>
      <c r="T2163" s="195">
        <f t="shared" si="270"/>
        <v>0</v>
      </c>
      <c r="U2163" s="195">
        <f t="shared" si="271"/>
        <v>0</v>
      </c>
      <c r="V2163" s="195">
        <f t="shared" si="272"/>
        <v>0</v>
      </c>
      <c r="W2163" s="196" t="e">
        <f t="shared" si="273"/>
        <v>#DIV/0!</v>
      </c>
      <c r="X2163" s="197" t="e">
        <f t="shared" si="274"/>
        <v>#DIV/0!</v>
      </c>
    </row>
    <row r="2164" ht="11.4" hidden="1" customHeight="1" spans="1:24">
      <c r="A2164" s="184" t="s">
        <v>3206</v>
      </c>
      <c r="B2164" s="184" t="s">
        <v>145</v>
      </c>
      <c r="C2164" s="184" t="s">
        <v>2074</v>
      </c>
      <c r="D2164" s="185" t="s">
        <v>704</v>
      </c>
      <c r="E2164" s="186" t="s">
        <v>906</v>
      </c>
      <c r="F2164" s="186" t="s">
        <v>907</v>
      </c>
      <c r="G2164" s="186" t="s">
        <v>2075</v>
      </c>
      <c r="H2164" s="186" t="s">
        <v>2076</v>
      </c>
      <c r="I2164" s="187" t="s">
        <v>2144</v>
      </c>
      <c r="J2164" s="187" t="s">
        <v>2145</v>
      </c>
      <c r="K2164" s="188"/>
      <c r="L2164" s="188"/>
      <c r="M2164" s="189" t="s">
        <v>1018</v>
      </c>
      <c r="N2164" s="190">
        <v>111.3</v>
      </c>
      <c r="O2164" s="190">
        <f t="shared" si="267"/>
        <v>121.32</v>
      </c>
      <c r="P2164" s="191">
        <f t="shared" si="268"/>
        <v>0</v>
      </c>
      <c r="Q2164" s="192">
        <f t="shared" si="269"/>
        <v>0</v>
      </c>
      <c r="R2164" s="193"/>
      <c r="S2164" s="194"/>
      <c r="T2164" s="195">
        <f t="shared" si="270"/>
        <v>0</v>
      </c>
      <c r="U2164" s="195">
        <f t="shared" si="271"/>
        <v>0</v>
      </c>
      <c r="V2164" s="195">
        <f t="shared" si="272"/>
        <v>0</v>
      </c>
      <c r="W2164" s="196" t="e">
        <f t="shared" si="273"/>
        <v>#DIV/0!</v>
      </c>
      <c r="X2164" s="197" t="e">
        <f t="shared" si="274"/>
        <v>#DIV/0!</v>
      </c>
    </row>
    <row r="2165" ht="11.4" hidden="1" customHeight="1" spans="1:24">
      <c r="A2165" s="184" t="s">
        <v>3206</v>
      </c>
      <c r="B2165" s="184" t="s">
        <v>145</v>
      </c>
      <c r="C2165" s="184" t="s">
        <v>2074</v>
      </c>
      <c r="D2165" s="185" t="s">
        <v>704</v>
      </c>
      <c r="E2165" s="186" t="s">
        <v>906</v>
      </c>
      <c r="F2165" s="186" t="s">
        <v>907</v>
      </c>
      <c r="G2165" s="186" t="s">
        <v>2075</v>
      </c>
      <c r="H2165" s="186" t="s">
        <v>2076</v>
      </c>
      <c r="I2165" s="187" t="s">
        <v>2146</v>
      </c>
      <c r="J2165" s="187" t="s">
        <v>2147</v>
      </c>
      <c r="K2165" s="188"/>
      <c r="L2165" s="188"/>
      <c r="M2165" s="189" t="s">
        <v>1018</v>
      </c>
      <c r="N2165" s="190">
        <v>181.65</v>
      </c>
      <c r="O2165" s="190">
        <f t="shared" si="267"/>
        <v>198</v>
      </c>
      <c r="P2165" s="191">
        <f t="shared" si="268"/>
        <v>0</v>
      </c>
      <c r="Q2165" s="192">
        <f t="shared" si="269"/>
        <v>0</v>
      </c>
      <c r="R2165" s="193"/>
      <c r="S2165" s="194"/>
      <c r="T2165" s="195">
        <f t="shared" si="270"/>
        <v>0</v>
      </c>
      <c r="U2165" s="195">
        <f t="shared" si="271"/>
        <v>0</v>
      </c>
      <c r="V2165" s="195">
        <f t="shared" si="272"/>
        <v>0</v>
      </c>
      <c r="W2165" s="196" t="e">
        <f t="shared" si="273"/>
        <v>#DIV/0!</v>
      </c>
      <c r="X2165" s="197" t="e">
        <f t="shared" si="274"/>
        <v>#DIV/0!</v>
      </c>
    </row>
    <row r="2166" ht="11.4" hidden="1" customHeight="1" spans="1:24">
      <c r="A2166" s="184" t="s">
        <v>3206</v>
      </c>
      <c r="B2166" s="184" t="s">
        <v>145</v>
      </c>
      <c r="C2166" s="184" t="s">
        <v>2074</v>
      </c>
      <c r="D2166" s="185" t="s">
        <v>704</v>
      </c>
      <c r="E2166" s="186" t="s">
        <v>906</v>
      </c>
      <c r="F2166" s="186" t="s">
        <v>907</v>
      </c>
      <c r="G2166" s="186" t="s">
        <v>2075</v>
      </c>
      <c r="H2166" s="186" t="s">
        <v>2076</v>
      </c>
      <c r="I2166" s="187" t="s">
        <v>2148</v>
      </c>
      <c r="J2166" s="187" t="s">
        <v>2149</v>
      </c>
      <c r="K2166" s="188"/>
      <c r="L2166" s="188"/>
      <c r="M2166" s="189" t="s">
        <v>1018</v>
      </c>
      <c r="N2166" s="190">
        <v>198.45</v>
      </c>
      <c r="O2166" s="190">
        <f t="shared" si="267"/>
        <v>216.31</v>
      </c>
      <c r="P2166" s="191">
        <f t="shared" si="268"/>
        <v>0</v>
      </c>
      <c r="Q2166" s="192">
        <f t="shared" si="269"/>
        <v>0</v>
      </c>
      <c r="R2166" s="193"/>
      <c r="S2166" s="194"/>
      <c r="T2166" s="195">
        <f t="shared" si="270"/>
        <v>0</v>
      </c>
      <c r="U2166" s="195">
        <f t="shared" si="271"/>
        <v>0</v>
      </c>
      <c r="V2166" s="195">
        <f t="shared" si="272"/>
        <v>0</v>
      </c>
      <c r="W2166" s="196" t="e">
        <f t="shared" si="273"/>
        <v>#DIV/0!</v>
      </c>
      <c r="X2166" s="197" t="e">
        <f t="shared" si="274"/>
        <v>#DIV/0!</v>
      </c>
    </row>
    <row r="2167" ht="11.4" hidden="1" customHeight="1" spans="1:24">
      <c r="A2167" s="184" t="s">
        <v>3206</v>
      </c>
      <c r="B2167" s="184" t="s">
        <v>145</v>
      </c>
      <c r="C2167" s="184" t="s">
        <v>2074</v>
      </c>
      <c r="D2167" s="185" t="s">
        <v>704</v>
      </c>
      <c r="E2167" s="186" t="s">
        <v>906</v>
      </c>
      <c r="F2167" s="186" t="s">
        <v>907</v>
      </c>
      <c r="G2167" s="186" t="s">
        <v>2075</v>
      </c>
      <c r="H2167" s="186" t="s">
        <v>2076</v>
      </c>
      <c r="I2167" s="187" t="s">
        <v>2150</v>
      </c>
      <c r="J2167" s="187" t="s">
        <v>2151</v>
      </c>
      <c r="K2167" s="188"/>
      <c r="L2167" s="188"/>
      <c r="M2167" s="189" t="s">
        <v>1018</v>
      </c>
      <c r="N2167" s="190">
        <v>113.4</v>
      </c>
      <c r="O2167" s="190">
        <f t="shared" si="267"/>
        <v>123.61</v>
      </c>
      <c r="P2167" s="191">
        <f t="shared" si="268"/>
        <v>0</v>
      </c>
      <c r="Q2167" s="192">
        <f t="shared" si="269"/>
        <v>0</v>
      </c>
      <c r="R2167" s="193"/>
      <c r="S2167" s="194"/>
      <c r="T2167" s="195">
        <f t="shared" si="270"/>
        <v>0</v>
      </c>
      <c r="U2167" s="195">
        <f t="shared" si="271"/>
        <v>0</v>
      </c>
      <c r="V2167" s="195">
        <f t="shared" si="272"/>
        <v>0</v>
      </c>
      <c r="W2167" s="196" t="e">
        <f t="shared" si="273"/>
        <v>#DIV/0!</v>
      </c>
      <c r="X2167" s="197" t="e">
        <f t="shared" si="274"/>
        <v>#DIV/0!</v>
      </c>
    </row>
    <row r="2168" ht="11.4" hidden="1" customHeight="1" spans="1:24">
      <c r="A2168" s="184" t="s">
        <v>3206</v>
      </c>
      <c r="B2168" s="184" t="s">
        <v>145</v>
      </c>
      <c r="C2168" s="184" t="s">
        <v>2074</v>
      </c>
      <c r="D2168" s="185" t="s">
        <v>704</v>
      </c>
      <c r="E2168" s="186" t="s">
        <v>906</v>
      </c>
      <c r="F2168" s="186" t="s">
        <v>907</v>
      </c>
      <c r="G2168" s="186" t="s">
        <v>2075</v>
      </c>
      <c r="H2168" s="186" t="s">
        <v>2076</v>
      </c>
      <c r="I2168" s="187" t="s">
        <v>2152</v>
      </c>
      <c r="J2168" s="187" t="s">
        <v>2153</v>
      </c>
      <c r="K2168" s="188"/>
      <c r="L2168" s="188"/>
      <c r="M2168" s="189" t="s">
        <v>1018</v>
      </c>
      <c r="N2168" s="190">
        <v>152.56</v>
      </c>
      <c r="O2168" s="190">
        <f t="shared" si="267"/>
        <v>166.29</v>
      </c>
      <c r="P2168" s="191">
        <f t="shared" si="268"/>
        <v>0</v>
      </c>
      <c r="Q2168" s="192">
        <f t="shared" si="269"/>
        <v>0</v>
      </c>
      <c r="R2168" s="193"/>
      <c r="S2168" s="194"/>
      <c r="T2168" s="195">
        <f t="shared" si="270"/>
        <v>0</v>
      </c>
      <c r="U2168" s="195">
        <f t="shared" si="271"/>
        <v>0</v>
      </c>
      <c r="V2168" s="195">
        <f t="shared" si="272"/>
        <v>0</v>
      </c>
      <c r="W2168" s="196" t="e">
        <f t="shared" si="273"/>
        <v>#DIV/0!</v>
      </c>
      <c r="X2168" s="197" t="e">
        <f t="shared" si="274"/>
        <v>#DIV/0!</v>
      </c>
    </row>
    <row r="2169" ht="11.4" hidden="1" customHeight="1" spans="1:24">
      <c r="A2169" s="184" t="s">
        <v>3206</v>
      </c>
      <c r="B2169" s="184" t="s">
        <v>145</v>
      </c>
      <c r="C2169" s="184" t="s">
        <v>2074</v>
      </c>
      <c r="D2169" s="185" t="s">
        <v>704</v>
      </c>
      <c r="E2169" s="186" t="s">
        <v>906</v>
      </c>
      <c r="F2169" s="186" t="s">
        <v>907</v>
      </c>
      <c r="G2169" s="186" t="s">
        <v>2075</v>
      </c>
      <c r="H2169" s="186" t="s">
        <v>2076</v>
      </c>
      <c r="I2169" s="187" t="s">
        <v>2154</v>
      </c>
      <c r="J2169" s="187" t="s">
        <v>2155</v>
      </c>
      <c r="K2169" s="188"/>
      <c r="L2169" s="188"/>
      <c r="M2169" s="189" t="s">
        <v>1018</v>
      </c>
      <c r="N2169" s="190">
        <v>184.8</v>
      </c>
      <c r="O2169" s="190">
        <f t="shared" si="267"/>
        <v>201.43</v>
      </c>
      <c r="P2169" s="191">
        <f t="shared" si="268"/>
        <v>0</v>
      </c>
      <c r="Q2169" s="192">
        <f t="shared" si="269"/>
        <v>0</v>
      </c>
      <c r="R2169" s="193"/>
      <c r="S2169" s="194"/>
      <c r="T2169" s="195">
        <f t="shared" si="270"/>
        <v>0</v>
      </c>
      <c r="U2169" s="195">
        <f t="shared" si="271"/>
        <v>0</v>
      </c>
      <c r="V2169" s="195">
        <f t="shared" si="272"/>
        <v>0</v>
      </c>
      <c r="W2169" s="196" t="e">
        <f t="shared" si="273"/>
        <v>#DIV/0!</v>
      </c>
      <c r="X2169" s="197" t="e">
        <f t="shared" si="274"/>
        <v>#DIV/0!</v>
      </c>
    </row>
    <row r="2170" ht="11.4" hidden="1" customHeight="1" spans="1:24">
      <c r="A2170" s="184" t="s">
        <v>3206</v>
      </c>
      <c r="B2170" s="184" t="s">
        <v>145</v>
      </c>
      <c r="C2170" s="184" t="s">
        <v>2074</v>
      </c>
      <c r="D2170" s="185" t="s">
        <v>704</v>
      </c>
      <c r="E2170" s="186" t="s">
        <v>906</v>
      </c>
      <c r="F2170" s="186" t="s">
        <v>907</v>
      </c>
      <c r="G2170" s="186" t="s">
        <v>2075</v>
      </c>
      <c r="H2170" s="186" t="s">
        <v>2076</v>
      </c>
      <c r="I2170" s="187" t="s">
        <v>2156</v>
      </c>
      <c r="J2170" s="187" t="s">
        <v>2157</v>
      </c>
      <c r="K2170" s="188"/>
      <c r="L2170" s="188"/>
      <c r="M2170" s="189" t="s">
        <v>1018</v>
      </c>
      <c r="N2170" s="190">
        <v>89.25</v>
      </c>
      <c r="O2170" s="190">
        <f t="shared" si="267"/>
        <v>97.28</v>
      </c>
      <c r="P2170" s="191">
        <f t="shared" si="268"/>
        <v>0</v>
      </c>
      <c r="Q2170" s="192">
        <f t="shared" si="269"/>
        <v>0</v>
      </c>
      <c r="R2170" s="193"/>
      <c r="S2170" s="194"/>
      <c r="T2170" s="195">
        <f t="shared" si="270"/>
        <v>0</v>
      </c>
      <c r="U2170" s="195">
        <f t="shared" si="271"/>
        <v>0</v>
      </c>
      <c r="V2170" s="195">
        <f t="shared" si="272"/>
        <v>0</v>
      </c>
      <c r="W2170" s="196" t="e">
        <f t="shared" si="273"/>
        <v>#DIV/0!</v>
      </c>
      <c r="X2170" s="197" t="e">
        <f t="shared" si="274"/>
        <v>#DIV/0!</v>
      </c>
    </row>
    <row r="2171" ht="11.4" hidden="1" customHeight="1" spans="1:24">
      <c r="A2171" s="184" t="s">
        <v>3206</v>
      </c>
      <c r="B2171" s="184" t="s">
        <v>145</v>
      </c>
      <c r="C2171" s="184" t="s">
        <v>2074</v>
      </c>
      <c r="D2171" s="185" t="s">
        <v>704</v>
      </c>
      <c r="E2171" s="186" t="s">
        <v>906</v>
      </c>
      <c r="F2171" s="186" t="s">
        <v>907</v>
      </c>
      <c r="G2171" s="186" t="s">
        <v>2075</v>
      </c>
      <c r="H2171" s="186" t="s">
        <v>2076</v>
      </c>
      <c r="I2171" s="187" t="s">
        <v>2158</v>
      </c>
      <c r="J2171" s="187" t="s">
        <v>2159</v>
      </c>
      <c r="K2171" s="188"/>
      <c r="L2171" s="188"/>
      <c r="M2171" s="189" t="s">
        <v>1018</v>
      </c>
      <c r="N2171" s="190">
        <v>159.74</v>
      </c>
      <c r="O2171" s="190">
        <f t="shared" si="267"/>
        <v>174.12</v>
      </c>
      <c r="P2171" s="191">
        <f t="shared" si="268"/>
        <v>0</v>
      </c>
      <c r="Q2171" s="192">
        <f t="shared" si="269"/>
        <v>0</v>
      </c>
      <c r="R2171" s="193"/>
      <c r="S2171" s="194"/>
      <c r="T2171" s="195">
        <f t="shared" si="270"/>
        <v>0</v>
      </c>
      <c r="U2171" s="195">
        <f t="shared" si="271"/>
        <v>0</v>
      </c>
      <c r="V2171" s="195">
        <f t="shared" si="272"/>
        <v>0</v>
      </c>
      <c r="W2171" s="196" t="e">
        <f t="shared" si="273"/>
        <v>#DIV/0!</v>
      </c>
      <c r="X2171" s="197" t="e">
        <f t="shared" si="274"/>
        <v>#DIV/0!</v>
      </c>
    </row>
    <row r="2172" ht="11.4" hidden="1" customHeight="1" spans="1:24">
      <c r="A2172" s="184" t="s">
        <v>3206</v>
      </c>
      <c r="B2172" s="184" t="s">
        <v>145</v>
      </c>
      <c r="C2172" s="184" t="s">
        <v>2074</v>
      </c>
      <c r="D2172" s="185" t="s">
        <v>704</v>
      </c>
      <c r="E2172" s="186" t="s">
        <v>906</v>
      </c>
      <c r="F2172" s="186" t="s">
        <v>907</v>
      </c>
      <c r="G2172" s="186" t="s">
        <v>2075</v>
      </c>
      <c r="H2172" s="186" t="s">
        <v>2076</v>
      </c>
      <c r="I2172" s="187" t="s">
        <v>2160</v>
      </c>
      <c r="J2172" s="187" t="s">
        <v>2161</v>
      </c>
      <c r="K2172" s="188"/>
      <c r="L2172" s="188"/>
      <c r="M2172" s="189" t="s">
        <v>1018</v>
      </c>
      <c r="N2172" s="190">
        <v>346.5</v>
      </c>
      <c r="O2172" s="190">
        <f t="shared" si="267"/>
        <v>377.69</v>
      </c>
      <c r="P2172" s="191">
        <f t="shared" si="268"/>
        <v>0</v>
      </c>
      <c r="Q2172" s="192">
        <f t="shared" si="269"/>
        <v>0</v>
      </c>
      <c r="R2172" s="193"/>
      <c r="S2172" s="194"/>
      <c r="T2172" s="195">
        <f t="shared" si="270"/>
        <v>0</v>
      </c>
      <c r="U2172" s="195">
        <f t="shared" si="271"/>
        <v>0</v>
      </c>
      <c r="V2172" s="195">
        <f t="shared" si="272"/>
        <v>0</v>
      </c>
      <c r="W2172" s="196" t="e">
        <f t="shared" si="273"/>
        <v>#DIV/0!</v>
      </c>
      <c r="X2172" s="197" t="e">
        <f t="shared" si="274"/>
        <v>#DIV/0!</v>
      </c>
    </row>
    <row r="2173" ht="11.4" hidden="1" customHeight="1" spans="1:24">
      <c r="A2173" s="184" t="s">
        <v>3206</v>
      </c>
      <c r="B2173" s="184" t="s">
        <v>145</v>
      </c>
      <c r="C2173" s="184" t="s">
        <v>2074</v>
      </c>
      <c r="D2173" s="185" t="s">
        <v>704</v>
      </c>
      <c r="E2173" s="186" t="s">
        <v>906</v>
      </c>
      <c r="F2173" s="186" t="s">
        <v>907</v>
      </c>
      <c r="G2173" s="186" t="s">
        <v>2075</v>
      </c>
      <c r="H2173" s="186" t="s">
        <v>2076</v>
      </c>
      <c r="I2173" s="187" t="s">
        <v>2162</v>
      </c>
      <c r="J2173" s="187" t="s">
        <v>2163</v>
      </c>
      <c r="K2173" s="188"/>
      <c r="L2173" s="188"/>
      <c r="M2173" s="189" t="s">
        <v>1018</v>
      </c>
      <c r="N2173" s="190">
        <v>181.65</v>
      </c>
      <c r="O2173" s="190">
        <f t="shared" si="267"/>
        <v>198</v>
      </c>
      <c r="P2173" s="191">
        <f t="shared" si="268"/>
        <v>0</v>
      </c>
      <c r="Q2173" s="192">
        <f t="shared" si="269"/>
        <v>0</v>
      </c>
      <c r="R2173" s="193"/>
      <c r="S2173" s="194"/>
      <c r="T2173" s="195">
        <f t="shared" si="270"/>
        <v>0</v>
      </c>
      <c r="U2173" s="195">
        <f t="shared" si="271"/>
        <v>0</v>
      </c>
      <c r="V2173" s="195">
        <f t="shared" si="272"/>
        <v>0</v>
      </c>
      <c r="W2173" s="196" t="e">
        <f t="shared" si="273"/>
        <v>#DIV/0!</v>
      </c>
      <c r="X2173" s="197" t="e">
        <f t="shared" si="274"/>
        <v>#DIV/0!</v>
      </c>
    </row>
    <row r="2174" ht="11.4" hidden="1" customHeight="1" spans="1:24">
      <c r="A2174" s="184" t="s">
        <v>3206</v>
      </c>
      <c r="B2174" s="184" t="s">
        <v>145</v>
      </c>
      <c r="C2174" s="184" t="s">
        <v>2074</v>
      </c>
      <c r="D2174" s="185" t="s">
        <v>704</v>
      </c>
      <c r="E2174" s="186" t="s">
        <v>906</v>
      </c>
      <c r="F2174" s="186" t="s">
        <v>907</v>
      </c>
      <c r="G2174" s="186" t="s">
        <v>2075</v>
      </c>
      <c r="H2174" s="186" t="s">
        <v>2076</v>
      </c>
      <c r="I2174" s="187" t="s">
        <v>2164</v>
      </c>
      <c r="J2174" s="187" t="s">
        <v>2165</v>
      </c>
      <c r="K2174" s="188"/>
      <c r="L2174" s="188"/>
      <c r="M2174" s="189" t="s">
        <v>1018</v>
      </c>
      <c r="N2174" s="190">
        <v>149.1</v>
      </c>
      <c r="O2174" s="190">
        <f t="shared" si="267"/>
        <v>162.52</v>
      </c>
      <c r="P2174" s="191">
        <f t="shared" si="268"/>
        <v>0</v>
      </c>
      <c r="Q2174" s="192">
        <f t="shared" si="269"/>
        <v>0</v>
      </c>
      <c r="R2174" s="193"/>
      <c r="S2174" s="194"/>
      <c r="T2174" s="195">
        <f t="shared" si="270"/>
        <v>0</v>
      </c>
      <c r="U2174" s="195">
        <f t="shared" si="271"/>
        <v>0</v>
      </c>
      <c r="V2174" s="195">
        <f t="shared" si="272"/>
        <v>0</v>
      </c>
      <c r="W2174" s="196" t="e">
        <f t="shared" si="273"/>
        <v>#DIV/0!</v>
      </c>
      <c r="X2174" s="197" t="e">
        <f t="shared" si="274"/>
        <v>#DIV/0!</v>
      </c>
    </row>
    <row r="2175" ht="11.4" hidden="1" customHeight="1" spans="1:24">
      <c r="A2175" s="184" t="s">
        <v>3206</v>
      </c>
      <c r="B2175" s="184" t="s">
        <v>145</v>
      </c>
      <c r="C2175" s="184" t="s">
        <v>2074</v>
      </c>
      <c r="D2175" s="185" t="s">
        <v>704</v>
      </c>
      <c r="E2175" s="186" t="s">
        <v>906</v>
      </c>
      <c r="F2175" s="186" t="s">
        <v>907</v>
      </c>
      <c r="G2175" s="186" t="s">
        <v>2075</v>
      </c>
      <c r="H2175" s="186" t="s">
        <v>2076</v>
      </c>
      <c r="I2175" s="187" t="s">
        <v>2166</v>
      </c>
      <c r="J2175" s="187" t="s">
        <v>2167</v>
      </c>
      <c r="K2175" s="188"/>
      <c r="L2175" s="188"/>
      <c r="M2175" s="189" t="s">
        <v>1018</v>
      </c>
      <c r="N2175" s="190">
        <v>113.4</v>
      </c>
      <c r="O2175" s="190">
        <f t="shared" si="267"/>
        <v>123.61</v>
      </c>
      <c r="P2175" s="191">
        <f t="shared" si="268"/>
        <v>0</v>
      </c>
      <c r="Q2175" s="192">
        <f t="shared" si="269"/>
        <v>0</v>
      </c>
      <c r="R2175" s="193"/>
      <c r="S2175" s="194"/>
      <c r="T2175" s="195">
        <f t="shared" si="270"/>
        <v>0</v>
      </c>
      <c r="U2175" s="195">
        <f t="shared" si="271"/>
        <v>0</v>
      </c>
      <c r="V2175" s="195">
        <f t="shared" si="272"/>
        <v>0</v>
      </c>
      <c r="W2175" s="196" t="e">
        <f t="shared" si="273"/>
        <v>#DIV/0!</v>
      </c>
      <c r="X2175" s="197" t="e">
        <f t="shared" si="274"/>
        <v>#DIV/0!</v>
      </c>
    </row>
    <row r="2176" ht="11.4" hidden="1" customHeight="1" spans="1:24">
      <c r="A2176" s="184" t="s">
        <v>3206</v>
      </c>
      <c r="B2176" s="184" t="s">
        <v>145</v>
      </c>
      <c r="C2176" s="184" t="s">
        <v>2074</v>
      </c>
      <c r="D2176" s="185" t="s">
        <v>704</v>
      </c>
      <c r="E2176" s="186" t="s">
        <v>906</v>
      </c>
      <c r="F2176" s="186" t="s">
        <v>907</v>
      </c>
      <c r="G2176" s="186" t="s">
        <v>2075</v>
      </c>
      <c r="H2176" s="186" t="s">
        <v>2076</v>
      </c>
      <c r="I2176" s="187" t="s">
        <v>2168</v>
      </c>
      <c r="J2176" s="187" t="s">
        <v>2169</v>
      </c>
      <c r="K2176" s="188"/>
      <c r="L2176" s="188"/>
      <c r="M2176" s="189" t="s">
        <v>1018</v>
      </c>
      <c r="N2176" s="190">
        <v>483</v>
      </c>
      <c r="O2176" s="190">
        <f t="shared" si="267"/>
        <v>526.47</v>
      </c>
      <c r="P2176" s="191">
        <f t="shared" si="268"/>
        <v>0</v>
      </c>
      <c r="Q2176" s="192">
        <f t="shared" si="269"/>
        <v>0</v>
      </c>
      <c r="R2176" s="193"/>
      <c r="S2176" s="194"/>
      <c r="T2176" s="195">
        <f t="shared" si="270"/>
        <v>0</v>
      </c>
      <c r="U2176" s="195">
        <f t="shared" si="271"/>
        <v>0</v>
      </c>
      <c r="V2176" s="195">
        <f t="shared" si="272"/>
        <v>0</v>
      </c>
      <c r="W2176" s="196" t="e">
        <f t="shared" si="273"/>
        <v>#DIV/0!</v>
      </c>
      <c r="X2176" s="197" t="e">
        <f t="shared" si="274"/>
        <v>#DIV/0!</v>
      </c>
    </row>
    <row r="2177" ht="11.4" hidden="1" customHeight="1" spans="1:24">
      <c r="A2177" s="184" t="s">
        <v>3206</v>
      </c>
      <c r="B2177" s="184" t="s">
        <v>145</v>
      </c>
      <c r="C2177" s="184" t="s">
        <v>2074</v>
      </c>
      <c r="D2177" s="185" t="s">
        <v>704</v>
      </c>
      <c r="E2177" s="186" t="s">
        <v>906</v>
      </c>
      <c r="F2177" s="186" t="s">
        <v>907</v>
      </c>
      <c r="G2177" s="186" t="s">
        <v>2075</v>
      </c>
      <c r="H2177" s="186" t="s">
        <v>2076</v>
      </c>
      <c r="I2177" s="187" t="s">
        <v>2170</v>
      </c>
      <c r="J2177" s="187" t="s">
        <v>2171</v>
      </c>
      <c r="K2177" s="188"/>
      <c r="L2177" s="188"/>
      <c r="M2177" s="189" t="s">
        <v>1018</v>
      </c>
      <c r="N2177" s="190">
        <v>367.5</v>
      </c>
      <c r="O2177" s="190">
        <f t="shared" si="267"/>
        <v>400.58</v>
      </c>
      <c r="P2177" s="191">
        <f t="shared" si="268"/>
        <v>0</v>
      </c>
      <c r="Q2177" s="192">
        <f t="shared" si="269"/>
        <v>0</v>
      </c>
      <c r="R2177" s="193"/>
      <c r="S2177" s="194"/>
      <c r="T2177" s="195">
        <f t="shared" si="270"/>
        <v>0</v>
      </c>
      <c r="U2177" s="195">
        <f t="shared" si="271"/>
        <v>0</v>
      </c>
      <c r="V2177" s="195">
        <f t="shared" si="272"/>
        <v>0</v>
      </c>
      <c r="W2177" s="196" t="e">
        <f t="shared" si="273"/>
        <v>#DIV/0!</v>
      </c>
      <c r="X2177" s="197" t="e">
        <f t="shared" si="274"/>
        <v>#DIV/0!</v>
      </c>
    </row>
    <row r="2178" ht="11.4" hidden="1" customHeight="1" spans="1:24">
      <c r="A2178" s="184" t="s">
        <v>3206</v>
      </c>
      <c r="B2178" s="184" t="s">
        <v>145</v>
      </c>
      <c r="C2178" s="184" t="s">
        <v>2074</v>
      </c>
      <c r="D2178" s="185" t="s">
        <v>704</v>
      </c>
      <c r="E2178" s="186" t="s">
        <v>906</v>
      </c>
      <c r="F2178" s="186" t="s">
        <v>907</v>
      </c>
      <c r="G2178" s="186" t="s">
        <v>2075</v>
      </c>
      <c r="H2178" s="186" t="s">
        <v>2076</v>
      </c>
      <c r="I2178" s="187" t="s">
        <v>2172</v>
      </c>
      <c r="J2178" s="187" t="s">
        <v>2173</v>
      </c>
      <c r="K2178" s="188"/>
      <c r="L2178" s="188"/>
      <c r="M2178" s="189" t="s">
        <v>807</v>
      </c>
      <c r="N2178" s="190">
        <v>52.5</v>
      </c>
      <c r="O2178" s="190">
        <f t="shared" si="267"/>
        <v>57.23</v>
      </c>
      <c r="P2178" s="191">
        <f t="shared" si="268"/>
        <v>0</v>
      </c>
      <c r="Q2178" s="192">
        <f t="shared" si="269"/>
        <v>0</v>
      </c>
      <c r="R2178" s="193"/>
      <c r="S2178" s="194"/>
      <c r="T2178" s="195">
        <f t="shared" si="270"/>
        <v>0</v>
      </c>
      <c r="U2178" s="195">
        <f t="shared" si="271"/>
        <v>0</v>
      </c>
      <c r="V2178" s="195">
        <f t="shared" si="272"/>
        <v>0</v>
      </c>
      <c r="W2178" s="196" t="e">
        <f t="shared" si="273"/>
        <v>#DIV/0!</v>
      </c>
      <c r="X2178" s="197" t="e">
        <f t="shared" si="274"/>
        <v>#DIV/0!</v>
      </c>
    </row>
    <row r="2179" ht="11.4" hidden="1" customHeight="1" spans="1:24">
      <c r="A2179" s="184" t="s">
        <v>3206</v>
      </c>
      <c r="B2179" s="184" t="s">
        <v>145</v>
      </c>
      <c r="C2179" s="184" t="s">
        <v>2074</v>
      </c>
      <c r="D2179" s="185" t="s">
        <v>704</v>
      </c>
      <c r="E2179" s="186" t="s">
        <v>906</v>
      </c>
      <c r="F2179" s="186" t="s">
        <v>907</v>
      </c>
      <c r="G2179" s="186" t="s">
        <v>2075</v>
      </c>
      <c r="H2179" s="186" t="s">
        <v>2076</v>
      </c>
      <c r="I2179" s="187" t="s">
        <v>2174</v>
      </c>
      <c r="J2179" s="187" t="s">
        <v>2175</v>
      </c>
      <c r="K2179" s="188"/>
      <c r="L2179" s="188"/>
      <c r="M2179" s="189" t="s">
        <v>1018</v>
      </c>
      <c r="N2179" s="190">
        <v>116.55</v>
      </c>
      <c r="O2179" s="190">
        <f t="shared" si="267"/>
        <v>127.04</v>
      </c>
      <c r="P2179" s="191">
        <f t="shared" si="268"/>
        <v>0</v>
      </c>
      <c r="Q2179" s="192">
        <f t="shared" si="269"/>
        <v>0</v>
      </c>
      <c r="R2179" s="193"/>
      <c r="S2179" s="194"/>
      <c r="T2179" s="195">
        <f t="shared" si="270"/>
        <v>0</v>
      </c>
      <c r="U2179" s="195">
        <f t="shared" si="271"/>
        <v>0</v>
      </c>
      <c r="V2179" s="195">
        <f t="shared" si="272"/>
        <v>0</v>
      </c>
      <c r="W2179" s="196" t="e">
        <f t="shared" si="273"/>
        <v>#DIV/0!</v>
      </c>
      <c r="X2179" s="197" t="e">
        <f t="shared" si="274"/>
        <v>#DIV/0!</v>
      </c>
    </row>
    <row r="2180" ht="11.4" hidden="1" customHeight="1" spans="1:24">
      <c r="A2180" s="184" t="s">
        <v>3206</v>
      </c>
      <c r="B2180" s="184" t="s">
        <v>145</v>
      </c>
      <c r="C2180" s="184" t="s">
        <v>2074</v>
      </c>
      <c r="D2180" s="185" t="s">
        <v>704</v>
      </c>
      <c r="E2180" s="186" t="s">
        <v>906</v>
      </c>
      <c r="F2180" s="186" t="s">
        <v>907</v>
      </c>
      <c r="G2180" s="186" t="s">
        <v>2075</v>
      </c>
      <c r="H2180" s="186" t="s">
        <v>2076</v>
      </c>
      <c r="I2180" s="187" t="s">
        <v>2176</v>
      </c>
      <c r="J2180" s="187" t="s">
        <v>2177</v>
      </c>
      <c r="K2180" s="188"/>
      <c r="L2180" s="188"/>
      <c r="M2180" s="189" t="s">
        <v>1018</v>
      </c>
      <c r="N2180" s="190">
        <v>69.3</v>
      </c>
      <c r="O2180" s="190">
        <f t="shared" si="267"/>
        <v>75.54</v>
      </c>
      <c r="P2180" s="191">
        <f t="shared" si="268"/>
        <v>0</v>
      </c>
      <c r="Q2180" s="192">
        <f t="shared" si="269"/>
        <v>0</v>
      </c>
      <c r="R2180" s="193"/>
      <c r="S2180" s="194"/>
      <c r="T2180" s="195">
        <f t="shared" si="270"/>
        <v>0</v>
      </c>
      <c r="U2180" s="195">
        <f t="shared" si="271"/>
        <v>0</v>
      </c>
      <c r="V2180" s="195">
        <f t="shared" si="272"/>
        <v>0</v>
      </c>
      <c r="W2180" s="196" t="e">
        <f t="shared" si="273"/>
        <v>#DIV/0!</v>
      </c>
      <c r="X2180" s="197" t="e">
        <f t="shared" si="274"/>
        <v>#DIV/0!</v>
      </c>
    </row>
    <row r="2181" ht="11.4" hidden="1" customHeight="1" spans="1:24">
      <c r="A2181" s="184" t="s">
        <v>3206</v>
      </c>
      <c r="B2181" s="184" t="s">
        <v>145</v>
      </c>
      <c r="C2181" s="184" t="s">
        <v>2074</v>
      </c>
      <c r="D2181" s="185" t="s">
        <v>704</v>
      </c>
      <c r="E2181" s="186" t="s">
        <v>906</v>
      </c>
      <c r="F2181" s="186" t="s">
        <v>907</v>
      </c>
      <c r="G2181" s="186" t="s">
        <v>2075</v>
      </c>
      <c r="H2181" s="186" t="s">
        <v>2076</v>
      </c>
      <c r="I2181" s="187" t="s">
        <v>2178</v>
      </c>
      <c r="J2181" s="187" t="s">
        <v>2179</v>
      </c>
      <c r="K2181" s="188"/>
      <c r="L2181" s="188"/>
      <c r="M2181" s="189" t="s">
        <v>1018</v>
      </c>
      <c r="N2181" s="190">
        <v>34.65</v>
      </c>
      <c r="O2181" s="190">
        <f t="shared" si="267"/>
        <v>37.77</v>
      </c>
      <c r="P2181" s="191">
        <f t="shared" si="268"/>
        <v>0</v>
      </c>
      <c r="Q2181" s="192">
        <f t="shared" si="269"/>
        <v>0</v>
      </c>
      <c r="R2181" s="193"/>
      <c r="S2181" s="194"/>
      <c r="T2181" s="195">
        <f t="shared" si="270"/>
        <v>0</v>
      </c>
      <c r="U2181" s="195">
        <f t="shared" si="271"/>
        <v>0</v>
      </c>
      <c r="V2181" s="195">
        <f t="shared" si="272"/>
        <v>0</v>
      </c>
      <c r="W2181" s="196" t="e">
        <f t="shared" si="273"/>
        <v>#DIV/0!</v>
      </c>
      <c r="X2181" s="197" t="e">
        <f t="shared" si="274"/>
        <v>#DIV/0!</v>
      </c>
    </row>
    <row r="2182" ht="11.4" hidden="1" customHeight="1" spans="1:24">
      <c r="A2182" s="184" t="s">
        <v>3206</v>
      </c>
      <c r="B2182" s="184" t="s">
        <v>145</v>
      </c>
      <c r="C2182" s="184" t="s">
        <v>2074</v>
      </c>
      <c r="D2182" s="185" t="s">
        <v>704</v>
      </c>
      <c r="E2182" s="186" t="s">
        <v>906</v>
      </c>
      <c r="F2182" s="186" t="s">
        <v>907</v>
      </c>
      <c r="G2182" s="186" t="s">
        <v>2075</v>
      </c>
      <c r="H2182" s="186" t="s">
        <v>2076</v>
      </c>
      <c r="I2182" s="187" t="s">
        <v>2180</v>
      </c>
      <c r="J2182" s="187" t="s">
        <v>2181</v>
      </c>
      <c r="K2182" s="188"/>
      <c r="L2182" s="188"/>
      <c r="M2182" s="189" t="s">
        <v>1018</v>
      </c>
      <c r="N2182" s="190">
        <v>10.5</v>
      </c>
      <c r="O2182" s="190">
        <f t="shared" si="267"/>
        <v>11.45</v>
      </c>
      <c r="P2182" s="191">
        <f t="shared" si="268"/>
        <v>0</v>
      </c>
      <c r="Q2182" s="192">
        <f t="shared" si="269"/>
        <v>0</v>
      </c>
      <c r="R2182" s="193"/>
      <c r="S2182" s="194"/>
      <c r="T2182" s="195">
        <f t="shared" si="270"/>
        <v>0</v>
      </c>
      <c r="U2182" s="195">
        <f t="shared" si="271"/>
        <v>0</v>
      </c>
      <c r="V2182" s="195">
        <f t="shared" si="272"/>
        <v>0</v>
      </c>
      <c r="W2182" s="196" t="e">
        <f t="shared" si="273"/>
        <v>#DIV/0!</v>
      </c>
      <c r="X2182" s="197" t="e">
        <f t="shared" si="274"/>
        <v>#DIV/0!</v>
      </c>
    </row>
    <row r="2183" ht="11.4" hidden="1" customHeight="1" spans="1:24">
      <c r="A2183" s="184" t="s">
        <v>3206</v>
      </c>
      <c r="B2183" s="184" t="s">
        <v>145</v>
      </c>
      <c r="C2183" s="184" t="s">
        <v>2074</v>
      </c>
      <c r="D2183" s="185" t="s">
        <v>704</v>
      </c>
      <c r="E2183" s="186" t="s">
        <v>906</v>
      </c>
      <c r="F2183" s="186" t="s">
        <v>907</v>
      </c>
      <c r="G2183" s="186" t="s">
        <v>2075</v>
      </c>
      <c r="H2183" s="186" t="s">
        <v>2076</v>
      </c>
      <c r="I2183" s="187" t="s">
        <v>2182</v>
      </c>
      <c r="J2183" s="187" t="s">
        <v>2183</v>
      </c>
      <c r="K2183" s="188"/>
      <c r="L2183" s="188"/>
      <c r="M2183" s="189" t="s">
        <v>1018</v>
      </c>
      <c r="N2183" s="190">
        <v>54.6</v>
      </c>
      <c r="O2183" s="190">
        <f t="shared" si="267"/>
        <v>59.51</v>
      </c>
      <c r="P2183" s="191">
        <f t="shared" si="268"/>
        <v>0</v>
      </c>
      <c r="Q2183" s="192">
        <f t="shared" si="269"/>
        <v>0</v>
      </c>
      <c r="R2183" s="193"/>
      <c r="S2183" s="194"/>
      <c r="T2183" s="195">
        <f t="shared" si="270"/>
        <v>0</v>
      </c>
      <c r="U2183" s="195">
        <f t="shared" si="271"/>
        <v>0</v>
      </c>
      <c r="V2183" s="195">
        <f t="shared" si="272"/>
        <v>0</v>
      </c>
      <c r="W2183" s="196" t="e">
        <f t="shared" si="273"/>
        <v>#DIV/0!</v>
      </c>
      <c r="X2183" s="197" t="e">
        <f t="shared" si="274"/>
        <v>#DIV/0!</v>
      </c>
    </row>
    <row r="2184" ht="11.4" hidden="1" customHeight="1" spans="1:24">
      <c r="A2184" s="184" t="s">
        <v>3206</v>
      </c>
      <c r="B2184" s="184" t="s">
        <v>145</v>
      </c>
      <c r="C2184" s="184" t="s">
        <v>2074</v>
      </c>
      <c r="D2184" s="185" t="s">
        <v>704</v>
      </c>
      <c r="E2184" s="186" t="s">
        <v>906</v>
      </c>
      <c r="F2184" s="186" t="s">
        <v>907</v>
      </c>
      <c r="G2184" s="186" t="s">
        <v>2075</v>
      </c>
      <c r="H2184" s="186" t="s">
        <v>2076</v>
      </c>
      <c r="I2184" s="187" t="s">
        <v>2184</v>
      </c>
      <c r="J2184" s="187" t="s">
        <v>2185</v>
      </c>
      <c r="K2184" s="188"/>
      <c r="L2184" s="188"/>
      <c r="M2184" s="189" t="s">
        <v>1018</v>
      </c>
      <c r="N2184" s="190">
        <v>105</v>
      </c>
      <c r="O2184" s="190">
        <f t="shared" si="267"/>
        <v>114.45</v>
      </c>
      <c r="P2184" s="191">
        <f t="shared" si="268"/>
        <v>0</v>
      </c>
      <c r="Q2184" s="192">
        <f t="shared" si="269"/>
        <v>0</v>
      </c>
      <c r="R2184" s="193"/>
      <c r="S2184" s="194"/>
      <c r="T2184" s="195">
        <f t="shared" si="270"/>
        <v>0</v>
      </c>
      <c r="U2184" s="195">
        <f t="shared" si="271"/>
        <v>0</v>
      </c>
      <c r="V2184" s="195">
        <f t="shared" si="272"/>
        <v>0</v>
      </c>
      <c r="W2184" s="196" t="e">
        <f t="shared" si="273"/>
        <v>#DIV/0!</v>
      </c>
      <c r="X2184" s="197" t="e">
        <f t="shared" si="274"/>
        <v>#DIV/0!</v>
      </c>
    </row>
    <row r="2185" ht="11.4" hidden="1" customHeight="1" spans="1:24">
      <c r="A2185" s="184" t="s">
        <v>3206</v>
      </c>
      <c r="B2185" s="184" t="s">
        <v>145</v>
      </c>
      <c r="C2185" s="184" t="s">
        <v>2074</v>
      </c>
      <c r="D2185" s="185" t="s">
        <v>704</v>
      </c>
      <c r="E2185" s="186" t="s">
        <v>906</v>
      </c>
      <c r="F2185" s="186" t="s">
        <v>907</v>
      </c>
      <c r="G2185" s="186" t="s">
        <v>2075</v>
      </c>
      <c r="H2185" s="186" t="s">
        <v>2076</v>
      </c>
      <c r="I2185" s="187" t="s">
        <v>2186</v>
      </c>
      <c r="J2185" s="187" t="s">
        <v>2187</v>
      </c>
      <c r="K2185" s="188"/>
      <c r="L2185" s="188"/>
      <c r="M2185" s="189" t="s">
        <v>1018</v>
      </c>
      <c r="N2185" s="190">
        <v>141.75</v>
      </c>
      <c r="O2185" s="190">
        <f t="shared" si="267"/>
        <v>154.51</v>
      </c>
      <c r="P2185" s="191">
        <f t="shared" si="268"/>
        <v>0</v>
      </c>
      <c r="Q2185" s="192">
        <f t="shared" si="269"/>
        <v>0</v>
      </c>
      <c r="R2185" s="193"/>
      <c r="S2185" s="194"/>
      <c r="T2185" s="195">
        <f t="shared" si="270"/>
        <v>0</v>
      </c>
      <c r="U2185" s="195">
        <f t="shared" si="271"/>
        <v>0</v>
      </c>
      <c r="V2185" s="195">
        <f t="shared" si="272"/>
        <v>0</v>
      </c>
      <c r="W2185" s="196" t="e">
        <f t="shared" si="273"/>
        <v>#DIV/0!</v>
      </c>
      <c r="X2185" s="197" t="e">
        <f t="shared" si="274"/>
        <v>#DIV/0!</v>
      </c>
    </row>
    <row r="2186" ht="11.4" hidden="1" customHeight="1" spans="1:24">
      <c r="A2186" s="184" t="s">
        <v>3206</v>
      </c>
      <c r="B2186" s="184" t="s">
        <v>145</v>
      </c>
      <c r="C2186" s="184" t="s">
        <v>2074</v>
      </c>
      <c r="D2186" s="185" t="s">
        <v>704</v>
      </c>
      <c r="E2186" s="186" t="s">
        <v>906</v>
      </c>
      <c r="F2186" s="186" t="s">
        <v>907</v>
      </c>
      <c r="G2186" s="186" t="s">
        <v>2075</v>
      </c>
      <c r="H2186" s="186" t="s">
        <v>2076</v>
      </c>
      <c r="I2186" s="187" t="s">
        <v>2188</v>
      </c>
      <c r="J2186" s="187" t="s">
        <v>2189</v>
      </c>
      <c r="K2186" s="188"/>
      <c r="L2186" s="188"/>
      <c r="M2186" s="189" t="s">
        <v>1018</v>
      </c>
      <c r="N2186" s="190">
        <v>141.75</v>
      </c>
      <c r="O2186" s="190">
        <f t="shared" si="267"/>
        <v>154.51</v>
      </c>
      <c r="P2186" s="191">
        <f t="shared" si="268"/>
        <v>0</v>
      </c>
      <c r="Q2186" s="192">
        <f t="shared" si="269"/>
        <v>0</v>
      </c>
      <c r="R2186" s="193"/>
      <c r="S2186" s="194"/>
      <c r="T2186" s="195">
        <f t="shared" si="270"/>
        <v>0</v>
      </c>
      <c r="U2186" s="195">
        <f t="shared" si="271"/>
        <v>0</v>
      </c>
      <c r="V2186" s="195">
        <f t="shared" si="272"/>
        <v>0</v>
      </c>
      <c r="W2186" s="196" t="e">
        <f t="shared" si="273"/>
        <v>#DIV/0!</v>
      </c>
      <c r="X2186" s="197" t="e">
        <f t="shared" si="274"/>
        <v>#DIV/0!</v>
      </c>
    </row>
    <row r="2187" ht="11.4" hidden="1" customHeight="1" spans="1:24">
      <c r="A2187" s="184" t="s">
        <v>3206</v>
      </c>
      <c r="B2187" s="184" t="s">
        <v>145</v>
      </c>
      <c r="C2187" s="184" t="s">
        <v>2074</v>
      </c>
      <c r="D2187" s="185" t="s">
        <v>704</v>
      </c>
      <c r="E2187" s="186" t="s">
        <v>906</v>
      </c>
      <c r="F2187" s="186" t="s">
        <v>907</v>
      </c>
      <c r="G2187" s="186" t="s">
        <v>2075</v>
      </c>
      <c r="H2187" s="186" t="s">
        <v>2076</v>
      </c>
      <c r="I2187" s="187" t="s">
        <v>2190</v>
      </c>
      <c r="J2187" s="187" t="s">
        <v>2191</v>
      </c>
      <c r="K2187" s="188"/>
      <c r="L2187" s="188"/>
      <c r="M2187" s="189" t="s">
        <v>1018</v>
      </c>
      <c r="N2187" s="190">
        <v>97.65</v>
      </c>
      <c r="O2187" s="190">
        <f t="shared" si="267"/>
        <v>106.44</v>
      </c>
      <c r="P2187" s="191">
        <f t="shared" si="268"/>
        <v>0</v>
      </c>
      <c r="Q2187" s="192">
        <f t="shared" si="269"/>
        <v>0</v>
      </c>
      <c r="R2187" s="193"/>
      <c r="S2187" s="194"/>
      <c r="T2187" s="195">
        <f t="shared" si="270"/>
        <v>0</v>
      </c>
      <c r="U2187" s="195">
        <f t="shared" si="271"/>
        <v>0</v>
      </c>
      <c r="V2187" s="195">
        <f t="shared" si="272"/>
        <v>0</v>
      </c>
      <c r="W2187" s="196" t="e">
        <f t="shared" si="273"/>
        <v>#DIV/0!</v>
      </c>
      <c r="X2187" s="197" t="e">
        <f t="shared" si="274"/>
        <v>#DIV/0!</v>
      </c>
    </row>
    <row r="2188" ht="11.4" hidden="1" customHeight="1" spans="1:24">
      <c r="A2188" s="184" t="s">
        <v>3206</v>
      </c>
      <c r="B2188" s="184" t="s">
        <v>145</v>
      </c>
      <c r="C2188" s="184" t="s">
        <v>2074</v>
      </c>
      <c r="D2188" s="185" t="s">
        <v>704</v>
      </c>
      <c r="E2188" s="186" t="s">
        <v>906</v>
      </c>
      <c r="F2188" s="186" t="s">
        <v>907</v>
      </c>
      <c r="G2188" s="186" t="s">
        <v>2075</v>
      </c>
      <c r="H2188" s="186" t="s">
        <v>2076</v>
      </c>
      <c r="I2188" s="187" t="s">
        <v>2192</v>
      </c>
      <c r="J2188" s="187" t="s">
        <v>2193</v>
      </c>
      <c r="K2188" s="188"/>
      <c r="L2188" s="188"/>
      <c r="M2188" s="189" t="s">
        <v>807</v>
      </c>
      <c r="N2188" s="190">
        <v>59.85</v>
      </c>
      <c r="O2188" s="190">
        <f t="shared" si="267"/>
        <v>65.24</v>
      </c>
      <c r="P2188" s="191">
        <f t="shared" si="268"/>
        <v>0</v>
      </c>
      <c r="Q2188" s="192">
        <f t="shared" si="269"/>
        <v>0</v>
      </c>
      <c r="R2188" s="193"/>
      <c r="S2188" s="194"/>
      <c r="T2188" s="195">
        <f t="shared" si="270"/>
        <v>0</v>
      </c>
      <c r="U2188" s="195">
        <f t="shared" si="271"/>
        <v>0</v>
      </c>
      <c r="V2188" s="195">
        <f t="shared" si="272"/>
        <v>0</v>
      </c>
      <c r="W2188" s="196" t="e">
        <f t="shared" si="273"/>
        <v>#DIV/0!</v>
      </c>
      <c r="X2188" s="197" t="e">
        <f t="shared" si="274"/>
        <v>#DIV/0!</v>
      </c>
    </row>
    <row r="2189" ht="11.4" hidden="1" customHeight="1" spans="1:24">
      <c r="A2189" s="184" t="s">
        <v>3206</v>
      </c>
      <c r="B2189" s="184" t="s">
        <v>145</v>
      </c>
      <c r="C2189" s="184" t="s">
        <v>2074</v>
      </c>
      <c r="D2189" s="185" t="s">
        <v>704</v>
      </c>
      <c r="E2189" s="186" t="s">
        <v>906</v>
      </c>
      <c r="F2189" s="186" t="s">
        <v>907</v>
      </c>
      <c r="G2189" s="186" t="s">
        <v>2139</v>
      </c>
      <c r="H2189" s="186" t="s">
        <v>2076</v>
      </c>
      <c r="I2189" s="187" t="s">
        <v>2194</v>
      </c>
      <c r="J2189" s="187" t="s">
        <v>2195</v>
      </c>
      <c r="K2189" s="188"/>
      <c r="L2189" s="188"/>
      <c r="M2189" s="189" t="s">
        <v>1018</v>
      </c>
      <c r="N2189" s="190">
        <v>52.5</v>
      </c>
      <c r="O2189" s="190">
        <f t="shared" ref="O2189:O2252" si="275">ROUND(N2189*(1+$F$10),2)</f>
        <v>57.23</v>
      </c>
      <c r="P2189" s="191">
        <f t="shared" ref="P2189:P2252" si="276">ROUND(K2189*N2189,2)</f>
        <v>0</v>
      </c>
      <c r="Q2189" s="192">
        <f t="shared" ref="Q2189:Q2252" si="277">ROUND(L2189*N2189,2)</f>
        <v>0</v>
      </c>
      <c r="R2189" s="193"/>
      <c r="S2189" s="194"/>
      <c r="T2189" s="195">
        <f t="shared" ref="T2189:T2252" si="278">K2189-L2189</f>
        <v>0</v>
      </c>
      <c r="U2189" s="195">
        <f t="shared" ref="U2189:U2252" si="279">P2189-Q2189</f>
        <v>0</v>
      </c>
      <c r="V2189" s="195">
        <f t="shared" ref="V2189:V2252" si="280">ABS(U2189)</f>
        <v>0</v>
      </c>
      <c r="W2189" s="196" t="e">
        <f t="shared" ref="W2189:W2252" si="281">T2189/L2189</f>
        <v>#DIV/0!</v>
      </c>
      <c r="X2189" s="197" t="e">
        <f t="shared" ref="X2189:X2252" si="282">ABS(W2189)</f>
        <v>#DIV/0!</v>
      </c>
    </row>
    <row r="2190" ht="11.4" hidden="1" customHeight="1" spans="1:24">
      <c r="A2190" s="184" t="s">
        <v>3206</v>
      </c>
      <c r="B2190" s="184" t="s">
        <v>145</v>
      </c>
      <c r="C2190" s="184" t="s">
        <v>2074</v>
      </c>
      <c r="D2190" s="185" t="s">
        <v>704</v>
      </c>
      <c r="E2190" s="186" t="s">
        <v>906</v>
      </c>
      <c r="F2190" s="186" t="s">
        <v>907</v>
      </c>
      <c r="G2190" s="186" t="s">
        <v>2075</v>
      </c>
      <c r="H2190" s="186" t="s">
        <v>2076</v>
      </c>
      <c r="I2190" s="187" t="s">
        <v>2196</v>
      </c>
      <c r="J2190" s="187" t="s">
        <v>2197</v>
      </c>
      <c r="K2190" s="188"/>
      <c r="L2190" s="188"/>
      <c r="M2190" s="189" t="s">
        <v>1018</v>
      </c>
      <c r="N2190" s="190">
        <v>68.25</v>
      </c>
      <c r="O2190" s="190">
        <f t="shared" si="275"/>
        <v>74.39</v>
      </c>
      <c r="P2190" s="191">
        <f t="shared" si="276"/>
        <v>0</v>
      </c>
      <c r="Q2190" s="192">
        <f t="shared" si="277"/>
        <v>0</v>
      </c>
      <c r="R2190" s="193"/>
      <c r="S2190" s="194"/>
      <c r="T2190" s="195">
        <f t="shared" si="278"/>
        <v>0</v>
      </c>
      <c r="U2190" s="195">
        <f t="shared" si="279"/>
        <v>0</v>
      </c>
      <c r="V2190" s="195">
        <f t="shared" si="280"/>
        <v>0</v>
      </c>
      <c r="W2190" s="196" t="e">
        <f t="shared" si="281"/>
        <v>#DIV/0!</v>
      </c>
      <c r="X2190" s="197" t="e">
        <f t="shared" si="282"/>
        <v>#DIV/0!</v>
      </c>
    </row>
    <row r="2191" ht="11.4" hidden="1" customHeight="1" spans="1:24">
      <c r="A2191" s="184" t="s">
        <v>3206</v>
      </c>
      <c r="B2191" s="184" t="s">
        <v>145</v>
      </c>
      <c r="C2191" s="184" t="s">
        <v>2074</v>
      </c>
      <c r="D2191" s="185" t="s">
        <v>704</v>
      </c>
      <c r="E2191" s="186" t="s">
        <v>906</v>
      </c>
      <c r="F2191" s="186" t="s">
        <v>907</v>
      </c>
      <c r="G2191" s="186" t="s">
        <v>2075</v>
      </c>
      <c r="H2191" s="186" t="s">
        <v>2076</v>
      </c>
      <c r="I2191" s="187" t="s">
        <v>2198</v>
      </c>
      <c r="J2191" s="187" t="s">
        <v>2199</v>
      </c>
      <c r="K2191" s="188"/>
      <c r="L2191" s="188"/>
      <c r="M2191" s="189" t="s">
        <v>1018</v>
      </c>
      <c r="N2191" s="190">
        <v>110.25</v>
      </c>
      <c r="O2191" s="190">
        <f t="shared" si="275"/>
        <v>120.17</v>
      </c>
      <c r="P2191" s="191">
        <f t="shared" si="276"/>
        <v>0</v>
      </c>
      <c r="Q2191" s="192">
        <f t="shared" si="277"/>
        <v>0</v>
      </c>
      <c r="R2191" s="193"/>
      <c r="S2191" s="194"/>
      <c r="T2191" s="195">
        <f t="shared" si="278"/>
        <v>0</v>
      </c>
      <c r="U2191" s="195">
        <f t="shared" si="279"/>
        <v>0</v>
      </c>
      <c r="V2191" s="195">
        <f t="shared" si="280"/>
        <v>0</v>
      </c>
      <c r="W2191" s="196" t="e">
        <f t="shared" si="281"/>
        <v>#DIV/0!</v>
      </c>
      <c r="X2191" s="197" t="e">
        <f t="shared" si="282"/>
        <v>#DIV/0!</v>
      </c>
    </row>
    <row r="2192" ht="11.4" hidden="1" customHeight="1" spans="1:24">
      <c r="A2192" s="184" t="s">
        <v>3206</v>
      </c>
      <c r="B2192" s="184" t="s">
        <v>145</v>
      </c>
      <c r="C2192" s="184" t="s">
        <v>2074</v>
      </c>
      <c r="D2192" s="185" t="s">
        <v>704</v>
      </c>
      <c r="E2192" s="186" t="s">
        <v>906</v>
      </c>
      <c r="F2192" s="186" t="s">
        <v>907</v>
      </c>
      <c r="G2192" s="186" t="s">
        <v>2075</v>
      </c>
      <c r="H2192" s="186" t="s">
        <v>2076</v>
      </c>
      <c r="I2192" s="187" t="s">
        <v>2200</v>
      </c>
      <c r="J2192" s="187" t="s">
        <v>2201</v>
      </c>
      <c r="K2192" s="188"/>
      <c r="L2192" s="188"/>
      <c r="M2192" s="189" t="s">
        <v>1018</v>
      </c>
      <c r="N2192" s="190">
        <v>178.5</v>
      </c>
      <c r="O2192" s="190">
        <f t="shared" si="275"/>
        <v>194.57</v>
      </c>
      <c r="P2192" s="191">
        <f t="shared" si="276"/>
        <v>0</v>
      </c>
      <c r="Q2192" s="192">
        <f t="shared" si="277"/>
        <v>0</v>
      </c>
      <c r="R2192" s="193"/>
      <c r="S2192" s="194"/>
      <c r="T2192" s="195">
        <f t="shared" si="278"/>
        <v>0</v>
      </c>
      <c r="U2192" s="195">
        <f t="shared" si="279"/>
        <v>0</v>
      </c>
      <c r="V2192" s="195">
        <f t="shared" si="280"/>
        <v>0</v>
      </c>
      <c r="W2192" s="196" t="e">
        <f t="shared" si="281"/>
        <v>#DIV/0!</v>
      </c>
      <c r="X2192" s="197" t="e">
        <f t="shared" si="282"/>
        <v>#DIV/0!</v>
      </c>
    </row>
    <row r="2193" ht="11.4" hidden="1" customHeight="1" spans="1:24">
      <c r="A2193" s="184" t="s">
        <v>3206</v>
      </c>
      <c r="B2193" s="184" t="s">
        <v>145</v>
      </c>
      <c r="C2193" s="184" t="s">
        <v>2074</v>
      </c>
      <c r="D2193" s="185" t="s">
        <v>704</v>
      </c>
      <c r="E2193" s="186" t="s">
        <v>906</v>
      </c>
      <c r="F2193" s="186" t="s">
        <v>907</v>
      </c>
      <c r="G2193" s="186" t="s">
        <v>2075</v>
      </c>
      <c r="H2193" s="186" t="s">
        <v>2076</v>
      </c>
      <c r="I2193" s="187" t="s">
        <v>2202</v>
      </c>
      <c r="J2193" s="187" t="s">
        <v>2203</v>
      </c>
      <c r="K2193" s="188"/>
      <c r="L2193" s="188"/>
      <c r="M2193" s="189" t="s">
        <v>1018</v>
      </c>
      <c r="N2193" s="190">
        <v>147</v>
      </c>
      <c r="O2193" s="190">
        <f t="shared" si="275"/>
        <v>160.23</v>
      </c>
      <c r="P2193" s="191">
        <f t="shared" si="276"/>
        <v>0</v>
      </c>
      <c r="Q2193" s="192">
        <f t="shared" si="277"/>
        <v>0</v>
      </c>
      <c r="R2193" s="193"/>
      <c r="S2193" s="194"/>
      <c r="T2193" s="195">
        <f t="shared" si="278"/>
        <v>0</v>
      </c>
      <c r="U2193" s="195">
        <f t="shared" si="279"/>
        <v>0</v>
      </c>
      <c r="V2193" s="195">
        <f t="shared" si="280"/>
        <v>0</v>
      </c>
      <c r="W2193" s="196" t="e">
        <f t="shared" si="281"/>
        <v>#DIV/0!</v>
      </c>
      <c r="X2193" s="197" t="e">
        <f t="shared" si="282"/>
        <v>#DIV/0!</v>
      </c>
    </row>
    <row r="2194" ht="11.4" hidden="1" customHeight="1" spans="1:24">
      <c r="A2194" s="184" t="s">
        <v>3206</v>
      </c>
      <c r="B2194" s="184" t="s">
        <v>145</v>
      </c>
      <c r="C2194" s="184" t="s">
        <v>2074</v>
      </c>
      <c r="D2194" s="185" t="s">
        <v>704</v>
      </c>
      <c r="E2194" s="186" t="s">
        <v>906</v>
      </c>
      <c r="F2194" s="186" t="s">
        <v>907</v>
      </c>
      <c r="G2194" s="186" t="s">
        <v>2075</v>
      </c>
      <c r="H2194" s="186" t="s">
        <v>2076</v>
      </c>
      <c r="I2194" s="187" t="s">
        <v>2204</v>
      </c>
      <c r="J2194" s="187" t="s">
        <v>2205</v>
      </c>
      <c r="K2194" s="188"/>
      <c r="L2194" s="188"/>
      <c r="M2194" s="189" t="s">
        <v>1018</v>
      </c>
      <c r="N2194" s="190">
        <v>105</v>
      </c>
      <c r="O2194" s="190">
        <f t="shared" si="275"/>
        <v>114.45</v>
      </c>
      <c r="P2194" s="191">
        <f t="shared" si="276"/>
        <v>0</v>
      </c>
      <c r="Q2194" s="192">
        <f t="shared" si="277"/>
        <v>0</v>
      </c>
      <c r="R2194" s="193"/>
      <c r="S2194" s="194"/>
      <c r="T2194" s="195">
        <f t="shared" si="278"/>
        <v>0</v>
      </c>
      <c r="U2194" s="195">
        <f t="shared" si="279"/>
        <v>0</v>
      </c>
      <c r="V2194" s="195">
        <f t="shared" si="280"/>
        <v>0</v>
      </c>
      <c r="W2194" s="196" t="e">
        <f t="shared" si="281"/>
        <v>#DIV/0!</v>
      </c>
      <c r="X2194" s="197" t="e">
        <f t="shared" si="282"/>
        <v>#DIV/0!</v>
      </c>
    </row>
    <row r="2195" ht="11.4" hidden="1" customHeight="1" spans="1:24">
      <c r="A2195" s="184" t="s">
        <v>3206</v>
      </c>
      <c r="B2195" s="184" t="s">
        <v>145</v>
      </c>
      <c r="C2195" s="184" t="s">
        <v>2074</v>
      </c>
      <c r="D2195" s="185" t="s">
        <v>704</v>
      </c>
      <c r="E2195" s="186" t="s">
        <v>906</v>
      </c>
      <c r="F2195" s="186" t="s">
        <v>907</v>
      </c>
      <c r="G2195" s="186" t="s">
        <v>2075</v>
      </c>
      <c r="H2195" s="186" t="s">
        <v>2076</v>
      </c>
      <c r="I2195" s="187" t="s">
        <v>2206</v>
      </c>
      <c r="J2195" s="187" t="s">
        <v>2207</v>
      </c>
      <c r="K2195" s="188"/>
      <c r="L2195" s="188"/>
      <c r="M2195" s="189" t="s">
        <v>1018</v>
      </c>
      <c r="N2195" s="190">
        <v>126</v>
      </c>
      <c r="O2195" s="190">
        <f t="shared" si="275"/>
        <v>137.34</v>
      </c>
      <c r="P2195" s="191">
        <f t="shared" si="276"/>
        <v>0</v>
      </c>
      <c r="Q2195" s="192">
        <f t="shared" si="277"/>
        <v>0</v>
      </c>
      <c r="R2195" s="193"/>
      <c r="S2195" s="194"/>
      <c r="T2195" s="195">
        <f t="shared" si="278"/>
        <v>0</v>
      </c>
      <c r="U2195" s="195">
        <f t="shared" si="279"/>
        <v>0</v>
      </c>
      <c r="V2195" s="195">
        <f t="shared" si="280"/>
        <v>0</v>
      </c>
      <c r="W2195" s="196" t="e">
        <f t="shared" si="281"/>
        <v>#DIV/0!</v>
      </c>
      <c r="X2195" s="197" t="e">
        <f t="shared" si="282"/>
        <v>#DIV/0!</v>
      </c>
    </row>
    <row r="2196" ht="11.4" hidden="1" customHeight="1" spans="1:24">
      <c r="A2196" s="184" t="s">
        <v>3206</v>
      </c>
      <c r="B2196" s="184" t="s">
        <v>145</v>
      </c>
      <c r="C2196" s="184" t="s">
        <v>2074</v>
      </c>
      <c r="D2196" s="185" t="s">
        <v>704</v>
      </c>
      <c r="E2196" s="186" t="s">
        <v>906</v>
      </c>
      <c r="F2196" s="186" t="s">
        <v>907</v>
      </c>
      <c r="G2196" s="186" t="s">
        <v>2075</v>
      </c>
      <c r="H2196" s="186" t="s">
        <v>2076</v>
      </c>
      <c r="I2196" s="187" t="s">
        <v>2208</v>
      </c>
      <c r="J2196" s="187" t="s">
        <v>2209</v>
      </c>
      <c r="K2196" s="188"/>
      <c r="L2196" s="188"/>
      <c r="M2196" s="189" t="s">
        <v>1018</v>
      </c>
      <c r="N2196" s="190">
        <v>204.75</v>
      </c>
      <c r="O2196" s="190">
        <f t="shared" si="275"/>
        <v>223.18</v>
      </c>
      <c r="P2196" s="191">
        <f t="shared" si="276"/>
        <v>0</v>
      </c>
      <c r="Q2196" s="192">
        <f t="shared" si="277"/>
        <v>0</v>
      </c>
      <c r="R2196" s="193"/>
      <c r="S2196" s="194"/>
      <c r="T2196" s="195">
        <f t="shared" si="278"/>
        <v>0</v>
      </c>
      <c r="U2196" s="195">
        <f t="shared" si="279"/>
        <v>0</v>
      </c>
      <c r="V2196" s="195">
        <f t="shared" si="280"/>
        <v>0</v>
      </c>
      <c r="W2196" s="196" t="e">
        <f t="shared" si="281"/>
        <v>#DIV/0!</v>
      </c>
      <c r="X2196" s="197" t="e">
        <f t="shared" si="282"/>
        <v>#DIV/0!</v>
      </c>
    </row>
    <row r="2197" ht="11.4" hidden="1" customHeight="1" spans="1:24">
      <c r="A2197" s="184" t="s">
        <v>3206</v>
      </c>
      <c r="B2197" s="184" t="s">
        <v>145</v>
      </c>
      <c r="C2197" s="184" t="s">
        <v>2074</v>
      </c>
      <c r="D2197" s="185" t="s">
        <v>704</v>
      </c>
      <c r="E2197" s="186" t="s">
        <v>906</v>
      </c>
      <c r="F2197" s="186" t="s">
        <v>907</v>
      </c>
      <c r="G2197" s="186" t="s">
        <v>2075</v>
      </c>
      <c r="H2197" s="186" t="s">
        <v>2076</v>
      </c>
      <c r="I2197" s="187" t="s">
        <v>2210</v>
      </c>
      <c r="J2197" s="187" t="s">
        <v>2211</v>
      </c>
      <c r="K2197" s="188"/>
      <c r="L2197" s="188"/>
      <c r="M2197" s="189" t="s">
        <v>1018</v>
      </c>
      <c r="N2197" s="190">
        <v>420</v>
      </c>
      <c r="O2197" s="190">
        <f t="shared" si="275"/>
        <v>457.8</v>
      </c>
      <c r="P2197" s="191">
        <f t="shared" si="276"/>
        <v>0</v>
      </c>
      <c r="Q2197" s="192">
        <f t="shared" si="277"/>
        <v>0</v>
      </c>
      <c r="R2197" s="193"/>
      <c r="S2197" s="194"/>
      <c r="T2197" s="195">
        <f t="shared" si="278"/>
        <v>0</v>
      </c>
      <c r="U2197" s="195">
        <f t="shared" si="279"/>
        <v>0</v>
      </c>
      <c r="V2197" s="195">
        <f t="shared" si="280"/>
        <v>0</v>
      </c>
      <c r="W2197" s="196" t="e">
        <f t="shared" si="281"/>
        <v>#DIV/0!</v>
      </c>
      <c r="X2197" s="197" t="e">
        <f t="shared" si="282"/>
        <v>#DIV/0!</v>
      </c>
    </row>
    <row r="2198" ht="11.4" hidden="1" customHeight="1" spans="1:24">
      <c r="A2198" s="184" t="s">
        <v>3206</v>
      </c>
      <c r="B2198" s="184" t="s">
        <v>145</v>
      </c>
      <c r="C2198" s="184" t="s">
        <v>2074</v>
      </c>
      <c r="D2198" s="185" t="s">
        <v>704</v>
      </c>
      <c r="E2198" s="186" t="s">
        <v>906</v>
      </c>
      <c r="F2198" s="186" t="s">
        <v>907</v>
      </c>
      <c r="G2198" s="186" t="s">
        <v>2075</v>
      </c>
      <c r="H2198" s="186" t="s">
        <v>2076</v>
      </c>
      <c r="I2198" s="187" t="s">
        <v>2212</v>
      </c>
      <c r="J2198" s="187" t="s">
        <v>2213</v>
      </c>
      <c r="K2198" s="188"/>
      <c r="L2198" s="188"/>
      <c r="M2198" s="189" t="s">
        <v>1018</v>
      </c>
      <c r="N2198" s="190">
        <v>178.5</v>
      </c>
      <c r="O2198" s="190">
        <f t="shared" si="275"/>
        <v>194.57</v>
      </c>
      <c r="P2198" s="191">
        <f t="shared" si="276"/>
        <v>0</v>
      </c>
      <c r="Q2198" s="192">
        <f t="shared" si="277"/>
        <v>0</v>
      </c>
      <c r="R2198" s="193"/>
      <c r="S2198" s="194"/>
      <c r="T2198" s="195">
        <f t="shared" si="278"/>
        <v>0</v>
      </c>
      <c r="U2198" s="195">
        <f t="shared" si="279"/>
        <v>0</v>
      </c>
      <c r="V2198" s="195">
        <f t="shared" si="280"/>
        <v>0</v>
      </c>
      <c r="W2198" s="196" t="e">
        <f t="shared" si="281"/>
        <v>#DIV/0!</v>
      </c>
      <c r="X2198" s="197" t="e">
        <f t="shared" si="282"/>
        <v>#DIV/0!</v>
      </c>
    </row>
    <row r="2199" ht="11.4" hidden="1" customHeight="1" spans="1:24">
      <c r="A2199" s="184" t="s">
        <v>3206</v>
      </c>
      <c r="B2199" s="184" t="s">
        <v>145</v>
      </c>
      <c r="C2199" s="184" t="s">
        <v>2074</v>
      </c>
      <c r="D2199" s="185" t="s">
        <v>704</v>
      </c>
      <c r="E2199" s="186" t="s">
        <v>906</v>
      </c>
      <c r="F2199" s="186" t="s">
        <v>907</v>
      </c>
      <c r="G2199" s="186" t="s">
        <v>2075</v>
      </c>
      <c r="H2199" s="186" t="s">
        <v>2076</v>
      </c>
      <c r="I2199" s="187" t="s">
        <v>2214</v>
      </c>
      <c r="J2199" s="187" t="s">
        <v>2215</v>
      </c>
      <c r="K2199" s="188"/>
      <c r="L2199" s="188"/>
      <c r="M2199" s="189" t="s">
        <v>1018</v>
      </c>
      <c r="N2199" s="190">
        <v>126</v>
      </c>
      <c r="O2199" s="190">
        <f t="shared" si="275"/>
        <v>137.34</v>
      </c>
      <c r="P2199" s="191">
        <f t="shared" si="276"/>
        <v>0</v>
      </c>
      <c r="Q2199" s="192">
        <f t="shared" si="277"/>
        <v>0</v>
      </c>
      <c r="R2199" s="193"/>
      <c r="S2199" s="194"/>
      <c r="T2199" s="195">
        <f t="shared" si="278"/>
        <v>0</v>
      </c>
      <c r="U2199" s="195">
        <f t="shared" si="279"/>
        <v>0</v>
      </c>
      <c r="V2199" s="195">
        <f t="shared" si="280"/>
        <v>0</v>
      </c>
      <c r="W2199" s="196" t="e">
        <f t="shared" si="281"/>
        <v>#DIV/0!</v>
      </c>
      <c r="X2199" s="197" t="e">
        <f t="shared" si="282"/>
        <v>#DIV/0!</v>
      </c>
    </row>
    <row r="2200" ht="11.4" hidden="1" customHeight="1" spans="1:24">
      <c r="A2200" s="184" t="s">
        <v>3206</v>
      </c>
      <c r="B2200" s="184" t="s">
        <v>145</v>
      </c>
      <c r="C2200" s="184" t="s">
        <v>2074</v>
      </c>
      <c r="D2200" s="185" t="s">
        <v>704</v>
      </c>
      <c r="E2200" s="186" t="s">
        <v>906</v>
      </c>
      <c r="F2200" s="186" t="s">
        <v>907</v>
      </c>
      <c r="G2200" s="186" t="s">
        <v>2075</v>
      </c>
      <c r="H2200" s="186" t="s">
        <v>2076</v>
      </c>
      <c r="I2200" s="187" t="s">
        <v>2216</v>
      </c>
      <c r="J2200" s="187" t="s">
        <v>2217</v>
      </c>
      <c r="K2200" s="188"/>
      <c r="L2200" s="188"/>
      <c r="M2200" s="189" t="s">
        <v>1018</v>
      </c>
      <c r="N2200" s="190">
        <v>105</v>
      </c>
      <c r="O2200" s="190">
        <f t="shared" si="275"/>
        <v>114.45</v>
      </c>
      <c r="P2200" s="191">
        <f t="shared" si="276"/>
        <v>0</v>
      </c>
      <c r="Q2200" s="192">
        <f t="shared" si="277"/>
        <v>0</v>
      </c>
      <c r="R2200" s="193"/>
      <c r="S2200" s="194"/>
      <c r="T2200" s="195">
        <f t="shared" si="278"/>
        <v>0</v>
      </c>
      <c r="U2200" s="195">
        <f t="shared" si="279"/>
        <v>0</v>
      </c>
      <c r="V2200" s="195">
        <f t="shared" si="280"/>
        <v>0</v>
      </c>
      <c r="W2200" s="196" t="e">
        <f t="shared" si="281"/>
        <v>#DIV/0!</v>
      </c>
      <c r="X2200" s="197" t="e">
        <f t="shared" si="282"/>
        <v>#DIV/0!</v>
      </c>
    </row>
    <row r="2201" ht="11.4" hidden="1" customHeight="1" spans="1:24">
      <c r="A2201" s="184" t="s">
        <v>3206</v>
      </c>
      <c r="B2201" s="184" t="s">
        <v>145</v>
      </c>
      <c r="C2201" s="184" t="s">
        <v>2074</v>
      </c>
      <c r="D2201" s="185" t="s">
        <v>704</v>
      </c>
      <c r="E2201" s="186" t="s">
        <v>906</v>
      </c>
      <c r="F2201" s="186" t="s">
        <v>907</v>
      </c>
      <c r="G2201" s="186" t="s">
        <v>2075</v>
      </c>
      <c r="H2201" s="186" t="s">
        <v>2076</v>
      </c>
      <c r="I2201" s="187" t="s">
        <v>2218</v>
      </c>
      <c r="J2201" s="187" t="s">
        <v>2219</v>
      </c>
      <c r="K2201" s="188"/>
      <c r="L2201" s="188"/>
      <c r="M2201" s="189" t="s">
        <v>1018</v>
      </c>
      <c r="N2201" s="190">
        <v>661.5</v>
      </c>
      <c r="O2201" s="190">
        <f t="shared" si="275"/>
        <v>721.04</v>
      </c>
      <c r="P2201" s="191">
        <f t="shared" si="276"/>
        <v>0</v>
      </c>
      <c r="Q2201" s="192">
        <f t="shared" si="277"/>
        <v>0</v>
      </c>
      <c r="R2201" s="193"/>
      <c r="S2201" s="194"/>
      <c r="T2201" s="195">
        <f t="shared" si="278"/>
        <v>0</v>
      </c>
      <c r="U2201" s="195">
        <f t="shared" si="279"/>
        <v>0</v>
      </c>
      <c r="V2201" s="195">
        <f t="shared" si="280"/>
        <v>0</v>
      </c>
      <c r="W2201" s="196" t="e">
        <f t="shared" si="281"/>
        <v>#DIV/0!</v>
      </c>
      <c r="X2201" s="197" t="e">
        <f t="shared" si="282"/>
        <v>#DIV/0!</v>
      </c>
    </row>
    <row r="2202" ht="11.4" hidden="1" customHeight="1" spans="1:24">
      <c r="A2202" s="184" t="s">
        <v>3206</v>
      </c>
      <c r="B2202" s="184" t="s">
        <v>145</v>
      </c>
      <c r="C2202" s="184" t="s">
        <v>2074</v>
      </c>
      <c r="D2202" s="185" t="s">
        <v>704</v>
      </c>
      <c r="E2202" s="186" t="s">
        <v>906</v>
      </c>
      <c r="F2202" s="186" t="s">
        <v>907</v>
      </c>
      <c r="G2202" s="186" t="s">
        <v>2075</v>
      </c>
      <c r="H2202" s="186" t="s">
        <v>2076</v>
      </c>
      <c r="I2202" s="187" t="s">
        <v>2220</v>
      </c>
      <c r="J2202" s="187" t="s">
        <v>2221</v>
      </c>
      <c r="K2202" s="188"/>
      <c r="L2202" s="188"/>
      <c r="M2202" s="189" t="s">
        <v>1018</v>
      </c>
      <c r="N2202" s="190">
        <v>488.25</v>
      </c>
      <c r="O2202" s="190">
        <f t="shared" si="275"/>
        <v>532.19</v>
      </c>
      <c r="P2202" s="191">
        <f t="shared" si="276"/>
        <v>0</v>
      </c>
      <c r="Q2202" s="192">
        <f t="shared" si="277"/>
        <v>0</v>
      </c>
      <c r="R2202" s="193"/>
      <c r="S2202" s="194"/>
      <c r="T2202" s="195">
        <f t="shared" si="278"/>
        <v>0</v>
      </c>
      <c r="U2202" s="195">
        <f t="shared" si="279"/>
        <v>0</v>
      </c>
      <c r="V2202" s="195">
        <f t="shared" si="280"/>
        <v>0</v>
      </c>
      <c r="W2202" s="196" t="e">
        <f t="shared" si="281"/>
        <v>#DIV/0!</v>
      </c>
      <c r="X2202" s="197" t="e">
        <f t="shared" si="282"/>
        <v>#DIV/0!</v>
      </c>
    </row>
    <row r="2203" ht="11.4" hidden="1" customHeight="1" spans="1:24">
      <c r="A2203" s="184" t="s">
        <v>3206</v>
      </c>
      <c r="B2203" s="184" t="s">
        <v>145</v>
      </c>
      <c r="C2203" s="184" t="s">
        <v>2074</v>
      </c>
      <c r="D2203" s="185" t="s">
        <v>704</v>
      </c>
      <c r="E2203" s="186" t="s">
        <v>906</v>
      </c>
      <c r="F2203" s="186" t="s">
        <v>907</v>
      </c>
      <c r="G2203" s="186" t="s">
        <v>2075</v>
      </c>
      <c r="H2203" s="186" t="s">
        <v>2076</v>
      </c>
      <c r="I2203" s="187" t="s">
        <v>2222</v>
      </c>
      <c r="J2203" s="187" t="s">
        <v>2223</v>
      </c>
      <c r="K2203" s="188"/>
      <c r="L2203" s="188"/>
      <c r="M2203" s="189" t="s">
        <v>807</v>
      </c>
      <c r="N2203" s="190">
        <v>36.75</v>
      </c>
      <c r="O2203" s="190">
        <f t="shared" si="275"/>
        <v>40.06</v>
      </c>
      <c r="P2203" s="191">
        <f t="shared" si="276"/>
        <v>0</v>
      </c>
      <c r="Q2203" s="192">
        <f t="shared" si="277"/>
        <v>0</v>
      </c>
      <c r="R2203" s="193"/>
      <c r="S2203" s="194"/>
      <c r="T2203" s="195">
        <f t="shared" si="278"/>
        <v>0</v>
      </c>
      <c r="U2203" s="195">
        <f t="shared" si="279"/>
        <v>0</v>
      </c>
      <c r="V2203" s="195">
        <f t="shared" si="280"/>
        <v>0</v>
      </c>
      <c r="W2203" s="196" t="e">
        <f t="shared" si="281"/>
        <v>#DIV/0!</v>
      </c>
      <c r="X2203" s="197" t="e">
        <f t="shared" si="282"/>
        <v>#DIV/0!</v>
      </c>
    </row>
    <row r="2204" ht="11.4" hidden="1" customHeight="1" spans="1:24">
      <c r="A2204" s="184" t="s">
        <v>3206</v>
      </c>
      <c r="B2204" s="184" t="s">
        <v>145</v>
      </c>
      <c r="C2204" s="184" t="s">
        <v>2074</v>
      </c>
      <c r="D2204" s="185" t="s">
        <v>704</v>
      </c>
      <c r="E2204" s="186" t="s">
        <v>906</v>
      </c>
      <c r="F2204" s="186" t="s">
        <v>907</v>
      </c>
      <c r="G2204" s="186" t="s">
        <v>2075</v>
      </c>
      <c r="H2204" s="186" t="s">
        <v>2076</v>
      </c>
      <c r="I2204" s="187" t="s">
        <v>2224</v>
      </c>
      <c r="J2204" s="187" t="s">
        <v>2225</v>
      </c>
      <c r="K2204" s="188"/>
      <c r="L2204" s="188"/>
      <c r="M2204" s="189" t="s">
        <v>1018</v>
      </c>
      <c r="N2204" s="190">
        <v>105</v>
      </c>
      <c r="O2204" s="190">
        <f t="shared" si="275"/>
        <v>114.45</v>
      </c>
      <c r="P2204" s="191">
        <f t="shared" si="276"/>
        <v>0</v>
      </c>
      <c r="Q2204" s="192">
        <f t="shared" si="277"/>
        <v>0</v>
      </c>
      <c r="R2204" s="193"/>
      <c r="S2204" s="194"/>
      <c r="T2204" s="195">
        <f t="shared" si="278"/>
        <v>0</v>
      </c>
      <c r="U2204" s="195">
        <f t="shared" si="279"/>
        <v>0</v>
      </c>
      <c r="V2204" s="195">
        <f t="shared" si="280"/>
        <v>0</v>
      </c>
      <c r="W2204" s="196" t="e">
        <f t="shared" si="281"/>
        <v>#DIV/0!</v>
      </c>
      <c r="X2204" s="197" t="e">
        <f t="shared" si="282"/>
        <v>#DIV/0!</v>
      </c>
    </row>
    <row r="2205" ht="11.4" hidden="1" customHeight="1" spans="1:24">
      <c r="A2205" s="184" t="s">
        <v>3206</v>
      </c>
      <c r="B2205" s="184" t="s">
        <v>145</v>
      </c>
      <c r="C2205" s="184" t="s">
        <v>2074</v>
      </c>
      <c r="D2205" s="185" t="s">
        <v>704</v>
      </c>
      <c r="E2205" s="186" t="s">
        <v>906</v>
      </c>
      <c r="F2205" s="186" t="s">
        <v>907</v>
      </c>
      <c r="G2205" s="186" t="s">
        <v>2075</v>
      </c>
      <c r="H2205" s="186" t="s">
        <v>2076</v>
      </c>
      <c r="I2205" s="187" t="s">
        <v>2226</v>
      </c>
      <c r="J2205" s="187" t="s">
        <v>2227</v>
      </c>
      <c r="K2205" s="188"/>
      <c r="L2205" s="188"/>
      <c r="M2205" s="189" t="s">
        <v>1018</v>
      </c>
      <c r="N2205" s="190">
        <v>77.7</v>
      </c>
      <c r="O2205" s="190">
        <f t="shared" si="275"/>
        <v>84.69</v>
      </c>
      <c r="P2205" s="191">
        <f t="shared" si="276"/>
        <v>0</v>
      </c>
      <c r="Q2205" s="192">
        <f t="shared" si="277"/>
        <v>0</v>
      </c>
      <c r="R2205" s="193"/>
      <c r="S2205" s="194"/>
      <c r="T2205" s="195">
        <f t="shared" si="278"/>
        <v>0</v>
      </c>
      <c r="U2205" s="195">
        <f t="shared" si="279"/>
        <v>0</v>
      </c>
      <c r="V2205" s="195">
        <f t="shared" si="280"/>
        <v>0</v>
      </c>
      <c r="W2205" s="196" t="e">
        <f t="shared" si="281"/>
        <v>#DIV/0!</v>
      </c>
      <c r="X2205" s="197" t="e">
        <f t="shared" si="282"/>
        <v>#DIV/0!</v>
      </c>
    </row>
    <row r="2206" ht="11.4" hidden="1" customHeight="1" spans="1:24">
      <c r="A2206" s="184" t="s">
        <v>3206</v>
      </c>
      <c r="B2206" s="184" t="s">
        <v>145</v>
      </c>
      <c r="C2206" s="184" t="s">
        <v>2074</v>
      </c>
      <c r="D2206" s="185" t="s">
        <v>704</v>
      </c>
      <c r="E2206" s="186" t="s">
        <v>906</v>
      </c>
      <c r="F2206" s="186" t="s">
        <v>907</v>
      </c>
      <c r="G2206" s="186" t="s">
        <v>2075</v>
      </c>
      <c r="H2206" s="186" t="s">
        <v>2076</v>
      </c>
      <c r="I2206" s="187" t="s">
        <v>2228</v>
      </c>
      <c r="J2206" s="187" t="s">
        <v>2229</v>
      </c>
      <c r="K2206" s="188"/>
      <c r="L2206" s="188"/>
      <c r="M2206" s="189" t="s">
        <v>1018</v>
      </c>
      <c r="N2206" s="190">
        <v>38.85</v>
      </c>
      <c r="O2206" s="190">
        <f t="shared" si="275"/>
        <v>42.35</v>
      </c>
      <c r="P2206" s="191">
        <f t="shared" si="276"/>
        <v>0</v>
      </c>
      <c r="Q2206" s="192">
        <f t="shared" si="277"/>
        <v>0</v>
      </c>
      <c r="R2206" s="193"/>
      <c r="S2206" s="194"/>
      <c r="T2206" s="195">
        <f t="shared" si="278"/>
        <v>0</v>
      </c>
      <c r="U2206" s="195">
        <f t="shared" si="279"/>
        <v>0</v>
      </c>
      <c r="V2206" s="195">
        <f t="shared" si="280"/>
        <v>0</v>
      </c>
      <c r="W2206" s="196" t="e">
        <f t="shared" si="281"/>
        <v>#DIV/0!</v>
      </c>
      <c r="X2206" s="197" t="e">
        <f t="shared" si="282"/>
        <v>#DIV/0!</v>
      </c>
    </row>
    <row r="2207" ht="11.4" hidden="1" customHeight="1" spans="1:24">
      <c r="A2207" s="184" t="s">
        <v>3206</v>
      </c>
      <c r="B2207" s="184" t="s">
        <v>145</v>
      </c>
      <c r="C2207" s="184" t="s">
        <v>2074</v>
      </c>
      <c r="D2207" s="185" t="s">
        <v>704</v>
      </c>
      <c r="E2207" s="186" t="s">
        <v>906</v>
      </c>
      <c r="F2207" s="186" t="s">
        <v>907</v>
      </c>
      <c r="G2207" s="186" t="s">
        <v>2075</v>
      </c>
      <c r="H2207" s="186" t="s">
        <v>2076</v>
      </c>
      <c r="I2207" s="187" t="s">
        <v>2230</v>
      </c>
      <c r="J2207" s="187" t="s">
        <v>2231</v>
      </c>
      <c r="K2207" s="188"/>
      <c r="L2207" s="188"/>
      <c r="M2207" s="189" t="s">
        <v>1018</v>
      </c>
      <c r="N2207" s="190">
        <v>8.4</v>
      </c>
      <c r="O2207" s="190">
        <f t="shared" si="275"/>
        <v>9.16</v>
      </c>
      <c r="P2207" s="191">
        <f t="shared" si="276"/>
        <v>0</v>
      </c>
      <c r="Q2207" s="192">
        <f t="shared" si="277"/>
        <v>0</v>
      </c>
      <c r="R2207" s="193"/>
      <c r="S2207" s="194"/>
      <c r="T2207" s="195">
        <f t="shared" si="278"/>
        <v>0</v>
      </c>
      <c r="U2207" s="195">
        <f t="shared" si="279"/>
        <v>0</v>
      </c>
      <c r="V2207" s="195">
        <f t="shared" si="280"/>
        <v>0</v>
      </c>
      <c r="W2207" s="196" t="e">
        <f t="shared" si="281"/>
        <v>#DIV/0!</v>
      </c>
      <c r="X2207" s="197" t="e">
        <f t="shared" si="282"/>
        <v>#DIV/0!</v>
      </c>
    </row>
    <row r="2208" ht="11.4" hidden="1" customHeight="1" spans="1:24">
      <c r="A2208" s="184" t="s">
        <v>3206</v>
      </c>
      <c r="B2208" s="184" t="s">
        <v>145</v>
      </c>
      <c r="C2208" s="184" t="s">
        <v>2074</v>
      </c>
      <c r="D2208" s="185" t="s">
        <v>704</v>
      </c>
      <c r="E2208" s="186" t="s">
        <v>906</v>
      </c>
      <c r="F2208" s="186" t="s">
        <v>907</v>
      </c>
      <c r="G2208" s="186" t="s">
        <v>2075</v>
      </c>
      <c r="H2208" s="186" t="s">
        <v>2076</v>
      </c>
      <c r="I2208" s="187" t="s">
        <v>2232</v>
      </c>
      <c r="J2208" s="187" t="s">
        <v>2233</v>
      </c>
      <c r="K2208" s="188"/>
      <c r="L2208" s="188"/>
      <c r="M2208" s="189" t="s">
        <v>1018</v>
      </c>
      <c r="N2208" s="190">
        <v>57.75</v>
      </c>
      <c r="O2208" s="190">
        <f t="shared" si="275"/>
        <v>62.95</v>
      </c>
      <c r="P2208" s="191">
        <f t="shared" si="276"/>
        <v>0</v>
      </c>
      <c r="Q2208" s="192">
        <f t="shared" si="277"/>
        <v>0</v>
      </c>
      <c r="R2208" s="193"/>
      <c r="S2208" s="194"/>
      <c r="T2208" s="195">
        <f t="shared" si="278"/>
        <v>0</v>
      </c>
      <c r="U2208" s="195">
        <f t="shared" si="279"/>
        <v>0</v>
      </c>
      <c r="V2208" s="195">
        <f t="shared" si="280"/>
        <v>0</v>
      </c>
      <c r="W2208" s="196" t="e">
        <f t="shared" si="281"/>
        <v>#DIV/0!</v>
      </c>
      <c r="X2208" s="197" t="e">
        <f t="shared" si="282"/>
        <v>#DIV/0!</v>
      </c>
    </row>
    <row r="2209" ht="11.4" hidden="1" customHeight="1" spans="1:24">
      <c r="A2209" s="184" t="s">
        <v>3206</v>
      </c>
      <c r="B2209" s="184" t="s">
        <v>145</v>
      </c>
      <c r="C2209" s="184" t="s">
        <v>2074</v>
      </c>
      <c r="D2209" s="185" t="s">
        <v>704</v>
      </c>
      <c r="E2209" s="186" t="s">
        <v>906</v>
      </c>
      <c r="F2209" s="186" t="s">
        <v>907</v>
      </c>
      <c r="G2209" s="186" t="s">
        <v>2075</v>
      </c>
      <c r="H2209" s="186" t="s">
        <v>2076</v>
      </c>
      <c r="I2209" s="187" t="s">
        <v>2234</v>
      </c>
      <c r="J2209" s="187" t="s">
        <v>2235</v>
      </c>
      <c r="K2209" s="188"/>
      <c r="L2209" s="188"/>
      <c r="M2209" s="189" t="s">
        <v>1018</v>
      </c>
      <c r="N2209" s="190">
        <v>131.25</v>
      </c>
      <c r="O2209" s="190">
        <f t="shared" si="275"/>
        <v>143.06</v>
      </c>
      <c r="P2209" s="191">
        <f t="shared" si="276"/>
        <v>0</v>
      </c>
      <c r="Q2209" s="192">
        <f t="shared" si="277"/>
        <v>0</v>
      </c>
      <c r="R2209" s="193"/>
      <c r="S2209" s="194"/>
      <c r="T2209" s="195">
        <f t="shared" si="278"/>
        <v>0</v>
      </c>
      <c r="U2209" s="195">
        <f t="shared" si="279"/>
        <v>0</v>
      </c>
      <c r="V2209" s="195">
        <f t="shared" si="280"/>
        <v>0</v>
      </c>
      <c r="W2209" s="196" t="e">
        <f t="shared" si="281"/>
        <v>#DIV/0!</v>
      </c>
      <c r="X2209" s="197" t="e">
        <f t="shared" si="282"/>
        <v>#DIV/0!</v>
      </c>
    </row>
    <row r="2210" ht="11.4" hidden="1" customHeight="1" spans="1:24">
      <c r="A2210" s="184" t="s">
        <v>3206</v>
      </c>
      <c r="B2210" s="184" t="s">
        <v>145</v>
      </c>
      <c r="C2210" s="184" t="s">
        <v>2074</v>
      </c>
      <c r="D2210" s="185" t="s">
        <v>704</v>
      </c>
      <c r="E2210" s="186" t="s">
        <v>906</v>
      </c>
      <c r="F2210" s="186" t="s">
        <v>907</v>
      </c>
      <c r="G2210" s="186" t="s">
        <v>2075</v>
      </c>
      <c r="H2210" s="186" t="s">
        <v>2076</v>
      </c>
      <c r="I2210" s="187" t="s">
        <v>2236</v>
      </c>
      <c r="J2210" s="187" t="s">
        <v>2237</v>
      </c>
      <c r="K2210" s="188"/>
      <c r="L2210" s="188"/>
      <c r="M2210" s="189" t="s">
        <v>1018</v>
      </c>
      <c r="N2210" s="190">
        <v>120.75</v>
      </c>
      <c r="O2210" s="190">
        <f t="shared" si="275"/>
        <v>131.62</v>
      </c>
      <c r="P2210" s="191">
        <f t="shared" si="276"/>
        <v>0</v>
      </c>
      <c r="Q2210" s="192">
        <f t="shared" si="277"/>
        <v>0</v>
      </c>
      <c r="R2210" s="193"/>
      <c r="S2210" s="194"/>
      <c r="T2210" s="195">
        <f t="shared" si="278"/>
        <v>0</v>
      </c>
      <c r="U2210" s="195">
        <f t="shared" si="279"/>
        <v>0</v>
      </c>
      <c r="V2210" s="195">
        <f t="shared" si="280"/>
        <v>0</v>
      </c>
      <c r="W2210" s="196" t="e">
        <f t="shared" si="281"/>
        <v>#DIV/0!</v>
      </c>
      <c r="X2210" s="197" t="e">
        <f t="shared" si="282"/>
        <v>#DIV/0!</v>
      </c>
    </row>
    <row r="2211" ht="11.4" hidden="1" customHeight="1" spans="1:24">
      <c r="A2211" s="184" t="s">
        <v>3206</v>
      </c>
      <c r="B2211" s="184" t="s">
        <v>145</v>
      </c>
      <c r="C2211" s="184" t="s">
        <v>2074</v>
      </c>
      <c r="D2211" s="185" t="s">
        <v>704</v>
      </c>
      <c r="E2211" s="186" t="s">
        <v>906</v>
      </c>
      <c r="F2211" s="186" t="s">
        <v>907</v>
      </c>
      <c r="G2211" s="186" t="s">
        <v>2075</v>
      </c>
      <c r="H2211" s="186" t="s">
        <v>2076</v>
      </c>
      <c r="I2211" s="187" t="s">
        <v>2238</v>
      </c>
      <c r="J2211" s="187" t="s">
        <v>2239</v>
      </c>
      <c r="K2211" s="188"/>
      <c r="L2211" s="188"/>
      <c r="M2211" s="189" t="s">
        <v>1018</v>
      </c>
      <c r="N2211" s="190">
        <v>120.75</v>
      </c>
      <c r="O2211" s="190">
        <f t="shared" si="275"/>
        <v>131.62</v>
      </c>
      <c r="P2211" s="191">
        <f t="shared" si="276"/>
        <v>0</v>
      </c>
      <c r="Q2211" s="192">
        <f t="shared" si="277"/>
        <v>0</v>
      </c>
      <c r="R2211" s="193"/>
      <c r="S2211" s="194"/>
      <c r="T2211" s="195">
        <f t="shared" si="278"/>
        <v>0</v>
      </c>
      <c r="U2211" s="195">
        <f t="shared" si="279"/>
        <v>0</v>
      </c>
      <c r="V2211" s="195">
        <f t="shared" si="280"/>
        <v>0</v>
      </c>
      <c r="W2211" s="196" t="e">
        <f t="shared" si="281"/>
        <v>#DIV/0!</v>
      </c>
      <c r="X2211" s="197" t="e">
        <f t="shared" si="282"/>
        <v>#DIV/0!</v>
      </c>
    </row>
    <row r="2212" ht="11.4" hidden="1" customHeight="1" spans="1:24">
      <c r="A2212" s="184" t="s">
        <v>3206</v>
      </c>
      <c r="B2212" s="184" t="s">
        <v>145</v>
      </c>
      <c r="C2212" s="184" t="s">
        <v>2074</v>
      </c>
      <c r="D2212" s="185" t="s">
        <v>704</v>
      </c>
      <c r="E2212" s="186" t="s">
        <v>906</v>
      </c>
      <c r="F2212" s="186" t="s">
        <v>907</v>
      </c>
      <c r="G2212" s="186" t="s">
        <v>2075</v>
      </c>
      <c r="H2212" s="186" t="s">
        <v>2076</v>
      </c>
      <c r="I2212" s="187" t="s">
        <v>2240</v>
      </c>
      <c r="J2212" s="187" t="s">
        <v>2241</v>
      </c>
      <c r="K2212" s="188"/>
      <c r="L2212" s="188"/>
      <c r="M2212" s="189" t="s">
        <v>1018</v>
      </c>
      <c r="N2212" s="190">
        <v>131.25</v>
      </c>
      <c r="O2212" s="190">
        <f t="shared" si="275"/>
        <v>143.06</v>
      </c>
      <c r="P2212" s="191">
        <f t="shared" si="276"/>
        <v>0</v>
      </c>
      <c r="Q2212" s="192">
        <f t="shared" si="277"/>
        <v>0</v>
      </c>
      <c r="R2212" s="193"/>
      <c r="S2212" s="194"/>
      <c r="T2212" s="195">
        <f t="shared" si="278"/>
        <v>0</v>
      </c>
      <c r="U2212" s="195">
        <f t="shared" si="279"/>
        <v>0</v>
      </c>
      <c r="V2212" s="195">
        <f t="shared" si="280"/>
        <v>0</v>
      </c>
      <c r="W2212" s="196" t="e">
        <f t="shared" si="281"/>
        <v>#DIV/0!</v>
      </c>
      <c r="X2212" s="197" t="e">
        <f t="shared" si="282"/>
        <v>#DIV/0!</v>
      </c>
    </row>
    <row r="2213" ht="11.4" hidden="1" customHeight="1" spans="1:24">
      <c r="A2213" s="184" t="s">
        <v>3206</v>
      </c>
      <c r="B2213" s="184" t="s">
        <v>145</v>
      </c>
      <c r="C2213" s="184" t="s">
        <v>2074</v>
      </c>
      <c r="D2213" s="185" t="s">
        <v>704</v>
      </c>
      <c r="E2213" s="186" t="s">
        <v>906</v>
      </c>
      <c r="F2213" s="186" t="s">
        <v>907</v>
      </c>
      <c r="G2213" s="186" t="s">
        <v>2075</v>
      </c>
      <c r="H2213" s="186" t="s">
        <v>2076</v>
      </c>
      <c r="I2213" s="187" t="s">
        <v>2242</v>
      </c>
      <c r="J2213" s="187" t="s">
        <v>2243</v>
      </c>
      <c r="K2213" s="188"/>
      <c r="L2213" s="188"/>
      <c r="M2213" s="189" t="s">
        <v>807</v>
      </c>
      <c r="N2213" s="190">
        <v>42</v>
      </c>
      <c r="O2213" s="190">
        <f t="shared" si="275"/>
        <v>45.78</v>
      </c>
      <c r="P2213" s="191">
        <f t="shared" si="276"/>
        <v>0</v>
      </c>
      <c r="Q2213" s="192">
        <f t="shared" si="277"/>
        <v>0</v>
      </c>
      <c r="R2213" s="193"/>
      <c r="S2213" s="194"/>
      <c r="T2213" s="195">
        <f t="shared" si="278"/>
        <v>0</v>
      </c>
      <c r="U2213" s="195">
        <f t="shared" si="279"/>
        <v>0</v>
      </c>
      <c r="V2213" s="195">
        <f t="shared" si="280"/>
        <v>0</v>
      </c>
      <c r="W2213" s="196" t="e">
        <f t="shared" si="281"/>
        <v>#DIV/0!</v>
      </c>
      <c r="X2213" s="197" t="e">
        <f t="shared" si="282"/>
        <v>#DIV/0!</v>
      </c>
    </row>
    <row r="2214" ht="11.4" hidden="1" customHeight="1" spans="1:24">
      <c r="A2214" s="184" t="s">
        <v>3207</v>
      </c>
      <c r="B2214" s="184" t="s">
        <v>147</v>
      </c>
      <c r="C2214" s="184" t="s">
        <v>2074</v>
      </c>
      <c r="D2214" s="185" t="s">
        <v>704</v>
      </c>
      <c r="E2214" s="186" t="s">
        <v>906</v>
      </c>
      <c r="F2214" s="186" t="s">
        <v>907</v>
      </c>
      <c r="G2214" s="186" t="s">
        <v>2075</v>
      </c>
      <c r="H2214" s="186" t="s">
        <v>2245</v>
      </c>
      <c r="I2214" s="187" t="s">
        <v>2087</v>
      </c>
      <c r="J2214" s="187" t="s">
        <v>2088</v>
      </c>
      <c r="K2214" s="188"/>
      <c r="L2214" s="188"/>
      <c r="M2214" s="189" t="s">
        <v>1018</v>
      </c>
      <c r="N2214" s="190">
        <v>94.5</v>
      </c>
      <c r="O2214" s="190">
        <f t="shared" si="275"/>
        <v>103.01</v>
      </c>
      <c r="P2214" s="191">
        <f t="shared" si="276"/>
        <v>0</v>
      </c>
      <c r="Q2214" s="192">
        <f t="shared" si="277"/>
        <v>0</v>
      </c>
      <c r="R2214" s="193"/>
      <c r="S2214" s="194"/>
      <c r="T2214" s="195">
        <f t="shared" si="278"/>
        <v>0</v>
      </c>
      <c r="U2214" s="195">
        <f t="shared" si="279"/>
        <v>0</v>
      </c>
      <c r="V2214" s="195">
        <f t="shared" si="280"/>
        <v>0</v>
      </c>
      <c r="W2214" s="196" t="e">
        <f t="shared" si="281"/>
        <v>#DIV/0!</v>
      </c>
      <c r="X2214" s="197" t="e">
        <f t="shared" si="282"/>
        <v>#DIV/0!</v>
      </c>
    </row>
    <row r="2215" ht="11.4" hidden="1" customHeight="1" spans="1:24">
      <c r="A2215" s="184" t="s">
        <v>3207</v>
      </c>
      <c r="B2215" s="184" t="s">
        <v>147</v>
      </c>
      <c r="C2215" s="184" t="s">
        <v>2074</v>
      </c>
      <c r="D2215" s="185" t="s">
        <v>704</v>
      </c>
      <c r="E2215" s="186" t="s">
        <v>906</v>
      </c>
      <c r="F2215" s="186" t="s">
        <v>907</v>
      </c>
      <c r="G2215" s="186" t="s">
        <v>2075</v>
      </c>
      <c r="H2215" s="186" t="s">
        <v>2245</v>
      </c>
      <c r="I2215" s="187" t="s">
        <v>2246</v>
      </c>
      <c r="J2215" s="187" t="s">
        <v>2247</v>
      </c>
      <c r="K2215" s="188"/>
      <c r="L2215" s="188"/>
      <c r="M2215" s="189" t="s">
        <v>1018</v>
      </c>
      <c r="N2215" s="190">
        <v>107.69</v>
      </c>
      <c r="O2215" s="190">
        <f t="shared" si="275"/>
        <v>117.38</v>
      </c>
      <c r="P2215" s="191">
        <f t="shared" si="276"/>
        <v>0</v>
      </c>
      <c r="Q2215" s="192">
        <f t="shared" si="277"/>
        <v>0</v>
      </c>
      <c r="R2215" s="193"/>
      <c r="S2215" s="194"/>
      <c r="T2215" s="195">
        <f t="shared" si="278"/>
        <v>0</v>
      </c>
      <c r="U2215" s="195">
        <f t="shared" si="279"/>
        <v>0</v>
      </c>
      <c r="V2215" s="195">
        <f t="shared" si="280"/>
        <v>0</v>
      </c>
      <c r="W2215" s="196" t="e">
        <f t="shared" si="281"/>
        <v>#DIV/0!</v>
      </c>
      <c r="X2215" s="197" t="e">
        <f t="shared" si="282"/>
        <v>#DIV/0!</v>
      </c>
    </row>
    <row r="2216" ht="11.4" hidden="1" customHeight="1" spans="1:24">
      <c r="A2216" s="184" t="s">
        <v>3207</v>
      </c>
      <c r="B2216" s="184" t="s">
        <v>147</v>
      </c>
      <c r="C2216" s="184" t="s">
        <v>2074</v>
      </c>
      <c r="D2216" s="185" t="s">
        <v>704</v>
      </c>
      <c r="E2216" s="186" t="s">
        <v>906</v>
      </c>
      <c r="F2216" s="186" t="s">
        <v>907</v>
      </c>
      <c r="G2216" s="186" t="s">
        <v>2075</v>
      </c>
      <c r="H2216" s="186" t="s">
        <v>2245</v>
      </c>
      <c r="I2216" s="187" t="s">
        <v>2085</v>
      </c>
      <c r="J2216" s="187" t="s">
        <v>2086</v>
      </c>
      <c r="K2216" s="188"/>
      <c r="L2216" s="188"/>
      <c r="M2216" s="189" t="s">
        <v>1018</v>
      </c>
      <c r="N2216" s="190">
        <v>40.95</v>
      </c>
      <c r="O2216" s="190">
        <f t="shared" si="275"/>
        <v>44.64</v>
      </c>
      <c r="P2216" s="191">
        <f t="shared" si="276"/>
        <v>0</v>
      </c>
      <c r="Q2216" s="192">
        <f t="shared" si="277"/>
        <v>0</v>
      </c>
      <c r="R2216" s="193"/>
      <c r="S2216" s="194"/>
      <c r="T2216" s="195">
        <f t="shared" si="278"/>
        <v>0</v>
      </c>
      <c r="U2216" s="195">
        <f t="shared" si="279"/>
        <v>0</v>
      </c>
      <c r="V2216" s="195">
        <f t="shared" si="280"/>
        <v>0</v>
      </c>
      <c r="W2216" s="196" t="e">
        <f t="shared" si="281"/>
        <v>#DIV/0!</v>
      </c>
      <c r="X2216" s="197" t="e">
        <f t="shared" si="282"/>
        <v>#DIV/0!</v>
      </c>
    </row>
    <row r="2217" ht="11.4" hidden="1" customHeight="1" spans="1:24">
      <c r="A2217" s="184" t="s">
        <v>3207</v>
      </c>
      <c r="B2217" s="184" t="s">
        <v>147</v>
      </c>
      <c r="C2217" s="184" t="s">
        <v>2074</v>
      </c>
      <c r="D2217" s="185" t="s">
        <v>704</v>
      </c>
      <c r="E2217" s="186" t="s">
        <v>906</v>
      </c>
      <c r="F2217" s="186" t="s">
        <v>907</v>
      </c>
      <c r="G2217" s="186" t="s">
        <v>2075</v>
      </c>
      <c r="H2217" s="186" t="s">
        <v>2245</v>
      </c>
      <c r="I2217" s="187" t="s">
        <v>2089</v>
      </c>
      <c r="J2217" s="187" t="s">
        <v>2090</v>
      </c>
      <c r="K2217" s="188"/>
      <c r="L2217" s="188"/>
      <c r="M2217" s="189" t="s">
        <v>1018</v>
      </c>
      <c r="N2217" s="190">
        <v>131.25</v>
      </c>
      <c r="O2217" s="190">
        <f t="shared" si="275"/>
        <v>143.06</v>
      </c>
      <c r="P2217" s="191">
        <f t="shared" si="276"/>
        <v>0</v>
      </c>
      <c r="Q2217" s="192">
        <f t="shared" si="277"/>
        <v>0</v>
      </c>
      <c r="R2217" s="193"/>
      <c r="S2217" s="194"/>
      <c r="T2217" s="195">
        <f t="shared" si="278"/>
        <v>0</v>
      </c>
      <c r="U2217" s="195">
        <f t="shared" si="279"/>
        <v>0</v>
      </c>
      <c r="V2217" s="195">
        <f t="shared" si="280"/>
        <v>0</v>
      </c>
      <c r="W2217" s="196" t="e">
        <f t="shared" si="281"/>
        <v>#DIV/0!</v>
      </c>
      <c r="X2217" s="197" t="e">
        <f t="shared" si="282"/>
        <v>#DIV/0!</v>
      </c>
    </row>
    <row r="2218" ht="11.4" hidden="1" customHeight="1" spans="1:24">
      <c r="A2218" s="184" t="s">
        <v>3207</v>
      </c>
      <c r="B2218" s="184" t="s">
        <v>147</v>
      </c>
      <c r="C2218" s="184" t="s">
        <v>2074</v>
      </c>
      <c r="D2218" s="185" t="s">
        <v>704</v>
      </c>
      <c r="E2218" s="186" t="s">
        <v>906</v>
      </c>
      <c r="F2218" s="186" t="s">
        <v>907</v>
      </c>
      <c r="G2218" s="186" t="s">
        <v>2075</v>
      </c>
      <c r="H2218" s="186" t="s">
        <v>2245</v>
      </c>
      <c r="I2218" s="187" t="s">
        <v>2091</v>
      </c>
      <c r="J2218" s="187" t="s">
        <v>2092</v>
      </c>
      <c r="K2218" s="188"/>
      <c r="L2218" s="188"/>
      <c r="M2218" s="189" t="s">
        <v>1018</v>
      </c>
      <c r="N2218" s="190">
        <v>222.6</v>
      </c>
      <c r="O2218" s="190">
        <f t="shared" si="275"/>
        <v>242.63</v>
      </c>
      <c r="P2218" s="191">
        <f t="shared" si="276"/>
        <v>0</v>
      </c>
      <c r="Q2218" s="192">
        <f t="shared" si="277"/>
        <v>0</v>
      </c>
      <c r="R2218" s="193"/>
      <c r="S2218" s="194"/>
      <c r="T2218" s="195">
        <f t="shared" si="278"/>
        <v>0</v>
      </c>
      <c r="U2218" s="195">
        <f t="shared" si="279"/>
        <v>0</v>
      </c>
      <c r="V2218" s="195">
        <f t="shared" si="280"/>
        <v>0</v>
      </c>
      <c r="W2218" s="196" t="e">
        <f t="shared" si="281"/>
        <v>#DIV/0!</v>
      </c>
      <c r="X2218" s="197" t="e">
        <f t="shared" si="282"/>
        <v>#DIV/0!</v>
      </c>
    </row>
    <row r="2219" ht="11.4" hidden="1" customHeight="1" spans="1:24">
      <c r="A2219" s="184" t="s">
        <v>3207</v>
      </c>
      <c r="B2219" s="184" t="s">
        <v>147</v>
      </c>
      <c r="C2219" s="184" t="s">
        <v>2074</v>
      </c>
      <c r="D2219" s="185" t="s">
        <v>704</v>
      </c>
      <c r="E2219" s="186" t="s">
        <v>906</v>
      </c>
      <c r="F2219" s="186" t="s">
        <v>907</v>
      </c>
      <c r="G2219" s="186" t="s">
        <v>2075</v>
      </c>
      <c r="H2219" s="186" t="s">
        <v>2245</v>
      </c>
      <c r="I2219" s="187" t="s">
        <v>2093</v>
      </c>
      <c r="J2219" s="187" t="s">
        <v>2094</v>
      </c>
      <c r="K2219" s="188"/>
      <c r="L2219" s="188"/>
      <c r="M2219" s="189" t="s">
        <v>1018</v>
      </c>
      <c r="N2219" s="190">
        <v>176.4</v>
      </c>
      <c r="O2219" s="190">
        <f t="shared" si="275"/>
        <v>192.28</v>
      </c>
      <c r="P2219" s="191">
        <f t="shared" si="276"/>
        <v>0</v>
      </c>
      <c r="Q2219" s="192">
        <f t="shared" si="277"/>
        <v>0</v>
      </c>
      <c r="R2219" s="193"/>
      <c r="S2219" s="194"/>
      <c r="T2219" s="195">
        <f t="shared" si="278"/>
        <v>0</v>
      </c>
      <c r="U2219" s="195">
        <f t="shared" si="279"/>
        <v>0</v>
      </c>
      <c r="V2219" s="195">
        <f t="shared" si="280"/>
        <v>0</v>
      </c>
      <c r="W2219" s="196" t="e">
        <f t="shared" si="281"/>
        <v>#DIV/0!</v>
      </c>
      <c r="X2219" s="197" t="e">
        <f t="shared" si="282"/>
        <v>#DIV/0!</v>
      </c>
    </row>
    <row r="2220" ht="11.4" hidden="1" customHeight="1" spans="1:24">
      <c r="A2220" s="184" t="s">
        <v>3207</v>
      </c>
      <c r="B2220" s="184" t="s">
        <v>147</v>
      </c>
      <c r="C2220" s="184" t="s">
        <v>2074</v>
      </c>
      <c r="D2220" s="185" t="s">
        <v>704</v>
      </c>
      <c r="E2220" s="186" t="s">
        <v>906</v>
      </c>
      <c r="F2220" s="186" t="s">
        <v>907</v>
      </c>
      <c r="G2220" s="186" t="s">
        <v>2075</v>
      </c>
      <c r="H2220" s="186" t="s">
        <v>2245</v>
      </c>
      <c r="I2220" s="187" t="s">
        <v>2095</v>
      </c>
      <c r="J2220" s="187" t="s">
        <v>2096</v>
      </c>
      <c r="K2220" s="188"/>
      <c r="L2220" s="188"/>
      <c r="M2220" s="189" t="s">
        <v>1018</v>
      </c>
      <c r="N2220" s="190">
        <v>134.4</v>
      </c>
      <c r="O2220" s="190">
        <f t="shared" si="275"/>
        <v>146.5</v>
      </c>
      <c r="P2220" s="191">
        <f t="shared" si="276"/>
        <v>0</v>
      </c>
      <c r="Q2220" s="192">
        <f t="shared" si="277"/>
        <v>0</v>
      </c>
      <c r="R2220" s="193"/>
      <c r="S2220" s="194"/>
      <c r="T2220" s="195">
        <f t="shared" si="278"/>
        <v>0</v>
      </c>
      <c r="U2220" s="195">
        <f t="shared" si="279"/>
        <v>0</v>
      </c>
      <c r="V2220" s="195">
        <f t="shared" si="280"/>
        <v>0</v>
      </c>
      <c r="W2220" s="196" t="e">
        <f t="shared" si="281"/>
        <v>#DIV/0!</v>
      </c>
      <c r="X2220" s="197" t="e">
        <f t="shared" si="282"/>
        <v>#DIV/0!</v>
      </c>
    </row>
    <row r="2221" ht="11.4" hidden="1" customHeight="1" spans="1:24">
      <c r="A2221" s="184" t="s">
        <v>3207</v>
      </c>
      <c r="B2221" s="184" t="s">
        <v>147</v>
      </c>
      <c r="C2221" s="184" t="s">
        <v>2074</v>
      </c>
      <c r="D2221" s="185" t="s">
        <v>704</v>
      </c>
      <c r="E2221" s="186" t="s">
        <v>906</v>
      </c>
      <c r="F2221" s="186" t="s">
        <v>907</v>
      </c>
      <c r="G2221" s="186" t="s">
        <v>2075</v>
      </c>
      <c r="H2221" s="186" t="s">
        <v>2245</v>
      </c>
      <c r="I2221" s="187" t="s">
        <v>2097</v>
      </c>
      <c r="J2221" s="187" t="s">
        <v>2098</v>
      </c>
      <c r="K2221" s="188"/>
      <c r="L2221" s="188"/>
      <c r="M2221" s="189" t="s">
        <v>1018</v>
      </c>
      <c r="N2221" s="190">
        <v>152.56</v>
      </c>
      <c r="O2221" s="190">
        <f t="shared" si="275"/>
        <v>166.29</v>
      </c>
      <c r="P2221" s="191">
        <f t="shared" si="276"/>
        <v>0</v>
      </c>
      <c r="Q2221" s="192">
        <f t="shared" si="277"/>
        <v>0</v>
      </c>
      <c r="R2221" s="193"/>
      <c r="S2221" s="194"/>
      <c r="T2221" s="195">
        <f t="shared" si="278"/>
        <v>0</v>
      </c>
      <c r="U2221" s="195">
        <f t="shared" si="279"/>
        <v>0</v>
      </c>
      <c r="V2221" s="195">
        <f t="shared" si="280"/>
        <v>0</v>
      </c>
      <c r="W2221" s="196" t="e">
        <f t="shared" si="281"/>
        <v>#DIV/0!</v>
      </c>
      <c r="X2221" s="197" t="e">
        <f t="shared" si="282"/>
        <v>#DIV/0!</v>
      </c>
    </row>
    <row r="2222" ht="11.4" hidden="1" customHeight="1" spans="1:24">
      <c r="A2222" s="184" t="s">
        <v>3207</v>
      </c>
      <c r="B2222" s="184" t="s">
        <v>147</v>
      </c>
      <c r="C2222" s="184" t="s">
        <v>2074</v>
      </c>
      <c r="D2222" s="185" t="s">
        <v>704</v>
      </c>
      <c r="E2222" s="186" t="s">
        <v>906</v>
      </c>
      <c r="F2222" s="186" t="s">
        <v>907</v>
      </c>
      <c r="G2222" s="186" t="s">
        <v>2075</v>
      </c>
      <c r="H2222" s="186" t="s">
        <v>2245</v>
      </c>
      <c r="I2222" s="187" t="s">
        <v>2099</v>
      </c>
      <c r="J2222" s="187" t="s">
        <v>2100</v>
      </c>
      <c r="K2222" s="188"/>
      <c r="L2222" s="188"/>
      <c r="M2222" s="189" t="s">
        <v>1018</v>
      </c>
      <c r="N2222" s="190">
        <v>222.6</v>
      </c>
      <c r="O2222" s="190">
        <f t="shared" si="275"/>
        <v>242.63</v>
      </c>
      <c r="P2222" s="191">
        <f t="shared" si="276"/>
        <v>0</v>
      </c>
      <c r="Q2222" s="192">
        <f t="shared" si="277"/>
        <v>0</v>
      </c>
      <c r="R2222" s="193"/>
      <c r="S2222" s="194"/>
      <c r="T2222" s="195">
        <f t="shared" si="278"/>
        <v>0</v>
      </c>
      <c r="U2222" s="195">
        <f t="shared" si="279"/>
        <v>0</v>
      </c>
      <c r="V2222" s="195">
        <f t="shared" si="280"/>
        <v>0</v>
      </c>
      <c r="W2222" s="196" t="e">
        <f t="shared" si="281"/>
        <v>#DIV/0!</v>
      </c>
      <c r="X2222" s="197" t="e">
        <f t="shared" si="282"/>
        <v>#DIV/0!</v>
      </c>
    </row>
    <row r="2223" ht="11.4" hidden="1" customHeight="1" spans="1:24">
      <c r="A2223" s="184" t="s">
        <v>3207</v>
      </c>
      <c r="B2223" s="184" t="s">
        <v>147</v>
      </c>
      <c r="C2223" s="184" t="s">
        <v>2074</v>
      </c>
      <c r="D2223" s="185" t="s">
        <v>704</v>
      </c>
      <c r="E2223" s="186" t="s">
        <v>906</v>
      </c>
      <c r="F2223" s="186" t="s">
        <v>907</v>
      </c>
      <c r="G2223" s="186" t="s">
        <v>2075</v>
      </c>
      <c r="H2223" s="186" t="s">
        <v>2245</v>
      </c>
      <c r="I2223" s="187" t="s">
        <v>2101</v>
      </c>
      <c r="J2223" s="187" t="s">
        <v>2102</v>
      </c>
      <c r="K2223" s="188"/>
      <c r="L2223" s="188"/>
      <c r="M2223" s="189" t="s">
        <v>1018</v>
      </c>
      <c r="N2223" s="190">
        <v>86.1</v>
      </c>
      <c r="O2223" s="190">
        <f t="shared" si="275"/>
        <v>93.85</v>
      </c>
      <c r="P2223" s="191">
        <f t="shared" si="276"/>
        <v>0</v>
      </c>
      <c r="Q2223" s="192">
        <f t="shared" si="277"/>
        <v>0</v>
      </c>
      <c r="R2223" s="193"/>
      <c r="S2223" s="194"/>
      <c r="T2223" s="195">
        <f t="shared" si="278"/>
        <v>0</v>
      </c>
      <c r="U2223" s="195">
        <f t="shared" si="279"/>
        <v>0</v>
      </c>
      <c r="V2223" s="195">
        <f t="shared" si="280"/>
        <v>0</v>
      </c>
      <c r="W2223" s="196" t="e">
        <f t="shared" si="281"/>
        <v>#DIV/0!</v>
      </c>
      <c r="X2223" s="197" t="e">
        <f t="shared" si="282"/>
        <v>#DIV/0!</v>
      </c>
    </row>
    <row r="2224" ht="11.4" hidden="1" customHeight="1" spans="1:24">
      <c r="A2224" s="184" t="s">
        <v>3207</v>
      </c>
      <c r="B2224" s="184" t="s">
        <v>147</v>
      </c>
      <c r="C2224" s="184" t="s">
        <v>2074</v>
      </c>
      <c r="D2224" s="185" t="s">
        <v>704</v>
      </c>
      <c r="E2224" s="186" t="s">
        <v>906</v>
      </c>
      <c r="F2224" s="186" t="s">
        <v>907</v>
      </c>
      <c r="G2224" s="186" t="s">
        <v>2075</v>
      </c>
      <c r="H2224" s="186" t="s">
        <v>2245</v>
      </c>
      <c r="I2224" s="187" t="s">
        <v>2248</v>
      </c>
      <c r="J2224" s="187" t="s">
        <v>2249</v>
      </c>
      <c r="K2224" s="188"/>
      <c r="L2224" s="188"/>
      <c r="M2224" s="189" t="s">
        <v>1018</v>
      </c>
      <c r="N2224" s="190">
        <v>190.05</v>
      </c>
      <c r="O2224" s="190">
        <f t="shared" si="275"/>
        <v>207.15</v>
      </c>
      <c r="P2224" s="191">
        <f t="shared" si="276"/>
        <v>0</v>
      </c>
      <c r="Q2224" s="192">
        <f t="shared" si="277"/>
        <v>0</v>
      </c>
      <c r="R2224" s="193"/>
      <c r="S2224" s="194"/>
      <c r="T2224" s="195">
        <f t="shared" si="278"/>
        <v>0</v>
      </c>
      <c r="U2224" s="195">
        <f t="shared" si="279"/>
        <v>0</v>
      </c>
      <c r="V2224" s="195">
        <f t="shared" si="280"/>
        <v>0</v>
      </c>
      <c r="W2224" s="196" t="e">
        <f t="shared" si="281"/>
        <v>#DIV/0!</v>
      </c>
      <c r="X2224" s="197" t="e">
        <f t="shared" si="282"/>
        <v>#DIV/0!</v>
      </c>
    </row>
    <row r="2225" ht="11.4" hidden="1" customHeight="1" spans="1:24">
      <c r="A2225" s="184" t="s">
        <v>3207</v>
      </c>
      <c r="B2225" s="184" t="s">
        <v>147</v>
      </c>
      <c r="C2225" s="184" t="s">
        <v>2074</v>
      </c>
      <c r="D2225" s="185" t="s">
        <v>704</v>
      </c>
      <c r="E2225" s="186" t="s">
        <v>906</v>
      </c>
      <c r="F2225" s="186" t="s">
        <v>907</v>
      </c>
      <c r="G2225" s="186" t="s">
        <v>2075</v>
      </c>
      <c r="H2225" s="186" t="s">
        <v>2245</v>
      </c>
      <c r="I2225" s="187" t="s">
        <v>2250</v>
      </c>
      <c r="J2225" s="187" t="s">
        <v>2251</v>
      </c>
      <c r="K2225" s="188"/>
      <c r="L2225" s="188"/>
      <c r="M2225" s="189" t="s">
        <v>1018</v>
      </c>
      <c r="N2225" s="190">
        <v>190.05</v>
      </c>
      <c r="O2225" s="190">
        <f t="shared" si="275"/>
        <v>207.15</v>
      </c>
      <c r="P2225" s="191">
        <f t="shared" si="276"/>
        <v>0</v>
      </c>
      <c r="Q2225" s="192">
        <f t="shared" si="277"/>
        <v>0</v>
      </c>
      <c r="R2225" s="193"/>
      <c r="S2225" s="194"/>
      <c r="T2225" s="195">
        <f t="shared" si="278"/>
        <v>0</v>
      </c>
      <c r="U2225" s="195">
        <f t="shared" si="279"/>
        <v>0</v>
      </c>
      <c r="V2225" s="195">
        <f t="shared" si="280"/>
        <v>0</v>
      </c>
      <c r="W2225" s="196" t="e">
        <f t="shared" si="281"/>
        <v>#DIV/0!</v>
      </c>
      <c r="X2225" s="197" t="e">
        <f t="shared" si="282"/>
        <v>#DIV/0!</v>
      </c>
    </row>
    <row r="2226" ht="11.4" hidden="1" customHeight="1" spans="1:24">
      <c r="A2226" s="184" t="s">
        <v>3207</v>
      </c>
      <c r="B2226" s="184" t="s">
        <v>147</v>
      </c>
      <c r="C2226" s="184" t="s">
        <v>2074</v>
      </c>
      <c r="D2226" s="185" t="s">
        <v>704</v>
      </c>
      <c r="E2226" s="186" t="s">
        <v>906</v>
      </c>
      <c r="F2226" s="186" t="s">
        <v>907</v>
      </c>
      <c r="G2226" s="186" t="s">
        <v>2075</v>
      </c>
      <c r="H2226" s="186" t="s">
        <v>2245</v>
      </c>
      <c r="I2226" s="187" t="s">
        <v>2252</v>
      </c>
      <c r="J2226" s="187" t="s">
        <v>2253</v>
      </c>
      <c r="K2226" s="188"/>
      <c r="L2226" s="188"/>
      <c r="M2226" s="189" t="s">
        <v>1018</v>
      </c>
      <c r="N2226" s="190">
        <v>194.25</v>
      </c>
      <c r="O2226" s="190">
        <f t="shared" si="275"/>
        <v>211.73</v>
      </c>
      <c r="P2226" s="191">
        <f t="shared" si="276"/>
        <v>0</v>
      </c>
      <c r="Q2226" s="192">
        <f t="shared" si="277"/>
        <v>0</v>
      </c>
      <c r="R2226" s="193"/>
      <c r="S2226" s="194"/>
      <c r="T2226" s="195">
        <f t="shared" si="278"/>
        <v>0</v>
      </c>
      <c r="U2226" s="195">
        <f t="shared" si="279"/>
        <v>0</v>
      </c>
      <c r="V2226" s="195">
        <f t="shared" si="280"/>
        <v>0</v>
      </c>
      <c r="W2226" s="196" t="e">
        <f t="shared" si="281"/>
        <v>#DIV/0!</v>
      </c>
      <c r="X2226" s="197" t="e">
        <f t="shared" si="282"/>
        <v>#DIV/0!</v>
      </c>
    </row>
    <row r="2227" ht="11.4" hidden="1" customHeight="1" spans="1:24">
      <c r="A2227" s="184" t="s">
        <v>3207</v>
      </c>
      <c r="B2227" s="184" t="s">
        <v>147</v>
      </c>
      <c r="C2227" s="184" t="s">
        <v>2074</v>
      </c>
      <c r="D2227" s="185" t="s">
        <v>704</v>
      </c>
      <c r="E2227" s="186" t="s">
        <v>906</v>
      </c>
      <c r="F2227" s="186" t="s">
        <v>907</v>
      </c>
      <c r="G2227" s="186" t="s">
        <v>2075</v>
      </c>
      <c r="H2227" s="186" t="s">
        <v>2245</v>
      </c>
      <c r="I2227" s="187" t="s">
        <v>2131</v>
      </c>
      <c r="J2227" s="187" t="s">
        <v>2132</v>
      </c>
      <c r="K2227" s="188"/>
      <c r="L2227" s="188"/>
      <c r="M2227" s="189" t="s">
        <v>1018</v>
      </c>
      <c r="N2227" s="190">
        <v>176.4</v>
      </c>
      <c r="O2227" s="190">
        <f t="shared" si="275"/>
        <v>192.28</v>
      </c>
      <c r="P2227" s="191">
        <f t="shared" si="276"/>
        <v>0</v>
      </c>
      <c r="Q2227" s="192">
        <f t="shared" si="277"/>
        <v>0</v>
      </c>
      <c r="R2227" s="193"/>
      <c r="S2227" s="194"/>
      <c r="T2227" s="195">
        <f t="shared" si="278"/>
        <v>0</v>
      </c>
      <c r="U2227" s="195">
        <f t="shared" si="279"/>
        <v>0</v>
      </c>
      <c r="V2227" s="195">
        <f t="shared" si="280"/>
        <v>0</v>
      </c>
      <c r="W2227" s="196" t="e">
        <f t="shared" si="281"/>
        <v>#DIV/0!</v>
      </c>
      <c r="X2227" s="197" t="e">
        <f t="shared" si="282"/>
        <v>#DIV/0!</v>
      </c>
    </row>
    <row r="2228" ht="11.4" hidden="1" customHeight="1" spans="1:24">
      <c r="A2228" s="184" t="s">
        <v>3207</v>
      </c>
      <c r="B2228" s="184" t="s">
        <v>147</v>
      </c>
      <c r="C2228" s="184" t="s">
        <v>2074</v>
      </c>
      <c r="D2228" s="185" t="s">
        <v>704</v>
      </c>
      <c r="E2228" s="186" t="s">
        <v>906</v>
      </c>
      <c r="F2228" s="186" t="s">
        <v>907</v>
      </c>
      <c r="G2228" s="186" t="s">
        <v>2075</v>
      </c>
      <c r="H2228" s="186" t="s">
        <v>2245</v>
      </c>
      <c r="I2228" s="187" t="s">
        <v>2142</v>
      </c>
      <c r="J2228" s="187" t="s">
        <v>2143</v>
      </c>
      <c r="K2228" s="188"/>
      <c r="L2228" s="188"/>
      <c r="M2228" s="189" t="s">
        <v>1018</v>
      </c>
      <c r="N2228" s="190">
        <v>92.4</v>
      </c>
      <c r="O2228" s="190">
        <f t="shared" si="275"/>
        <v>100.72</v>
      </c>
      <c r="P2228" s="191">
        <f t="shared" si="276"/>
        <v>0</v>
      </c>
      <c r="Q2228" s="192">
        <f t="shared" si="277"/>
        <v>0</v>
      </c>
      <c r="R2228" s="193"/>
      <c r="S2228" s="194"/>
      <c r="T2228" s="195">
        <f t="shared" si="278"/>
        <v>0</v>
      </c>
      <c r="U2228" s="195">
        <f t="shared" si="279"/>
        <v>0</v>
      </c>
      <c r="V2228" s="195">
        <f t="shared" si="280"/>
        <v>0</v>
      </c>
      <c r="W2228" s="196" t="e">
        <f t="shared" si="281"/>
        <v>#DIV/0!</v>
      </c>
      <c r="X2228" s="197" t="e">
        <f t="shared" si="282"/>
        <v>#DIV/0!</v>
      </c>
    </row>
    <row r="2229" ht="11.4" hidden="1" customHeight="1" spans="1:24">
      <c r="A2229" s="184" t="s">
        <v>3207</v>
      </c>
      <c r="B2229" s="184" t="s">
        <v>147</v>
      </c>
      <c r="C2229" s="184" t="s">
        <v>2074</v>
      </c>
      <c r="D2229" s="185" t="s">
        <v>704</v>
      </c>
      <c r="E2229" s="186" t="s">
        <v>906</v>
      </c>
      <c r="F2229" s="186" t="s">
        <v>907</v>
      </c>
      <c r="G2229" s="186" t="s">
        <v>2075</v>
      </c>
      <c r="H2229" s="186" t="s">
        <v>2245</v>
      </c>
      <c r="I2229" s="187" t="s">
        <v>2144</v>
      </c>
      <c r="J2229" s="187" t="s">
        <v>2145</v>
      </c>
      <c r="K2229" s="188"/>
      <c r="L2229" s="188"/>
      <c r="M2229" s="189" t="s">
        <v>1018</v>
      </c>
      <c r="N2229" s="190">
        <v>111.3</v>
      </c>
      <c r="O2229" s="190">
        <f t="shared" si="275"/>
        <v>121.32</v>
      </c>
      <c r="P2229" s="191">
        <f t="shared" si="276"/>
        <v>0</v>
      </c>
      <c r="Q2229" s="192">
        <f t="shared" si="277"/>
        <v>0</v>
      </c>
      <c r="R2229" s="193"/>
      <c r="S2229" s="194"/>
      <c r="T2229" s="195">
        <f t="shared" si="278"/>
        <v>0</v>
      </c>
      <c r="U2229" s="195">
        <f t="shared" si="279"/>
        <v>0</v>
      </c>
      <c r="V2229" s="195">
        <f t="shared" si="280"/>
        <v>0</v>
      </c>
      <c r="W2229" s="196" t="e">
        <f t="shared" si="281"/>
        <v>#DIV/0!</v>
      </c>
      <c r="X2229" s="197" t="e">
        <f t="shared" si="282"/>
        <v>#DIV/0!</v>
      </c>
    </row>
    <row r="2230" ht="11.4" hidden="1" customHeight="1" spans="1:24">
      <c r="A2230" s="184" t="s">
        <v>3207</v>
      </c>
      <c r="B2230" s="184" t="s">
        <v>147</v>
      </c>
      <c r="C2230" s="184" t="s">
        <v>2074</v>
      </c>
      <c r="D2230" s="185" t="s">
        <v>704</v>
      </c>
      <c r="E2230" s="186" t="s">
        <v>906</v>
      </c>
      <c r="F2230" s="186" t="s">
        <v>907</v>
      </c>
      <c r="G2230" s="186" t="s">
        <v>2075</v>
      </c>
      <c r="H2230" s="186" t="s">
        <v>2245</v>
      </c>
      <c r="I2230" s="187" t="s">
        <v>2146</v>
      </c>
      <c r="J2230" s="187" t="s">
        <v>2147</v>
      </c>
      <c r="K2230" s="188"/>
      <c r="L2230" s="188"/>
      <c r="M2230" s="189" t="s">
        <v>1018</v>
      </c>
      <c r="N2230" s="190">
        <v>181.65</v>
      </c>
      <c r="O2230" s="190">
        <f t="shared" si="275"/>
        <v>198</v>
      </c>
      <c r="P2230" s="191">
        <f t="shared" si="276"/>
        <v>0</v>
      </c>
      <c r="Q2230" s="192">
        <f t="shared" si="277"/>
        <v>0</v>
      </c>
      <c r="R2230" s="193"/>
      <c r="S2230" s="194"/>
      <c r="T2230" s="195">
        <f t="shared" si="278"/>
        <v>0</v>
      </c>
      <c r="U2230" s="195">
        <f t="shared" si="279"/>
        <v>0</v>
      </c>
      <c r="V2230" s="195">
        <f t="shared" si="280"/>
        <v>0</v>
      </c>
      <c r="W2230" s="196" t="e">
        <f t="shared" si="281"/>
        <v>#DIV/0!</v>
      </c>
      <c r="X2230" s="197" t="e">
        <f t="shared" si="282"/>
        <v>#DIV/0!</v>
      </c>
    </row>
    <row r="2231" ht="11.4" hidden="1" customHeight="1" spans="1:24">
      <c r="A2231" s="184" t="s">
        <v>3207</v>
      </c>
      <c r="B2231" s="184" t="s">
        <v>147</v>
      </c>
      <c r="C2231" s="184" t="s">
        <v>2074</v>
      </c>
      <c r="D2231" s="185" t="s">
        <v>704</v>
      </c>
      <c r="E2231" s="186" t="s">
        <v>906</v>
      </c>
      <c r="F2231" s="186" t="s">
        <v>907</v>
      </c>
      <c r="G2231" s="186" t="s">
        <v>2075</v>
      </c>
      <c r="H2231" s="186" t="s">
        <v>2245</v>
      </c>
      <c r="I2231" s="187" t="s">
        <v>2148</v>
      </c>
      <c r="J2231" s="187" t="s">
        <v>2149</v>
      </c>
      <c r="K2231" s="188"/>
      <c r="L2231" s="188"/>
      <c r="M2231" s="189" t="s">
        <v>1018</v>
      </c>
      <c r="N2231" s="190">
        <v>198.45</v>
      </c>
      <c r="O2231" s="190">
        <f t="shared" si="275"/>
        <v>216.31</v>
      </c>
      <c r="P2231" s="191">
        <f t="shared" si="276"/>
        <v>0</v>
      </c>
      <c r="Q2231" s="192">
        <f t="shared" si="277"/>
        <v>0</v>
      </c>
      <c r="R2231" s="193"/>
      <c r="S2231" s="194"/>
      <c r="T2231" s="195">
        <f t="shared" si="278"/>
        <v>0</v>
      </c>
      <c r="U2231" s="195">
        <f t="shared" si="279"/>
        <v>0</v>
      </c>
      <c r="V2231" s="195">
        <f t="shared" si="280"/>
        <v>0</v>
      </c>
      <c r="W2231" s="196" t="e">
        <f t="shared" si="281"/>
        <v>#DIV/0!</v>
      </c>
      <c r="X2231" s="197" t="e">
        <f t="shared" si="282"/>
        <v>#DIV/0!</v>
      </c>
    </row>
    <row r="2232" ht="11.4" hidden="1" customHeight="1" spans="1:24">
      <c r="A2232" s="184" t="s">
        <v>3207</v>
      </c>
      <c r="B2232" s="184" t="s">
        <v>147</v>
      </c>
      <c r="C2232" s="184" t="s">
        <v>2074</v>
      </c>
      <c r="D2232" s="185" t="s">
        <v>704</v>
      </c>
      <c r="E2232" s="186" t="s">
        <v>906</v>
      </c>
      <c r="F2232" s="186" t="s">
        <v>907</v>
      </c>
      <c r="G2232" s="186" t="s">
        <v>2075</v>
      </c>
      <c r="H2232" s="186" t="s">
        <v>2245</v>
      </c>
      <c r="I2232" s="187" t="s">
        <v>2150</v>
      </c>
      <c r="J2232" s="187" t="s">
        <v>2151</v>
      </c>
      <c r="K2232" s="188"/>
      <c r="L2232" s="188"/>
      <c r="M2232" s="189" t="s">
        <v>1018</v>
      </c>
      <c r="N2232" s="190">
        <v>113.4</v>
      </c>
      <c r="O2232" s="190">
        <f t="shared" si="275"/>
        <v>123.61</v>
      </c>
      <c r="P2232" s="191">
        <f t="shared" si="276"/>
        <v>0</v>
      </c>
      <c r="Q2232" s="192">
        <f t="shared" si="277"/>
        <v>0</v>
      </c>
      <c r="R2232" s="193"/>
      <c r="S2232" s="194"/>
      <c r="T2232" s="195">
        <f t="shared" si="278"/>
        <v>0</v>
      </c>
      <c r="U2232" s="195">
        <f t="shared" si="279"/>
        <v>0</v>
      </c>
      <c r="V2232" s="195">
        <f t="shared" si="280"/>
        <v>0</v>
      </c>
      <c r="W2232" s="196" t="e">
        <f t="shared" si="281"/>
        <v>#DIV/0!</v>
      </c>
      <c r="X2232" s="197" t="e">
        <f t="shared" si="282"/>
        <v>#DIV/0!</v>
      </c>
    </row>
    <row r="2233" ht="11.4" hidden="1" customHeight="1" spans="1:24">
      <c r="A2233" s="184" t="s">
        <v>3207</v>
      </c>
      <c r="B2233" s="184" t="s">
        <v>147</v>
      </c>
      <c r="C2233" s="184" t="s">
        <v>2074</v>
      </c>
      <c r="D2233" s="185" t="s">
        <v>704</v>
      </c>
      <c r="E2233" s="186" t="s">
        <v>906</v>
      </c>
      <c r="F2233" s="186" t="s">
        <v>907</v>
      </c>
      <c r="G2233" s="186" t="s">
        <v>2075</v>
      </c>
      <c r="H2233" s="186" t="s">
        <v>2245</v>
      </c>
      <c r="I2233" s="187" t="s">
        <v>2152</v>
      </c>
      <c r="J2233" s="187" t="s">
        <v>2153</v>
      </c>
      <c r="K2233" s="188"/>
      <c r="L2233" s="188"/>
      <c r="M2233" s="189" t="s">
        <v>1018</v>
      </c>
      <c r="N2233" s="190">
        <v>152.56</v>
      </c>
      <c r="O2233" s="190">
        <f t="shared" si="275"/>
        <v>166.29</v>
      </c>
      <c r="P2233" s="191">
        <f t="shared" si="276"/>
        <v>0</v>
      </c>
      <c r="Q2233" s="192">
        <f t="shared" si="277"/>
        <v>0</v>
      </c>
      <c r="R2233" s="193"/>
      <c r="S2233" s="194"/>
      <c r="T2233" s="195">
        <f t="shared" si="278"/>
        <v>0</v>
      </c>
      <c r="U2233" s="195">
        <f t="shared" si="279"/>
        <v>0</v>
      </c>
      <c r="V2233" s="195">
        <f t="shared" si="280"/>
        <v>0</v>
      </c>
      <c r="W2233" s="196" t="e">
        <f t="shared" si="281"/>
        <v>#DIV/0!</v>
      </c>
      <c r="X2233" s="197" t="e">
        <f t="shared" si="282"/>
        <v>#DIV/0!</v>
      </c>
    </row>
    <row r="2234" ht="11.4" hidden="1" customHeight="1" spans="1:24">
      <c r="A2234" s="184" t="s">
        <v>3207</v>
      </c>
      <c r="B2234" s="184" t="s">
        <v>147</v>
      </c>
      <c r="C2234" s="184" t="s">
        <v>2074</v>
      </c>
      <c r="D2234" s="185" t="s">
        <v>704</v>
      </c>
      <c r="E2234" s="186" t="s">
        <v>906</v>
      </c>
      <c r="F2234" s="186" t="s">
        <v>907</v>
      </c>
      <c r="G2234" s="186" t="s">
        <v>2075</v>
      </c>
      <c r="H2234" s="186" t="s">
        <v>2245</v>
      </c>
      <c r="I2234" s="187" t="s">
        <v>2154</v>
      </c>
      <c r="J2234" s="187" t="s">
        <v>2155</v>
      </c>
      <c r="K2234" s="188"/>
      <c r="L2234" s="188"/>
      <c r="M2234" s="189" t="s">
        <v>1018</v>
      </c>
      <c r="N2234" s="190">
        <v>184.8</v>
      </c>
      <c r="O2234" s="190">
        <f t="shared" si="275"/>
        <v>201.43</v>
      </c>
      <c r="P2234" s="191">
        <f t="shared" si="276"/>
        <v>0</v>
      </c>
      <c r="Q2234" s="192">
        <f t="shared" si="277"/>
        <v>0</v>
      </c>
      <c r="R2234" s="193"/>
      <c r="S2234" s="194"/>
      <c r="T2234" s="195">
        <f t="shared" si="278"/>
        <v>0</v>
      </c>
      <c r="U2234" s="195">
        <f t="shared" si="279"/>
        <v>0</v>
      </c>
      <c r="V2234" s="195">
        <f t="shared" si="280"/>
        <v>0</v>
      </c>
      <c r="W2234" s="196" t="e">
        <f t="shared" si="281"/>
        <v>#DIV/0!</v>
      </c>
      <c r="X2234" s="197" t="e">
        <f t="shared" si="282"/>
        <v>#DIV/0!</v>
      </c>
    </row>
    <row r="2235" ht="11.4" hidden="1" customHeight="1" spans="1:24">
      <c r="A2235" s="184" t="s">
        <v>3207</v>
      </c>
      <c r="B2235" s="184" t="s">
        <v>147</v>
      </c>
      <c r="C2235" s="184" t="s">
        <v>2074</v>
      </c>
      <c r="D2235" s="185" t="s">
        <v>704</v>
      </c>
      <c r="E2235" s="186" t="s">
        <v>906</v>
      </c>
      <c r="F2235" s="186" t="s">
        <v>907</v>
      </c>
      <c r="G2235" s="186" t="s">
        <v>2075</v>
      </c>
      <c r="H2235" s="186" t="s">
        <v>2245</v>
      </c>
      <c r="I2235" s="187" t="s">
        <v>2156</v>
      </c>
      <c r="J2235" s="187" t="s">
        <v>2157</v>
      </c>
      <c r="K2235" s="188"/>
      <c r="L2235" s="188"/>
      <c r="M2235" s="189" t="s">
        <v>1018</v>
      </c>
      <c r="N2235" s="190">
        <v>89.25</v>
      </c>
      <c r="O2235" s="190">
        <f t="shared" si="275"/>
        <v>97.28</v>
      </c>
      <c r="P2235" s="191">
        <f t="shared" si="276"/>
        <v>0</v>
      </c>
      <c r="Q2235" s="192">
        <f t="shared" si="277"/>
        <v>0</v>
      </c>
      <c r="R2235" s="193"/>
      <c r="S2235" s="194"/>
      <c r="T2235" s="195">
        <f t="shared" si="278"/>
        <v>0</v>
      </c>
      <c r="U2235" s="195">
        <f t="shared" si="279"/>
        <v>0</v>
      </c>
      <c r="V2235" s="195">
        <f t="shared" si="280"/>
        <v>0</v>
      </c>
      <c r="W2235" s="196" t="e">
        <f t="shared" si="281"/>
        <v>#DIV/0!</v>
      </c>
      <c r="X2235" s="197" t="e">
        <f t="shared" si="282"/>
        <v>#DIV/0!</v>
      </c>
    </row>
    <row r="2236" ht="11.4" hidden="1" customHeight="1" spans="1:24">
      <c r="A2236" s="184" t="s">
        <v>3207</v>
      </c>
      <c r="B2236" s="184" t="s">
        <v>147</v>
      </c>
      <c r="C2236" s="184" t="s">
        <v>2074</v>
      </c>
      <c r="D2236" s="185" t="s">
        <v>704</v>
      </c>
      <c r="E2236" s="186" t="s">
        <v>906</v>
      </c>
      <c r="F2236" s="186" t="s">
        <v>907</v>
      </c>
      <c r="G2236" s="186" t="s">
        <v>2075</v>
      </c>
      <c r="H2236" s="186" t="s">
        <v>2245</v>
      </c>
      <c r="I2236" s="187" t="s">
        <v>2254</v>
      </c>
      <c r="J2236" s="187" t="s">
        <v>2255</v>
      </c>
      <c r="K2236" s="188"/>
      <c r="L2236" s="188"/>
      <c r="M2236" s="189" t="s">
        <v>1018</v>
      </c>
      <c r="N2236" s="190">
        <v>170.1</v>
      </c>
      <c r="O2236" s="190">
        <f t="shared" si="275"/>
        <v>185.41</v>
      </c>
      <c r="P2236" s="191">
        <f t="shared" si="276"/>
        <v>0</v>
      </c>
      <c r="Q2236" s="192">
        <f t="shared" si="277"/>
        <v>0</v>
      </c>
      <c r="R2236" s="193"/>
      <c r="S2236" s="194"/>
      <c r="T2236" s="195">
        <f t="shared" si="278"/>
        <v>0</v>
      </c>
      <c r="U2236" s="195">
        <f t="shared" si="279"/>
        <v>0</v>
      </c>
      <c r="V2236" s="195">
        <f t="shared" si="280"/>
        <v>0</v>
      </c>
      <c r="W2236" s="196" t="e">
        <f t="shared" si="281"/>
        <v>#DIV/0!</v>
      </c>
      <c r="X2236" s="197" t="e">
        <f t="shared" si="282"/>
        <v>#DIV/0!</v>
      </c>
    </row>
    <row r="2237" ht="11.4" hidden="1" customHeight="1" spans="1:24">
      <c r="A2237" s="184" t="s">
        <v>3207</v>
      </c>
      <c r="B2237" s="184" t="s">
        <v>147</v>
      </c>
      <c r="C2237" s="184" t="s">
        <v>2074</v>
      </c>
      <c r="D2237" s="185" t="s">
        <v>704</v>
      </c>
      <c r="E2237" s="186" t="s">
        <v>906</v>
      </c>
      <c r="F2237" s="186" t="s">
        <v>907</v>
      </c>
      <c r="G2237" s="186" t="s">
        <v>2075</v>
      </c>
      <c r="H2237" s="186" t="s">
        <v>2245</v>
      </c>
      <c r="I2237" s="187" t="s">
        <v>2256</v>
      </c>
      <c r="J2237" s="187" t="s">
        <v>2257</v>
      </c>
      <c r="K2237" s="188"/>
      <c r="L2237" s="188"/>
      <c r="M2237" s="189" t="s">
        <v>1018</v>
      </c>
      <c r="N2237" s="190">
        <v>172.2</v>
      </c>
      <c r="O2237" s="190">
        <f t="shared" si="275"/>
        <v>187.7</v>
      </c>
      <c r="P2237" s="191">
        <f t="shared" si="276"/>
        <v>0</v>
      </c>
      <c r="Q2237" s="192">
        <f t="shared" si="277"/>
        <v>0</v>
      </c>
      <c r="R2237" s="193"/>
      <c r="S2237" s="194"/>
      <c r="T2237" s="195">
        <f t="shared" si="278"/>
        <v>0</v>
      </c>
      <c r="U2237" s="195">
        <f t="shared" si="279"/>
        <v>0</v>
      </c>
      <c r="V2237" s="195">
        <f t="shared" si="280"/>
        <v>0</v>
      </c>
      <c r="W2237" s="196" t="e">
        <f t="shared" si="281"/>
        <v>#DIV/0!</v>
      </c>
      <c r="X2237" s="197" t="e">
        <f t="shared" si="282"/>
        <v>#DIV/0!</v>
      </c>
    </row>
    <row r="2238" ht="11.4" hidden="1" customHeight="1" spans="1:24">
      <c r="A2238" s="184" t="s">
        <v>3207</v>
      </c>
      <c r="B2238" s="184" t="s">
        <v>147</v>
      </c>
      <c r="C2238" s="184" t="s">
        <v>2074</v>
      </c>
      <c r="D2238" s="185" t="s">
        <v>704</v>
      </c>
      <c r="E2238" s="186" t="s">
        <v>906</v>
      </c>
      <c r="F2238" s="186" t="s">
        <v>907</v>
      </c>
      <c r="G2238" s="186" t="s">
        <v>2075</v>
      </c>
      <c r="H2238" s="186" t="s">
        <v>2245</v>
      </c>
      <c r="I2238" s="187" t="s">
        <v>2186</v>
      </c>
      <c r="J2238" s="187" t="s">
        <v>2187</v>
      </c>
      <c r="K2238" s="188"/>
      <c r="L2238" s="188"/>
      <c r="M2238" s="189" t="s">
        <v>1018</v>
      </c>
      <c r="N2238" s="190">
        <v>141.75</v>
      </c>
      <c r="O2238" s="190">
        <f t="shared" si="275"/>
        <v>154.51</v>
      </c>
      <c r="P2238" s="191">
        <f t="shared" si="276"/>
        <v>0</v>
      </c>
      <c r="Q2238" s="192">
        <f t="shared" si="277"/>
        <v>0</v>
      </c>
      <c r="R2238" s="193"/>
      <c r="S2238" s="194"/>
      <c r="T2238" s="195">
        <f t="shared" si="278"/>
        <v>0</v>
      </c>
      <c r="U2238" s="195">
        <f t="shared" si="279"/>
        <v>0</v>
      </c>
      <c r="V2238" s="195">
        <f t="shared" si="280"/>
        <v>0</v>
      </c>
      <c r="W2238" s="196" t="e">
        <f t="shared" si="281"/>
        <v>#DIV/0!</v>
      </c>
      <c r="X2238" s="197" t="e">
        <f t="shared" si="282"/>
        <v>#DIV/0!</v>
      </c>
    </row>
    <row r="2239" ht="11.4" hidden="1" customHeight="1" spans="1:24">
      <c r="A2239" s="184" t="s">
        <v>3207</v>
      </c>
      <c r="B2239" s="184" t="s">
        <v>147</v>
      </c>
      <c r="C2239" s="184" t="s">
        <v>2074</v>
      </c>
      <c r="D2239" s="185" t="s">
        <v>704</v>
      </c>
      <c r="E2239" s="186" t="s">
        <v>906</v>
      </c>
      <c r="F2239" s="186" t="s">
        <v>907</v>
      </c>
      <c r="G2239" s="186" t="s">
        <v>2075</v>
      </c>
      <c r="H2239" s="186" t="s">
        <v>2245</v>
      </c>
      <c r="I2239" s="187" t="s">
        <v>2196</v>
      </c>
      <c r="J2239" s="187" t="s">
        <v>2197</v>
      </c>
      <c r="K2239" s="188"/>
      <c r="L2239" s="188"/>
      <c r="M2239" s="189" t="s">
        <v>1018</v>
      </c>
      <c r="N2239" s="190">
        <v>68.25</v>
      </c>
      <c r="O2239" s="190">
        <f t="shared" si="275"/>
        <v>74.39</v>
      </c>
      <c r="P2239" s="191">
        <f t="shared" si="276"/>
        <v>0</v>
      </c>
      <c r="Q2239" s="192">
        <f t="shared" si="277"/>
        <v>0</v>
      </c>
      <c r="R2239" s="193"/>
      <c r="S2239" s="194"/>
      <c r="T2239" s="195">
        <f t="shared" si="278"/>
        <v>0</v>
      </c>
      <c r="U2239" s="195">
        <f t="shared" si="279"/>
        <v>0</v>
      </c>
      <c r="V2239" s="195">
        <f t="shared" si="280"/>
        <v>0</v>
      </c>
      <c r="W2239" s="196" t="e">
        <f t="shared" si="281"/>
        <v>#DIV/0!</v>
      </c>
      <c r="X2239" s="197" t="e">
        <f t="shared" si="282"/>
        <v>#DIV/0!</v>
      </c>
    </row>
    <row r="2240" ht="11.4" hidden="1" customHeight="1" spans="1:24">
      <c r="A2240" s="184" t="s">
        <v>3207</v>
      </c>
      <c r="B2240" s="184" t="s">
        <v>147</v>
      </c>
      <c r="C2240" s="184" t="s">
        <v>2074</v>
      </c>
      <c r="D2240" s="185" t="s">
        <v>704</v>
      </c>
      <c r="E2240" s="186" t="s">
        <v>906</v>
      </c>
      <c r="F2240" s="186" t="s">
        <v>907</v>
      </c>
      <c r="G2240" s="186" t="s">
        <v>2075</v>
      </c>
      <c r="H2240" s="186" t="s">
        <v>2245</v>
      </c>
      <c r="I2240" s="187" t="s">
        <v>2198</v>
      </c>
      <c r="J2240" s="187" t="s">
        <v>2199</v>
      </c>
      <c r="K2240" s="188"/>
      <c r="L2240" s="188"/>
      <c r="M2240" s="189" t="s">
        <v>1018</v>
      </c>
      <c r="N2240" s="190">
        <v>110.25</v>
      </c>
      <c r="O2240" s="190">
        <f t="shared" si="275"/>
        <v>120.17</v>
      </c>
      <c r="P2240" s="191">
        <f t="shared" si="276"/>
        <v>0</v>
      </c>
      <c r="Q2240" s="192">
        <f t="shared" si="277"/>
        <v>0</v>
      </c>
      <c r="R2240" s="193"/>
      <c r="S2240" s="194"/>
      <c r="T2240" s="195">
        <f t="shared" si="278"/>
        <v>0</v>
      </c>
      <c r="U2240" s="195">
        <f t="shared" si="279"/>
        <v>0</v>
      </c>
      <c r="V2240" s="195">
        <f t="shared" si="280"/>
        <v>0</v>
      </c>
      <c r="W2240" s="196" t="e">
        <f t="shared" si="281"/>
        <v>#DIV/0!</v>
      </c>
      <c r="X2240" s="197" t="e">
        <f t="shared" si="282"/>
        <v>#DIV/0!</v>
      </c>
    </row>
    <row r="2241" ht="11.4" hidden="1" customHeight="1" spans="1:24">
      <c r="A2241" s="184" t="s">
        <v>3207</v>
      </c>
      <c r="B2241" s="184" t="s">
        <v>147</v>
      </c>
      <c r="C2241" s="184" t="s">
        <v>2074</v>
      </c>
      <c r="D2241" s="185" t="s">
        <v>704</v>
      </c>
      <c r="E2241" s="186" t="s">
        <v>906</v>
      </c>
      <c r="F2241" s="186" t="s">
        <v>907</v>
      </c>
      <c r="G2241" s="186" t="s">
        <v>2075</v>
      </c>
      <c r="H2241" s="186" t="s">
        <v>2245</v>
      </c>
      <c r="I2241" s="187" t="s">
        <v>2200</v>
      </c>
      <c r="J2241" s="187" t="s">
        <v>2201</v>
      </c>
      <c r="K2241" s="188"/>
      <c r="L2241" s="188"/>
      <c r="M2241" s="189" t="s">
        <v>1018</v>
      </c>
      <c r="N2241" s="190">
        <v>178.5</v>
      </c>
      <c r="O2241" s="190">
        <f t="shared" si="275"/>
        <v>194.57</v>
      </c>
      <c r="P2241" s="191">
        <f t="shared" si="276"/>
        <v>0</v>
      </c>
      <c r="Q2241" s="192">
        <f t="shared" si="277"/>
        <v>0</v>
      </c>
      <c r="R2241" s="193"/>
      <c r="S2241" s="194"/>
      <c r="T2241" s="195">
        <f t="shared" si="278"/>
        <v>0</v>
      </c>
      <c r="U2241" s="195">
        <f t="shared" si="279"/>
        <v>0</v>
      </c>
      <c r="V2241" s="195">
        <f t="shared" si="280"/>
        <v>0</v>
      </c>
      <c r="W2241" s="196" t="e">
        <f t="shared" si="281"/>
        <v>#DIV/0!</v>
      </c>
      <c r="X2241" s="197" t="e">
        <f t="shared" si="282"/>
        <v>#DIV/0!</v>
      </c>
    </row>
    <row r="2242" ht="11.4" hidden="1" customHeight="1" spans="1:24">
      <c r="A2242" s="184" t="s">
        <v>3207</v>
      </c>
      <c r="B2242" s="184" t="s">
        <v>147</v>
      </c>
      <c r="C2242" s="184" t="s">
        <v>2074</v>
      </c>
      <c r="D2242" s="185" t="s">
        <v>704</v>
      </c>
      <c r="E2242" s="186" t="s">
        <v>906</v>
      </c>
      <c r="F2242" s="186" t="s">
        <v>907</v>
      </c>
      <c r="G2242" s="186" t="s">
        <v>2075</v>
      </c>
      <c r="H2242" s="186" t="s">
        <v>2245</v>
      </c>
      <c r="I2242" s="187" t="s">
        <v>2202</v>
      </c>
      <c r="J2242" s="187" t="s">
        <v>2203</v>
      </c>
      <c r="K2242" s="188"/>
      <c r="L2242" s="188"/>
      <c r="M2242" s="189" t="s">
        <v>1018</v>
      </c>
      <c r="N2242" s="190">
        <v>147</v>
      </c>
      <c r="O2242" s="190">
        <f t="shared" si="275"/>
        <v>160.23</v>
      </c>
      <c r="P2242" s="191">
        <f t="shared" si="276"/>
        <v>0</v>
      </c>
      <c r="Q2242" s="192">
        <f t="shared" si="277"/>
        <v>0</v>
      </c>
      <c r="R2242" s="193"/>
      <c r="S2242" s="194"/>
      <c r="T2242" s="195">
        <f t="shared" si="278"/>
        <v>0</v>
      </c>
      <c r="U2242" s="195">
        <f t="shared" si="279"/>
        <v>0</v>
      </c>
      <c r="V2242" s="195">
        <f t="shared" si="280"/>
        <v>0</v>
      </c>
      <c r="W2242" s="196" t="e">
        <f t="shared" si="281"/>
        <v>#DIV/0!</v>
      </c>
      <c r="X2242" s="197" t="e">
        <f t="shared" si="282"/>
        <v>#DIV/0!</v>
      </c>
    </row>
    <row r="2243" ht="11.4" hidden="1" customHeight="1" spans="1:24">
      <c r="A2243" s="184" t="s">
        <v>3207</v>
      </c>
      <c r="B2243" s="184" t="s">
        <v>147</v>
      </c>
      <c r="C2243" s="184" t="s">
        <v>2074</v>
      </c>
      <c r="D2243" s="185" t="s">
        <v>704</v>
      </c>
      <c r="E2243" s="186" t="s">
        <v>906</v>
      </c>
      <c r="F2243" s="186" t="s">
        <v>907</v>
      </c>
      <c r="G2243" s="186" t="s">
        <v>2075</v>
      </c>
      <c r="H2243" s="186" t="s">
        <v>2245</v>
      </c>
      <c r="I2243" s="187" t="s">
        <v>2204</v>
      </c>
      <c r="J2243" s="187" t="s">
        <v>2205</v>
      </c>
      <c r="K2243" s="188"/>
      <c r="L2243" s="188"/>
      <c r="M2243" s="189" t="s">
        <v>1018</v>
      </c>
      <c r="N2243" s="190">
        <v>105</v>
      </c>
      <c r="O2243" s="190">
        <f t="shared" si="275"/>
        <v>114.45</v>
      </c>
      <c r="P2243" s="191">
        <f t="shared" si="276"/>
        <v>0</v>
      </c>
      <c r="Q2243" s="192">
        <f t="shared" si="277"/>
        <v>0</v>
      </c>
      <c r="R2243" s="193"/>
      <c r="S2243" s="194"/>
      <c r="T2243" s="195">
        <f t="shared" si="278"/>
        <v>0</v>
      </c>
      <c r="U2243" s="195">
        <f t="shared" si="279"/>
        <v>0</v>
      </c>
      <c r="V2243" s="195">
        <f t="shared" si="280"/>
        <v>0</v>
      </c>
      <c r="W2243" s="196" t="e">
        <f t="shared" si="281"/>
        <v>#DIV/0!</v>
      </c>
      <c r="X2243" s="197" t="e">
        <f t="shared" si="282"/>
        <v>#DIV/0!</v>
      </c>
    </row>
    <row r="2244" ht="11.4" hidden="1" customHeight="1" spans="1:24">
      <c r="A2244" s="184" t="s">
        <v>3207</v>
      </c>
      <c r="B2244" s="184" t="s">
        <v>147</v>
      </c>
      <c r="C2244" s="184" t="s">
        <v>2074</v>
      </c>
      <c r="D2244" s="185" t="s">
        <v>704</v>
      </c>
      <c r="E2244" s="186" t="s">
        <v>906</v>
      </c>
      <c r="F2244" s="186" t="s">
        <v>907</v>
      </c>
      <c r="G2244" s="186" t="s">
        <v>2075</v>
      </c>
      <c r="H2244" s="186" t="s">
        <v>2245</v>
      </c>
      <c r="I2244" s="187" t="s">
        <v>2206</v>
      </c>
      <c r="J2244" s="187" t="s">
        <v>2207</v>
      </c>
      <c r="K2244" s="188"/>
      <c r="L2244" s="188"/>
      <c r="M2244" s="189" t="s">
        <v>1018</v>
      </c>
      <c r="N2244" s="190">
        <v>126</v>
      </c>
      <c r="O2244" s="190">
        <f t="shared" si="275"/>
        <v>137.34</v>
      </c>
      <c r="P2244" s="191">
        <f t="shared" si="276"/>
        <v>0</v>
      </c>
      <c r="Q2244" s="192">
        <f t="shared" si="277"/>
        <v>0</v>
      </c>
      <c r="R2244" s="193"/>
      <c r="S2244" s="194"/>
      <c r="T2244" s="195">
        <f t="shared" si="278"/>
        <v>0</v>
      </c>
      <c r="U2244" s="195">
        <f t="shared" si="279"/>
        <v>0</v>
      </c>
      <c r="V2244" s="195">
        <f t="shared" si="280"/>
        <v>0</v>
      </c>
      <c r="W2244" s="196" t="e">
        <f t="shared" si="281"/>
        <v>#DIV/0!</v>
      </c>
      <c r="X2244" s="197" t="e">
        <f t="shared" si="282"/>
        <v>#DIV/0!</v>
      </c>
    </row>
    <row r="2245" ht="11.4" hidden="1" customHeight="1" spans="1:24">
      <c r="A2245" s="184" t="s">
        <v>3207</v>
      </c>
      <c r="B2245" s="184" t="s">
        <v>147</v>
      </c>
      <c r="C2245" s="184" t="s">
        <v>2074</v>
      </c>
      <c r="D2245" s="185" t="s">
        <v>704</v>
      </c>
      <c r="E2245" s="186" t="s">
        <v>906</v>
      </c>
      <c r="F2245" s="186" t="s">
        <v>907</v>
      </c>
      <c r="G2245" s="186" t="s">
        <v>2075</v>
      </c>
      <c r="H2245" s="186" t="s">
        <v>2245</v>
      </c>
      <c r="I2245" s="187" t="s">
        <v>2208</v>
      </c>
      <c r="J2245" s="187" t="s">
        <v>2209</v>
      </c>
      <c r="K2245" s="188"/>
      <c r="L2245" s="188"/>
      <c r="M2245" s="189" t="s">
        <v>1018</v>
      </c>
      <c r="N2245" s="190">
        <v>204.75</v>
      </c>
      <c r="O2245" s="190">
        <f t="shared" si="275"/>
        <v>223.18</v>
      </c>
      <c r="P2245" s="191">
        <f t="shared" si="276"/>
        <v>0</v>
      </c>
      <c r="Q2245" s="192">
        <f t="shared" si="277"/>
        <v>0</v>
      </c>
      <c r="R2245" s="193"/>
      <c r="S2245" s="194"/>
      <c r="T2245" s="195">
        <f t="shared" si="278"/>
        <v>0</v>
      </c>
      <c r="U2245" s="195">
        <f t="shared" si="279"/>
        <v>0</v>
      </c>
      <c r="V2245" s="195">
        <f t="shared" si="280"/>
        <v>0</v>
      </c>
      <c r="W2245" s="196" t="e">
        <f t="shared" si="281"/>
        <v>#DIV/0!</v>
      </c>
      <c r="X2245" s="197" t="e">
        <f t="shared" si="282"/>
        <v>#DIV/0!</v>
      </c>
    </row>
    <row r="2246" ht="11.4" hidden="1" customHeight="1" spans="1:24">
      <c r="A2246" s="184" t="s">
        <v>3207</v>
      </c>
      <c r="B2246" s="184" t="s">
        <v>147</v>
      </c>
      <c r="C2246" s="184" t="s">
        <v>2074</v>
      </c>
      <c r="D2246" s="185" t="s">
        <v>704</v>
      </c>
      <c r="E2246" s="186" t="s">
        <v>906</v>
      </c>
      <c r="F2246" s="186" t="s">
        <v>907</v>
      </c>
      <c r="G2246" s="186" t="s">
        <v>2075</v>
      </c>
      <c r="H2246" s="186" t="s">
        <v>2245</v>
      </c>
      <c r="I2246" s="187" t="s">
        <v>2258</v>
      </c>
      <c r="J2246" s="187" t="s">
        <v>2259</v>
      </c>
      <c r="K2246" s="188"/>
      <c r="L2246" s="188"/>
      <c r="M2246" s="189" t="s">
        <v>1018</v>
      </c>
      <c r="N2246" s="190">
        <v>252</v>
      </c>
      <c r="O2246" s="190">
        <f t="shared" si="275"/>
        <v>274.68</v>
      </c>
      <c r="P2246" s="191">
        <f t="shared" si="276"/>
        <v>0</v>
      </c>
      <c r="Q2246" s="192">
        <f t="shared" si="277"/>
        <v>0</v>
      </c>
      <c r="R2246" s="193"/>
      <c r="S2246" s="194"/>
      <c r="T2246" s="195">
        <f t="shared" si="278"/>
        <v>0</v>
      </c>
      <c r="U2246" s="195">
        <f t="shared" si="279"/>
        <v>0</v>
      </c>
      <c r="V2246" s="195">
        <f t="shared" si="280"/>
        <v>0</v>
      </c>
      <c r="W2246" s="196" t="e">
        <f t="shared" si="281"/>
        <v>#DIV/0!</v>
      </c>
      <c r="X2246" s="197" t="e">
        <f t="shared" si="282"/>
        <v>#DIV/0!</v>
      </c>
    </row>
    <row r="2247" ht="11.4" hidden="1" customHeight="1" spans="1:24">
      <c r="A2247" s="184" t="s">
        <v>3207</v>
      </c>
      <c r="B2247" s="184" t="s">
        <v>147</v>
      </c>
      <c r="C2247" s="184" t="s">
        <v>2074</v>
      </c>
      <c r="D2247" s="185" t="s">
        <v>704</v>
      </c>
      <c r="E2247" s="186" t="s">
        <v>906</v>
      </c>
      <c r="F2247" s="186" t="s">
        <v>907</v>
      </c>
      <c r="G2247" s="186" t="s">
        <v>2075</v>
      </c>
      <c r="H2247" s="186" t="s">
        <v>2245</v>
      </c>
      <c r="I2247" s="187" t="s">
        <v>2260</v>
      </c>
      <c r="J2247" s="187" t="s">
        <v>2261</v>
      </c>
      <c r="K2247" s="188"/>
      <c r="L2247" s="188"/>
      <c r="M2247" s="189" t="s">
        <v>1018</v>
      </c>
      <c r="N2247" s="190">
        <v>136.5</v>
      </c>
      <c r="O2247" s="190">
        <f t="shared" si="275"/>
        <v>148.79</v>
      </c>
      <c r="P2247" s="191">
        <f t="shared" si="276"/>
        <v>0</v>
      </c>
      <c r="Q2247" s="192">
        <f t="shared" si="277"/>
        <v>0</v>
      </c>
      <c r="R2247" s="193"/>
      <c r="S2247" s="194"/>
      <c r="T2247" s="195">
        <f t="shared" si="278"/>
        <v>0</v>
      </c>
      <c r="U2247" s="195">
        <f t="shared" si="279"/>
        <v>0</v>
      </c>
      <c r="V2247" s="195">
        <f t="shared" si="280"/>
        <v>0</v>
      </c>
      <c r="W2247" s="196" t="e">
        <f t="shared" si="281"/>
        <v>#DIV/0!</v>
      </c>
      <c r="X2247" s="197" t="e">
        <f t="shared" si="282"/>
        <v>#DIV/0!</v>
      </c>
    </row>
    <row r="2248" ht="11.4" hidden="1" customHeight="1" spans="1:24">
      <c r="A2248" s="184" t="s">
        <v>3207</v>
      </c>
      <c r="B2248" s="184" t="s">
        <v>147</v>
      </c>
      <c r="C2248" s="184" t="s">
        <v>2074</v>
      </c>
      <c r="D2248" s="185" t="s">
        <v>704</v>
      </c>
      <c r="E2248" s="186" t="s">
        <v>906</v>
      </c>
      <c r="F2248" s="186" t="s">
        <v>907</v>
      </c>
      <c r="G2248" s="186" t="s">
        <v>2075</v>
      </c>
      <c r="H2248" s="186" t="s">
        <v>2245</v>
      </c>
      <c r="I2248" s="187" t="s">
        <v>2236</v>
      </c>
      <c r="J2248" s="187" t="s">
        <v>2237</v>
      </c>
      <c r="K2248" s="188"/>
      <c r="L2248" s="188"/>
      <c r="M2248" s="189" t="s">
        <v>1018</v>
      </c>
      <c r="N2248" s="190">
        <v>120.75</v>
      </c>
      <c r="O2248" s="190">
        <f t="shared" si="275"/>
        <v>131.62</v>
      </c>
      <c r="P2248" s="191">
        <f t="shared" si="276"/>
        <v>0</v>
      </c>
      <c r="Q2248" s="192">
        <f t="shared" si="277"/>
        <v>0</v>
      </c>
      <c r="R2248" s="193"/>
      <c r="S2248" s="194"/>
      <c r="T2248" s="195">
        <f t="shared" si="278"/>
        <v>0</v>
      </c>
      <c r="U2248" s="195">
        <f t="shared" si="279"/>
        <v>0</v>
      </c>
      <c r="V2248" s="195">
        <f t="shared" si="280"/>
        <v>0</v>
      </c>
      <c r="W2248" s="196" t="e">
        <f t="shared" si="281"/>
        <v>#DIV/0!</v>
      </c>
      <c r="X2248" s="197" t="e">
        <f t="shared" si="282"/>
        <v>#DIV/0!</v>
      </c>
    </row>
    <row r="2249" ht="11.4" hidden="1" customHeight="1" spans="1:24">
      <c r="A2249" s="184" t="s">
        <v>3208</v>
      </c>
      <c r="B2249" s="184" t="s">
        <v>149</v>
      </c>
      <c r="C2249" s="184" t="s">
        <v>2263</v>
      </c>
      <c r="D2249" s="185" t="s">
        <v>704</v>
      </c>
      <c r="E2249" s="186" t="s">
        <v>906</v>
      </c>
      <c r="F2249" s="186" t="s">
        <v>907</v>
      </c>
      <c r="G2249" s="186" t="s">
        <v>2264</v>
      </c>
      <c r="H2249" s="186" t="s">
        <v>2265</v>
      </c>
      <c r="I2249" s="187" t="s">
        <v>2266</v>
      </c>
      <c r="J2249" s="187" t="s">
        <v>2267</v>
      </c>
      <c r="K2249" s="188"/>
      <c r="L2249" s="188"/>
      <c r="M2249" s="189" t="s">
        <v>807</v>
      </c>
      <c r="N2249" s="190">
        <v>89.61</v>
      </c>
      <c r="O2249" s="190">
        <f t="shared" si="275"/>
        <v>97.67</v>
      </c>
      <c r="P2249" s="191">
        <f t="shared" si="276"/>
        <v>0</v>
      </c>
      <c r="Q2249" s="192">
        <f t="shared" si="277"/>
        <v>0</v>
      </c>
      <c r="R2249" s="193"/>
      <c r="S2249" s="194"/>
      <c r="T2249" s="195">
        <f t="shared" si="278"/>
        <v>0</v>
      </c>
      <c r="U2249" s="195">
        <f t="shared" si="279"/>
        <v>0</v>
      </c>
      <c r="V2249" s="195">
        <f t="shared" si="280"/>
        <v>0</v>
      </c>
      <c r="W2249" s="196" t="e">
        <f t="shared" si="281"/>
        <v>#DIV/0!</v>
      </c>
      <c r="X2249" s="197" t="e">
        <f t="shared" si="282"/>
        <v>#DIV/0!</v>
      </c>
    </row>
    <row r="2250" ht="11.4" hidden="1" customHeight="1" spans="1:24">
      <c r="A2250" s="184" t="s">
        <v>3208</v>
      </c>
      <c r="B2250" s="184" t="s">
        <v>149</v>
      </c>
      <c r="C2250" s="184" t="s">
        <v>2263</v>
      </c>
      <c r="D2250" s="185" t="s">
        <v>704</v>
      </c>
      <c r="E2250" s="186" t="s">
        <v>906</v>
      </c>
      <c r="F2250" s="186" t="s">
        <v>907</v>
      </c>
      <c r="G2250" s="186" t="s">
        <v>2264</v>
      </c>
      <c r="H2250" s="186" t="s">
        <v>2265</v>
      </c>
      <c r="I2250" s="187" t="s">
        <v>2268</v>
      </c>
      <c r="J2250" s="187" t="s">
        <v>2269</v>
      </c>
      <c r="K2250" s="188"/>
      <c r="L2250" s="188"/>
      <c r="M2250" s="189" t="s">
        <v>807</v>
      </c>
      <c r="N2250" s="190">
        <v>96.69</v>
      </c>
      <c r="O2250" s="190">
        <f t="shared" si="275"/>
        <v>105.39</v>
      </c>
      <c r="P2250" s="191">
        <f t="shared" si="276"/>
        <v>0</v>
      </c>
      <c r="Q2250" s="192">
        <f t="shared" si="277"/>
        <v>0</v>
      </c>
      <c r="R2250" s="193"/>
      <c r="S2250" s="194"/>
      <c r="T2250" s="195">
        <f t="shared" si="278"/>
        <v>0</v>
      </c>
      <c r="U2250" s="195">
        <f t="shared" si="279"/>
        <v>0</v>
      </c>
      <c r="V2250" s="195">
        <f t="shared" si="280"/>
        <v>0</v>
      </c>
      <c r="W2250" s="196" t="e">
        <f t="shared" si="281"/>
        <v>#DIV/0!</v>
      </c>
      <c r="X2250" s="197" t="e">
        <f t="shared" si="282"/>
        <v>#DIV/0!</v>
      </c>
    </row>
    <row r="2251" ht="11.4" hidden="1" customHeight="1" spans="1:24">
      <c r="A2251" s="184" t="s">
        <v>3208</v>
      </c>
      <c r="B2251" s="184" t="s">
        <v>149</v>
      </c>
      <c r="C2251" s="184" t="s">
        <v>2263</v>
      </c>
      <c r="D2251" s="185" t="s">
        <v>704</v>
      </c>
      <c r="E2251" s="186" t="s">
        <v>906</v>
      </c>
      <c r="F2251" s="186" t="s">
        <v>907</v>
      </c>
      <c r="G2251" s="186" t="s">
        <v>2264</v>
      </c>
      <c r="H2251" s="186" t="s">
        <v>2265</v>
      </c>
      <c r="I2251" s="187" t="s">
        <v>2270</v>
      </c>
      <c r="J2251" s="187" t="s">
        <v>2271</v>
      </c>
      <c r="K2251" s="188"/>
      <c r="L2251" s="188"/>
      <c r="M2251" s="189" t="s">
        <v>807</v>
      </c>
      <c r="N2251" s="190">
        <v>74.14</v>
      </c>
      <c r="O2251" s="190">
        <f t="shared" si="275"/>
        <v>80.81</v>
      </c>
      <c r="P2251" s="191">
        <f t="shared" si="276"/>
        <v>0</v>
      </c>
      <c r="Q2251" s="192">
        <f t="shared" si="277"/>
        <v>0</v>
      </c>
      <c r="R2251" s="193"/>
      <c r="S2251" s="194"/>
      <c r="T2251" s="195">
        <f t="shared" si="278"/>
        <v>0</v>
      </c>
      <c r="U2251" s="195">
        <f t="shared" si="279"/>
        <v>0</v>
      </c>
      <c r="V2251" s="195">
        <f t="shared" si="280"/>
        <v>0</v>
      </c>
      <c r="W2251" s="196" t="e">
        <f t="shared" si="281"/>
        <v>#DIV/0!</v>
      </c>
      <c r="X2251" s="197" t="e">
        <f t="shared" si="282"/>
        <v>#DIV/0!</v>
      </c>
    </row>
    <row r="2252" ht="11.4" hidden="1" customHeight="1" spans="1:24">
      <c r="A2252" s="184" t="s">
        <v>3208</v>
      </c>
      <c r="B2252" s="184" t="s">
        <v>149</v>
      </c>
      <c r="C2252" s="184" t="s">
        <v>2263</v>
      </c>
      <c r="D2252" s="185" t="s">
        <v>704</v>
      </c>
      <c r="E2252" s="186" t="s">
        <v>906</v>
      </c>
      <c r="F2252" s="186" t="s">
        <v>907</v>
      </c>
      <c r="G2252" s="186" t="s">
        <v>2264</v>
      </c>
      <c r="H2252" s="186" t="s">
        <v>2265</v>
      </c>
      <c r="I2252" s="187" t="s">
        <v>2272</v>
      </c>
      <c r="J2252" s="187" t="s">
        <v>2273</v>
      </c>
      <c r="K2252" s="188"/>
      <c r="L2252" s="188"/>
      <c r="M2252" s="189" t="s">
        <v>807</v>
      </c>
      <c r="N2252" s="190">
        <v>64.18</v>
      </c>
      <c r="O2252" s="190">
        <f t="shared" si="275"/>
        <v>69.96</v>
      </c>
      <c r="P2252" s="191">
        <f t="shared" si="276"/>
        <v>0</v>
      </c>
      <c r="Q2252" s="192">
        <f t="shared" si="277"/>
        <v>0</v>
      </c>
      <c r="R2252" s="193"/>
      <c r="S2252" s="194"/>
      <c r="T2252" s="195">
        <f t="shared" si="278"/>
        <v>0</v>
      </c>
      <c r="U2252" s="195">
        <f t="shared" si="279"/>
        <v>0</v>
      </c>
      <c r="V2252" s="195">
        <f t="shared" si="280"/>
        <v>0</v>
      </c>
      <c r="W2252" s="196" t="e">
        <f t="shared" si="281"/>
        <v>#DIV/0!</v>
      </c>
      <c r="X2252" s="197" t="e">
        <f t="shared" si="282"/>
        <v>#DIV/0!</v>
      </c>
    </row>
    <row r="2253" ht="11.4" hidden="1" customHeight="1" spans="1:24">
      <c r="A2253" s="184" t="s">
        <v>3208</v>
      </c>
      <c r="B2253" s="184" t="s">
        <v>149</v>
      </c>
      <c r="C2253" s="184" t="s">
        <v>2263</v>
      </c>
      <c r="D2253" s="185" t="s">
        <v>704</v>
      </c>
      <c r="E2253" s="186" t="s">
        <v>906</v>
      </c>
      <c r="F2253" s="186" t="s">
        <v>907</v>
      </c>
      <c r="G2253" s="186" t="s">
        <v>2264</v>
      </c>
      <c r="H2253" s="186" t="s">
        <v>2265</v>
      </c>
      <c r="I2253" s="187" t="s">
        <v>2274</v>
      </c>
      <c r="J2253" s="187" t="s">
        <v>2275</v>
      </c>
      <c r="K2253" s="188"/>
      <c r="L2253" s="188"/>
      <c r="M2253" s="189" t="s">
        <v>807</v>
      </c>
      <c r="N2253" s="190">
        <v>52.58</v>
      </c>
      <c r="O2253" s="190">
        <f t="shared" ref="O2253:O2316" si="283">ROUND(N2253*(1+$F$10),2)</f>
        <v>57.31</v>
      </c>
      <c r="P2253" s="191">
        <f t="shared" ref="P2253:P2316" si="284">ROUND(K2253*N2253,2)</f>
        <v>0</v>
      </c>
      <c r="Q2253" s="192">
        <f t="shared" ref="Q2253:Q2316" si="285">ROUND(L2253*N2253,2)</f>
        <v>0</v>
      </c>
      <c r="R2253" s="193"/>
      <c r="S2253" s="194"/>
      <c r="T2253" s="195">
        <f t="shared" ref="T2253:T2316" si="286">K2253-L2253</f>
        <v>0</v>
      </c>
      <c r="U2253" s="195">
        <f t="shared" ref="U2253:U2316" si="287">P2253-Q2253</f>
        <v>0</v>
      </c>
      <c r="V2253" s="195">
        <f t="shared" ref="V2253:V2316" si="288">ABS(U2253)</f>
        <v>0</v>
      </c>
      <c r="W2253" s="196" t="e">
        <f t="shared" ref="W2253:W2316" si="289">T2253/L2253</f>
        <v>#DIV/0!</v>
      </c>
      <c r="X2253" s="197" t="e">
        <f t="shared" ref="X2253:X2316" si="290">ABS(W2253)</f>
        <v>#DIV/0!</v>
      </c>
    </row>
    <row r="2254" ht="11.4" hidden="1" customHeight="1" spans="1:24">
      <c r="A2254" s="184" t="s">
        <v>3208</v>
      </c>
      <c r="B2254" s="184" t="s">
        <v>149</v>
      </c>
      <c r="C2254" s="184" t="s">
        <v>2263</v>
      </c>
      <c r="D2254" s="185" t="s">
        <v>704</v>
      </c>
      <c r="E2254" s="186" t="s">
        <v>906</v>
      </c>
      <c r="F2254" s="186" t="s">
        <v>907</v>
      </c>
      <c r="G2254" s="186" t="s">
        <v>2264</v>
      </c>
      <c r="H2254" s="186" t="s">
        <v>2265</v>
      </c>
      <c r="I2254" s="187" t="s">
        <v>2276</v>
      </c>
      <c r="J2254" s="187" t="s">
        <v>2277</v>
      </c>
      <c r="K2254" s="188"/>
      <c r="L2254" s="188"/>
      <c r="M2254" s="189" t="s">
        <v>807</v>
      </c>
      <c r="N2254" s="190">
        <v>43.34</v>
      </c>
      <c r="O2254" s="190">
        <f t="shared" si="283"/>
        <v>47.24</v>
      </c>
      <c r="P2254" s="191">
        <f t="shared" si="284"/>
        <v>0</v>
      </c>
      <c r="Q2254" s="192">
        <f t="shared" si="285"/>
        <v>0</v>
      </c>
      <c r="R2254" s="193"/>
      <c r="S2254" s="194"/>
      <c r="T2254" s="195">
        <f t="shared" si="286"/>
        <v>0</v>
      </c>
      <c r="U2254" s="195">
        <f t="shared" si="287"/>
        <v>0</v>
      </c>
      <c r="V2254" s="195">
        <f t="shared" si="288"/>
        <v>0</v>
      </c>
      <c r="W2254" s="196" t="e">
        <f t="shared" si="289"/>
        <v>#DIV/0!</v>
      </c>
      <c r="X2254" s="197" t="e">
        <f t="shared" si="290"/>
        <v>#DIV/0!</v>
      </c>
    </row>
    <row r="2255" ht="11.4" hidden="1" customHeight="1" spans="1:24">
      <c r="A2255" s="184" t="s">
        <v>3208</v>
      </c>
      <c r="B2255" s="184" t="s">
        <v>149</v>
      </c>
      <c r="C2255" s="184" t="s">
        <v>2263</v>
      </c>
      <c r="D2255" s="185" t="s">
        <v>704</v>
      </c>
      <c r="E2255" s="186" t="s">
        <v>906</v>
      </c>
      <c r="F2255" s="186" t="s">
        <v>907</v>
      </c>
      <c r="G2255" s="186" t="s">
        <v>2264</v>
      </c>
      <c r="H2255" s="186" t="s">
        <v>2265</v>
      </c>
      <c r="I2255" s="187" t="s">
        <v>2278</v>
      </c>
      <c r="J2255" s="187" t="s">
        <v>2279</v>
      </c>
      <c r="K2255" s="188"/>
      <c r="L2255" s="188"/>
      <c r="M2255" s="189" t="s">
        <v>807</v>
      </c>
      <c r="N2255" s="190">
        <v>39.71</v>
      </c>
      <c r="O2255" s="190">
        <f t="shared" si="283"/>
        <v>43.28</v>
      </c>
      <c r="P2255" s="191">
        <f t="shared" si="284"/>
        <v>0</v>
      </c>
      <c r="Q2255" s="192">
        <f t="shared" si="285"/>
        <v>0</v>
      </c>
      <c r="R2255" s="193"/>
      <c r="S2255" s="194"/>
      <c r="T2255" s="195">
        <f t="shared" si="286"/>
        <v>0</v>
      </c>
      <c r="U2255" s="195">
        <f t="shared" si="287"/>
        <v>0</v>
      </c>
      <c r="V2255" s="195">
        <f t="shared" si="288"/>
        <v>0</v>
      </c>
      <c r="W2255" s="196" t="e">
        <f t="shared" si="289"/>
        <v>#DIV/0!</v>
      </c>
      <c r="X2255" s="197" t="e">
        <f t="shared" si="290"/>
        <v>#DIV/0!</v>
      </c>
    </row>
    <row r="2256" ht="11.4" hidden="1" customHeight="1" spans="1:24">
      <c r="A2256" s="184" t="s">
        <v>3208</v>
      </c>
      <c r="B2256" s="184" t="s">
        <v>149</v>
      </c>
      <c r="C2256" s="184" t="s">
        <v>2263</v>
      </c>
      <c r="D2256" s="185" t="s">
        <v>704</v>
      </c>
      <c r="E2256" s="186" t="s">
        <v>906</v>
      </c>
      <c r="F2256" s="186" t="s">
        <v>907</v>
      </c>
      <c r="G2256" s="186" t="s">
        <v>2264</v>
      </c>
      <c r="H2256" s="186" t="s">
        <v>2265</v>
      </c>
      <c r="I2256" s="187" t="s">
        <v>2280</v>
      </c>
      <c r="J2256" s="187" t="s">
        <v>2281</v>
      </c>
      <c r="K2256" s="188"/>
      <c r="L2256" s="188"/>
      <c r="M2256" s="189" t="s">
        <v>963</v>
      </c>
      <c r="N2256" s="190">
        <v>237.04</v>
      </c>
      <c r="O2256" s="190">
        <f t="shared" si="283"/>
        <v>258.37</v>
      </c>
      <c r="P2256" s="191">
        <f t="shared" si="284"/>
        <v>0</v>
      </c>
      <c r="Q2256" s="192">
        <f t="shared" si="285"/>
        <v>0</v>
      </c>
      <c r="R2256" s="193"/>
      <c r="S2256" s="194"/>
      <c r="T2256" s="195">
        <f t="shared" si="286"/>
        <v>0</v>
      </c>
      <c r="U2256" s="195">
        <f t="shared" si="287"/>
        <v>0</v>
      </c>
      <c r="V2256" s="195">
        <f t="shared" si="288"/>
        <v>0</v>
      </c>
      <c r="W2256" s="196" t="e">
        <f t="shared" si="289"/>
        <v>#DIV/0!</v>
      </c>
      <c r="X2256" s="197" t="e">
        <f t="shared" si="290"/>
        <v>#DIV/0!</v>
      </c>
    </row>
    <row r="2257" ht="11.4" hidden="1" customHeight="1" spans="1:24">
      <c r="A2257" s="184" t="s">
        <v>3208</v>
      </c>
      <c r="B2257" s="184" t="s">
        <v>149</v>
      </c>
      <c r="C2257" s="184" t="s">
        <v>2263</v>
      </c>
      <c r="D2257" s="185" t="s">
        <v>704</v>
      </c>
      <c r="E2257" s="186" t="s">
        <v>906</v>
      </c>
      <c r="F2257" s="186" t="s">
        <v>907</v>
      </c>
      <c r="G2257" s="186" t="s">
        <v>2264</v>
      </c>
      <c r="H2257" s="186" t="s">
        <v>2265</v>
      </c>
      <c r="I2257" s="187" t="s">
        <v>2282</v>
      </c>
      <c r="J2257" s="187" t="s">
        <v>2283</v>
      </c>
      <c r="K2257" s="188"/>
      <c r="L2257" s="188"/>
      <c r="M2257" s="189" t="s">
        <v>963</v>
      </c>
      <c r="N2257" s="190">
        <v>126.49</v>
      </c>
      <c r="O2257" s="190">
        <f t="shared" si="283"/>
        <v>137.87</v>
      </c>
      <c r="P2257" s="191">
        <f t="shared" si="284"/>
        <v>0</v>
      </c>
      <c r="Q2257" s="192">
        <f t="shared" si="285"/>
        <v>0</v>
      </c>
      <c r="R2257" s="193"/>
      <c r="S2257" s="194"/>
      <c r="T2257" s="195">
        <f t="shared" si="286"/>
        <v>0</v>
      </c>
      <c r="U2257" s="195">
        <f t="shared" si="287"/>
        <v>0</v>
      </c>
      <c r="V2257" s="195">
        <f t="shared" si="288"/>
        <v>0</v>
      </c>
      <c r="W2257" s="196" t="e">
        <f t="shared" si="289"/>
        <v>#DIV/0!</v>
      </c>
      <c r="X2257" s="197" t="e">
        <f t="shared" si="290"/>
        <v>#DIV/0!</v>
      </c>
    </row>
    <row r="2258" ht="11.4" hidden="1" customHeight="1" spans="1:24">
      <c r="A2258" s="184" t="s">
        <v>3208</v>
      </c>
      <c r="B2258" s="184" t="s">
        <v>149</v>
      </c>
      <c r="C2258" s="184" t="s">
        <v>2263</v>
      </c>
      <c r="D2258" s="185" t="s">
        <v>704</v>
      </c>
      <c r="E2258" s="186" t="s">
        <v>906</v>
      </c>
      <c r="F2258" s="186" t="s">
        <v>907</v>
      </c>
      <c r="G2258" s="186" t="s">
        <v>2264</v>
      </c>
      <c r="H2258" s="186" t="s">
        <v>2265</v>
      </c>
      <c r="I2258" s="187" t="s">
        <v>2284</v>
      </c>
      <c r="J2258" s="187" t="s">
        <v>2285</v>
      </c>
      <c r="K2258" s="188"/>
      <c r="L2258" s="188"/>
      <c r="M2258" s="189" t="s">
        <v>963</v>
      </c>
      <c r="N2258" s="190">
        <v>103.5</v>
      </c>
      <c r="O2258" s="190">
        <f t="shared" si="283"/>
        <v>112.82</v>
      </c>
      <c r="P2258" s="191">
        <f t="shared" si="284"/>
        <v>0</v>
      </c>
      <c r="Q2258" s="192">
        <f t="shared" si="285"/>
        <v>0</v>
      </c>
      <c r="R2258" s="193"/>
      <c r="S2258" s="194"/>
      <c r="T2258" s="195">
        <f t="shared" si="286"/>
        <v>0</v>
      </c>
      <c r="U2258" s="195">
        <f t="shared" si="287"/>
        <v>0</v>
      </c>
      <c r="V2258" s="195">
        <f t="shared" si="288"/>
        <v>0</v>
      </c>
      <c r="W2258" s="196" t="e">
        <f t="shared" si="289"/>
        <v>#DIV/0!</v>
      </c>
      <c r="X2258" s="197" t="e">
        <f t="shared" si="290"/>
        <v>#DIV/0!</v>
      </c>
    </row>
    <row r="2259" ht="11.4" hidden="1" customHeight="1" spans="1:24">
      <c r="A2259" s="184" t="s">
        <v>3208</v>
      </c>
      <c r="B2259" s="184" t="s">
        <v>149</v>
      </c>
      <c r="C2259" s="184" t="s">
        <v>2263</v>
      </c>
      <c r="D2259" s="185" t="s">
        <v>704</v>
      </c>
      <c r="E2259" s="186" t="s">
        <v>906</v>
      </c>
      <c r="F2259" s="186" t="s">
        <v>907</v>
      </c>
      <c r="G2259" s="186" t="s">
        <v>2264</v>
      </c>
      <c r="H2259" s="186" t="s">
        <v>2265</v>
      </c>
      <c r="I2259" s="187" t="s">
        <v>2286</v>
      </c>
      <c r="J2259" s="187" t="s">
        <v>2287</v>
      </c>
      <c r="K2259" s="188"/>
      <c r="L2259" s="188"/>
      <c r="M2259" s="189" t="s">
        <v>963</v>
      </c>
      <c r="N2259" s="190">
        <v>76.44</v>
      </c>
      <c r="O2259" s="190">
        <f t="shared" si="283"/>
        <v>83.32</v>
      </c>
      <c r="P2259" s="191">
        <f t="shared" si="284"/>
        <v>0</v>
      </c>
      <c r="Q2259" s="192">
        <f t="shared" si="285"/>
        <v>0</v>
      </c>
      <c r="R2259" s="193"/>
      <c r="S2259" s="194"/>
      <c r="T2259" s="195">
        <f t="shared" si="286"/>
        <v>0</v>
      </c>
      <c r="U2259" s="195">
        <f t="shared" si="287"/>
        <v>0</v>
      </c>
      <c r="V2259" s="195">
        <f t="shared" si="288"/>
        <v>0</v>
      </c>
      <c r="W2259" s="196" t="e">
        <f t="shared" si="289"/>
        <v>#DIV/0!</v>
      </c>
      <c r="X2259" s="197" t="e">
        <f t="shared" si="290"/>
        <v>#DIV/0!</v>
      </c>
    </row>
    <row r="2260" ht="11.4" hidden="1" customHeight="1" spans="1:24">
      <c r="A2260" s="184" t="s">
        <v>3208</v>
      </c>
      <c r="B2260" s="184" t="s">
        <v>149</v>
      </c>
      <c r="C2260" s="184" t="s">
        <v>2263</v>
      </c>
      <c r="D2260" s="185" t="s">
        <v>704</v>
      </c>
      <c r="E2260" s="186" t="s">
        <v>906</v>
      </c>
      <c r="F2260" s="186" t="s">
        <v>907</v>
      </c>
      <c r="G2260" s="186" t="s">
        <v>2264</v>
      </c>
      <c r="H2260" s="186" t="s">
        <v>2265</v>
      </c>
      <c r="I2260" s="187" t="s">
        <v>2288</v>
      </c>
      <c r="J2260" s="187" t="s">
        <v>2289</v>
      </c>
      <c r="K2260" s="188"/>
      <c r="L2260" s="188"/>
      <c r="M2260" s="189" t="s">
        <v>963</v>
      </c>
      <c r="N2260" s="190">
        <v>73.14</v>
      </c>
      <c r="O2260" s="190">
        <f t="shared" si="283"/>
        <v>79.72</v>
      </c>
      <c r="P2260" s="191">
        <f t="shared" si="284"/>
        <v>0</v>
      </c>
      <c r="Q2260" s="192">
        <f t="shared" si="285"/>
        <v>0</v>
      </c>
      <c r="R2260" s="193"/>
      <c r="S2260" s="194"/>
      <c r="T2260" s="195">
        <f t="shared" si="286"/>
        <v>0</v>
      </c>
      <c r="U2260" s="195">
        <f t="shared" si="287"/>
        <v>0</v>
      </c>
      <c r="V2260" s="195">
        <f t="shared" si="288"/>
        <v>0</v>
      </c>
      <c r="W2260" s="196" t="e">
        <f t="shared" si="289"/>
        <v>#DIV/0!</v>
      </c>
      <c r="X2260" s="197" t="e">
        <f t="shared" si="290"/>
        <v>#DIV/0!</v>
      </c>
    </row>
    <row r="2261" ht="11.4" hidden="1" customHeight="1" spans="1:24">
      <c r="A2261" s="184" t="s">
        <v>3208</v>
      </c>
      <c r="B2261" s="184" t="s">
        <v>149</v>
      </c>
      <c r="C2261" s="184" t="s">
        <v>2263</v>
      </c>
      <c r="D2261" s="185" t="s">
        <v>704</v>
      </c>
      <c r="E2261" s="186" t="s">
        <v>906</v>
      </c>
      <c r="F2261" s="186" t="s">
        <v>907</v>
      </c>
      <c r="G2261" s="186" t="s">
        <v>2264</v>
      </c>
      <c r="H2261" s="186" t="s">
        <v>2265</v>
      </c>
      <c r="I2261" s="187" t="s">
        <v>2290</v>
      </c>
      <c r="J2261" s="187" t="s">
        <v>2291</v>
      </c>
      <c r="K2261" s="188"/>
      <c r="L2261" s="188"/>
      <c r="M2261" s="189" t="s">
        <v>935</v>
      </c>
      <c r="N2261" s="190">
        <v>3308.85</v>
      </c>
      <c r="O2261" s="190">
        <f t="shared" si="283"/>
        <v>3606.65</v>
      </c>
      <c r="P2261" s="191">
        <f t="shared" si="284"/>
        <v>0</v>
      </c>
      <c r="Q2261" s="192">
        <f t="shared" si="285"/>
        <v>0</v>
      </c>
      <c r="R2261" s="193"/>
      <c r="S2261" s="194"/>
      <c r="T2261" s="195">
        <f t="shared" si="286"/>
        <v>0</v>
      </c>
      <c r="U2261" s="195">
        <f t="shared" si="287"/>
        <v>0</v>
      </c>
      <c r="V2261" s="195">
        <f t="shared" si="288"/>
        <v>0</v>
      </c>
      <c r="W2261" s="196" t="e">
        <f t="shared" si="289"/>
        <v>#DIV/0!</v>
      </c>
      <c r="X2261" s="197" t="e">
        <f t="shared" si="290"/>
        <v>#DIV/0!</v>
      </c>
    </row>
    <row r="2262" ht="11.4" hidden="1" customHeight="1" spans="1:24">
      <c r="A2262" s="184" t="s">
        <v>3208</v>
      </c>
      <c r="B2262" s="184" t="s">
        <v>149</v>
      </c>
      <c r="C2262" s="184" t="s">
        <v>2263</v>
      </c>
      <c r="D2262" s="185" t="s">
        <v>704</v>
      </c>
      <c r="E2262" s="186" t="s">
        <v>906</v>
      </c>
      <c r="F2262" s="186" t="s">
        <v>907</v>
      </c>
      <c r="G2262" s="186" t="s">
        <v>2264</v>
      </c>
      <c r="H2262" s="186" t="s">
        <v>2265</v>
      </c>
      <c r="I2262" s="187" t="s">
        <v>2292</v>
      </c>
      <c r="J2262" s="187" t="s">
        <v>2293</v>
      </c>
      <c r="K2262" s="188"/>
      <c r="L2262" s="188"/>
      <c r="M2262" s="189" t="s">
        <v>963</v>
      </c>
      <c r="N2262" s="190">
        <v>35.7</v>
      </c>
      <c r="O2262" s="190">
        <f t="shared" si="283"/>
        <v>38.91</v>
      </c>
      <c r="P2262" s="191">
        <f t="shared" si="284"/>
        <v>0</v>
      </c>
      <c r="Q2262" s="192">
        <f t="shared" si="285"/>
        <v>0</v>
      </c>
      <c r="R2262" s="193"/>
      <c r="S2262" s="194"/>
      <c r="T2262" s="195">
        <f t="shared" si="286"/>
        <v>0</v>
      </c>
      <c r="U2262" s="195">
        <f t="shared" si="287"/>
        <v>0</v>
      </c>
      <c r="V2262" s="195">
        <f t="shared" si="288"/>
        <v>0</v>
      </c>
      <c r="W2262" s="196" t="e">
        <f t="shared" si="289"/>
        <v>#DIV/0!</v>
      </c>
      <c r="X2262" s="197" t="e">
        <f t="shared" si="290"/>
        <v>#DIV/0!</v>
      </c>
    </row>
    <row r="2263" ht="11.4" hidden="1" customHeight="1" spans="1:24">
      <c r="A2263" s="184" t="s">
        <v>3208</v>
      </c>
      <c r="B2263" s="184" t="s">
        <v>149</v>
      </c>
      <c r="C2263" s="184" t="s">
        <v>2263</v>
      </c>
      <c r="D2263" s="185" t="s">
        <v>704</v>
      </c>
      <c r="E2263" s="186" t="s">
        <v>906</v>
      </c>
      <c r="F2263" s="186" t="s">
        <v>907</v>
      </c>
      <c r="G2263" s="186" t="s">
        <v>2264</v>
      </c>
      <c r="H2263" s="186" t="s">
        <v>2265</v>
      </c>
      <c r="I2263" s="187" t="s">
        <v>2294</v>
      </c>
      <c r="J2263" s="187" t="s">
        <v>2295</v>
      </c>
      <c r="K2263" s="188"/>
      <c r="L2263" s="188"/>
      <c r="M2263" s="189" t="s">
        <v>963</v>
      </c>
      <c r="N2263" s="190">
        <v>748.98</v>
      </c>
      <c r="O2263" s="190">
        <f t="shared" si="283"/>
        <v>816.39</v>
      </c>
      <c r="P2263" s="191">
        <f t="shared" si="284"/>
        <v>0</v>
      </c>
      <c r="Q2263" s="192">
        <f t="shared" si="285"/>
        <v>0</v>
      </c>
      <c r="R2263" s="193"/>
      <c r="S2263" s="194"/>
      <c r="T2263" s="195">
        <f t="shared" si="286"/>
        <v>0</v>
      </c>
      <c r="U2263" s="195">
        <f t="shared" si="287"/>
        <v>0</v>
      </c>
      <c r="V2263" s="195">
        <f t="shared" si="288"/>
        <v>0</v>
      </c>
      <c r="W2263" s="196" t="e">
        <f t="shared" si="289"/>
        <v>#DIV/0!</v>
      </c>
      <c r="X2263" s="197" t="e">
        <f t="shared" si="290"/>
        <v>#DIV/0!</v>
      </c>
    </row>
    <row r="2264" ht="11.4" hidden="1" customHeight="1" spans="1:24">
      <c r="A2264" s="184" t="s">
        <v>3208</v>
      </c>
      <c r="B2264" s="184" t="s">
        <v>149</v>
      </c>
      <c r="C2264" s="184" t="s">
        <v>2263</v>
      </c>
      <c r="D2264" s="185" t="s">
        <v>704</v>
      </c>
      <c r="E2264" s="186" t="s">
        <v>906</v>
      </c>
      <c r="F2264" s="186" t="s">
        <v>907</v>
      </c>
      <c r="G2264" s="186" t="s">
        <v>2264</v>
      </c>
      <c r="H2264" s="186" t="s">
        <v>2265</v>
      </c>
      <c r="I2264" s="187" t="s">
        <v>2296</v>
      </c>
      <c r="J2264" s="187" t="s">
        <v>2297</v>
      </c>
      <c r="K2264" s="188"/>
      <c r="L2264" s="188"/>
      <c r="M2264" s="189" t="s">
        <v>963</v>
      </c>
      <c r="N2264" s="190">
        <v>156.3</v>
      </c>
      <c r="O2264" s="190">
        <f t="shared" si="283"/>
        <v>170.37</v>
      </c>
      <c r="P2264" s="191">
        <f t="shared" si="284"/>
        <v>0</v>
      </c>
      <c r="Q2264" s="192">
        <f t="shared" si="285"/>
        <v>0</v>
      </c>
      <c r="R2264" s="193"/>
      <c r="S2264" s="194"/>
      <c r="T2264" s="195">
        <f t="shared" si="286"/>
        <v>0</v>
      </c>
      <c r="U2264" s="195">
        <f t="shared" si="287"/>
        <v>0</v>
      </c>
      <c r="V2264" s="195">
        <f t="shared" si="288"/>
        <v>0</v>
      </c>
      <c r="W2264" s="196" t="e">
        <f t="shared" si="289"/>
        <v>#DIV/0!</v>
      </c>
      <c r="X2264" s="197" t="e">
        <f t="shared" si="290"/>
        <v>#DIV/0!</v>
      </c>
    </row>
    <row r="2265" ht="11.4" hidden="1" customHeight="1" spans="1:24">
      <c r="A2265" s="184" t="s">
        <v>3208</v>
      </c>
      <c r="B2265" s="184" t="s">
        <v>149</v>
      </c>
      <c r="C2265" s="184" t="s">
        <v>2263</v>
      </c>
      <c r="D2265" s="185" t="s">
        <v>704</v>
      </c>
      <c r="E2265" s="186" t="s">
        <v>906</v>
      </c>
      <c r="F2265" s="186" t="s">
        <v>907</v>
      </c>
      <c r="G2265" s="186" t="s">
        <v>2264</v>
      </c>
      <c r="H2265" s="186" t="s">
        <v>2265</v>
      </c>
      <c r="I2265" s="187" t="s">
        <v>2298</v>
      </c>
      <c r="J2265" s="187" t="s">
        <v>2299</v>
      </c>
      <c r="K2265" s="188"/>
      <c r="L2265" s="188"/>
      <c r="M2265" s="189" t="s">
        <v>963</v>
      </c>
      <c r="N2265" s="190">
        <v>661.31</v>
      </c>
      <c r="O2265" s="190">
        <f t="shared" si="283"/>
        <v>720.83</v>
      </c>
      <c r="P2265" s="191">
        <f t="shared" si="284"/>
        <v>0</v>
      </c>
      <c r="Q2265" s="192">
        <f t="shared" si="285"/>
        <v>0</v>
      </c>
      <c r="R2265" s="193"/>
      <c r="S2265" s="194"/>
      <c r="T2265" s="195">
        <f t="shared" si="286"/>
        <v>0</v>
      </c>
      <c r="U2265" s="195">
        <f t="shared" si="287"/>
        <v>0</v>
      </c>
      <c r="V2265" s="195">
        <f t="shared" si="288"/>
        <v>0</v>
      </c>
      <c r="W2265" s="196" t="e">
        <f t="shared" si="289"/>
        <v>#DIV/0!</v>
      </c>
      <c r="X2265" s="197" t="e">
        <f t="shared" si="290"/>
        <v>#DIV/0!</v>
      </c>
    </row>
    <row r="2266" ht="11.4" hidden="1" customHeight="1" spans="1:24">
      <c r="A2266" s="184" t="s">
        <v>3208</v>
      </c>
      <c r="B2266" s="184" t="s">
        <v>149</v>
      </c>
      <c r="C2266" s="184" t="s">
        <v>2263</v>
      </c>
      <c r="D2266" s="185" t="s">
        <v>704</v>
      </c>
      <c r="E2266" s="186" t="s">
        <v>906</v>
      </c>
      <c r="F2266" s="186" t="s">
        <v>907</v>
      </c>
      <c r="G2266" s="186" t="s">
        <v>2264</v>
      </c>
      <c r="H2266" s="186" t="s">
        <v>2265</v>
      </c>
      <c r="I2266" s="187" t="s">
        <v>2300</v>
      </c>
      <c r="J2266" s="187" t="s">
        <v>2301</v>
      </c>
      <c r="K2266" s="188"/>
      <c r="L2266" s="188"/>
      <c r="M2266" s="189" t="s">
        <v>963</v>
      </c>
      <c r="N2266" s="190">
        <v>97.08</v>
      </c>
      <c r="O2266" s="190">
        <f t="shared" si="283"/>
        <v>105.82</v>
      </c>
      <c r="P2266" s="191">
        <f t="shared" si="284"/>
        <v>0</v>
      </c>
      <c r="Q2266" s="192">
        <f t="shared" si="285"/>
        <v>0</v>
      </c>
      <c r="R2266" s="193"/>
      <c r="S2266" s="194"/>
      <c r="T2266" s="195">
        <f t="shared" si="286"/>
        <v>0</v>
      </c>
      <c r="U2266" s="195">
        <f t="shared" si="287"/>
        <v>0</v>
      </c>
      <c r="V2266" s="195">
        <f t="shared" si="288"/>
        <v>0</v>
      </c>
      <c r="W2266" s="196" t="e">
        <f t="shared" si="289"/>
        <v>#DIV/0!</v>
      </c>
      <c r="X2266" s="197" t="e">
        <f t="shared" si="290"/>
        <v>#DIV/0!</v>
      </c>
    </row>
    <row r="2267" ht="11.4" hidden="1" customHeight="1" spans="1:24">
      <c r="A2267" s="184" t="s">
        <v>3208</v>
      </c>
      <c r="B2267" s="184" t="s">
        <v>149</v>
      </c>
      <c r="C2267" s="184" t="s">
        <v>2263</v>
      </c>
      <c r="D2267" s="185" t="s">
        <v>704</v>
      </c>
      <c r="E2267" s="186" t="s">
        <v>906</v>
      </c>
      <c r="F2267" s="186" t="s">
        <v>907</v>
      </c>
      <c r="G2267" s="186" t="s">
        <v>2264</v>
      </c>
      <c r="H2267" s="186" t="s">
        <v>2265</v>
      </c>
      <c r="I2267" s="187" t="s">
        <v>2302</v>
      </c>
      <c r="J2267" s="187" t="s">
        <v>2303</v>
      </c>
      <c r="K2267" s="188"/>
      <c r="L2267" s="188"/>
      <c r="M2267" s="189" t="s">
        <v>989</v>
      </c>
      <c r="N2267" s="190">
        <v>2137.73</v>
      </c>
      <c r="O2267" s="190">
        <f t="shared" si="283"/>
        <v>2330.13</v>
      </c>
      <c r="P2267" s="191">
        <f t="shared" si="284"/>
        <v>0</v>
      </c>
      <c r="Q2267" s="192">
        <f t="shared" si="285"/>
        <v>0</v>
      </c>
      <c r="R2267" s="193"/>
      <c r="S2267" s="194"/>
      <c r="T2267" s="195">
        <f t="shared" si="286"/>
        <v>0</v>
      </c>
      <c r="U2267" s="195">
        <f t="shared" si="287"/>
        <v>0</v>
      </c>
      <c r="V2267" s="195">
        <f t="shared" si="288"/>
        <v>0</v>
      </c>
      <c r="W2267" s="196" t="e">
        <f t="shared" si="289"/>
        <v>#DIV/0!</v>
      </c>
      <c r="X2267" s="197" t="e">
        <f t="shared" si="290"/>
        <v>#DIV/0!</v>
      </c>
    </row>
    <row r="2268" ht="11.4" hidden="1" customHeight="1" spans="1:24">
      <c r="A2268" s="184" t="s">
        <v>3208</v>
      </c>
      <c r="B2268" s="184" t="s">
        <v>149</v>
      </c>
      <c r="C2268" s="184" t="s">
        <v>2263</v>
      </c>
      <c r="D2268" s="185" t="s">
        <v>704</v>
      </c>
      <c r="E2268" s="186" t="s">
        <v>906</v>
      </c>
      <c r="F2268" s="186" t="s">
        <v>907</v>
      </c>
      <c r="G2268" s="186" t="s">
        <v>2264</v>
      </c>
      <c r="H2268" s="186" t="s">
        <v>2265</v>
      </c>
      <c r="I2268" s="187" t="s">
        <v>2304</v>
      </c>
      <c r="J2268" s="187" t="s">
        <v>2305</v>
      </c>
      <c r="K2268" s="188"/>
      <c r="L2268" s="188"/>
      <c r="M2268" s="189" t="s">
        <v>989</v>
      </c>
      <c r="N2268" s="190">
        <v>2295.03</v>
      </c>
      <c r="O2268" s="190">
        <f t="shared" si="283"/>
        <v>2501.58</v>
      </c>
      <c r="P2268" s="191">
        <f t="shared" si="284"/>
        <v>0</v>
      </c>
      <c r="Q2268" s="192">
        <f t="shared" si="285"/>
        <v>0</v>
      </c>
      <c r="R2268" s="193"/>
      <c r="S2268" s="194"/>
      <c r="T2268" s="195">
        <f t="shared" si="286"/>
        <v>0</v>
      </c>
      <c r="U2268" s="195">
        <f t="shared" si="287"/>
        <v>0</v>
      </c>
      <c r="V2268" s="195">
        <f t="shared" si="288"/>
        <v>0</v>
      </c>
      <c r="W2268" s="196" t="e">
        <f t="shared" si="289"/>
        <v>#DIV/0!</v>
      </c>
      <c r="X2268" s="197" t="e">
        <f t="shared" si="290"/>
        <v>#DIV/0!</v>
      </c>
    </row>
    <row r="2269" ht="11.4" hidden="1" customHeight="1" spans="1:24">
      <c r="A2269" s="184" t="s">
        <v>3208</v>
      </c>
      <c r="B2269" s="184" t="s">
        <v>149</v>
      </c>
      <c r="C2269" s="184" t="s">
        <v>2263</v>
      </c>
      <c r="D2269" s="185" t="s">
        <v>704</v>
      </c>
      <c r="E2269" s="186" t="s">
        <v>906</v>
      </c>
      <c r="F2269" s="186" t="s">
        <v>907</v>
      </c>
      <c r="G2269" s="186" t="s">
        <v>2264</v>
      </c>
      <c r="H2269" s="186" t="s">
        <v>2265</v>
      </c>
      <c r="I2269" s="187" t="s">
        <v>2306</v>
      </c>
      <c r="J2269" s="187" t="s">
        <v>2307</v>
      </c>
      <c r="K2269" s="188"/>
      <c r="L2269" s="188"/>
      <c r="M2269" s="189" t="s">
        <v>2308</v>
      </c>
      <c r="N2269" s="190">
        <v>994.83</v>
      </c>
      <c r="O2269" s="190">
        <f t="shared" si="283"/>
        <v>1084.36</v>
      </c>
      <c r="P2269" s="191">
        <f t="shared" si="284"/>
        <v>0</v>
      </c>
      <c r="Q2269" s="192">
        <f t="shared" si="285"/>
        <v>0</v>
      </c>
      <c r="R2269" s="193"/>
      <c r="S2269" s="194"/>
      <c r="T2269" s="195">
        <f t="shared" si="286"/>
        <v>0</v>
      </c>
      <c r="U2269" s="195">
        <f t="shared" si="287"/>
        <v>0</v>
      </c>
      <c r="V2269" s="195">
        <f t="shared" si="288"/>
        <v>0</v>
      </c>
      <c r="W2269" s="196" t="e">
        <f t="shared" si="289"/>
        <v>#DIV/0!</v>
      </c>
      <c r="X2269" s="197" t="e">
        <f t="shared" si="290"/>
        <v>#DIV/0!</v>
      </c>
    </row>
    <row r="2270" ht="11.4" hidden="1" customHeight="1" spans="1:24">
      <c r="A2270" s="184" t="s">
        <v>3208</v>
      </c>
      <c r="B2270" s="184" t="s">
        <v>149</v>
      </c>
      <c r="C2270" s="184" t="s">
        <v>2263</v>
      </c>
      <c r="D2270" s="185" t="s">
        <v>704</v>
      </c>
      <c r="E2270" s="186" t="s">
        <v>906</v>
      </c>
      <c r="F2270" s="186" t="s">
        <v>907</v>
      </c>
      <c r="G2270" s="186" t="s">
        <v>2264</v>
      </c>
      <c r="H2270" s="186" t="s">
        <v>2265</v>
      </c>
      <c r="I2270" s="187" t="s">
        <v>2309</v>
      </c>
      <c r="J2270" s="187" t="s">
        <v>2310</v>
      </c>
      <c r="K2270" s="188"/>
      <c r="L2270" s="188"/>
      <c r="M2270" s="189" t="s">
        <v>2308</v>
      </c>
      <c r="N2270" s="190">
        <v>1148.83</v>
      </c>
      <c r="O2270" s="190">
        <f t="shared" si="283"/>
        <v>1252.22</v>
      </c>
      <c r="P2270" s="191">
        <f t="shared" si="284"/>
        <v>0</v>
      </c>
      <c r="Q2270" s="192">
        <f t="shared" si="285"/>
        <v>0</v>
      </c>
      <c r="R2270" s="193"/>
      <c r="S2270" s="194"/>
      <c r="T2270" s="195">
        <f t="shared" si="286"/>
        <v>0</v>
      </c>
      <c r="U2270" s="195">
        <f t="shared" si="287"/>
        <v>0</v>
      </c>
      <c r="V2270" s="195">
        <f t="shared" si="288"/>
        <v>0</v>
      </c>
      <c r="W2270" s="196" t="e">
        <f t="shared" si="289"/>
        <v>#DIV/0!</v>
      </c>
      <c r="X2270" s="197" t="e">
        <f t="shared" si="290"/>
        <v>#DIV/0!</v>
      </c>
    </row>
    <row r="2271" ht="11.4" hidden="1" customHeight="1" spans="1:24">
      <c r="A2271" s="184" t="s">
        <v>3208</v>
      </c>
      <c r="B2271" s="184" t="s">
        <v>149</v>
      </c>
      <c r="C2271" s="184" t="s">
        <v>2263</v>
      </c>
      <c r="D2271" s="185" t="s">
        <v>704</v>
      </c>
      <c r="E2271" s="186" t="s">
        <v>906</v>
      </c>
      <c r="F2271" s="186" t="s">
        <v>907</v>
      </c>
      <c r="G2271" s="186" t="s">
        <v>2264</v>
      </c>
      <c r="H2271" s="186" t="s">
        <v>2265</v>
      </c>
      <c r="I2271" s="187" t="s">
        <v>2311</v>
      </c>
      <c r="J2271" s="187" t="s">
        <v>2312</v>
      </c>
      <c r="K2271" s="188"/>
      <c r="L2271" s="188"/>
      <c r="M2271" s="189" t="s">
        <v>963</v>
      </c>
      <c r="N2271" s="190">
        <v>55.98</v>
      </c>
      <c r="O2271" s="190">
        <f t="shared" si="283"/>
        <v>61.02</v>
      </c>
      <c r="P2271" s="191">
        <f t="shared" si="284"/>
        <v>0</v>
      </c>
      <c r="Q2271" s="192">
        <f t="shared" si="285"/>
        <v>0</v>
      </c>
      <c r="R2271" s="193"/>
      <c r="S2271" s="194"/>
      <c r="T2271" s="195">
        <f t="shared" si="286"/>
        <v>0</v>
      </c>
      <c r="U2271" s="195">
        <f t="shared" si="287"/>
        <v>0</v>
      </c>
      <c r="V2271" s="195">
        <f t="shared" si="288"/>
        <v>0</v>
      </c>
      <c r="W2271" s="196" t="e">
        <f t="shared" si="289"/>
        <v>#DIV/0!</v>
      </c>
      <c r="X2271" s="197" t="e">
        <f t="shared" si="290"/>
        <v>#DIV/0!</v>
      </c>
    </row>
    <row r="2272" ht="11.4" hidden="1" customHeight="1" spans="1:24">
      <c r="A2272" s="184" t="s">
        <v>3208</v>
      </c>
      <c r="B2272" s="184" t="s">
        <v>149</v>
      </c>
      <c r="C2272" s="184" t="s">
        <v>2263</v>
      </c>
      <c r="D2272" s="185" t="s">
        <v>704</v>
      </c>
      <c r="E2272" s="186" t="s">
        <v>906</v>
      </c>
      <c r="F2272" s="186" t="s">
        <v>907</v>
      </c>
      <c r="G2272" s="186" t="s">
        <v>2264</v>
      </c>
      <c r="H2272" s="186" t="s">
        <v>2265</v>
      </c>
      <c r="I2272" s="187" t="s">
        <v>2313</v>
      </c>
      <c r="J2272" s="187" t="s">
        <v>2314</v>
      </c>
      <c r="K2272" s="188"/>
      <c r="L2272" s="188"/>
      <c r="M2272" s="189" t="s">
        <v>963</v>
      </c>
      <c r="N2272" s="190">
        <v>80.18</v>
      </c>
      <c r="O2272" s="190">
        <f t="shared" si="283"/>
        <v>87.4</v>
      </c>
      <c r="P2272" s="191">
        <f t="shared" si="284"/>
        <v>0</v>
      </c>
      <c r="Q2272" s="192">
        <f t="shared" si="285"/>
        <v>0</v>
      </c>
      <c r="R2272" s="193"/>
      <c r="S2272" s="194"/>
      <c r="T2272" s="195">
        <f t="shared" si="286"/>
        <v>0</v>
      </c>
      <c r="U2272" s="195">
        <f t="shared" si="287"/>
        <v>0</v>
      </c>
      <c r="V2272" s="195">
        <f t="shared" si="288"/>
        <v>0</v>
      </c>
      <c r="W2272" s="196" t="e">
        <f t="shared" si="289"/>
        <v>#DIV/0!</v>
      </c>
      <c r="X2272" s="197" t="e">
        <f t="shared" si="290"/>
        <v>#DIV/0!</v>
      </c>
    </row>
    <row r="2273" ht="11.4" hidden="1" customHeight="1" spans="1:24">
      <c r="A2273" s="184" t="s">
        <v>3208</v>
      </c>
      <c r="B2273" s="184" t="s">
        <v>149</v>
      </c>
      <c r="C2273" s="184" t="s">
        <v>2263</v>
      </c>
      <c r="D2273" s="185" t="s">
        <v>704</v>
      </c>
      <c r="E2273" s="186" t="s">
        <v>906</v>
      </c>
      <c r="F2273" s="186" t="s">
        <v>907</v>
      </c>
      <c r="G2273" s="186" t="s">
        <v>2264</v>
      </c>
      <c r="H2273" s="186" t="s">
        <v>2265</v>
      </c>
      <c r="I2273" s="187" t="s">
        <v>2315</v>
      </c>
      <c r="J2273" s="187" t="s">
        <v>2316</v>
      </c>
      <c r="K2273" s="188"/>
      <c r="L2273" s="188"/>
      <c r="M2273" s="189" t="s">
        <v>963</v>
      </c>
      <c r="N2273" s="190">
        <v>202.07</v>
      </c>
      <c r="O2273" s="190">
        <f t="shared" si="283"/>
        <v>220.26</v>
      </c>
      <c r="P2273" s="191">
        <f t="shared" si="284"/>
        <v>0</v>
      </c>
      <c r="Q2273" s="192">
        <f t="shared" si="285"/>
        <v>0</v>
      </c>
      <c r="R2273" s="193"/>
      <c r="S2273" s="194"/>
      <c r="T2273" s="195">
        <f t="shared" si="286"/>
        <v>0</v>
      </c>
      <c r="U2273" s="195">
        <f t="shared" si="287"/>
        <v>0</v>
      </c>
      <c r="V2273" s="195">
        <f t="shared" si="288"/>
        <v>0</v>
      </c>
      <c r="W2273" s="196" t="e">
        <f t="shared" si="289"/>
        <v>#DIV/0!</v>
      </c>
      <c r="X2273" s="197" t="e">
        <f t="shared" si="290"/>
        <v>#DIV/0!</v>
      </c>
    </row>
    <row r="2274" ht="11.4" hidden="1" customHeight="1" spans="1:24">
      <c r="A2274" s="184" t="s">
        <v>3208</v>
      </c>
      <c r="B2274" s="184" t="s">
        <v>149</v>
      </c>
      <c r="C2274" s="184" t="s">
        <v>2263</v>
      </c>
      <c r="D2274" s="185" t="s">
        <v>704</v>
      </c>
      <c r="E2274" s="186" t="s">
        <v>906</v>
      </c>
      <c r="F2274" s="186" t="s">
        <v>907</v>
      </c>
      <c r="G2274" s="186" t="s">
        <v>2264</v>
      </c>
      <c r="H2274" s="186" t="s">
        <v>2317</v>
      </c>
      <c r="I2274" s="187" t="s">
        <v>2318</v>
      </c>
      <c r="J2274" s="187" t="s">
        <v>2319</v>
      </c>
      <c r="K2274" s="188"/>
      <c r="L2274" s="188"/>
      <c r="M2274" s="189" t="s">
        <v>807</v>
      </c>
      <c r="N2274" s="190">
        <v>24.81</v>
      </c>
      <c r="O2274" s="190">
        <f t="shared" si="283"/>
        <v>27.04</v>
      </c>
      <c r="P2274" s="191">
        <f t="shared" si="284"/>
        <v>0</v>
      </c>
      <c r="Q2274" s="192">
        <f t="shared" si="285"/>
        <v>0</v>
      </c>
      <c r="R2274" s="193"/>
      <c r="S2274" s="194"/>
      <c r="T2274" s="195">
        <f t="shared" si="286"/>
        <v>0</v>
      </c>
      <c r="U2274" s="195">
        <f t="shared" si="287"/>
        <v>0</v>
      </c>
      <c r="V2274" s="195">
        <f t="shared" si="288"/>
        <v>0</v>
      </c>
      <c r="W2274" s="196" t="e">
        <f t="shared" si="289"/>
        <v>#DIV/0!</v>
      </c>
      <c r="X2274" s="197" t="e">
        <f t="shared" si="290"/>
        <v>#DIV/0!</v>
      </c>
    </row>
    <row r="2275" ht="11.4" hidden="1" customHeight="1" spans="1:24">
      <c r="A2275" s="184" t="s">
        <v>3208</v>
      </c>
      <c r="B2275" s="184" t="s">
        <v>149</v>
      </c>
      <c r="C2275" s="184" t="s">
        <v>2263</v>
      </c>
      <c r="D2275" s="185" t="s">
        <v>704</v>
      </c>
      <c r="E2275" s="186" t="s">
        <v>906</v>
      </c>
      <c r="F2275" s="186" t="s">
        <v>907</v>
      </c>
      <c r="G2275" s="186" t="s">
        <v>2264</v>
      </c>
      <c r="H2275" s="186" t="s">
        <v>2320</v>
      </c>
      <c r="I2275" s="187" t="s">
        <v>2321</v>
      </c>
      <c r="J2275" s="187" t="s">
        <v>2322</v>
      </c>
      <c r="K2275" s="188"/>
      <c r="L2275" s="188"/>
      <c r="M2275" s="189" t="s">
        <v>807</v>
      </c>
      <c r="N2275" s="190">
        <v>97.45</v>
      </c>
      <c r="O2275" s="190">
        <f t="shared" si="283"/>
        <v>106.22</v>
      </c>
      <c r="P2275" s="191">
        <f t="shared" si="284"/>
        <v>0</v>
      </c>
      <c r="Q2275" s="192">
        <f t="shared" si="285"/>
        <v>0</v>
      </c>
      <c r="R2275" s="193"/>
      <c r="S2275" s="194"/>
      <c r="T2275" s="195">
        <f t="shared" si="286"/>
        <v>0</v>
      </c>
      <c r="U2275" s="195">
        <f t="shared" si="287"/>
        <v>0</v>
      </c>
      <c r="V2275" s="195">
        <f t="shared" si="288"/>
        <v>0</v>
      </c>
      <c r="W2275" s="196" t="e">
        <f t="shared" si="289"/>
        <v>#DIV/0!</v>
      </c>
      <c r="X2275" s="197" t="e">
        <f t="shared" si="290"/>
        <v>#DIV/0!</v>
      </c>
    </row>
    <row r="2276" ht="11.4" hidden="1" customHeight="1" spans="1:24">
      <c r="A2276" s="184" t="s">
        <v>3208</v>
      </c>
      <c r="B2276" s="184" t="s">
        <v>149</v>
      </c>
      <c r="C2276" s="184" t="s">
        <v>2263</v>
      </c>
      <c r="D2276" s="185" t="s">
        <v>704</v>
      </c>
      <c r="E2276" s="186" t="s">
        <v>906</v>
      </c>
      <c r="F2276" s="186" t="s">
        <v>907</v>
      </c>
      <c r="G2276" s="186" t="s">
        <v>2264</v>
      </c>
      <c r="H2276" s="186" t="s">
        <v>2320</v>
      </c>
      <c r="I2276" s="187" t="s">
        <v>2323</v>
      </c>
      <c r="J2276" s="187" t="s">
        <v>2324</v>
      </c>
      <c r="K2276" s="188"/>
      <c r="L2276" s="188"/>
      <c r="M2276" s="189" t="s">
        <v>807</v>
      </c>
      <c r="N2276" s="190">
        <v>56.91</v>
      </c>
      <c r="O2276" s="190">
        <f t="shared" si="283"/>
        <v>62.03</v>
      </c>
      <c r="P2276" s="191">
        <f t="shared" si="284"/>
        <v>0</v>
      </c>
      <c r="Q2276" s="192">
        <f t="shared" si="285"/>
        <v>0</v>
      </c>
      <c r="R2276" s="193"/>
      <c r="S2276" s="194"/>
      <c r="T2276" s="195">
        <f t="shared" si="286"/>
        <v>0</v>
      </c>
      <c r="U2276" s="195">
        <f t="shared" si="287"/>
        <v>0</v>
      </c>
      <c r="V2276" s="195">
        <f t="shared" si="288"/>
        <v>0</v>
      </c>
      <c r="W2276" s="196" t="e">
        <f t="shared" si="289"/>
        <v>#DIV/0!</v>
      </c>
      <c r="X2276" s="197" t="e">
        <f t="shared" si="290"/>
        <v>#DIV/0!</v>
      </c>
    </row>
    <row r="2277" ht="11.4" hidden="1" customHeight="1" spans="1:24">
      <c r="A2277" s="184" t="s">
        <v>3208</v>
      </c>
      <c r="B2277" s="184" t="s">
        <v>149</v>
      </c>
      <c r="C2277" s="184" t="s">
        <v>2263</v>
      </c>
      <c r="D2277" s="185" t="s">
        <v>704</v>
      </c>
      <c r="E2277" s="186" t="s">
        <v>906</v>
      </c>
      <c r="F2277" s="186" t="s">
        <v>907</v>
      </c>
      <c r="G2277" s="186" t="s">
        <v>2264</v>
      </c>
      <c r="H2277" s="186" t="s">
        <v>2320</v>
      </c>
      <c r="I2277" s="187" t="s">
        <v>2325</v>
      </c>
      <c r="J2277" s="187" t="s">
        <v>2326</v>
      </c>
      <c r="K2277" s="188"/>
      <c r="L2277" s="188"/>
      <c r="M2277" s="189" t="s">
        <v>807</v>
      </c>
      <c r="N2277" s="190">
        <v>39.03</v>
      </c>
      <c r="O2277" s="190">
        <f t="shared" si="283"/>
        <v>42.54</v>
      </c>
      <c r="P2277" s="191">
        <f t="shared" si="284"/>
        <v>0</v>
      </c>
      <c r="Q2277" s="192">
        <f t="shared" si="285"/>
        <v>0</v>
      </c>
      <c r="R2277" s="193"/>
      <c r="S2277" s="194"/>
      <c r="T2277" s="195">
        <f t="shared" si="286"/>
        <v>0</v>
      </c>
      <c r="U2277" s="195">
        <f t="shared" si="287"/>
        <v>0</v>
      </c>
      <c r="V2277" s="195">
        <f t="shared" si="288"/>
        <v>0</v>
      </c>
      <c r="W2277" s="196" t="e">
        <f t="shared" si="289"/>
        <v>#DIV/0!</v>
      </c>
      <c r="X2277" s="197" t="e">
        <f t="shared" si="290"/>
        <v>#DIV/0!</v>
      </c>
    </row>
    <row r="2278" ht="11.4" hidden="1" customHeight="1" spans="1:24">
      <c r="A2278" s="184" t="s">
        <v>3208</v>
      </c>
      <c r="B2278" s="184" t="s">
        <v>149</v>
      </c>
      <c r="C2278" s="184" t="s">
        <v>2263</v>
      </c>
      <c r="D2278" s="185" t="s">
        <v>704</v>
      </c>
      <c r="E2278" s="186" t="s">
        <v>906</v>
      </c>
      <c r="F2278" s="186" t="s">
        <v>907</v>
      </c>
      <c r="G2278" s="186" t="s">
        <v>2264</v>
      </c>
      <c r="H2278" s="186" t="s">
        <v>2320</v>
      </c>
      <c r="I2278" s="187" t="s">
        <v>2327</v>
      </c>
      <c r="J2278" s="187" t="s">
        <v>2328</v>
      </c>
      <c r="K2278" s="188"/>
      <c r="L2278" s="188"/>
      <c r="M2278" s="189" t="s">
        <v>807</v>
      </c>
      <c r="N2278" s="190">
        <v>24.95</v>
      </c>
      <c r="O2278" s="190">
        <f t="shared" si="283"/>
        <v>27.2</v>
      </c>
      <c r="P2278" s="191">
        <f t="shared" si="284"/>
        <v>0</v>
      </c>
      <c r="Q2278" s="192">
        <f t="shared" si="285"/>
        <v>0</v>
      </c>
      <c r="R2278" s="193"/>
      <c r="S2278" s="194"/>
      <c r="T2278" s="195">
        <f t="shared" si="286"/>
        <v>0</v>
      </c>
      <c r="U2278" s="195">
        <f t="shared" si="287"/>
        <v>0</v>
      </c>
      <c r="V2278" s="195">
        <f t="shared" si="288"/>
        <v>0</v>
      </c>
      <c r="W2278" s="196" t="e">
        <f t="shared" si="289"/>
        <v>#DIV/0!</v>
      </c>
      <c r="X2278" s="197" t="e">
        <f t="shared" si="290"/>
        <v>#DIV/0!</v>
      </c>
    </row>
    <row r="2279" ht="11.4" hidden="1" customHeight="1" spans="1:24">
      <c r="A2279" s="184" t="s">
        <v>3208</v>
      </c>
      <c r="B2279" s="184" t="s">
        <v>149</v>
      </c>
      <c r="C2279" s="184" t="s">
        <v>2263</v>
      </c>
      <c r="D2279" s="185" t="s">
        <v>704</v>
      </c>
      <c r="E2279" s="186" t="s">
        <v>906</v>
      </c>
      <c r="F2279" s="186" t="s">
        <v>907</v>
      </c>
      <c r="G2279" s="186" t="s">
        <v>2264</v>
      </c>
      <c r="H2279" s="186" t="s">
        <v>2320</v>
      </c>
      <c r="I2279" s="187" t="s">
        <v>2329</v>
      </c>
      <c r="J2279" s="187" t="s">
        <v>2330</v>
      </c>
      <c r="K2279" s="188"/>
      <c r="L2279" s="188"/>
      <c r="M2279" s="189" t="s">
        <v>807</v>
      </c>
      <c r="N2279" s="190">
        <v>24.95</v>
      </c>
      <c r="O2279" s="190">
        <f t="shared" si="283"/>
        <v>27.2</v>
      </c>
      <c r="P2279" s="191">
        <f t="shared" si="284"/>
        <v>0</v>
      </c>
      <c r="Q2279" s="192">
        <f t="shared" si="285"/>
        <v>0</v>
      </c>
      <c r="R2279" s="193"/>
      <c r="S2279" s="194"/>
      <c r="T2279" s="195">
        <f t="shared" si="286"/>
        <v>0</v>
      </c>
      <c r="U2279" s="195">
        <f t="shared" si="287"/>
        <v>0</v>
      </c>
      <c r="V2279" s="195">
        <f t="shared" si="288"/>
        <v>0</v>
      </c>
      <c r="W2279" s="196" t="e">
        <f t="shared" si="289"/>
        <v>#DIV/0!</v>
      </c>
      <c r="X2279" s="197" t="e">
        <f t="shared" si="290"/>
        <v>#DIV/0!</v>
      </c>
    </row>
    <row r="2280" ht="11.4" hidden="1" customHeight="1" spans="1:24">
      <c r="A2280" s="184" t="s">
        <v>3208</v>
      </c>
      <c r="B2280" s="184" t="s">
        <v>149</v>
      </c>
      <c r="C2280" s="184" t="s">
        <v>2263</v>
      </c>
      <c r="D2280" s="185" t="s">
        <v>704</v>
      </c>
      <c r="E2280" s="186" t="s">
        <v>906</v>
      </c>
      <c r="F2280" s="186" t="s">
        <v>907</v>
      </c>
      <c r="G2280" s="186" t="s">
        <v>2264</v>
      </c>
      <c r="H2280" s="186" t="s">
        <v>2320</v>
      </c>
      <c r="I2280" s="187" t="s">
        <v>2331</v>
      </c>
      <c r="J2280" s="187" t="s">
        <v>2332</v>
      </c>
      <c r="K2280" s="188"/>
      <c r="L2280" s="188"/>
      <c r="M2280" s="189" t="s">
        <v>807</v>
      </c>
      <c r="N2280" s="190">
        <v>34.08</v>
      </c>
      <c r="O2280" s="190">
        <f t="shared" si="283"/>
        <v>37.15</v>
      </c>
      <c r="P2280" s="191">
        <f t="shared" si="284"/>
        <v>0</v>
      </c>
      <c r="Q2280" s="192">
        <f t="shared" si="285"/>
        <v>0</v>
      </c>
      <c r="R2280" s="193"/>
      <c r="S2280" s="194"/>
      <c r="T2280" s="195">
        <f t="shared" si="286"/>
        <v>0</v>
      </c>
      <c r="U2280" s="195">
        <f t="shared" si="287"/>
        <v>0</v>
      </c>
      <c r="V2280" s="195">
        <f t="shared" si="288"/>
        <v>0</v>
      </c>
      <c r="W2280" s="196" t="e">
        <f t="shared" si="289"/>
        <v>#DIV/0!</v>
      </c>
      <c r="X2280" s="197" t="e">
        <f t="shared" si="290"/>
        <v>#DIV/0!</v>
      </c>
    </row>
    <row r="2281" ht="11.4" hidden="1" customHeight="1" spans="1:24">
      <c r="A2281" s="184" t="s">
        <v>3208</v>
      </c>
      <c r="B2281" s="184" t="s">
        <v>149</v>
      </c>
      <c r="C2281" s="184" t="s">
        <v>2263</v>
      </c>
      <c r="D2281" s="185" t="s">
        <v>704</v>
      </c>
      <c r="E2281" s="186" t="s">
        <v>906</v>
      </c>
      <c r="F2281" s="186" t="s">
        <v>907</v>
      </c>
      <c r="G2281" s="186" t="s">
        <v>2264</v>
      </c>
      <c r="H2281" s="186" t="s">
        <v>2320</v>
      </c>
      <c r="I2281" s="187" t="s">
        <v>2333</v>
      </c>
      <c r="J2281" s="187" t="s">
        <v>2334</v>
      </c>
      <c r="K2281" s="188"/>
      <c r="L2281" s="188"/>
      <c r="M2281" s="189" t="s">
        <v>963</v>
      </c>
      <c r="N2281" s="190">
        <v>196.45</v>
      </c>
      <c r="O2281" s="190">
        <f t="shared" si="283"/>
        <v>214.13</v>
      </c>
      <c r="P2281" s="191">
        <f t="shared" si="284"/>
        <v>0</v>
      </c>
      <c r="Q2281" s="192">
        <f t="shared" si="285"/>
        <v>0</v>
      </c>
      <c r="R2281" s="193"/>
      <c r="S2281" s="194"/>
      <c r="T2281" s="195">
        <f t="shared" si="286"/>
        <v>0</v>
      </c>
      <c r="U2281" s="195">
        <f t="shared" si="287"/>
        <v>0</v>
      </c>
      <c r="V2281" s="195">
        <f t="shared" si="288"/>
        <v>0</v>
      </c>
      <c r="W2281" s="196" t="e">
        <f t="shared" si="289"/>
        <v>#DIV/0!</v>
      </c>
      <c r="X2281" s="197" t="e">
        <f t="shared" si="290"/>
        <v>#DIV/0!</v>
      </c>
    </row>
    <row r="2282" ht="11.4" hidden="1" customHeight="1" spans="1:24">
      <c r="A2282" s="184" t="s">
        <v>3208</v>
      </c>
      <c r="B2282" s="184" t="s">
        <v>149</v>
      </c>
      <c r="C2282" s="184" t="s">
        <v>2263</v>
      </c>
      <c r="D2282" s="185" t="s">
        <v>704</v>
      </c>
      <c r="E2282" s="186" t="s">
        <v>906</v>
      </c>
      <c r="F2282" s="186" t="s">
        <v>907</v>
      </c>
      <c r="G2282" s="186" t="s">
        <v>2264</v>
      </c>
      <c r="H2282" s="186" t="s">
        <v>2320</v>
      </c>
      <c r="I2282" s="187" t="s">
        <v>2335</v>
      </c>
      <c r="J2282" s="187" t="s">
        <v>2336</v>
      </c>
      <c r="K2282" s="188"/>
      <c r="L2282" s="188"/>
      <c r="M2282" s="189" t="s">
        <v>963</v>
      </c>
      <c r="N2282" s="190">
        <v>245.17</v>
      </c>
      <c r="O2282" s="190">
        <f t="shared" si="283"/>
        <v>267.24</v>
      </c>
      <c r="P2282" s="191">
        <f t="shared" si="284"/>
        <v>0</v>
      </c>
      <c r="Q2282" s="192">
        <f t="shared" si="285"/>
        <v>0</v>
      </c>
      <c r="R2282" s="193"/>
      <c r="S2282" s="194"/>
      <c r="T2282" s="195">
        <f t="shared" si="286"/>
        <v>0</v>
      </c>
      <c r="U2282" s="195">
        <f t="shared" si="287"/>
        <v>0</v>
      </c>
      <c r="V2282" s="195">
        <f t="shared" si="288"/>
        <v>0</v>
      </c>
      <c r="W2282" s="196" t="e">
        <f t="shared" si="289"/>
        <v>#DIV/0!</v>
      </c>
      <c r="X2282" s="197" t="e">
        <f t="shared" si="290"/>
        <v>#DIV/0!</v>
      </c>
    </row>
    <row r="2283" ht="11.4" hidden="1" customHeight="1" spans="1:24">
      <c r="A2283" s="184" t="s">
        <v>3208</v>
      </c>
      <c r="B2283" s="184" t="s">
        <v>149</v>
      </c>
      <c r="C2283" s="184" t="s">
        <v>2263</v>
      </c>
      <c r="D2283" s="185" t="s">
        <v>704</v>
      </c>
      <c r="E2283" s="186" t="s">
        <v>906</v>
      </c>
      <c r="F2283" s="186" t="s">
        <v>907</v>
      </c>
      <c r="G2283" s="186" t="s">
        <v>2264</v>
      </c>
      <c r="H2283" s="186" t="s">
        <v>2320</v>
      </c>
      <c r="I2283" s="187" t="s">
        <v>2337</v>
      </c>
      <c r="J2283" s="187" t="s">
        <v>2338</v>
      </c>
      <c r="K2283" s="188"/>
      <c r="L2283" s="188"/>
      <c r="M2283" s="189" t="s">
        <v>963</v>
      </c>
      <c r="N2283" s="190">
        <v>29.9</v>
      </c>
      <c r="O2283" s="190">
        <f t="shared" si="283"/>
        <v>32.59</v>
      </c>
      <c r="P2283" s="191">
        <f t="shared" si="284"/>
        <v>0</v>
      </c>
      <c r="Q2283" s="192">
        <f t="shared" si="285"/>
        <v>0</v>
      </c>
      <c r="R2283" s="193"/>
      <c r="S2283" s="194"/>
      <c r="T2283" s="195">
        <f t="shared" si="286"/>
        <v>0</v>
      </c>
      <c r="U2283" s="195">
        <f t="shared" si="287"/>
        <v>0</v>
      </c>
      <c r="V2283" s="195">
        <f t="shared" si="288"/>
        <v>0</v>
      </c>
      <c r="W2283" s="196" t="e">
        <f t="shared" si="289"/>
        <v>#DIV/0!</v>
      </c>
      <c r="X2283" s="197" t="e">
        <f t="shared" si="290"/>
        <v>#DIV/0!</v>
      </c>
    </row>
    <row r="2284" ht="11.4" hidden="1" customHeight="1" spans="1:24">
      <c r="A2284" s="184" t="s">
        <v>3208</v>
      </c>
      <c r="B2284" s="184" t="s">
        <v>149</v>
      </c>
      <c r="C2284" s="184" t="s">
        <v>2263</v>
      </c>
      <c r="D2284" s="185" t="s">
        <v>704</v>
      </c>
      <c r="E2284" s="186" t="s">
        <v>906</v>
      </c>
      <c r="F2284" s="186" t="s">
        <v>907</v>
      </c>
      <c r="G2284" s="186" t="s">
        <v>2264</v>
      </c>
      <c r="H2284" s="186" t="s">
        <v>2320</v>
      </c>
      <c r="I2284" s="187" t="s">
        <v>2339</v>
      </c>
      <c r="J2284" s="187" t="s">
        <v>2340</v>
      </c>
      <c r="K2284" s="188"/>
      <c r="L2284" s="188"/>
      <c r="M2284" s="189" t="s">
        <v>793</v>
      </c>
      <c r="N2284" s="190"/>
      <c r="O2284" s="190">
        <f t="shared" si="283"/>
        <v>0</v>
      </c>
      <c r="P2284" s="191">
        <f t="shared" si="284"/>
        <v>0</v>
      </c>
      <c r="Q2284" s="192">
        <f t="shared" si="285"/>
        <v>0</v>
      </c>
      <c r="R2284" s="193"/>
      <c r="S2284" s="194"/>
      <c r="T2284" s="195">
        <f t="shared" si="286"/>
        <v>0</v>
      </c>
      <c r="U2284" s="195">
        <f t="shared" si="287"/>
        <v>0</v>
      </c>
      <c r="V2284" s="195">
        <f t="shared" si="288"/>
        <v>0</v>
      </c>
      <c r="W2284" s="196" t="e">
        <f t="shared" si="289"/>
        <v>#DIV/0!</v>
      </c>
      <c r="X2284" s="197" t="e">
        <f t="shared" si="290"/>
        <v>#DIV/0!</v>
      </c>
    </row>
    <row r="2285" ht="11.4" hidden="1" customHeight="1" spans="1:24">
      <c r="A2285" s="184" t="s">
        <v>3208</v>
      </c>
      <c r="B2285" s="184" t="s">
        <v>149</v>
      </c>
      <c r="C2285" s="184" t="s">
        <v>2263</v>
      </c>
      <c r="D2285" s="185" t="s">
        <v>704</v>
      </c>
      <c r="E2285" s="186" t="s">
        <v>906</v>
      </c>
      <c r="F2285" s="186" t="s">
        <v>907</v>
      </c>
      <c r="G2285" s="186" t="s">
        <v>2264</v>
      </c>
      <c r="H2285" s="186" t="s">
        <v>2265</v>
      </c>
      <c r="I2285" s="187" t="s">
        <v>2341</v>
      </c>
      <c r="J2285" s="187" t="s">
        <v>2342</v>
      </c>
      <c r="K2285" s="188"/>
      <c r="L2285" s="188"/>
      <c r="M2285" s="189" t="s">
        <v>963</v>
      </c>
      <c r="N2285" s="190">
        <v>134.85</v>
      </c>
      <c r="O2285" s="190">
        <f t="shared" si="283"/>
        <v>146.99</v>
      </c>
      <c r="P2285" s="191">
        <f t="shared" si="284"/>
        <v>0</v>
      </c>
      <c r="Q2285" s="192">
        <f t="shared" si="285"/>
        <v>0</v>
      </c>
      <c r="R2285" s="193"/>
      <c r="S2285" s="194"/>
      <c r="T2285" s="195">
        <f t="shared" si="286"/>
        <v>0</v>
      </c>
      <c r="U2285" s="195">
        <f t="shared" si="287"/>
        <v>0</v>
      </c>
      <c r="V2285" s="195">
        <f t="shared" si="288"/>
        <v>0</v>
      </c>
      <c r="W2285" s="196" t="e">
        <f t="shared" si="289"/>
        <v>#DIV/0!</v>
      </c>
      <c r="X2285" s="197" t="e">
        <f t="shared" si="290"/>
        <v>#DIV/0!</v>
      </c>
    </row>
    <row r="2286" ht="11.4" hidden="1" customHeight="1" spans="1:24">
      <c r="A2286" s="184" t="s">
        <v>3208</v>
      </c>
      <c r="B2286" s="184" t="s">
        <v>149</v>
      </c>
      <c r="C2286" s="184" t="s">
        <v>2263</v>
      </c>
      <c r="D2286" s="185" t="s">
        <v>704</v>
      </c>
      <c r="E2286" s="186" t="s">
        <v>906</v>
      </c>
      <c r="F2286" s="186" t="s">
        <v>907</v>
      </c>
      <c r="G2286" s="186" t="s">
        <v>2264</v>
      </c>
      <c r="H2286" s="186" t="s">
        <v>2265</v>
      </c>
      <c r="I2286" s="187" t="s">
        <v>2343</v>
      </c>
      <c r="J2286" s="187" t="s">
        <v>2344</v>
      </c>
      <c r="K2286" s="188"/>
      <c r="L2286" s="188"/>
      <c r="M2286" s="189" t="s">
        <v>963</v>
      </c>
      <c r="N2286" s="190">
        <v>416.64</v>
      </c>
      <c r="O2286" s="190">
        <f t="shared" si="283"/>
        <v>454.14</v>
      </c>
      <c r="P2286" s="191">
        <f t="shared" si="284"/>
        <v>0</v>
      </c>
      <c r="Q2286" s="192">
        <f t="shared" si="285"/>
        <v>0</v>
      </c>
      <c r="R2286" s="193"/>
      <c r="S2286" s="194"/>
      <c r="T2286" s="195">
        <f t="shared" si="286"/>
        <v>0</v>
      </c>
      <c r="U2286" s="195">
        <f t="shared" si="287"/>
        <v>0</v>
      </c>
      <c r="V2286" s="195">
        <f t="shared" si="288"/>
        <v>0</v>
      </c>
      <c r="W2286" s="196" t="e">
        <f t="shared" si="289"/>
        <v>#DIV/0!</v>
      </c>
      <c r="X2286" s="197" t="e">
        <f t="shared" si="290"/>
        <v>#DIV/0!</v>
      </c>
    </row>
    <row r="2287" ht="11.4" hidden="1" customHeight="1" spans="1:24">
      <c r="A2287" s="184" t="s">
        <v>3208</v>
      </c>
      <c r="B2287" s="184" t="s">
        <v>149</v>
      </c>
      <c r="C2287" s="184" t="s">
        <v>2263</v>
      </c>
      <c r="D2287" s="185" t="s">
        <v>704</v>
      </c>
      <c r="E2287" s="186" t="s">
        <v>906</v>
      </c>
      <c r="F2287" s="186" t="s">
        <v>907</v>
      </c>
      <c r="G2287" s="186" t="s">
        <v>2264</v>
      </c>
      <c r="H2287" s="186" t="s">
        <v>2265</v>
      </c>
      <c r="I2287" s="187" t="s">
        <v>2345</v>
      </c>
      <c r="J2287" s="187" t="s">
        <v>2346</v>
      </c>
      <c r="K2287" s="188"/>
      <c r="L2287" s="188"/>
      <c r="M2287" s="189" t="s">
        <v>963</v>
      </c>
      <c r="N2287" s="190">
        <v>454.51</v>
      </c>
      <c r="O2287" s="190">
        <f t="shared" si="283"/>
        <v>495.42</v>
      </c>
      <c r="P2287" s="191">
        <f t="shared" si="284"/>
        <v>0</v>
      </c>
      <c r="Q2287" s="192">
        <f t="shared" si="285"/>
        <v>0</v>
      </c>
      <c r="R2287" s="193"/>
      <c r="S2287" s="194"/>
      <c r="T2287" s="195">
        <f t="shared" si="286"/>
        <v>0</v>
      </c>
      <c r="U2287" s="195">
        <f t="shared" si="287"/>
        <v>0</v>
      </c>
      <c r="V2287" s="195">
        <f t="shared" si="288"/>
        <v>0</v>
      </c>
      <c r="W2287" s="196" t="e">
        <f t="shared" si="289"/>
        <v>#DIV/0!</v>
      </c>
      <c r="X2287" s="197" t="e">
        <f t="shared" si="290"/>
        <v>#DIV/0!</v>
      </c>
    </row>
    <row r="2288" ht="11.4" hidden="1" customHeight="1" spans="1:24">
      <c r="A2288" s="184" t="s">
        <v>3208</v>
      </c>
      <c r="B2288" s="184" t="s">
        <v>149</v>
      </c>
      <c r="C2288" s="184" t="s">
        <v>2263</v>
      </c>
      <c r="D2288" s="185" t="s">
        <v>704</v>
      </c>
      <c r="E2288" s="186" t="s">
        <v>906</v>
      </c>
      <c r="F2288" s="186" t="s">
        <v>907</v>
      </c>
      <c r="G2288" s="186" t="s">
        <v>2264</v>
      </c>
      <c r="H2288" s="186" t="s">
        <v>2265</v>
      </c>
      <c r="I2288" s="187" t="s">
        <v>2347</v>
      </c>
      <c r="J2288" s="187" t="s">
        <v>2348</v>
      </c>
      <c r="K2288" s="188"/>
      <c r="L2288" s="188"/>
      <c r="M2288" s="189" t="s">
        <v>963</v>
      </c>
      <c r="N2288" s="190">
        <v>236.73</v>
      </c>
      <c r="O2288" s="190">
        <f t="shared" si="283"/>
        <v>258.04</v>
      </c>
      <c r="P2288" s="191">
        <f t="shared" si="284"/>
        <v>0</v>
      </c>
      <c r="Q2288" s="192">
        <f t="shared" si="285"/>
        <v>0</v>
      </c>
      <c r="R2288" s="193"/>
      <c r="S2288" s="194"/>
      <c r="T2288" s="195">
        <f t="shared" si="286"/>
        <v>0</v>
      </c>
      <c r="U2288" s="195">
        <f t="shared" si="287"/>
        <v>0</v>
      </c>
      <c r="V2288" s="195">
        <f t="shared" si="288"/>
        <v>0</v>
      </c>
      <c r="W2288" s="196" t="e">
        <f t="shared" si="289"/>
        <v>#DIV/0!</v>
      </c>
      <c r="X2288" s="197" t="e">
        <f t="shared" si="290"/>
        <v>#DIV/0!</v>
      </c>
    </row>
    <row r="2289" ht="11.4" hidden="1" customHeight="1" spans="1:24">
      <c r="A2289" s="184" t="s">
        <v>3176</v>
      </c>
      <c r="B2289" s="184" t="s">
        <v>153</v>
      </c>
      <c r="C2289" s="184" t="s">
        <v>905</v>
      </c>
      <c r="D2289" s="185" t="s">
        <v>704</v>
      </c>
      <c r="E2289" s="186" t="s">
        <v>906</v>
      </c>
      <c r="F2289" s="186" t="s">
        <v>907</v>
      </c>
      <c r="G2289" s="186" t="s">
        <v>908</v>
      </c>
      <c r="H2289" s="186" t="s">
        <v>909</v>
      </c>
      <c r="I2289" s="187" t="s">
        <v>2349</v>
      </c>
      <c r="J2289" s="187" t="s">
        <v>2350</v>
      </c>
      <c r="K2289" s="188"/>
      <c r="L2289" s="188"/>
      <c r="M2289" s="189" t="s">
        <v>989</v>
      </c>
      <c r="N2289" s="190">
        <v>5000.89</v>
      </c>
      <c r="O2289" s="190">
        <f t="shared" si="283"/>
        <v>5450.97</v>
      </c>
      <c r="P2289" s="191">
        <f t="shared" si="284"/>
        <v>0</v>
      </c>
      <c r="Q2289" s="192">
        <f t="shared" si="285"/>
        <v>0</v>
      </c>
      <c r="R2289" s="193"/>
      <c r="S2289" s="194"/>
      <c r="T2289" s="195">
        <f t="shared" si="286"/>
        <v>0</v>
      </c>
      <c r="U2289" s="195">
        <f t="shared" si="287"/>
        <v>0</v>
      </c>
      <c r="V2289" s="195">
        <f t="shared" si="288"/>
        <v>0</v>
      </c>
      <c r="W2289" s="196" t="e">
        <f t="shared" si="289"/>
        <v>#DIV/0!</v>
      </c>
      <c r="X2289" s="197" t="e">
        <f t="shared" si="290"/>
        <v>#DIV/0!</v>
      </c>
    </row>
    <row r="2290" ht="11.4" hidden="1" customHeight="1" spans="1:24">
      <c r="A2290" s="184" t="s">
        <v>3176</v>
      </c>
      <c r="B2290" s="184" t="s">
        <v>153</v>
      </c>
      <c r="C2290" s="184" t="s">
        <v>905</v>
      </c>
      <c r="D2290" s="185" t="s">
        <v>704</v>
      </c>
      <c r="E2290" s="186" t="s">
        <v>906</v>
      </c>
      <c r="F2290" s="186" t="s">
        <v>907</v>
      </c>
      <c r="G2290" s="186" t="s">
        <v>908</v>
      </c>
      <c r="H2290" s="186" t="s">
        <v>909</v>
      </c>
      <c r="I2290" s="187" t="s">
        <v>2352</v>
      </c>
      <c r="J2290" s="187" t="s">
        <v>2353</v>
      </c>
      <c r="K2290" s="188"/>
      <c r="L2290" s="188"/>
      <c r="M2290" s="189" t="s">
        <v>989</v>
      </c>
      <c r="N2290" s="190">
        <v>4096.03</v>
      </c>
      <c r="O2290" s="190">
        <f t="shared" si="283"/>
        <v>4464.67</v>
      </c>
      <c r="P2290" s="191">
        <f t="shared" si="284"/>
        <v>0</v>
      </c>
      <c r="Q2290" s="192">
        <f t="shared" si="285"/>
        <v>0</v>
      </c>
      <c r="R2290" s="193"/>
      <c r="S2290" s="194"/>
      <c r="T2290" s="195">
        <f t="shared" si="286"/>
        <v>0</v>
      </c>
      <c r="U2290" s="195">
        <f t="shared" si="287"/>
        <v>0</v>
      </c>
      <c r="V2290" s="195">
        <f t="shared" si="288"/>
        <v>0</v>
      </c>
      <c r="W2290" s="196" t="e">
        <f t="shared" si="289"/>
        <v>#DIV/0!</v>
      </c>
      <c r="X2290" s="197" t="e">
        <f t="shared" si="290"/>
        <v>#DIV/0!</v>
      </c>
    </row>
    <row r="2291" ht="11.4" hidden="1" customHeight="1" spans="1:24">
      <c r="A2291" s="184" t="s">
        <v>3176</v>
      </c>
      <c r="B2291" s="184" t="s">
        <v>153</v>
      </c>
      <c r="C2291" s="184" t="s">
        <v>905</v>
      </c>
      <c r="D2291" s="185" t="s">
        <v>704</v>
      </c>
      <c r="E2291" s="186" t="s">
        <v>906</v>
      </c>
      <c r="F2291" s="186" t="s">
        <v>907</v>
      </c>
      <c r="G2291" s="186" t="s">
        <v>908</v>
      </c>
      <c r="H2291" s="186" t="s">
        <v>909</v>
      </c>
      <c r="I2291" s="187" t="s">
        <v>2354</v>
      </c>
      <c r="J2291" s="187" t="s">
        <v>2355</v>
      </c>
      <c r="K2291" s="188"/>
      <c r="L2291" s="188"/>
      <c r="M2291" s="189" t="s">
        <v>989</v>
      </c>
      <c r="N2291" s="190">
        <v>1924.76</v>
      </c>
      <c r="O2291" s="190">
        <f t="shared" si="283"/>
        <v>2097.99</v>
      </c>
      <c r="P2291" s="191">
        <f t="shared" si="284"/>
        <v>0</v>
      </c>
      <c r="Q2291" s="192">
        <f t="shared" si="285"/>
        <v>0</v>
      </c>
      <c r="R2291" s="193"/>
      <c r="S2291" s="194"/>
      <c r="T2291" s="195">
        <f t="shared" si="286"/>
        <v>0</v>
      </c>
      <c r="U2291" s="195">
        <f t="shared" si="287"/>
        <v>0</v>
      </c>
      <c r="V2291" s="195">
        <f t="shared" si="288"/>
        <v>0</v>
      </c>
      <c r="W2291" s="196" t="e">
        <f t="shared" si="289"/>
        <v>#DIV/0!</v>
      </c>
      <c r="X2291" s="197" t="e">
        <f t="shared" si="290"/>
        <v>#DIV/0!</v>
      </c>
    </row>
    <row r="2292" ht="11.4" hidden="1" customHeight="1" spans="1:24">
      <c r="A2292" s="184" t="s">
        <v>3176</v>
      </c>
      <c r="B2292" s="184" t="s">
        <v>153</v>
      </c>
      <c r="C2292" s="184" t="s">
        <v>905</v>
      </c>
      <c r="D2292" s="185" t="s">
        <v>704</v>
      </c>
      <c r="E2292" s="186" t="s">
        <v>906</v>
      </c>
      <c r="F2292" s="186" t="s">
        <v>907</v>
      </c>
      <c r="G2292" s="186" t="s">
        <v>908</v>
      </c>
      <c r="H2292" s="186" t="s">
        <v>909</v>
      </c>
      <c r="I2292" s="187" t="s">
        <v>2356</v>
      </c>
      <c r="J2292" s="187" t="s">
        <v>2357</v>
      </c>
      <c r="K2292" s="188"/>
      <c r="L2292" s="188"/>
      <c r="M2292" s="189" t="s">
        <v>989</v>
      </c>
      <c r="N2292" s="190">
        <v>1165.33</v>
      </c>
      <c r="O2292" s="190">
        <f t="shared" si="283"/>
        <v>1270.21</v>
      </c>
      <c r="P2292" s="191">
        <f t="shared" si="284"/>
        <v>0</v>
      </c>
      <c r="Q2292" s="192">
        <f t="shared" si="285"/>
        <v>0</v>
      </c>
      <c r="R2292" s="193"/>
      <c r="S2292" s="194"/>
      <c r="T2292" s="195">
        <f t="shared" si="286"/>
        <v>0</v>
      </c>
      <c r="U2292" s="195">
        <f t="shared" si="287"/>
        <v>0</v>
      </c>
      <c r="V2292" s="195">
        <f t="shared" si="288"/>
        <v>0</v>
      </c>
      <c r="W2292" s="196" t="e">
        <f t="shared" si="289"/>
        <v>#DIV/0!</v>
      </c>
      <c r="X2292" s="197" t="e">
        <f t="shared" si="290"/>
        <v>#DIV/0!</v>
      </c>
    </row>
    <row r="2293" ht="11.4" hidden="1" customHeight="1" spans="1:24">
      <c r="A2293" s="184" t="s">
        <v>3176</v>
      </c>
      <c r="B2293" s="184" t="s">
        <v>153</v>
      </c>
      <c r="C2293" s="184" t="s">
        <v>905</v>
      </c>
      <c r="D2293" s="185" t="s">
        <v>704</v>
      </c>
      <c r="E2293" s="186" t="s">
        <v>906</v>
      </c>
      <c r="F2293" s="186" t="s">
        <v>907</v>
      </c>
      <c r="G2293" s="186" t="s">
        <v>908</v>
      </c>
      <c r="H2293" s="186" t="s">
        <v>909</v>
      </c>
      <c r="I2293" s="187" t="s">
        <v>2358</v>
      </c>
      <c r="J2293" s="187" t="s">
        <v>2359</v>
      </c>
      <c r="K2293" s="188"/>
      <c r="L2293" s="188"/>
      <c r="M2293" s="189" t="s">
        <v>989</v>
      </c>
      <c r="N2293" s="190">
        <v>918.38</v>
      </c>
      <c r="O2293" s="190">
        <f t="shared" si="283"/>
        <v>1001.03</v>
      </c>
      <c r="P2293" s="191">
        <f t="shared" si="284"/>
        <v>0</v>
      </c>
      <c r="Q2293" s="192">
        <f t="shared" si="285"/>
        <v>0</v>
      </c>
      <c r="R2293" s="193"/>
      <c r="S2293" s="194"/>
      <c r="T2293" s="195">
        <f t="shared" si="286"/>
        <v>0</v>
      </c>
      <c r="U2293" s="195">
        <f t="shared" si="287"/>
        <v>0</v>
      </c>
      <c r="V2293" s="195">
        <f t="shared" si="288"/>
        <v>0</v>
      </c>
      <c r="W2293" s="196" t="e">
        <f t="shared" si="289"/>
        <v>#DIV/0!</v>
      </c>
      <c r="X2293" s="197" t="e">
        <f t="shared" si="290"/>
        <v>#DIV/0!</v>
      </c>
    </row>
    <row r="2294" ht="11.4" hidden="1" customHeight="1" spans="1:24">
      <c r="A2294" s="184" t="s">
        <v>3176</v>
      </c>
      <c r="B2294" s="184" t="s">
        <v>153</v>
      </c>
      <c r="C2294" s="184" t="s">
        <v>905</v>
      </c>
      <c r="D2294" s="185" t="s">
        <v>704</v>
      </c>
      <c r="E2294" s="186" t="s">
        <v>906</v>
      </c>
      <c r="F2294" s="186" t="s">
        <v>907</v>
      </c>
      <c r="G2294" s="186" t="s">
        <v>908</v>
      </c>
      <c r="H2294" s="186" t="s">
        <v>909</v>
      </c>
      <c r="I2294" s="187" t="s">
        <v>2360</v>
      </c>
      <c r="J2294" s="187" t="s">
        <v>2361</v>
      </c>
      <c r="K2294" s="188"/>
      <c r="L2294" s="188"/>
      <c r="M2294" s="189" t="s">
        <v>989</v>
      </c>
      <c r="N2294" s="190">
        <v>944.89</v>
      </c>
      <c r="O2294" s="190">
        <f t="shared" si="283"/>
        <v>1029.93</v>
      </c>
      <c r="P2294" s="191">
        <f t="shared" si="284"/>
        <v>0</v>
      </c>
      <c r="Q2294" s="192">
        <f t="shared" si="285"/>
        <v>0</v>
      </c>
      <c r="R2294" s="193"/>
      <c r="S2294" s="194"/>
      <c r="T2294" s="195">
        <f t="shared" si="286"/>
        <v>0</v>
      </c>
      <c r="U2294" s="195">
        <f t="shared" si="287"/>
        <v>0</v>
      </c>
      <c r="V2294" s="195">
        <f t="shared" si="288"/>
        <v>0</v>
      </c>
      <c r="W2294" s="196" t="e">
        <f t="shared" si="289"/>
        <v>#DIV/0!</v>
      </c>
      <c r="X2294" s="197" t="e">
        <f t="shared" si="290"/>
        <v>#DIV/0!</v>
      </c>
    </row>
    <row r="2295" ht="11.4" hidden="1" customHeight="1" spans="1:24">
      <c r="A2295" s="184" t="s">
        <v>3176</v>
      </c>
      <c r="B2295" s="184" t="s">
        <v>153</v>
      </c>
      <c r="C2295" s="184" t="s">
        <v>905</v>
      </c>
      <c r="D2295" s="185" t="s">
        <v>704</v>
      </c>
      <c r="E2295" s="186" t="s">
        <v>906</v>
      </c>
      <c r="F2295" s="186" t="s">
        <v>907</v>
      </c>
      <c r="G2295" s="186" t="s">
        <v>908</v>
      </c>
      <c r="H2295" s="186" t="s">
        <v>909</v>
      </c>
      <c r="I2295" s="187" t="s">
        <v>2362</v>
      </c>
      <c r="J2295" s="187" t="s">
        <v>2363</v>
      </c>
      <c r="K2295" s="188"/>
      <c r="L2295" s="188"/>
      <c r="M2295" s="189" t="s">
        <v>989</v>
      </c>
      <c r="N2295" s="190">
        <v>621.38</v>
      </c>
      <c r="O2295" s="190">
        <f t="shared" si="283"/>
        <v>677.3</v>
      </c>
      <c r="P2295" s="191">
        <f t="shared" si="284"/>
        <v>0</v>
      </c>
      <c r="Q2295" s="192">
        <f t="shared" si="285"/>
        <v>0</v>
      </c>
      <c r="R2295" s="193"/>
      <c r="S2295" s="194"/>
      <c r="T2295" s="195">
        <f t="shared" si="286"/>
        <v>0</v>
      </c>
      <c r="U2295" s="195">
        <f t="shared" si="287"/>
        <v>0</v>
      </c>
      <c r="V2295" s="195">
        <f t="shared" si="288"/>
        <v>0</v>
      </c>
      <c r="W2295" s="196" t="e">
        <f t="shared" si="289"/>
        <v>#DIV/0!</v>
      </c>
      <c r="X2295" s="197" t="e">
        <f t="shared" si="290"/>
        <v>#DIV/0!</v>
      </c>
    </row>
    <row r="2296" ht="11.4" hidden="1" customHeight="1" spans="1:24">
      <c r="A2296" s="184" t="s">
        <v>3176</v>
      </c>
      <c r="B2296" s="184" t="s">
        <v>153</v>
      </c>
      <c r="C2296" s="184" t="s">
        <v>905</v>
      </c>
      <c r="D2296" s="185" t="s">
        <v>704</v>
      </c>
      <c r="E2296" s="186" t="s">
        <v>906</v>
      </c>
      <c r="F2296" s="186" t="s">
        <v>907</v>
      </c>
      <c r="G2296" s="186" t="s">
        <v>908</v>
      </c>
      <c r="H2296" s="186" t="s">
        <v>909</v>
      </c>
      <c r="I2296" s="187" t="s">
        <v>2364</v>
      </c>
      <c r="J2296" s="187" t="s">
        <v>2365</v>
      </c>
      <c r="K2296" s="188"/>
      <c r="L2296" s="188"/>
      <c r="M2296" s="189" t="s">
        <v>989</v>
      </c>
      <c r="N2296" s="190">
        <v>242.43</v>
      </c>
      <c r="O2296" s="190">
        <f t="shared" si="283"/>
        <v>264.25</v>
      </c>
      <c r="P2296" s="191">
        <f t="shared" si="284"/>
        <v>0</v>
      </c>
      <c r="Q2296" s="192">
        <f t="shared" si="285"/>
        <v>0</v>
      </c>
      <c r="R2296" s="193"/>
      <c r="S2296" s="194"/>
      <c r="T2296" s="195">
        <f t="shared" si="286"/>
        <v>0</v>
      </c>
      <c r="U2296" s="195">
        <f t="shared" si="287"/>
        <v>0</v>
      </c>
      <c r="V2296" s="195">
        <f t="shared" si="288"/>
        <v>0</v>
      </c>
      <c r="W2296" s="196" t="e">
        <f t="shared" si="289"/>
        <v>#DIV/0!</v>
      </c>
      <c r="X2296" s="197" t="e">
        <f t="shared" si="290"/>
        <v>#DIV/0!</v>
      </c>
    </row>
    <row r="2297" ht="11.4" hidden="1" customHeight="1" spans="1:24">
      <c r="A2297" s="184" t="s">
        <v>3176</v>
      </c>
      <c r="B2297" s="184" t="s">
        <v>153</v>
      </c>
      <c r="C2297" s="184" t="s">
        <v>905</v>
      </c>
      <c r="D2297" s="185" t="s">
        <v>704</v>
      </c>
      <c r="E2297" s="186" t="s">
        <v>906</v>
      </c>
      <c r="F2297" s="186" t="s">
        <v>907</v>
      </c>
      <c r="G2297" s="186" t="s">
        <v>908</v>
      </c>
      <c r="H2297" s="186" t="s">
        <v>909</v>
      </c>
      <c r="I2297" s="187" t="s">
        <v>2366</v>
      </c>
      <c r="J2297" s="187" t="s">
        <v>2367</v>
      </c>
      <c r="K2297" s="188"/>
      <c r="L2297" s="188"/>
      <c r="M2297" s="189" t="s">
        <v>2308</v>
      </c>
      <c r="N2297" s="190">
        <v>610</v>
      </c>
      <c r="O2297" s="190">
        <f t="shared" si="283"/>
        <v>664.9</v>
      </c>
      <c r="P2297" s="191">
        <f t="shared" si="284"/>
        <v>0</v>
      </c>
      <c r="Q2297" s="192">
        <f t="shared" si="285"/>
        <v>0</v>
      </c>
      <c r="R2297" s="193"/>
      <c r="S2297" s="194"/>
      <c r="T2297" s="195">
        <f t="shared" si="286"/>
        <v>0</v>
      </c>
      <c r="U2297" s="195">
        <f t="shared" si="287"/>
        <v>0</v>
      </c>
      <c r="V2297" s="195">
        <f t="shared" si="288"/>
        <v>0</v>
      </c>
      <c r="W2297" s="196" t="e">
        <f t="shared" si="289"/>
        <v>#DIV/0!</v>
      </c>
      <c r="X2297" s="197" t="e">
        <f t="shared" si="290"/>
        <v>#DIV/0!</v>
      </c>
    </row>
    <row r="2298" ht="11.4" hidden="1" customHeight="1" spans="1:24">
      <c r="A2298" s="184" t="s">
        <v>3176</v>
      </c>
      <c r="B2298" s="184" t="s">
        <v>153</v>
      </c>
      <c r="C2298" s="184" t="s">
        <v>905</v>
      </c>
      <c r="D2298" s="185" t="s">
        <v>704</v>
      </c>
      <c r="E2298" s="186" t="s">
        <v>906</v>
      </c>
      <c r="F2298" s="186" t="s">
        <v>907</v>
      </c>
      <c r="G2298" s="186" t="s">
        <v>908</v>
      </c>
      <c r="H2298" s="186" t="s">
        <v>909</v>
      </c>
      <c r="I2298" s="187" t="s">
        <v>2369</v>
      </c>
      <c r="J2298" s="187" t="s">
        <v>2370</v>
      </c>
      <c r="K2298" s="188"/>
      <c r="L2298" s="188"/>
      <c r="M2298" s="189" t="s">
        <v>2308</v>
      </c>
      <c r="N2298" s="190">
        <v>610</v>
      </c>
      <c r="O2298" s="190">
        <f t="shared" si="283"/>
        <v>664.9</v>
      </c>
      <c r="P2298" s="191">
        <f t="shared" si="284"/>
        <v>0</v>
      </c>
      <c r="Q2298" s="192">
        <f t="shared" si="285"/>
        <v>0</v>
      </c>
      <c r="R2298" s="193"/>
      <c r="S2298" s="194"/>
      <c r="T2298" s="195">
        <f t="shared" si="286"/>
        <v>0</v>
      </c>
      <c r="U2298" s="195">
        <f t="shared" si="287"/>
        <v>0</v>
      </c>
      <c r="V2298" s="195">
        <f t="shared" si="288"/>
        <v>0</v>
      </c>
      <c r="W2298" s="196" t="e">
        <f t="shared" si="289"/>
        <v>#DIV/0!</v>
      </c>
      <c r="X2298" s="197" t="e">
        <f t="shared" si="290"/>
        <v>#DIV/0!</v>
      </c>
    </row>
    <row r="2299" ht="11.4" hidden="1" customHeight="1" spans="1:24">
      <c r="A2299" s="184" t="s">
        <v>3176</v>
      </c>
      <c r="B2299" s="184" t="s">
        <v>153</v>
      </c>
      <c r="C2299" s="184" t="s">
        <v>905</v>
      </c>
      <c r="D2299" s="185" t="s">
        <v>704</v>
      </c>
      <c r="E2299" s="186" t="s">
        <v>906</v>
      </c>
      <c r="F2299" s="186" t="s">
        <v>907</v>
      </c>
      <c r="G2299" s="186" t="s">
        <v>908</v>
      </c>
      <c r="H2299" s="186" t="s">
        <v>909</v>
      </c>
      <c r="I2299" s="187" t="s">
        <v>2371</v>
      </c>
      <c r="J2299" s="187" t="s">
        <v>2372</v>
      </c>
      <c r="K2299" s="188"/>
      <c r="L2299" s="188"/>
      <c r="M2299" s="189" t="s">
        <v>2308</v>
      </c>
      <c r="N2299" s="190">
        <v>368</v>
      </c>
      <c r="O2299" s="190">
        <f t="shared" si="283"/>
        <v>401.12</v>
      </c>
      <c r="P2299" s="191">
        <f t="shared" si="284"/>
        <v>0</v>
      </c>
      <c r="Q2299" s="192">
        <f t="shared" si="285"/>
        <v>0</v>
      </c>
      <c r="R2299" s="193"/>
      <c r="S2299" s="194"/>
      <c r="T2299" s="195">
        <f t="shared" si="286"/>
        <v>0</v>
      </c>
      <c r="U2299" s="195">
        <f t="shared" si="287"/>
        <v>0</v>
      </c>
      <c r="V2299" s="195">
        <f t="shared" si="288"/>
        <v>0</v>
      </c>
      <c r="W2299" s="196" t="e">
        <f t="shared" si="289"/>
        <v>#DIV/0!</v>
      </c>
      <c r="X2299" s="197" t="e">
        <f t="shared" si="290"/>
        <v>#DIV/0!</v>
      </c>
    </row>
    <row r="2300" ht="11.4" hidden="1" customHeight="1" spans="1:24">
      <c r="A2300" s="184" t="s">
        <v>3176</v>
      </c>
      <c r="B2300" s="184" t="s">
        <v>153</v>
      </c>
      <c r="C2300" s="184" t="s">
        <v>905</v>
      </c>
      <c r="D2300" s="185" t="s">
        <v>704</v>
      </c>
      <c r="E2300" s="186" t="s">
        <v>906</v>
      </c>
      <c r="F2300" s="186" t="s">
        <v>907</v>
      </c>
      <c r="G2300" s="186" t="s">
        <v>908</v>
      </c>
      <c r="H2300" s="186" t="s">
        <v>909</v>
      </c>
      <c r="I2300" s="187" t="s">
        <v>2373</v>
      </c>
      <c r="J2300" s="187" t="s">
        <v>2374</v>
      </c>
      <c r="K2300" s="188"/>
      <c r="L2300" s="188"/>
      <c r="M2300" s="189" t="s">
        <v>2308</v>
      </c>
      <c r="N2300" s="190">
        <v>368</v>
      </c>
      <c r="O2300" s="190">
        <f t="shared" si="283"/>
        <v>401.12</v>
      </c>
      <c r="P2300" s="191">
        <f t="shared" si="284"/>
        <v>0</v>
      </c>
      <c r="Q2300" s="192">
        <f t="shared" si="285"/>
        <v>0</v>
      </c>
      <c r="R2300" s="193"/>
      <c r="S2300" s="194"/>
      <c r="T2300" s="195">
        <f t="shared" si="286"/>
        <v>0</v>
      </c>
      <c r="U2300" s="195">
        <f t="shared" si="287"/>
        <v>0</v>
      </c>
      <c r="V2300" s="195">
        <f t="shared" si="288"/>
        <v>0</v>
      </c>
      <c r="W2300" s="196" t="e">
        <f t="shared" si="289"/>
        <v>#DIV/0!</v>
      </c>
      <c r="X2300" s="197" t="e">
        <f t="shared" si="290"/>
        <v>#DIV/0!</v>
      </c>
    </row>
    <row r="2301" ht="11.4" hidden="1" customHeight="1" spans="1:24">
      <c r="A2301" s="184" t="s">
        <v>3176</v>
      </c>
      <c r="B2301" s="184" t="s">
        <v>153</v>
      </c>
      <c r="C2301" s="184" t="s">
        <v>905</v>
      </c>
      <c r="D2301" s="185" t="s">
        <v>704</v>
      </c>
      <c r="E2301" s="186" t="s">
        <v>906</v>
      </c>
      <c r="F2301" s="186" t="s">
        <v>907</v>
      </c>
      <c r="G2301" s="186" t="s">
        <v>908</v>
      </c>
      <c r="H2301" s="186" t="s">
        <v>909</v>
      </c>
      <c r="I2301" s="187" t="s">
        <v>2375</v>
      </c>
      <c r="J2301" s="187" t="s">
        <v>2376</v>
      </c>
      <c r="K2301" s="188"/>
      <c r="L2301" s="188"/>
      <c r="M2301" s="189" t="s">
        <v>793</v>
      </c>
      <c r="N2301" s="190"/>
      <c r="O2301" s="190">
        <f t="shared" si="283"/>
        <v>0</v>
      </c>
      <c r="P2301" s="191">
        <f t="shared" si="284"/>
        <v>0</v>
      </c>
      <c r="Q2301" s="192">
        <f t="shared" si="285"/>
        <v>0</v>
      </c>
      <c r="R2301" s="193"/>
      <c r="S2301" s="194"/>
      <c r="T2301" s="195">
        <f t="shared" si="286"/>
        <v>0</v>
      </c>
      <c r="U2301" s="195">
        <f t="shared" si="287"/>
        <v>0</v>
      </c>
      <c r="V2301" s="195">
        <f t="shared" si="288"/>
        <v>0</v>
      </c>
      <c r="W2301" s="196" t="e">
        <f t="shared" si="289"/>
        <v>#DIV/0!</v>
      </c>
      <c r="X2301" s="197" t="e">
        <f t="shared" si="290"/>
        <v>#DIV/0!</v>
      </c>
    </row>
    <row r="2302" ht="11.4" hidden="1" customHeight="1" spans="1:24">
      <c r="A2302" s="184" t="s">
        <v>3176</v>
      </c>
      <c r="B2302" s="184" t="s">
        <v>153</v>
      </c>
      <c r="C2302" s="184" t="s">
        <v>905</v>
      </c>
      <c r="D2302" s="185" t="s">
        <v>704</v>
      </c>
      <c r="E2302" s="186" t="s">
        <v>906</v>
      </c>
      <c r="F2302" s="186" t="s">
        <v>907</v>
      </c>
      <c r="G2302" s="186" t="s">
        <v>908</v>
      </c>
      <c r="H2302" s="186" t="s">
        <v>909</v>
      </c>
      <c r="I2302" s="187" t="s">
        <v>2377</v>
      </c>
      <c r="J2302" s="187" t="s">
        <v>2378</v>
      </c>
      <c r="K2302" s="188"/>
      <c r="L2302" s="188"/>
      <c r="M2302" s="189" t="s">
        <v>2308</v>
      </c>
      <c r="N2302" s="190">
        <v>1973.15</v>
      </c>
      <c r="O2302" s="190">
        <f t="shared" si="283"/>
        <v>2150.73</v>
      </c>
      <c r="P2302" s="191">
        <f t="shared" si="284"/>
        <v>0</v>
      </c>
      <c r="Q2302" s="192">
        <f t="shared" si="285"/>
        <v>0</v>
      </c>
      <c r="R2302" s="193"/>
      <c r="S2302" s="194"/>
      <c r="T2302" s="195">
        <f t="shared" si="286"/>
        <v>0</v>
      </c>
      <c r="U2302" s="195">
        <f t="shared" si="287"/>
        <v>0</v>
      </c>
      <c r="V2302" s="195">
        <f t="shared" si="288"/>
        <v>0</v>
      </c>
      <c r="W2302" s="196" t="e">
        <f t="shared" si="289"/>
        <v>#DIV/0!</v>
      </c>
      <c r="X2302" s="197" t="e">
        <f t="shared" si="290"/>
        <v>#DIV/0!</v>
      </c>
    </row>
    <row r="2303" ht="11.4" hidden="1" customHeight="1" spans="1:24">
      <c r="A2303" s="184" t="s">
        <v>3176</v>
      </c>
      <c r="B2303" s="184" t="s">
        <v>153</v>
      </c>
      <c r="C2303" s="184" t="s">
        <v>905</v>
      </c>
      <c r="D2303" s="185" t="s">
        <v>704</v>
      </c>
      <c r="E2303" s="186" t="s">
        <v>906</v>
      </c>
      <c r="F2303" s="186" t="s">
        <v>907</v>
      </c>
      <c r="G2303" s="186" t="s">
        <v>908</v>
      </c>
      <c r="H2303" s="186" t="s">
        <v>909</v>
      </c>
      <c r="I2303" s="187" t="s">
        <v>2380</v>
      </c>
      <c r="J2303" s="187" t="s">
        <v>2381</v>
      </c>
      <c r="K2303" s="188"/>
      <c r="L2303" s="188"/>
      <c r="M2303" s="189" t="s">
        <v>2308</v>
      </c>
      <c r="N2303" s="190">
        <v>1264.76</v>
      </c>
      <c r="O2303" s="190">
        <f t="shared" si="283"/>
        <v>1378.59</v>
      </c>
      <c r="P2303" s="191">
        <f t="shared" si="284"/>
        <v>0</v>
      </c>
      <c r="Q2303" s="192">
        <f t="shared" si="285"/>
        <v>0</v>
      </c>
      <c r="R2303" s="193"/>
      <c r="S2303" s="194"/>
      <c r="T2303" s="195">
        <f t="shared" si="286"/>
        <v>0</v>
      </c>
      <c r="U2303" s="195">
        <f t="shared" si="287"/>
        <v>0</v>
      </c>
      <c r="V2303" s="195">
        <f t="shared" si="288"/>
        <v>0</v>
      </c>
      <c r="W2303" s="196" t="e">
        <f t="shared" si="289"/>
        <v>#DIV/0!</v>
      </c>
      <c r="X2303" s="197" t="e">
        <f t="shared" si="290"/>
        <v>#DIV/0!</v>
      </c>
    </row>
    <row r="2304" ht="11.4" hidden="1" customHeight="1" spans="1:24">
      <c r="A2304" s="184" t="s">
        <v>3176</v>
      </c>
      <c r="B2304" s="184" t="s">
        <v>153</v>
      </c>
      <c r="C2304" s="184" t="s">
        <v>905</v>
      </c>
      <c r="D2304" s="185" t="s">
        <v>704</v>
      </c>
      <c r="E2304" s="186" t="s">
        <v>906</v>
      </c>
      <c r="F2304" s="186" t="s">
        <v>907</v>
      </c>
      <c r="G2304" s="186" t="s">
        <v>908</v>
      </c>
      <c r="H2304" s="186" t="s">
        <v>909</v>
      </c>
      <c r="I2304" s="187" t="s">
        <v>2382</v>
      </c>
      <c r="J2304" s="187" t="s">
        <v>2383</v>
      </c>
      <c r="K2304" s="188"/>
      <c r="L2304" s="188"/>
      <c r="M2304" s="189" t="s">
        <v>2308</v>
      </c>
      <c r="N2304" s="190">
        <v>641.29</v>
      </c>
      <c r="O2304" s="190">
        <f t="shared" si="283"/>
        <v>699.01</v>
      </c>
      <c r="P2304" s="191">
        <f t="shared" si="284"/>
        <v>0</v>
      </c>
      <c r="Q2304" s="192">
        <f t="shared" si="285"/>
        <v>0</v>
      </c>
      <c r="R2304" s="193"/>
      <c r="S2304" s="194"/>
      <c r="T2304" s="195">
        <f t="shared" si="286"/>
        <v>0</v>
      </c>
      <c r="U2304" s="195">
        <f t="shared" si="287"/>
        <v>0</v>
      </c>
      <c r="V2304" s="195">
        <f t="shared" si="288"/>
        <v>0</v>
      </c>
      <c r="W2304" s="196" t="e">
        <f t="shared" si="289"/>
        <v>#DIV/0!</v>
      </c>
      <c r="X2304" s="197" t="e">
        <f t="shared" si="290"/>
        <v>#DIV/0!</v>
      </c>
    </row>
    <row r="2305" ht="11.4" hidden="1" customHeight="1" spans="1:24">
      <c r="A2305" s="184" t="s">
        <v>3176</v>
      </c>
      <c r="B2305" s="184" t="s">
        <v>153</v>
      </c>
      <c r="C2305" s="184" t="s">
        <v>905</v>
      </c>
      <c r="D2305" s="185" t="s">
        <v>704</v>
      </c>
      <c r="E2305" s="186" t="s">
        <v>906</v>
      </c>
      <c r="F2305" s="186" t="s">
        <v>907</v>
      </c>
      <c r="G2305" s="186" t="s">
        <v>908</v>
      </c>
      <c r="H2305" s="186" t="s">
        <v>909</v>
      </c>
      <c r="I2305" s="187" t="s">
        <v>2384</v>
      </c>
      <c r="J2305" s="187" t="s">
        <v>2385</v>
      </c>
      <c r="K2305" s="188"/>
      <c r="L2305" s="188"/>
      <c r="M2305" s="189" t="s">
        <v>2308</v>
      </c>
      <c r="N2305" s="190">
        <v>1813.65</v>
      </c>
      <c r="O2305" s="190">
        <f t="shared" si="283"/>
        <v>1976.88</v>
      </c>
      <c r="P2305" s="191">
        <f t="shared" si="284"/>
        <v>0</v>
      </c>
      <c r="Q2305" s="192">
        <f t="shared" si="285"/>
        <v>0</v>
      </c>
      <c r="R2305" s="193"/>
      <c r="S2305" s="194"/>
      <c r="T2305" s="195">
        <f t="shared" si="286"/>
        <v>0</v>
      </c>
      <c r="U2305" s="195">
        <f t="shared" si="287"/>
        <v>0</v>
      </c>
      <c r="V2305" s="195">
        <f t="shared" si="288"/>
        <v>0</v>
      </c>
      <c r="W2305" s="196" t="e">
        <f t="shared" si="289"/>
        <v>#DIV/0!</v>
      </c>
      <c r="X2305" s="197" t="e">
        <f t="shared" si="290"/>
        <v>#DIV/0!</v>
      </c>
    </row>
    <row r="2306" ht="11.4" hidden="1" customHeight="1" spans="1:24">
      <c r="A2306" s="184" t="s">
        <v>3176</v>
      </c>
      <c r="B2306" s="184" t="s">
        <v>153</v>
      </c>
      <c r="C2306" s="184" t="s">
        <v>905</v>
      </c>
      <c r="D2306" s="185" t="s">
        <v>704</v>
      </c>
      <c r="E2306" s="186" t="s">
        <v>906</v>
      </c>
      <c r="F2306" s="186" t="s">
        <v>907</v>
      </c>
      <c r="G2306" s="186" t="s">
        <v>908</v>
      </c>
      <c r="H2306" s="186" t="s">
        <v>909</v>
      </c>
      <c r="I2306" s="187" t="s">
        <v>2386</v>
      </c>
      <c r="J2306" s="187" t="s">
        <v>2387</v>
      </c>
      <c r="K2306" s="188"/>
      <c r="L2306" s="188"/>
      <c r="M2306" s="189" t="s">
        <v>2308</v>
      </c>
      <c r="N2306" s="190">
        <v>243.65</v>
      </c>
      <c r="O2306" s="190">
        <f t="shared" si="283"/>
        <v>265.58</v>
      </c>
      <c r="P2306" s="191">
        <f t="shared" si="284"/>
        <v>0</v>
      </c>
      <c r="Q2306" s="192">
        <f t="shared" si="285"/>
        <v>0</v>
      </c>
      <c r="R2306" s="193"/>
      <c r="S2306" s="194"/>
      <c r="T2306" s="195">
        <f t="shared" si="286"/>
        <v>0</v>
      </c>
      <c r="U2306" s="195">
        <f t="shared" si="287"/>
        <v>0</v>
      </c>
      <c r="V2306" s="195">
        <f t="shared" si="288"/>
        <v>0</v>
      </c>
      <c r="W2306" s="196" t="e">
        <f t="shared" si="289"/>
        <v>#DIV/0!</v>
      </c>
      <c r="X2306" s="197" t="e">
        <f t="shared" si="290"/>
        <v>#DIV/0!</v>
      </c>
    </row>
    <row r="2307" ht="11.4" hidden="1" customHeight="1" spans="1:24">
      <c r="A2307" s="184" t="s">
        <v>3176</v>
      </c>
      <c r="B2307" s="184" t="s">
        <v>153</v>
      </c>
      <c r="C2307" s="184" t="s">
        <v>905</v>
      </c>
      <c r="D2307" s="185" t="s">
        <v>704</v>
      </c>
      <c r="E2307" s="186" t="s">
        <v>906</v>
      </c>
      <c r="F2307" s="186" t="s">
        <v>907</v>
      </c>
      <c r="G2307" s="186" t="s">
        <v>908</v>
      </c>
      <c r="H2307" s="186" t="s">
        <v>909</v>
      </c>
      <c r="I2307" s="187" t="s">
        <v>2388</v>
      </c>
      <c r="J2307" s="187" t="s">
        <v>2389</v>
      </c>
      <c r="K2307" s="188"/>
      <c r="L2307" s="188"/>
      <c r="M2307" s="189" t="s">
        <v>2308</v>
      </c>
      <c r="N2307" s="190">
        <v>314.05</v>
      </c>
      <c r="O2307" s="190">
        <f t="shared" si="283"/>
        <v>342.31</v>
      </c>
      <c r="P2307" s="191">
        <f t="shared" si="284"/>
        <v>0</v>
      </c>
      <c r="Q2307" s="192">
        <f t="shared" si="285"/>
        <v>0</v>
      </c>
      <c r="R2307" s="193"/>
      <c r="S2307" s="194"/>
      <c r="T2307" s="195">
        <f t="shared" si="286"/>
        <v>0</v>
      </c>
      <c r="U2307" s="195">
        <f t="shared" si="287"/>
        <v>0</v>
      </c>
      <c r="V2307" s="195">
        <f t="shared" si="288"/>
        <v>0</v>
      </c>
      <c r="W2307" s="196" t="e">
        <f t="shared" si="289"/>
        <v>#DIV/0!</v>
      </c>
      <c r="X2307" s="197" t="e">
        <f t="shared" si="290"/>
        <v>#DIV/0!</v>
      </c>
    </row>
    <row r="2308" ht="11.4" hidden="1" customHeight="1" spans="1:24">
      <c r="A2308" s="184" t="s">
        <v>3176</v>
      </c>
      <c r="B2308" s="184" t="s">
        <v>153</v>
      </c>
      <c r="C2308" s="184" t="s">
        <v>905</v>
      </c>
      <c r="D2308" s="185" t="s">
        <v>704</v>
      </c>
      <c r="E2308" s="186" t="s">
        <v>906</v>
      </c>
      <c r="F2308" s="186" t="s">
        <v>907</v>
      </c>
      <c r="G2308" s="186" t="s">
        <v>908</v>
      </c>
      <c r="H2308" s="186" t="s">
        <v>909</v>
      </c>
      <c r="I2308" s="187" t="s">
        <v>2390</v>
      </c>
      <c r="J2308" s="187" t="s">
        <v>2391</v>
      </c>
      <c r="K2308" s="188"/>
      <c r="L2308" s="188"/>
      <c r="M2308" s="189" t="s">
        <v>2308</v>
      </c>
      <c r="N2308" s="190">
        <v>446.05</v>
      </c>
      <c r="O2308" s="190">
        <f t="shared" si="283"/>
        <v>486.19</v>
      </c>
      <c r="P2308" s="191">
        <f t="shared" si="284"/>
        <v>0</v>
      </c>
      <c r="Q2308" s="192">
        <f t="shared" si="285"/>
        <v>0</v>
      </c>
      <c r="R2308" s="193"/>
      <c r="S2308" s="194"/>
      <c r="T2308" s="195">
        <f t="shared" si="286"/>
        <v>0</v>
      </c>
      <c r="U2308" s="195">
        <f t="shared" si="287"/>
        <v>0</v>
      </c>
      <c r="V2308" s="195">
        <f t="shared" si="288"/>
        <v>0</v>
      </c>
      <c r="W2308" s="196" t="e">
        <f t="shared" si="289"/>
        <v>#DIV/0!</v>
      </c>
      <c r="X2308" s="197" t="e">
        <f t="shared" si="290"/>
        <v>#DIV/0!</v>
      </c>
    </row>
    <row r="2309" ht="11.4" hidden="1" customHeight="1" spans="1:24">
      <c r="A2309" s="184" t="s">
        <v>3176</v>
      </c>
      <c r="B2309" s="184" t="s">
        <v>153</v>
      </c>
      <c r="C2309" s="184" t="s">
        <v>905</v>
      </c>
      <c r="D2309" s="185" t="s">
        <v>704</v>
      </c>
      <c r="E2309" s="186" t="s">
        <v>906</v>
      </c>
      <c r="F2309" s="186" t="s">
        <v>907</v>
      </c>
      <c r="G2309" s="186" t="s">
        <v>908</v>
      </c>
      <c r="H2309" s="186" t="s">
        <v>909</v>
      </c>
      <c r="I2309" s="187" t="s">
        <v>2392</v>
      </c>
      <c r="J2309" s="187" t="s">
        <v>2393</v>
      </c>
      <c r="K2309" s="188"/>
      <c r="L2309" s="188"/>
      <c r="M2309" s="189" t="s">
        <v>2308</v>
      </c>
      <c r="N2309" s="190">
        <v>567.05</v>
      </c>
      <c r="O2309" s="190">
        <f t="shared" si="283"/>
        <v>618.08</v>
      </c>
      <c r="P2309" s="191">
        <f t="shared" si="284"/>
        <v>0</v>
      </c>
      <c r="Q2309" s="192">
        <f t="shared" si="285"/>
        <v>0</v>
      </c>
      <c r="R2309" s="193"/>
      <c r="S2309" s="194"/>
      <c r="T2309" s="195">
        <f t="shared" si="286"/>
        <v>0</v>
      </c>
      <c r="U2309" s="195">
        <f t="shared" si="287"/>
        <v>0</v>
      </c>
      <c r="V2309" s="195">
        <f t="shared" si="288"/>
        <v>0</v>
      </c>
      <c r="W2309" s="196" t="e">
        <f t="shared" si="289"/>
        <v>#DIV/0!</v>
      </c>
      <c r="X2309" s="197" t="e">
        <f t="shared" si="290"/>
        <v>#DIV/0!</v>
      </c>
    </row>
    <row r="2310" ht="11.4" hidden="1" customHeight="1" spans="1:24">
      <c r="A2310" s="184" t="s">
        <v>3176</v>
      </c>
      <c r="B2310" s="184" t="s">
        <v>153</v>
      </c>
      <c r="C2310" s="184" t="s">
        <v>905</v>
      </c>
      <c r="D2310" s="185" t="s">
        <v>704</v>
      </c>
      <c r="E2310" s="186" t="s">
        <v>906</v>
      </c>
      <c r="F2310" s="186" t="s">
        <v>907</v>
      </c>
      <c r="G2310" s="186" t="s">
        <v>908</v>
      </c>
      <c r="H2310" s="186" t="s">
        <v>909</v>
      </c>
      <c r="I2310" s="187" t="s">
        <v>2394</v>
      </c>
      <c r="J2310" s="187" t="s">
        <v>2395</v>
      </c>
      <c r="K2310" s="188"/>
      <c r="L2310" s="188"/>
      <c r="M2310" s="189" t="s">
        <v>2308</v>
      </c>
      <c r="N2310" s="190">
        <v>152.75</v>
      </c>
      <c r="O2310" s="190">
        <f t="shared" si="283"/>
        <v>166.5</v>
      </c>
      <c r="P2310" s="191">
        <f t="shared" si="284"/>
        <v>0</v>
      </c>
      <c r="Q2310" s="192">
        <f t="shared" si="285"/>
        <v>0</v>
      </c>
      <c r="R2310" s="193"/>
      <c r="S2310" s="194"/>
      <c r="T2310" s="195">
        <f t="shared" si="286"/>
        <v>0</v>
      </c>
      <c r="U2310" s="195">
        <f t="shared" si="287"/>
        <v>0</v>
      </c>
      <c r="V2310" s="195">
        <f t="shared" si="288"/>
        <v>0</v>
      </c>
      <c r="W2310" s="196" t="e">
        <f t="shared" si="289"/>
        <v>#DIV/0!</v>
      </c>
      <c r="X2310" s="197" t="e">
        <f t="shared" si="290"/>
        <v>#DIV/0!</v>
      </c>
    </row>
    <row r="2311" ht="11.4" hidden="1" customHeight="1" spans="1:24">
      <c r="A2311" s="184" t="s">
        <v>3176</v>
      </c>
      <c r="B2311" s="184" t="s">
        <v>153</v>
      </c>
      <c r="C2311" s="184" t="s">
        <v>905</v>
      </c>
      <c r="D2311" s="185" t="s">
        <v>704</v>
      </c>
      <c r="E2311" s="186" t="s">
        <v>906</v>
      </c>
      <c r="F2311" s="186" t="s">
        <v>907</v>
      </c>
      <c r="G2311" s="186" t="s">
        <v>908</v>
      </c>
      <c r="H2311" s="186" t="s">
        <v>909</v>
      </c>
      <c r="I2311" s="187" t="s">
        <v>2396</v>
      </c>
      <c r="J2311" s="187" t="s">
        <v>2397</v>
      </c>
      <c r="K2311" s="188"/>
      <c r="L2311" s="188"/>
      <c r="M2311" s="189" t="s">
        <v>807</v>
      </c>
      <c r="N2311" s="190">
        <v>27.67</v>
      </c>
      <c r="O2311" s="190">
        <f t="shared" si="283"/>
        <v>30.16</v>
      </c>
      <c r="P2311" s="191">
        <f t="shared" si="284"/>
        <v>0</v>
      </c>
      <c r="Q2311" s="192">
        <f t="shared" si="285"/>
        <v>0</v>
      </c>
      <c r="R2311" s="193"/>
      <c r="S2311" s="194"/>
      <c r="T2311" s="195">
        <f t="shared" si="286"/>
        <v>0</v>
      </c>
      <c r="U2311" s="195">
        <f t="shared" si="287"/>
        <v>0</v>
      </c>
      <c r="V2311" s="195">
        <f t="shared" si="288"/>
        <v>0</v>
      </c>
      <c r="W2311" s="196" t="e">
        <f t="shared" si="289"/>
        <v>#DIV/0!</v>
      </c>
      <c r="X2311" s="197" t="e">
        <f t="shared" si="290"/>
        <v>#DIV/0!</v>
      </c>
    </row>
    <row r="2312" ht="11.4" hidden="1" customHeight="1" spans="1:24">
      <c r="A2312" s="184" t="s">
        <v>3176</v>
      </c>
      <c r="B2312" s="184" t="s">
        <v>153</v>
      </c>
      <c r="C2312" s="184" t="s">
        <v>905</v>
      </c>
      <c r="D2312" s="185" t="s">
        <v>704</v>
      </c>
      <c r="E2312" s="186" t="s">
        <v>906</v>
      </c>
      <c r="F2312" s="186" t="s">
        <v>907</v>
      </c>
      <c r="G2312" s="186" t="s">
        <v>908</v>
      </c>
      <c r="H2312" s="186" t="s">
        <v>909</v>
      </c>
      <c r="I2312" s="187" t="s">
        <v>2398</v>
      </c>
      <c r="J2312" s="187" t="s">
        <v>2399</v>
      </c>
      <c r="K2312" s="188"/>
      <c r="L2312" s="188"/>
      <c r="M2312" s="189" t="s">
        <v>989</v>
      </c>
      <c r="N2312" s="190">
        <v>2968.65</v>
      </c>
      <c r="O2312" s="190">
        <f t="shared" si="283"/>
        <v>3235.83</v>
      </c>
      <c r="P2312" s="191">
        <f t="shared" si="284"/>
        <v>0</v>
      </c>
      <c r="Q2312" s="192">
        <f t="shared" si="285"/>
        <v>0</v>
      </c>
      <c r="R2312" s="193"/>
      <c r="S2312" s="194"/>
      <c r="T2312" s="195">
        <f t="shared" si="286"/>
        <v>0</v>
      </c>
      <c r="U2312" s="195">
        <f t="shared" si="287"/>
        <v>0</v>
      </c>
      <c r="V2312" s="195">
        <f t="shared" si="288"/>
        <v>0</v>
      </c>
      <c r="W2312" s="196" t="e">
        <f t="shared" si="289"/>
        <v>#DIV/0!</v>
      </c>
      <c r="X2312" s="197" t="e">
        <f t="shared" si="290"/>
        <v>#DIV/0!</v>
      </c>
    </row>
    <row r="2313" ht="11.4" hidden="1" customHeight="1" spans="1:24">
      <c r="A2313" s="184" t="s">
        <v>3176</v>
      </c>
      <c r="B2313" s="184" t="s">
        <v>153</v>
      </c>
      <c r="C2313" s="184" t="s">
        <v>905</v>
      </c>
      <c r="D2313" s="185" t="s">
        <v>704</v>
      </c>
      <c r="E2313" s="186" t="s">
        <v>906</v>
      </c>
      <c r="F2313" s="186" t="s">
        <v>907</v>
      </c>
      <c r="G2313" s="186" t="s">
        <v>908</v>
      </c>
      <c r="H2313" s="186" t="s">
        <v>909</v>
      </c>
      <c r="I2313" s="187" t="s">
        <v>2400</v>
      </c>
      <c r="J2313" s="187" t="s">
        <v>2401</v>
      </c>
      <c r="K2313" s="188"/>
      <c r="L2313" s="188"/>
      <c r="M2313" s="189" t="s">
        <v>989</v>
      </c>
      <c r="N2313" s="190">
        <v>2941.15</v>
      </c>
      <c r="O2313" s="190">
        <f t="shared" si="283"/>
        <v>3205.85</v>
      </c>
      <c r="P2313" s="191">
        <f t="shared" si="284"/>
        <v>0</v>
      </c>
      <c r="Q2313" s="192">
        <f t="shared" si="285"/>
        <v>0</v>
      </c>
      <c r="R2313" s="193"/>
      <c r="S2313" s="194"/>
      <c r="T2313" s="195">
        <f t="shared" si="286"/>
        <v>0</v>
      </c>
      <c r="U2313" s="195">
        <f t="shared" si="287"/>
        <v>0</v>
      </c>
      <c r="V2313" s="195">
        <f t="shared" si="288"/>
        <v>0</v>
      </c>
      <c r="W2313" s="196" t="e">
        <f t="shared" si="289"/>
        <v>#DIV/0!</v>
      </c>
      <c r="X2313" s="197" t="e">
        <f t="shared" si="290"/>
        <v>#DIV/0!</v>
      </c>
    </row>
    <row r="2314" ht="11.4" hidden="1" customHeight="1" spans="1:24">
      <c r="A2314" s="184" t="s">
        <v>3176</v>
      </c>
      <c r="B2314" s="184" t="s">
        <v>153</v>
      </c>
      <c r="C2314" s="184" t="s">
        <v>905</v>
      </c>
      <c r="D2314" s="185" t="s">
        <v>704</v>
      </c>
      <c r="E2314" s="186" t="s">
        <v>906</v>
      </c>
      <c r="F2314" s="186" t="s">
        <v>907</v>
      </c>
      <c r="G2314" s="186" t="s">
        <v>908</v>
      </c>
      <c r="H2314" s="186" t="s">
        <v>909</v>
      </c>
      <c r="I2314" s="187" t="s">
        <v>2402</v>
      </c>
      <c r="J2314" s="187" t="s">
        <v>2403</v>
      </c>
      <c r="K2314" s="188"/>
      <c r="L2314" s="188"/>
      <c r="M2314" s="189" t="s">
        <v>989</v>
      </c>
      <c r="N2314" s="190">
        <v>2836.65</v>
      </c>
      <c r="O2314" s="190">
        <f t="shared" si="283"/>
        <v>3091.95</v>
      </c>
      <c r="P2314" s="191">
        <f t="shared" si="284"/>
        <v>0</v>
      </c>
      <c r="Q2314" s="192">
        <f t="shared" si="285"/>
        <v>0</v>
      </c>
      <c r="R2314" s="193"/>
      <c r="S2314" s="194"/>
      <c r="T2314" s="195">
        <f t="shared" si="286"/>
        <v>0</v>
      </c>
      <c r="U2314" s="195">
        <f t="shared" si="287"/>
        <v>0</v>
      </c>
      <c r="V2314" s="195">
        <f t="shared" si="288"/>
        <v>0</v>
      </c>
      <c r="W2314" s="196" t="e">
        <f t="shared" si="289"/>
        <v>#DIV/0!</v>
      </c>
      <c r="X2314" s="197" t="e">
        <f t="shared" si="290"/>
        <v>#DIV/0!</v>
      </c>
    </row>
    <row r="2315" ht="11.4" hidden="1" customHeight="1" spans="1:24">
      <c r="A2315" s="184" t="s">
        <v>3176</v>
      </c>
      <c r="B2315" s="184" t="s">
        <v>153</v>
      </c>
      <c r="C2315" s="184" t="s">
        <v>905</v>
      </c>
      <c r="D2315" s="185" t="s">
        <v>704</v>
      </c>
      <c r="E2315" s="186" t="s">
        <v>906</v>
      </c>
      <c r="F2315" s="186" t="s">
        <v>907</v>
      </c>
      <c r="G2315" s="186" t="s">
        <v>908</v>
      </c>
      <c r="H2315" s="186" t="s">
        <v>909</v>
      </c>
      <c r="I2315" s="187" t="s">
        <v>2404</v>
      </c>
      <c r="J2315" s="187" t="s">
        <v>2405</v>
      </c>
      <c r="K2315" s="188"/>
      <c r="L2315" s="188"/>
      <c r="M2315" s="189" t="s">
        <v>989</v>
      </c>
      <c r="N2315" s="190">
        <v>2358.7</v>
      </c>
      <c r="O2315" s="190">
        <f t="shared" si="283"/>
        <v>2570.98</v>
      </c>
      <c r="P2315" s="191">
        <f t="shared" si="284"/>
        <v>0</v>
      </c>
      <c r="Q2315" s="192">
        <f t="shared" si="285"/>
        <v>0</v>
      </c>
      <c r="R2315" s="193"/>
      <c r="S2315" s="194"/>
      <c r="T2315" s="195">
        <f t="shared" si="286"/>
        <v>0</v>
      </c>
      <c r="U2315" s="195">
        <f t="shared" si="287"/>
        <v>0</v>
      </c>
      <c r="V2315" s="195">
        <f t="shared" si="288"/>
        <v>0</v>
      </c>
      <c r="W2315" s="196" t="e">
        <f t="shared" si="289"/>
        <v>#DIV/0!</v>
      </c>
      <c r="X2315" s="197" t="e">
        <f t="shared" si="290"/>
        <v>#DIV/0!</v>
      </c>
    </row>
    <row r="2316" ht="11.4" hidden="1" customHeight="1" spans="1:24">
      <c r="A2316" s="184" t="s">
        <v>3176</v>
      </c>
      <c r="B2316" s="184" t="s">
        <v>153</v>
      </c>
      <c r="C2316" s="184" t="s">
        <v>905</v>
      </c>
      <c r="D2316" s="185" t="s">
        <v>704</v>
      </c>
      <c r="E2316" s="186" t="s">
        <v>906</v>
      </c>
      <c r="F2316" s="186" t="s">
        <v>907</v>
      </c>
      <c r="G2316" s="186" t="s">
        <v>908</v>
      </c>
      <c r="H2316" s="186" t="s">
        <v>909</v>
      </c>
      <c r="I2316" s="187" t="s">
        <v>2406</v>
      </c>
      <c r="J2316" s="187" t="s">
        <v>2407</v>
      </c>
      <c r="K2316" s="188"/>
      <c r="L2316" s="188"/>
      <c r="M2316" s="189" t="s">
        <v>989</v>
      </c>
      <c r="N2316" s="190">
        <v>2336.7</v>
      </c>
      <c r="O2316" s="190">
        <f t="shared" si="283"/>
        <v>2547</v>
      </c>
      <c r="P2316" s="191">
        <f t="shared" si="284"/>
        <v>0</v>
      </c>
      <c r="Q2316" s="192">
        <f t="shared" si="285"/>
        <v>0</v>
      </c>
      <c r="R2316" s="193"/>
      <c r="S2316" s="194"/>
      <c r="T2316" s="195">
        <f t="shared" si="286"/>
        <v>0</v>
      </c>
      <c r="U2316" s="195">
        <f t="shared" si="287"/>
        <v>0</v>
      </c>
      <c r="V2316" s="195">
        <f t="shared" si="288"/>
        <v>0</v>
      </c>
      <c r="W2316" s="196" t="e">
        <f t="shared" si="289"/>
        <v>#DIV/0!</v>
      </c>
      <c r="X2316" s="197" t="e">
        <f t="shared" si="290"/>
        <v>#DIV/0!</v>
      </c>
    </row>
    <row r="2317" ht="11.4" hidden="1" customHeight="1" spans="1:24">
      <c r="A2317" s="184" t="s">
        <v>3176</v>
      </c>
      <c r="B2317" s="184" t="s">
        <v>153</v>
      </c>
      <c r="C2317" s="184" t="s">
        <v>905</v>
      </c>
      <c r="D2317" s="185" t="s">
        <v>704</v>
      </c>
      <c r="E2317" s="186" t="s">
        <v>906</v>
      </c>
      <c r="F2317" s="186" t="s">
        <v>907</v>
      </c>
      <c r="G2317" s="186" t="s">
        <v>908</v>
      </c>
      <c r="H2317" s="186" t="s">
        <v>909</v>
      </c>
      <c r="I2317" s="187" t="s">
        <v>2408</v>
      </c>
      <c r="J2317" s="187" t="s">
        <v>2409</v>
      </c>
      <c r="K2317" s="188"/>
      <c r="L2317" s="188"/>
      <c r="M2317" s="189" t="s">
        <v>989</v>
      </c>
      <c r="N2317" s="190">
        <v>7092.3</v>
      </c>
      <c r="O2317" s="190">
        <f t="shared" ref="O2317:O2380" si="291">ROUND(N2317*(1+$F$10),2)</f>
        <v>7730.61</v>
      </c>
      <c r="P2317" s="191">
        <f t="shared" ref="P2317:P2380" si="292">ROUND(K2317*N2317,2)</f>
        <v>0</v>
      </c>
      <c r="Q2317" s="192">
        <f t="shared" ref="Q2317:Q2380" si="293">ROUND(L2317*N2317,2)</f>
        <v>0</v>
      </c>
      <c r="R2317" s="193"/>
      <c r="S2317" s="194"/>
      <c r="T2317" s="195">
        <f t="shared" ref="T2317:T2380" si="294">K2317-L2317</f>
        <v>0</v>
      </c>
      <c r="U2317" s="195">
        <f t="shared" ref="U2317:U2380" si="295">P2317-Q2317</f>
        <v>0</v>
      </c>
      <c r="V2317" s="195">
        <f t="shared" ref="V2317:V2380" si="296">ABS(U2317)</f>
        <v>0</v>
      </c>
      <c r="W2317" s="196" t="e">
        <f t="shared" ref="W2317:W2380" si="297">T2317/L2317</f>
        <v>#DIV/0!</v>
      </c>
      <c r="X2317" s="197" t="e">
        <f t="shared" ref="X2317:X2380" si="298">ABS(W2317)</f>
        <v>#DIV/0!</v>
      </c>
    </row>
    <row r="2318" ht="11.4" hidden="1" customHeight="1" spans="1:24">
      <c r="A2318" s="184" t="s">
        <v>3176</v>
      </c>
      <c r="B2318" s="184" t="s">
        <v>153</v>
      </c>
      <c r="C2318" s="184" t="s">
        <v>905</v>
      </c>
      <c r="D2318" s="185" t="s">
        <v>704</v>
      </c>
      <c r="E2318" s="186" t="s">
        <v>906</v>
      </c>
      <c r="F2318" s="186" t="s">
        <v>907</v>
      </c>
      <c r="G2318" s="186" t="s">
        <v>908</v>
      </c>
      <c r="H2318" s="186" t="s">
        <v>909</v>
      </c>
      <c r="I2318" s="187" t="s">
        <v>2410</v>
      </c>
      <c r="J2318" s="187" t="s">
        <v>2411</v>
      </c>
      <c r="K2318" s="188"/>
      <c r="L2318" s="188"/>
      <c r="M2318" s="189" t="s">
        <v>989</v>
      </c>
      <c r="N2318" s="190">
        <v>6328.35</v>
      </c>
      <c r="O2318" s="190">
        <f t="shared" si="291"/>
        <v>6897.9</v>
      </c>
      <c r="P2318" s="191">
        <f t="shared" si="292"/>
        <v>0</v>
      </c>
      <c r="Q2318" s="192">
        <f t="shared" si="293"/>
        <v>0</v>
      </c>
      <c r="R2318" s="193"/>
      <c r="S2318" s="194"/>
      <c r="T2318" s="195">
        <f t="shared" si="294"/>
        <v>0</v>
      </c>
      <c r="U2318" s="195">
        <f t="shared" si="295"/>
        <v>0</v>
      </c>
      <c r="V2318" s="195">
        <f t="shared" si="296"/>
        <v>0</v>
      </c>
      <c r="W2318" s="196" t="e">
        <f t="shared" si="297"/>
        <v>#DIV/0!</v>
      </c>
      <c r="X2318" s="197" t="e">
        <f t="shared" si="298"/>
        <v>#DIV/0!</v>
      </c>
    </row>
    <row r="2319" ht="11.4" hidden="1" customHeight="1" spans="1:24">
      <c r="A2319" s="184" t="s">
        <v>3176</v>
      </c>
      <c r="B2319" s="184" t="s">
        <v>153</v>
      </c>
      <c r="C2319" s="184" t="s">
        <v>905</v>
      </c>
      <c r="D2319" s="185" t="s">
        <v>704</v>
      </c>
      <c r="E2319" s="186" t="s">
        <v>906</v>
      </c>
      <c r="F2319" s="186" t="s">
        <v>907</v>
      </c>
      <c r="G2319" s="186" t="s">
        <v>908</v>
      </c>
      <c r="H2319" s="186" t="s">
        <v>909</v>
      </c>
      <c r="I2319" s="187" t="s">
        <v>2412</v>
      </c>
      <c r="J2319" s="187" t="s">
        <v>2413</v>
      </c>
      <c r="K2319" s="188"/>
      <c r="L2319" s="188"/>
      <c r="M2319" s="189" t="s">
        <v>989</v>
      </c>
      <c r="N2319" s="190">
        <v>5249.49</v>
      </c>
      <c r="O2319" s="190">
        <f t="shared" si="291"/>
        <v>5721.94</v>
      </c>
      <c r="P2319" s="191">
        <f t="shared" si="292"/>
        <v>0</v>
      </c>
      <c r="Q2319" s="192">
        <f t="shared" si="293"/>
        <v>0</v>
      </c>
      <c r="R2319" s="193"/>
      <c r="S2319" s="194"/>
      <c r="T2319" s="195">
        <f t="shared" si="294"/>
        <v>0</v>
      </c>
      <c r="U2319" s="195">
        <f t="shared" si="295"/>
        <v>0</v>
      </c>
      <c r="V2319" s="195">
        <f t="shared" si="296"/>
        <v>0</v>
      </c>
      <c r="W2319" s="196" t="e">
        <f t="shared" si="297"/>
        <v>#DIV/0!</v>
      </c>
      <c r="X2319" s="197" t="e">
        <f t="shared" si="298"/>
        <v>#DIV/0!</v>
      </c>
    </row>
    <row r="2320" ht="11.4" hidden="1" customHeight="1" spans="1:24">
      <c r="A2320" s="184" t="s">
        <v>3176</v>
      </c>
      <c r="B2320" s="184" t="s">
        <v>153</v>
      </c>
      <c r="C2320" s="184" t="s">
        <v>905</v>
      </c>
      <c r="D2320" s="185" t="s">
        <v>704</v>
      </c>
      <c r="E2320" s="186" t="s">
        <v>906</v>
      </c>
      <c r="F2320" s="186" t="s">
        <v>907</v>
      </c>
      <c r="G2320" s="186" t="s">
        <v>908</v>
      </c>
      <c r="H2320" s="186" t="s">
        <v>2414</v>
      </c>
      <c r="I2320" s="187" t="s">
        <v>2415</v>
      </c>
      <c r="J2320" s="187" t="s">
        <v>2416</v>
      </c>
      <c r="K2320" s="188"/>
      <c r="L2320" s="188"/>
      <c r="M2320" s="189" t="s">
        <v>847</v>
      </c>
      <c r="N2320" s="190">
        <v>179.04</v>
      </c>
      <c r="O2320" s="190">
        <f t="shared" si="291"/>
        <v>195.15</v>
      </c>
      <c r="P2320" s="191">
        <f t="shared" si="292"/>
        <v>0</v>
      </c>
      <c r="Q2320" s="192">
        <f t="shared" si="293"/>
        <v>0</v>
      </c>
      <c r="R2320" s="193"/>
      <c r="S2320" s="194"/>
      <c r="T2320" s="195">
        <f t="shared" si="294"/>
        <v>0</v>
      </c>
      <c r="U2320" s="195">
        <f t="shared" si="295"/>
        <v>0</v>
      </c>
      <c r="V2320" s="195">
        <f t="shared" si="296"/>
        <v>0</v>
      </c>
      <c r="W2320" s="196" t="e">
        <f t="shared" si="297"/>
        <v>#DIV/0!</v>
      </c>
      <c r="X2320" s="197" t="e">
        <f t="shared" si="298"/>
        <v>#DIV/0!</v>
      </c>
    </row>
    <row r="2321" ht="11.4" hidden="1" customHeight="1" spans="1:24">
      <c r="A2321" s="184" t="s">
        <v>3176</v>
      </c>
      <c r="B2321" s="184" t="s">
        <v>153</v>
      </c>
      <c r="C2321" s="184" t="s">
        <v>905</v>
      </c>
      <c r="D2321" s="185" t="s">
        <v>704</v>
      </c>
      <c r="E2321" s="186" t="s">
        <v>906</v>
      </c>
      <c r="F2321" s="186" t="s">
        <v>907</v>
      </c>
      <c r="G2321" s="186" t="s">
        <v>908</v>
      </c>
      <c r="H2321" s="186" t="s">
        <v>2414</v>
      </c>
      <c r="I2321" s="187" t="s">
        <v>2418</v>
      </c>
      <c r="J2321" s="187" t="s">
        <v>2419</v>
      </c>
      <c r="K2321" s="188"/>
      <c r="L2321" s="188"/>
      <c r="M2321" s="189" t="s">
        <v>847</v>
      </c>
      <c r="N2321" s="190">
        <v>205.44</v>
      </c>
      <c r="O2321" s="190">
        <f t="shared" si="291"/>
        <v>223.93</v>
      </c>
      <c r="P2321" s="191">
        <f t="shared" si="292"/>
        <v>0</v>
      </c>
      <c r="Q2321" s="192">
        <f t="shared" si="293"/>
        <v>0</v>
      </c>
      <c r="R2321" s="193"/>
      <c r="S2321" s="194"/>
      <c r="T2321" s="195">
        <f t="shared" si="294"/>
        <v>0</v>
      </c>
      <c r="U2321" s="195">
        <f t="shared" si="295"/>
        <v>0</v>
      </c>
      <c r="V2321" s="195">
        <f t="shared" si="296"/>
        <v>0</v>
      </c>
      <c r="W2321" s="196" t="e">
        <f t="shared" si="297"/>
        <v>#DIV/0!</v>
      </c>
      <c r="X2321" s="197" t="e">
        <f t="shared" si="298"/>
        <v>#DIV/0!</v>
      </c>
    </row>
    <row r="2322" ht="11.4" hidden="1" customHeight="1" spans="1:24">
      <c r="A2322" s="184" t="s">
        <v>3176</v>
      </c>
      <c r="B2322" s="184" t="s">
        <v>153</v>
      </c>
      <c r="C2322" s="184" t="s">
        <v>905</v>
      </c>
      <c r="D2322" s="185" t="s">
        <v>704</v>
      </c>
      <c r="E2322" s="186" t="s">
        <v>906</v>
      </c>
      <c r="F2322" s="186" t="s">
        <v>907</v>
      </c>
      <c r="G2322" s="186" t="s">
        <v>908</v>
      </c>
      <c r="H2322" s="186" t="s">
        <v>2414</v>
      </c>
      <c r="I2322" s="187" t="s">
        <v>2420</v>
      </c>
      <c r="J2322" s="187" t="s">
        <v>2421</v>
      </c>
      <c r="K2322" s="188"/>
      <c r="L2322" s="188"/>
      <c r="M2322" s="189" t="s">
        <v>807</v>
      </c>
      <c r="N2322" s="190">
        <v>238.25</v>
      </c>
      <c r="O2322" s="190">
        <f t="shared" si="291"/>
        <v>259.69</v>
      </c>
      <c r="P2322" s="191">
        <f t="shared" si="292"/>
        <v>0</v>
      </c>
      <c r="Q2322" s="192">
        <f t="shared" si="293"/>
        <v>0</v>
      </c>
      <c r="R2322" s="193"/>
      <c r="S2322" s="194"/>
      <c r="T2322" s="195">
        <f t="shared" si="294"/>
        <v>0</v>
      </c>
      <c r="U2322" s="195">
        <f t="shared" si="295"/>
        <v>0</v>
      </c>
      <c r="V2322" s="195">
        <f t="shared" si="296"/>
        <v>0</v>
      </c>
      <c r="W2322" s="196" t="e">
        <f t="shared" si="297"/>
        <v>#DIV/0!</v>
      </c>
      <c r="X2322" s="197" t="e">
        <f t="shared" si="298"/>
        <v>#DIV/0!</v>
      </c>
    </row>
    <row r="2323" ht="11.4" hidden="1" customHeight="1" spans="1:24">
      <c r="A2323" s="184" t="s">
        <v>3176</v>
      </c>
      <c r="B2323" s="184" t="s">
        <v>153</v>
      </c>
      <c r="C2323" s="184" t="s">
        <v>905</v>
      </c>
      <c r="D2323" s="185" t="s">
        <v>704</v>
      </c>
      <c r="E2323" s="186" t="s">
        <v>906</v>
      </c>
      <c r="F2323" s="186" t="s">
        <v>907</v>
      </c>
      <c r="G2323" s="186" t="s">
        <v>908</v>
      </c>
      <c r="H2323" s="186" t="s">
        <v>2414</v>
      </c>
      <c r="I2323" s="187" t="s">
        <v>2422</v>
      </c>
      <c r="J2323" s="187" t="s">
        <v>2423</v>
      </c>
      <c r="K2323" s="188"/>
      <c r="L2323" s="188"/>
      <c r="M2323" s="189" t="s">
        <v>847</v>
      </c>
      <c r="N2323" s="190">
        <v>179.04</v>
      </c>
      <c r="O2323" s="190">
        <f t="shared" si="291"/>
        <v>195.15</v>
      </c>
      <c r="P2323" s="191">
        <f t="shared" si="292"/>
        <v>0</v>
      </c>
      <c r="Q2323" s="192">
        <f t="shared" si="293"/>
        <v>0</v>
      </c>
      <c r="R2323" s="193"/>
      <c r="S2323" s="194"/>
      <c r="T2323" s="195">
        <f t="shared" si="294"/>
        <v>0</v>
      </c>
      <c r="U2323" s="195">
        <f t="shared" si="295"/>
        <v>0</v>
      </c>
      <c r="V2323" s="195">
        <f t="shared" si="296"/>
        <v>0</v>
      </c>
      <c r="W2323" s="196" t="e">
        <f t="shared" si="297"/>
        <v>#DIV/0!</v>
      </c>
      <c r="X2323" s="197" t="e">
        <f t="shared" si="298"/>
        <v>#DIV/0!</v>
      </c>
    </row>
    <row r="2324" ht="11.4" hidden="1" customHeight="1" spans="1:24">
      <c r="A2324" s="184" t="s">
        <v>3176</v>
      </c>
      <c r="B2324" s="184" t="s">
        <v>153</v>
      </c>
      <c r="C2324" s="184" t="s">
        <v>905</v>
      </c>
      <c r="D2324" s="185" t="s">
        <v>704</v>
      </c>
      <c r="E2324" s="186" t="s">
        <v>906</v>
      </c>
      <c r="F2324" s="186" t="s">
        <v>907</v>
      </c>
      <c r="G2324" s="186" t="s">
        <v>908</v>
      </c>
      <c r="H2324" s="186" t="s">
        <v>2414</v>
      </c>
      <c r="I2324" s="187" t="s">
        <v>2424</v>
      </c>
      <c r="J2324" s="187" t="s">
        <v>2425</v>
      </c>
      <c r="K2324" s="188"/>
      <c r="L2324" s="188"/>
      <c r="M2324" s="189" t="s">
        <v>847</v>
      </c>
      <c r="N2324" s="190">
        <v>205.44</v>
      </c>
      <c r="O2324" s="190">
        <f t="shared" si="291"/>
        <v>223.93</v>
      </c>
      <c r="P2324" s="191">
        <f t="shared" si="292"/>
        <v>0</v>
      </c>
      <c r="Q2324" s="192">
        <f t="shared" si="293"/>
        <v>0</v>
      </c>
      <c r="R2324" s="193"/>
      <c r="S2324" s="194"/>
      <c r="T2324" s="195">
        <f t="shared" si="294"/>
        <v>0</v>
      </c>
      <c r="U2324" s="195">
        <f t="shared" si="295"/>
        <v>0</v>
      </c>
      <c r="V2324" s="195">
        <f t="shared" si="296"/>
        <v>0</v>
      </c>
      <c r="W2324" s="196" t="e">
        <f t="shared" si="297"/>
        <v>#DIV/0!</v>
      </c>
      <c r="X2324" s="197" t="e">
        <f t="shared" si="298"/>
        <v>#DIV/0!</v>
      </c>
    </row>
    <row r="2325" ht="11.4" hidden="1" customHeight="1" spans="1:24">
      <c r="A2325" s="184" t="s">
        <v>3176</v>
      </c>
      <c r="B2325" s="184" t="s">
        <v>153</v>
      </c>
      <c r="C2325" s="184" t="s">
        <v>905</v>
      </c>
      <c r="D2325" s="185" t="s">
        <v>704</v>
      </c>
      <c r="E2325" s="186" t="s">
        <v>906</v>
      </c>
      <c r="F2325" s="186" t="s">
        <v>907</v>
      </c>
      <c r="G2325" s="186" t="s">
        <v>908</v>
      </c>
      <c r="H2325" s="186" t="s">
        <v>2414</v>
      </c>
      <c r="I2325" s="187" t="s">
        <v>2426</v>
      </c>
      <c r="J2325" s="187" t="s">
        <v>2427</v>
      </c>
      <c r="K2325" s="188"/>
      <c r="L2325" s="188"/>
      <c r="M2325" s="189" t="s">
        <v>847</v>
      </c>
      <c r="N2325" s="190">
        <v>156.31</v>
      </c>
      <c r="O2325" s="190">
        <f t="shared" si="291"/>
        <v>170.38</v>
      </c>
      <c r="P2325" s="191">
        <f t="shared" si="292"/>
        <v>0</v>
      </c>
      <c r="Q2325" s="192">
        <f t="shared" si="293"/>
        <v>0</v>
      </c>
      <c r="R2325" s="193"/>
      <c r="S2325" s="194"/>
      <c r="T2325" s="195">
        <f t="shared" si="294"/>
        <v>0</v>
      </c>
      <c r="U2325" s="195">
        <f t="shared" si="295"/>
        <v>0</v>
      </c>
      <c r="V2325" s="195">
        <f t="shared" si="296"/>
        <v>0</v>
      </c>
      <c r="W2325" s="196" t="e">
        <f t="shared" si="297"/>
        <v>#DIV/0!</v>
      </c>
      <c r="X2325" s="197" t="e">
        <f t="shared" si="298"/>
        <v>#DIV/0!</v>
      </c>
    </row>
    <row r="2326" ht="11.4" hidden="1" customHeight="1" spans="1:24">
      <c r="A2326" s="184" t="s">
        <v>3176</v>
      </c>
      <c r="B2326" s="184" t="s">
        <v>153</v>
      </c>
      <c r="C2326" s="184" t="s">
        <v>905</v>
      </c>
      <c r="D2326" s="185" t="s">
        <v>704</v>
      </c>
      <c r="E2326" s="186" t="s">
        <v>906</v>
      </c>
      <c r="F2326" s="186" t="s">
        <v>907</v>
      </c>
      <c r="G2326" s="186" t="s">
        <v>908</v>
      </c>
      <c r="H2326" s="186" t="s">
        <v>2414</v>
      </c>
      <c r="I2326" s="187" t="s">
        <v>2428</v>
      </c>
      <c r="J2326" s="187" t="s">
        <v>2429</v>
      </c>
      <c r="K2326" s="188"/>
      <c r="L2326" s="188"/>
      <c r="M2326" s="189" t="s">
        <v>807</v>
      </c>
      <c r="N2326" s="190">
        <v>93.05</v>
      </c>
      <c r="O2326" s="190">
        <f t="shared" si="291"/>
        <v>101.42</v>
      </c>
      <c r="P2326" s="191">
        <f t="shared" si="292"/>
        <v>0</v>
      </c>
      <c r="Q2326" s="192">
        <f t="shared" si="293"/>
        <v>0</v>
      </c>
      <c r="R2326" s="193"/>
      <c r="S2326" s="194"/>
      <c r="T2326" s="195">
        <f t="shared" si="294"/>
        <v>0</v>
      </c>
      <c r="U2326" s="195">
        <f t="shared" si="295"/>
        <v>0</v>
      </c>
      <c r="V2326" s="195">
        <f t="shared" si="296"/>
        <v>0</v>
      </c>
      <c r="W2326" s="196" t="e">
        <f t="shared" si="297"/>
        <v>#DIV/0!</v>
      </c>
      <c r="X2326" s="197" t="e">
        <f t="shared" si="298"/>
        <v>#DIV/0!</v>
      </c>
    </row>
    <row r="2327" ht="11.4" hidden="1" customHeight="1" spans="1:24">
      <c r="A2327" s="184" t="s">
        <v>3176</v>
      </c>
      <c r="B2327" s="184" t="s">
        <v>153</v>
      </c>
      <c r="C2327" s="184" t="s">
        <v>905</v>
      </c>
      <c r="D2327" s="185" t="s">
        <v>704</v>
      </c>
      <c r="E2327" s="186" t="s">
        <v>906</v>
      </c>
      <c r="F2327" s="186" t="s">
        <v>907</v>
      </c>
      <c r="G2327" s="186" t="s">
        <v>908</v>
      </c>
      <c r="H2327" s="186" t="s">
        <v>2414</v>
      </c>
      <c r="I2327" s="187" t="s">
        <v>2430</v>
      </c>
      <c r="J2327" s="187" t="s">
        <v>2431</v>
      </c>
      <c r="K2327" s="188"/>
      <c r="L2327" s="188"/>
      <c r="M2327" s="189" t="s">
        <v>807</v>
      </c>
      <c r="N2327" s="190">
        <v>205.25</v>
      </c>
      <c r="O2327" s="190">
        <f t="shared" si="291"/>
        <v>223.72</v>
      </c>
      <c r="P2327" s="191">
        <f t="shared" si="292"/>
        <v>0</v>
      </c>
      <c r="Q2327" s="192">
        <f t="shared" si="293"/>
        <v>0</v>
      </c>
      <c r="R2327" s="193"/>
      <c r="S2327" s="194"/>
      <c r="T2327" s="195">
        <f t="shared" si="294"/>
        <v>0</v>
      </c>
      <c r="U2327" s="195">
        <f t="shared" si="295"/>
        <v>0</v>
      </c>
      <c r="V2327" s="195">
        <f t="shared" si="296"/>
        <v>0</v>
      </c>
      <c r="W2327" s="196" t="e">
        <f t="shared" si="297"/>
        <v>#DIV/0!</v>
      </c>
      <c r="X2327" s="197" t="e">
        <f t="shared" si="298"/>
        <v>#DIV/0!</v>
      </c>
    </row>
    <row r="2328" ht="11.4" hidden="1" customHeight="1" spans="1:24">
      <c r="A2328" s="184" t="s">
        <v>3176</v>
      </c>
      <c r="B2328" s="184" t="s">
        <v>153</v>
      </c>
      <c r="C2328" s="184" t="s">
        <v>905</v>
      </c>
      <c r="D2328" s="185" t="s">
        <v>704</v>
      </c>
      <c r="E2328" s="186" t="s">
        <v>906</v>
      </c>
      <c r="F2328" s="186" t="s">
        <v>907</v>
      </c>
      <c r="G2328" s="186" t="s">
        <v>908</v>
      </c>
      <c r="H2328" s="186" t="s">
        <v>2414</v>
      </c>
      <c r="I2328" s="187" t="s">
        <v>2432</v>
      </c>
      <c r="J2328" s="187" t="s">
        <v>2433</v>
      </c>
      <c r="K2328" s="188"/>
      <c r="L2328" s="188"/>
      <c r="M2328" s="189" t="s">
        <v>847</v>
      </c>
      <c r="N2328" s="190">
        <v>219.44</v>
      </c>
      <c r="O2328" s="190">
        <f t="shared" si="291"/>
        <v>239.19</v>
      </c>
      <c r="P2328" s="191">
        <f t="shared" si="292"/>
        <v>0</v>
      </c>
      <c r="Q2328" s="192">
        <f t="shared" si="293"/>
        <v>0</v>
      </c>
      <c r="R2328" s="193"/>
      <c r="S2328" s="194"/>
      <c r="T2328" s="195">
        <f t="shared" si="294"/>
        <v>0</v>
      </c>
      <c r="U2328" s="195">
        <f t="shared" si="295"/>
        <v>0</v>
      </c>
      <c r="V2328" s="195">
        <f t="shared" si="296"/>
        <v>0</v>
      </c>
      <c r="W2328" s="196" t="e">
        <f t="shared" si="297"/>
        <v>#DIV/0!</v>
      </c>
      <c r="X2328" s="197" t="e">
        <f t="shared" si="298"/>
        <v>#DIV/0!</v>
      </c>
    </row>
    <row r="2329" ht="11.4" hidden="1" customHeight="1" spans="1:24">
      <c r="A2329" s="184" t="s">
        <v>3176</v>
      </c>
      <c r="B2329" s="184" t="s">
        <v>153</v>
      </c>
      <c r="C2329" s="184" t="s">
        <v>905</v>
      </c>
      <c r="D2329" s="185" t="s">
        <v>704</v>
      </c>
      <c r="E2329" s="186" t="s">
        <v>906</v>
      </c>
      <c r="F2329" s="186" t="s">
        <v>907</v>
      </c>
      <c r="G2329" s="186" t="s">
        <v>908</v>
      </c>
      <c r="H2329" s="186" t="s">
        <v>2414</v>
      </c>
      <c r="I2329" s="187" t="s">
        <v>2434</v>
      </c>
      <c r="J2329" s="187" t="s">
        <v>2435</v>
      </c>
      <c r="K2329" s="188"/>
      <c r="L2329" s="188"/>
      <c r="M2329" s="189" t="s">
        <v>847</v>
      </c>
      <c r="N2329" s="190">
        <v>365.36</v>
      </c>
      <c r="O2329" s="190">
        <f t="shared" si="291"/>
        <v>398.24</v>
      </c>
      <c r="P2329" s="191">
        <f t="shared" si="292"/>
        <v>0</v>
      </c>
      <c r="Q2329" s="192">
        <f t="shared" si="293"/>
        <v>0</v>
      </c>
      <c r="R2329" s="193"/>
      <c r="S2329" s="194"/>
      <c r="T2329" s="195">
        <f t="shared" si="294"/>
        <v>0</v>
      </c>
      <c r="U2329" s="195">
        <f t="shared" si="295"/>
        <v>0</v>
      </c>
      <c r="V2329" s="195">
        <f t="shared" si="296"/>
        <v>0</v>
      </c>
      <c r="W2329" s="196" t="e">
        <f t="shared" si="297"/>
        <v>#DIV/0!</v>
      </c>
      <c r="X2329" s="197" t="e">
        <f t="shared" si="298"/>
        <v>#DIV/0!</v>
      </c>
    </row>
    <row r="2330" ht="11.4" hidden="1" customHeight="1" spans="1:24">
      <c r="A2330" s="184" t="s">
        <v>3176</v>
      </c>
      <c r="B2330" s="184" t="s">
        <v>153</v>
      </c>
      <c r="C2330" s="184" t="s">
        <v>905</v>
      </c>
      <c r="D2330" s="185" t="s">
        <v>704</v>
      </c>
      <c r="E2330" s="186" t="s">
        <v>906</v>
      </c>
      <c r="F2330" s="186" t="s">
        <v>907</v>
      </c>
      <c r="G2330" s="186" t="s">
        <v>908</v>
      </c>
      <c r="H2330" s="186" t="s">
        <v>2414</v>
      </c>
      <c r="I2330" s="187" t="s">
        <v>2436</v>
      </c>
      <c r="J2330" s="187" t="s">
        <v>2437</v>
      </c>
      <c r="K2330" s="188"/>
      <c r="L2330" s="188"/>
      <c r="M2330" s="189" t="s">
        <v>963</v>
      </c>
      <c r="N2330" s="190">
        <v>832.04</v>
      </c>
      <c r="O2330" s="190">
        <f t="shared" si="291"/>
        <v>906.92</v>
      </c>
      <c r="P2330" s="191">
        <f t="shared" si="292"/>
        <v>0</v>
      </c>
      <c r="Q2330" s="192">
        <f t="shared" si="293"/>
        <v>0</v>
      </c>
      <c r="R2330" s="193"/>
      <c r="S2330" s="194"/>
      <c r="T2330" s="195">
        <f t="shared" si="294"/>
        <v>0</v>
      </c>
      <c r="U2330" s="195">
        <f t="shared" si="295"/>
        <v>0</v>
      </c>
      <c r="V2330" s="195">
        <f t="shared" si="296"/>
        <v>0</v>
      </c>
      <c r="W2330" s="196" t="e">
        <f t="shared" si="297"/>
        <v>#DIV/0!</v>
      </c>
      <c r="X2330" s="197" t="e">
        <f t="shared" si="298"/>
        <v>#DIV/0!</v>
      </c>
    </row>
    <row r="2331" ht="11.4" hidden="1" customHeight="1" spans="1:24">
      <c r="A2331" s="184" t="s">
        <v>3176</v>
      </c>
      <c r="B2331" s="184" t="s">
        <v>153</v>
      </c>
      <c r="C2331" s="184" t="s">
        <v>905</v>
      </c>
      <c r="D2331" s="185" t="s">
        <v>704</v>
      </c>
      <c r="E2331" s="186" t="s">
        <v>906</v>
      </c>
      <c r="F2331" s="186" t="s">
        <v>907</v>
      </c>
      <c r="G2331" s="186" t="s">
        <v>908</v>
      </c>
      <c r="H2331" s="186" t="s">
        <v>2414</v>
      </c>
      <c r="I2331" s="187" t="s">
        <v>2438</v>
      </c>
      <c r="J2331" s="187" t="s">
        <v>2439</v>
      </c>
      <c r="K2331" s="188"/>
      <c r="L2331" s="188"/>
      <c r="M2331" s="189" t="s">
        <v>963</v>
      </c>
      <c r="N2331" s="190">
        <v>1691.55</v>
      </c>
      <c r="O2331" s="190">
        <f t="shared" si="291"/>
        <v>1843.79</v>
      </c>
      <c r="P2331" s="191">
        <f t="shared" si="292"/>
        <v>0</v>
      </c>
      <c r="Q2331" s="192">
        <f t="shared" si="293"/>
        <v>0</v>
      </c>
      <c r="R2331" s="193"/>
      <c r="S2331" s="194"/>
      <c r="T2331" s="195">
        <f t="shared" si="294"/>
        <v>0</v>
      </c>
      <c r="U2331" s="195">
        <f t="shared" si="295"/>
        <v>0</v>
      </c>
      <c r="V2331" s="195">
        <f t="shared" si="296"/>
        <v>0</v>
      </c>
      <c r="W2331" s="196" t="e">
        <f t="shared" si="297"/>
        <v>#DIV/0!</v>
      </c>
      <c r="X2331" s="197" t="e">
        <f t="shared" si="298"/>
        <v>#DIV/0!</v>
      </c>
    </row>
    <row r="2332" ht="11.4" hidden="1" customHeight="1" spans="1:24">
      <c r="A2332" s="184" t="s">
        <v>3176</v>
      </c>
      <c r="B2332" s="184" t="s">
        <v>153</v>
      </c>
      <c r="C2332" s="184" t="s">
        <v>905</v>
      </c>
      <c r="D2332" s="185" t="s">
        <v>704</v>
      </c>
      <c r="E2332" s="186" t="s">
        <v>906</v>
      </c>
      <c r="F2332" s="186" t="s">
        <v>907</v>
      </c>
      <c r="G2332" s="186" t="s">
        <v>908</v>
      </c>
      <c r="H2332" s="186" t="s">
        <v>2414</v>
      </c>
      <c r="I2332" s="187" t="s">
        <v>2440</v>
      </c>
      <c r="J2332" s="187" t="s">
        <v>2441</v>
      </c>
      <c r="K2332" s="188"/>
      <c r="L2332" s="188"/>
      <c r="M2332" s="189" t="s">
        <v>963</v>
      </c>
      <c r="N2332" s="190">
        <v>1315.9</v>
      </c>
      <c r="O2332" s="190">
        <f t="shared" si="291"/>
        <v>1434.33</v>
      </c>
      <c r="P2332" s="191">
        <f t="shared" si="292"/>
        <v>0</v>
      </c>
      <c r="Q2332" s="192">
        <f t="shared" si="293"/>
        <v>0</v>
      </c>
      <c r="R2332" s="193"/>
      <c r="S2332" s="194"/>
      <c r="T2332" s="195">
        <f t="shared" si="294"/>
        <v>0</v>
      </c>
      <c r="U2332" s="195">
        <f t="shared" si="295"/>
        <v>0</v>
      </c>
      <c r="V2332" s="195">
        <f t="shared" si="296"/>
        <v>0</v>
      </c>
      <c r="W2332" s="196" t="e">
        <f t="shared" si="297"/>
        <v>#DIV/0!</v>
      </c>
      <c r="X2332" s="197" t="e">
        <f t="shared" si="298"/>
        <v>#DIV/0!</v>
      </c>
    </row>
    <row r="2333" ht="11.4" hidden="1" customHeight="1" spans="1:24">
      <c r="A2333" s="184" t="s">
        <v>3176</v>
      </c>
      <c r="B2333" s="184" t="s">
        <v>153</v>
      </c>
      <c r="C2333" s="184" t="s">
        <v>905</v>
      </c>
      <c r="D2333" s="185" t="s">
        <v>704</v>
      </c>
      <c r="E2333" s="186" t="s">
        <v>906</v>
      </c>
      <c r="F2333" s="186" t="s">
        <v>907</v>
      </c>
      <c r="G2333" s="186" t="s">
        <v>908</v>
      </c>
      <c r="H2333" s="186" t="s">
        <v>2414</v>
      </c>
      <c r="I2333" s="187" t="s">
        <v>2442</v>
      </c>
      <c r="J2333" s="187" t="s">
        <v>2443</v>
      </c>
      <c r="K2333" s="188"/>
      <c r="L2333" s="188"/>
      <c r="M2333" s="189" t="s">
        <v>963</v>
      </c>
      <c r="N2333" s="190">
        <v>969.96</v>
      </c>
      <c r="O2333" s="190">
        <f t="shared" si="291"/>
        <v>1057.26</v>
      </c>
      <c r="P2333" s="191">
        <f t="shared" si="292"/>
        <v>0</v>
      </c>
      <c r="Q2333" s="192">
        <f t="shared" si="293"/>
        <v>0</v>
      </c>
      <c r="R2333" s="193"/>
      <c r="S2333" s="194"/>
      <c r="T2333" s="195">
        <f t="shared" si="294"/>
        <v>0</v>
      </c>
      <c r="U2333" s="195">
        <f t="shared" si="295"/>
        <v>0</v>
      </c>
      <c r="V2333" s="195">
        <f t="shared" si="296"/>
        <v>0</v>
      </c>
      <c r="W2333" s="196" t="e">
        <f t="shared" si="297"/>
        <v>#DIV/0!</v>
      </c>
      <c r="X2333" s="197" t="e">
        <f t="shared" si="298"/>
        <v>#DIV/0!</v>
      </c>
    </row>
    <row r="2334" ht="11.4" hidden="1" customHeight="1" spans="1:24">
      <c r="A2334" s="184" t="s">
        <v>3176</v>
      </c>
      <c r="B2334" s="184" t="s">
        <v>153</v>
      </c>
      <c r="C2334" s="184" t="s">
        <v>905</v>
      </c>
      <c r="D2334" s="185" t="s">
        <v>704</v>
      </c>
      <c r="E2334" s="186" t="s">
        <v>906</v>
      </c>
      <c r="F2334" s="186" t="s">
        <v>907</v>
      </c>
      <c r="G2334" s="186" t="s">
        <v>908</v>
      </c>
      <c r="H2334" s="186" t="s">
        <v>2414</v>
      </c>
      <c r="I2334" s="187" t="s">
        <v>2444</v>
      </c>
      <c r="J2334" s="187" t="s">
        <v>2445</v>
      </c>
      <c r="K2334" s="188"/>
      <c r="L2334" s="188"/>
      <c r="M2334" s="189" t="s">
        <v>963</v>
      </c>
      <c r="N2334" s="190">
        <v>1692.65</v>
      </c>
      <c r="O2334" s="190">
        <f t="shared" si="291"/>
        <v>1844.99</v>
      </c>
      <c r="P2334" s="191">
        <f t="shared" si="292"/>
        <v>0</v>
      </c>
      <c r="Q2334" s="192">
        <f t="shared" si="293"/>
        <v>0</v>
      </c>
      <c r="R2334" s="193"/>
      <c r="S2334" s="194"/>
      <c r="T2334" s="195">
        <f t="shared" si="294"/>
        <v>0</v>
      </c>
      <c r="U2334" s="195">
        <f t="shared" si="295"/>
        <v>0</v>
      </c>
      <c r="V2334" s="195">
        <f t="shared" si="296"/>
        <v>0</v>
      </c>
      <c r="W2334" s="196" t="e">
        <f t="shared" si="297"/>
        <v>#DIV/0!</v>
      </c>
      <c r="X2334" s="197" t="e">
        <f t="shared" si="298"/>
        <v>#DIV/0!</v>
      </c>
    </row>
    <row r="2335" ht="11.4" hidden="1" customHeight="1" spans="1:24">
      <c r="A2335" s="184" t="s">
        <v>3176</v>
      </c>
      <c r="B2335" s="184" t="s">
        <v>153</v>
      </c>
      <c r="C2335" s="184" t="s">
        <v>905</v>
      </c>
      <c r="D2335" s="185" t="s">
        <v>704</v>
      </c>
      <c r="E2335" s="186" t="s">
        <v>906</v>
      </c>
      <c r="F2335" s="186" t="s">
        <v>907</v>
      </c>
      <c r="G2335" s="186" t="s">
        <v>908</v>
      </c>
      <c r="H2335" s="186" t="s">
        <v>2414</v>
      </c>
      <c r="I2335" s="187" t="s">
        <v>2446</v>
      </c>
      <c r="J2335" s="187" t="s">
        <v>2447</v>
      </c>
      <c r="K2335" s="188"/>
      <c r="L2335" s="188"/>
      <c r="M2335" s="189" t="s">
        <v>1018</v>
      </c>
      <c r="N2335" s="190">
        <v>350</v>
      </c>
      <c r="O2335" s="190">
        <f t="shared" si="291"/>
        <v>381.5</v>
      </c>
      <c r="P2335" s="191">
        <f t="shared" si="292"/>
        <v>0</v>
      </c>
      <c r="Q2335" s="192">
        <f t="shared" si="293"/>
        <v>0</v>
      </c>
      <c r="R2335" s="193"/>
      <c r="S2335" s="194"/>
      <c r="T2335" s="195">
        <f t="shared" si="294"/>
        <v>0</v>
      </c>
      <c r="U2335" s="195">
        <f t="shared" si="295"/>
        <v>0</v>
      </c>
      <c r="V2335" s="195">
        <f t="shared" si="296"/>
        <v>0</v>
      </c>
      <c r="W2335" s="196" t="e">
        <f t="shared" si="297"/>
        <v>#DIV/0!</v>
      </c>
      <c r="X2335" s="197" t="e">
        <f t="shared" si="298"/>
        <v>#DIV/0!</v>
      </c>
    </row>
    <row r="2336" ht="11.4" hidden="1" customHeight="1" spans="1:24">
      <c r="A2336" s="184" t="s">
        <v>3176</v>
      </c>
      <c r="B2336" s="184" t="s">
        <v>153</v>
      </c>
      <c r="C2336" s="184" t="s">
        <v>905</v>
      </c>
      <c r="D2336" s="185" t="s">
        <v>704</v>
      </c>
      <c r="E2336" s="186" t="s">
        <v>906</v>
      </c>
      <c r="F2336" s="186" t="s">
        <v>907</v>
      </c>
      <c r="G2336" s="186" t="s">
        <v>908</v>
      </c>
      <c r="H2336" s="186" t="s">
        <v>2448</v>
      </c>
      <c r="I2336" s="187" t="s">
        <v>2449</v>
      </c>
      <c r="J2336" s="187" t="s">
        <v>2450</v>
      </c>
      <c r="K2336" s="188"/>
      <c r="L2336" s="188"/>
      <c r="M2336" s="189" t="s">
        <v>807</v>
      </c>
      <c r="N2336" s="190">
        <v>230.44</v>
      </c>
      <c r="O2336" s="190">
        <f t="shared" si="291"/>
        <v>251.18</v>
      </c>
      <c r="P2336" s="191">
        <f t="shared" si="292"/>
        <v>0</v>
      </c>
      <c r="Q2336" s="192">
        <f t="shared" si="293"/>
        <v>0</v>
      </c>
      <c r="R2336" s="193"/>
      <c r="S2336" s="194"/>
      <c r="T2336" s="195">
        <f t="shared" si="294"/>
        <v>0</v>
      </c>
      <c r="U2336" s="195">
        <f t="shared" si="295"/>
        <v>0</v>
      </c>
      <c r="V2336" s="195">
        <f t="shared" si="296"/>
        <v>0</v>
      </c>
      <c r="W2336" s="196" t="e">
        <f t="shared" si="297"/>
        <v>#DIV/0!</v>
      </c>
      <c r="X2336" s="197" t="e">
        <f t="shared" si="298"/>
        <v>#DIV/0!</v>
      </c>
    </row>
    <row r="2337" ht="11.4" hidden="1" customHeight="1" spans="1:24">
      <c r="A2337" s="184" t="s">
        <v>3176</v>
      </c>
      <c r="B2337" s="184" t="s">
        <v>153</v>
      </c>
      <c r="C2337" s="184" t="s">
        <v>905</v>
      </c>
      <c r="D2337" s="185" t="s">
        <v>704</v>
      </c>
      <c r="E2337" s="186" t="s">
        <v>906</v>
      </c>
      <c r="F2337" s="186" t="s">
        <v>907</v>
      </c>
      <c r="G2337" s="186" t="s">
        <v>908</v>
      </c>
      <c r="H2337" s="186" t="s">
        <v>2448</v>
      </c>
      <c r="I2337" s="187" t="s">
        <v>2451</v>
      </c>
      <c r="J2337" s="187" t="s">
        <v>3209</v>
      </c>
      <c r="K2337" s="188"/>
      <c r="L2337" s="188"/>
      <c r="M2337" s="189" t="s">
        <v>807</v>
      </c>
      <c r="N2337" s="190">
        <v>199.42</v>
      </c>
      <c r="O2337" s="190">
        <f t="shared" si="291"/>
        <v>217.37</v>
      </c>
      <c r="P2337" s="191">
        <f t="shared" si="292"/>
        <v>0</v>
      </c>
      <c r="Q2337" s="192">
        <f t="shared" si="293"/>
        <v>0</v>
      </c>
      <c r="R2337" s="193"/>
      <c r="S2337" s="194"/>
      <c r="T2337" s="195">
        <f t="shared" si="294"/>
        <v>0</v>
      </c>
      <c r="U2337" s="195">
        <f t="shared" si="295"/>
        <v>0</v>
      </c>
      <c r="V2337" s="195">
        <f t="shared" si="296"/>
        <v>0</v>
      </c>
      <c r="W2337" s="196" t="e">
        <f t="shared" si="297"/>
        <v>#DIV/0!</v>
      </c>
      <c r="X2337" s="197" t="e">
        <f t="shared" si="298"/>
        <v>#DIV/0!</v>
      </c>
    </row>
    <row r="2338" ht="11.4" hidden="1" customHeight="1" spans="1:24">
      <c r="A2338" s="184" t="s">
        <v>3176</v>
      </c>
      <c r="B2338" s="184" t="s">
        <v>153</v>
      </c>
      <c r="C2338" s="184" t="s">
        <v>905</v>
      </c>
      <c r="D2338" s="185" t="s">
        <v>704</v>
      </c>
      <c r="E2338" s="186" t="s">
        <v>906</v>
      </c>
      <c r="F2338" s="186" t="s">
        <v>907</v>
      </c>
      <c r="G2338" s="186" t="s">
        <v>908</v>
      </c>
      <c r="H2338" s="186" t="s">
        <v>2448</v>
      </c>
      <c r="I2338" s="187" t="s">
        <v>2453</v>
      </c>
      <c r="J2338" s="187" t="s">
        <v>3210</v>
      </c>
      <c r="K2338" s="188"/>
      <c r="L2338" s="188"/>
      <c r="M2338" s="189" t="s">
        <v>807</v>
      </c>
      <c r="N2338" s="190">
        <v>187.87</v>
      </c>
      <c r="O2338" s="190">
        <f t="shared" si="291"/>
        <v>204.78</v>
      </c>
      <c r="P2338" s="191">
        <f t="shared" si="292"/>
        <v>0</v>
      </c>
      <c r="Q2338" s="192">
        <f t="shared" si="293"/>
        <v>0</v>
      </c>
      <c r="R2338" s="193"/>
      <c r="S2338" s="194"/>
      <c r="T2338" s="195">
        <f t="shared" si="294"/>
        <v>0</v>
      </c>
      <c r="U2338" s="195">
        <f t="shared" si="295"/>
        <v>0</v>
      </c>
      <c r="V2338" s="195">
        <f t="shared" si="296"/>
        <v>0</v>
      </c>
      <c r="W2338" s="196" t="e">
        <f t="shared" si="297"/>
        <v>#DIV/0!</v>
      </c>
      <c r="X2338" s="197" t="e">
        <f t="shared" si="298"/>
        <v>#DIV/0!</v>
      </c>
    </row>
    <row r="2339" ht="11.4" hidden="1" customHeight="1" spans="1:24">
      <c r="A2339" s="184" t="s">
        <v>3176</v>
      </c>
      <c r="B2339" s="184" t="s">
        <v>153</v>
      </c>
      <c r="C2339" s="184" t="s">
        <v>905</v>
      </c>
      <c r="D2339" s="185" t="s">
        <v>704</v>
      </c>
      <c r="E2339" s="186" t="s">
        <v>906</v>
      </c>
      <c r="F2339" s="186" t="s">
        <v>907</v>
      </c>
      <c r="G2339" s="186" t="s">
        <v>908</v>
      </c>
      <c r="H2339" s="186" t="s">
        <v>2448</v>
      </c>
      <c r="I2339" s="187" t="s">
        <v>2455</v>
      </c>
      <c r="J2339" s="187" t="s">
        <v>2456</v>
      </c>
      <c r="K2339" s="188"/>
      <c r="L2339" s="188"/>
      <c r="M2339" s="189" t="s">
        <v>807</v>
      </c>
      <c r="N2339" s="190">
        <v>175.55</v>
      </c>
      <c r="O2339" s="190">
        <f t="shared" si="291"/>
        <v>191.35</v>
      </c>
      <c r="P2339" s="191">
        <f t="shared" si="292"/>
        <v>0</v>
      </c>
      <c r="Q2339" s="192">
        <f t="shared" si="293"/>
        <v>0</v>
      </c>
      <c r="R2339" s="193"/>
      <c r="S2339" s="194"/>
      <c r="T2339" s="195">
        <f t="shared" si="294"/>
        <v>0</v>
      </c>
      <c r="U2339" s="195">
        <f t="shared" si="295"/>
        <v>0</v>
      </c>
      <c r="V2339" s="195">
        <f t="shared" si="296"/>
        <v>0</v>
      </c>
      <c r="W2339" s="196" t="e">
        <f t="shared" si="297"/>
        <v>#DIV/0!</v>
      </c>
      <c r="X2339" s="197" t="e">
        <f t="shared" si="298"/>
        <v>#DIV/0!</v>
      </c>
    </row>
    <row r="2340" ht="11.4" hidden="1" customHeight="1" spans="1:24">
      <c r="A2340" s="184" t="s">
        <v>3176</v>
      </c>
      <c r="B2340" s="184" t="s">
        <v>153</v>
      </c>
      <c r="C2340" s="184" t="s">
        <v>905</v>
      </c>
      <c r="D2340" s="185" t="s">
        <v>704</v>
      </c>
      <c r="E2340" s="186" t="s">
        <v>906</v>
      </c>
      <c r="F2340" s="186" t="s">
        <v>907</v>
      </c>
      <c r="G2340" s="186" t="s">
        <v>908</v>
      </c>
      <c r="H2340" s="186" t="s">
        <v>2448</v>
      </c>
      <c r="I2340" s="187" t="s">
        <v>2457</v>
      </c>
      <c r="J2340" s="187" t="s">
        <v>3211</v>
      </c>
      <c r="K2340" s="188"/>
      <c r="L2340" s="188"/>
      <c r="M2340" s="189" t="s">
        <v>807</v>
      </c>
      <c r="N2340" s="190">
        <v>156.85</v>
      </c>
      <c r="O2340" s="190">
        <f t="shared" si="291"/>
        <v>170.97</v>
      </c>
      <c r="P2340" s="191">
        <f t="shared" si="292"/>
        <v>0</v>
      </c>
      <c r="Q2340" s="192">
        <f t="shared" si="293"/>
        <v>0</v>
      </c>
      <c r="R2340" s="193"/>
      <c r="S2340" s="194"/>
      <c r="T2340" s="195">
        <f t="shared" si="294"/>
        <v>0</v>
      </c>
      <c r="U2340" s="195">
        <f t="shared" si="295"/>
        <v>0</v>
      </c>
      <c r="V2340" s="195">
        <f t="shared" si="296"/>
        <v>0</v>
      </c>
      <c r="W2340" s="196" t="e">
        <f t="shared" si="297"/>
        <v>#DIV/0!</v>
      </c>
      <c r="X2340" s="197" t="e">
        <f t="shared" si="298"/>
        <v>#DIV/0!</v>
      </c>
    </row>
    <row r="2341" ht="11.4" hidden="1" customHeight="1" spans="1:24">
      <c r="A2341" s="184" t="s">
        <v>3176</v>
      </c>
      <c r="B2341" s="184" t="s">
        <v>153</v>
      </c>
      <c r="C2341" s="184" t="s">
        <v>905</v>
      </c>
      <c r="D2341" s="185" t="s">
        <v>704</v>
      </c>
      <c r="E2341" s="186" t="s">
        <v>906</v>
      </c>
      <c r="F2341" s="186" t="s">
        <v>907</v>
      </c>
      <c r="G2341" s="186" t="s">
        <v>908</v>
      </c>
      <c r="H2341" s="186" t="s">
        <v>2448</v>
      </c>
      <c r="I2341" s="187" t="s">
        <v>2459</v>
      </c>
      <c r="J2341" s="187" t="s">
        <v>2460</v>
      </c>
      <c r="K2341" s="188"/>
      <c r="L2341" s="188"/>
      <c r="M2341" s="189" t="s">
        <v>807</v>
      </c>
      <c r="N2341" s="190">
        <v>122.2</v>
      </c>
      <c r="O2341" s="190">
        <f t="shared" si="291"/>
        <v>133.2</v>
      </c>
      <c r="P2341" s="191">
        <f t="shared" si="292"/>
        <v>0</v>
      </c>
      <c r="Q2341" s="192">
        <f t="shared" si="293"/>
        <v>0</v>
      </c>
      <c r="R2341" s="193"/>
      <c r="S2341" s="194"/>
      <c r="T2341" s="195">
        <f t="shared" si="294"/>
        <v>0</v>
      </c>
      <c r="U2341" s="195">
        <f t="shared" si="295"/>
        <v>0</v>
      </c>
      <c r="V2341" s="195">
        <f t="shared" si="296"/>
        <v>0</v>
      </c>
      <c r="W2341" s="196" t="e">
        <f t="shared" si="297"/>
        <v>#DIV/0!</v>
      </c>
      <c r="X2341" s="197" t="e">
        <f t="shared" si="298"/>
        <v>#DIV/0!</v>
      </c>
    </row>
    <row r="2342" ht="11.4" hidden="1" customHeight="1" spans="1:24">
      <c r="A2342" s="184" t="s">
        <v>3176</v>
      </c>
      <c r="B2342" s="184" t="s">
        <v>153</v>
      </c>
      <c r="C2342" s="184" t="s">
        <v>905</v>
      </c>
      <c r="D2342" s="185" t="s">
        <v>704</v>
      </c>
      <c r="E2342" s="186" t="s">
        <v>906</v>
      </c>
      <c r="F2342" s="186" t="s">
        <v>907</v>
      </c>
      <c r="G2342" s="186" t="s">
        <v>908</v>
      </c>
      <c r="H2342" s="186" t="s">
        <v>2448</v>
      </c>
      <c r="I2342" s="187" t="s">
        <v>2461</v>
      </c>
      <c r="J2342" s="187" t="s">
        <v>2462</v>
      </c>
      <c r="K2342" s="188"/>
      <c r="L2342" s="188"/>
      <c r="M2342" s="189" t="s">
        <v>793</v>
      </c>
      <c r="N2342" s="190">
        <v>4616.45</v>
      </c>
      <c r="O2342" s="190">
        <f t="shared" si="291"/>
        <v>5031.93</v>
      </c>
      <c r="P2342" s="191">
        <f t="shared" si="292"/>
        <v>0</v>
      </c>
      <c r="Q2342" s="192">
        <f t="shared" si="293"/>
        <v>0</v>
      </c>
      <c r="R2342" s="193"/>
      <c r="S2342" s="194"/>
      <c r="T2342" s="195">
        <f t="shared" si="294"/>
        <v>0</v>
      </c>
      <c r="U2342" s="195">
        <f t="shared" si="295"/>
        <v>0</v>
      </c>
      <c r="V2342" s="195">
        <f t="shared" si="296"/>
        <v>0</v>
      </c>
      <c r="W2342" s="196" t="e">
        <f t="shared" si="297"/>
        <v>#DIV/0!</v>
      </c>
      <c r="X2342" s="197" t="e">
        <f t="shared" si="298"/>
        <v>#DIV/0!</v>
      </c>
    </row>
    <row r="2343" ht="11.4" hidden="1" customHeight="1" spans="1:24">
      <c r="A2343" s="184" t="s">
        <v>3176</v>
      </c>
      <c r="B2343" s="184" t="s">
        <v>153</v>
      </c>
      <c r="C2343" s="184" t="s">
        <v>905</v>
      </c>
      <c r="D2343" s="185" t="s">
        <v>704</v>
      </c>
      <c r="E2343" s="186" t="s">
        <v>906</v>
      </c>
      <c r="F2343" s="186" t="s">
        <v>907</v>
      </c>
      <c r="G2343" s="186" t="s">
        <v>908</v>
      </c>
      <c r="H2343" s="186" t="s">
        <v>2448</v>
      </c>
      <c r="I2343" s="187" t="s">
        <v>2463</v>
      </c>
      <c r="J2343" s="187" t="s">
        <v>2464</v>
      </c>
      <c r="K2343" s="188"/>
      <c r="L2343" s="188"/>
      <c r="M2343" s="189" t="s">
        <v>807</v>
      </c>
      <c r="N2343" s="190">
        <v>180.37</v>
      </c>
      <c r="O2343" s="190">
        <f t="shared" si="291"/>
        <v>196.6</v>
      </c>
      <c r="P2343" s="191">
        <f t="shared" si="292"/>
        <v>0</v>
      </c>
      <c r="Q2343" s="192">
        <f t="shared" si="293"/>
        <v>0</v>
      </c>
      <c r="R2343" s="193"/>
      <c r="S2343" s="194"/>
      <c r="T2343" s="195">
        <f t="shared" si="294"/>
        <v>0</v>
      </c>
      <c r="U2343" s="195">
        <f t="shared" si="295"/>
        <v>0</v>
      </c>
      <c r="V2343" s="195">
        <f t="shared" si="296"/>
        <v>0</v>
      </c>
      <c r="W2343" s="196" t="e">
        <f t="shared" si="297"/>
        <v>#DIV/0!</v>
      </c>
      <c r="X2343" s="197" t="e">
        <f t="shared" si="298"/>
        <v>#DIV/0!</v>
      </c>
    </row>
    <row r="2344" ht="11.4" hidden="1" customHeight="1" spans="1:24">
      <c r="A2344" s="184" t="s">
        <v>3176</v>
      </c>
      <c r="B2344" s="184" t="s">
        <v>153</v>
      </c>
      <c r="C2344" s="184" t="s">
        <v>905</v>
      </c>
      <c r="D2344" s="185" t="s">
        <v>704</v>
      </c>
      <c r="E2344" s="186" t="s">
        <v>906</v>
      </c>
      <c r="F2344" s="186" t="s">
        <v>907</v>
      </c>
      <c r="G2344" s="186" t="s">
        <v>908</v>
      </c>
      <c r="H2344" s="186" t="s">
        <v>2448</v>
      </c>
      <c r="I2344" s="187" t="s">
        <v>2465</v>
      </c>
      <c r="J2344" s="187" t="s">
        <v>2466</v>
      </c>
      <c r="K2344" s="188"/>
      <c r="L2344" s="188"/>
      <c r="M2344" s="189" t="s">
        <v>807</v>
      </c>
      <c r="N2344" s="190">
        <v>146.92</v>
      </c>
      <c r="O2344" s="190">
        <f t="shared" si="291"/>
        <v>160.14</v>
      </c>
      <c r="P2344" s="191">
        <f t="shared" si="292"/>
        <v>0</v>
      </c>
      <c r="Q2344" s="192">
        <f t="shared" si="293"/>
        <v>0</v>
      </c>
      <c r="R2344" s="193"/>
      <c r="S2344" s="194"/>
      <c r="T2344" s="195">
        <f t="shared" si="294"/>
        <v>0</v>
      </c>
      <c r="U2344" s="195">
        <f t="shared" si="295"/>
        <v>0</v>
      </c>
      <c r="V2344" s="195">
        <f t="shared" si="296"/>
        <v>0</v>
      </c>
      <c r="W2344" s="196" t="e">
        <f t="shared" si="297"/>
        <v>#DIV/0!</v>
      </c>
      <c r="X2344" s="197" t="e">
        <f t="shared" si="298"/>
        <v>#DIV/0!</v>
      </c>
    </row>
    <row r="2345" ht="11.4" hidden="1" customHeight="1" spans="1:24">
      <c r="A2345" s="184" t="s">
        <v>3176</v>
      </c>
      <c r="B2345" s="184" t="s">
        <v>153</v>
      </c>
      <c r="C2345" s="184" t="s">
        <v>905</v>
      </c>
      <c r="D2345" s="185" t="s">
        <v>704</v>
      </c>
      <c r="E2345" s="186" t="s">
        <v>906</v>
      </c>
      <c r="F2345" s="186" t="s">
        <v>907</v>
      </c>
      <c r="G2345" s="186" t="s">
        <v>908</v>
      </c>
      <c r="H2345" s="186" t="s">
        <v>2448</v>
      </c>
      <c r="I2345" s="187" t="s">
        <v>2467</v>
      </c>
      <c r="J2345" s="187" t="s">
        <v>2468</v>
      </c>
      <c r="K2345" s="188"/>
      <c r="L2345" s="188"/>
      <c r="M2345" s="189" t="s">
        <v>807</v>
      </c>
      <c r="N2345" s="190">
        <v>126.78</v>
      </c>
      <c r="O2345" s="190">
        <f t="shared" si="291"/>
        <v>138.19</v>
      </c>
      <c r="P2345" s="191">
        <f t="shared" si="292"/>
        <v>0</v>
      </c>
      <c r="Q2345" s="192">
        <f t="shared" si="293"/>
        <v>0</v>
      </c>
      <c r="R2345" s="193"/>
      <c r="S2345" s="194"/>
      <c r="T2345" s="195">
        <f t="shared" si="294"/>
        <v>0</v>
      </c>
      <c r="U2345" s="195">
        <f t="shared" si="295"/>
        <v>0</v>
      </c>
      <c r="V2345" s="195">
        <f t="shared" si="296"/>
        <v>0</v>
      </c>
      <c r="W2345" s="196" t="e">
        <f t="shared" si="297"/>
        <v>#DIV/0!</v>
      </c>
      <c r="X2345" s="197" t="e">
        <f t="shared" si="298"/>
        <v>#DIV/0!</v>
      </c>
    </row>
    <row r="2346" ht="11.4" hidden="1" customHeight="1" spans="1:24">
      <c r="A2346" s="184" t="s">
        <v>3176</v>
      </c>
      <c r="B2346" s="184" t="s">
        <v>153</v>
      </c>
      <c r="C2346" s="184" t="s">
        <v>905</v>
      </c>
      <c r="D2346" s="185" t="s">
        <v>704</v>
      </c>
      <c r="E2346" s="186" t="s">
        <v>906</v>
      </c>
      <c r="F2346" s="186" t="s">
        <v>907</v>
      </c>
      <c r="G2346" s="186" t="s">
        <v>908</v>
      </c>
      <c r="H2346" s="186" t="s">
        <v>2448</v>
      </c>
      <c r="I2346" s="187" t="s">
        <v>2469</v>
      </c>
      <c r="J2346" s="187" t="s">
        <v>2470</v>
      </c>
      <c r="K2346" s="188"/>
      <c r="L2346" s="188"/>
      <c r="M2346" s="189" t="s">
        <v>807</v>
      </c>
      <c r="N2346" s="190">
        <v>109.45</v>
      </c>
      <c r="O2346" s="190">
        <f t="shared" si="291"/>
        <v>119.3</v>
      </c>
      <c r="P2346" s="191">
        <f t="shared" si="292"/>
        <v>0</v>
      </c>
      <c r="Q2346" s="192">
        <f t="shared" si="293"/>
        <v>0</v>
      </c>
      <c r="R2346" s="193"/>
      <c r="S2346" s="194"/>
      <c r="T2346" s="195">
        <f t="shared" si="294"/>
        <v>0</v>
      </c>
      <c r="U2346" s="195">
        <f t="shared" si="295"/>
        <v>0</v>
      </c>
      <c r="V2346" s="195">
        <f t="shared" si="296"/>
        <v>0</v>
      </c>
      <c r="W2346" s="196" t="e">
        <f t="shared" si="297"/>
        <v>#DIV/0!</v>
      </c>
      <c r="X2346" s="197" t="e">
        <f t="shared" si="298"/>
        <v>#DIV/0!</v>
      </c>
    </row>
    <row r="2347" ht="11.4" hidden="1" customHeight="1" spans="1:24">
      <c r="A2347" s="184" t="s">
        <v>3176</v>
      </c>
      <c r="B2347" s="184" t="s">
        <v>153</v>
      </c>
      <c r="C2347" s="184" t="s">
        <v>905</v>
      </c>
      <c r="D2347" s="185" t="s">
        <v>704</v>
      </c>
      <c r="E2347" s="186" t="s">
        <v>906</v>
      </c>
      <c r="F2347" s="186" t="s">
        <v>907</v>
      </c>
      <c r="G2347" s="186" t="s">
        <v>908</v>
      </c>
      <c r="H2347" s="186" t="s">
        <v>2448</v>
      </c>
      <c r="I2347" s="187" t="s">
        <v>2471</v>
      </c>
      <c r="J2347" s="187" t="s">
        <v>2472</v>
      </c>
      <c r="K2347" s="188"/>
      <c r="L2347" s="188"/>
      <c r="M2347" s="189" t="s">
        <v>807</v>
      </c>
      <c r="N2347" s="190">
        <v>95.83</v>
      </c>
      <c r="O2347" s="190">
        <f t="shared" si="291"/>
        <v>104.45</v>
      </c>
      <c r="P2347" s="191">
        <f t="shared" si="292"/>
        <v>0</v>
      </c>
      <c r="Q2347" s="192">
        <f t="shared" si="293"/>
        <v>0</v>
      </c>
      <c r="R2347" s="193"/>
      <c r="S2347" s="194"/>
      <c r="T2347" s="195">
        <f t="shared" si="294"/>
        <v>0</v>
      </c>
      <c r="U2347" s="195">
        <f t="shared" si="295"/>
        <v>0</v>
      </c>
      <c r="V2347" s="195">
        <f t="shared" si="296"/>
        <v>0</v>
      </c>
      <c r="W2347" s="196" t="e">
        <f t="shared" si="297"/>
        <v>#DIV/0!</v>
      </c>
      <c r="X2347" s="197" t="e">
        <f t="shared" si="298"/>
        <v>#DIV/0!</v>
      </c>
    </row>
    <row r="2348" ht="11.4" hidden="1" customHeight="1" spans="1:24">
      <c r="A2348" s="184" t="s">
        <v>3176</v>
      </c>
      <c r="B2348" s="184" t="s">
        <v>153</v>
      </c>
      <c r="C2348" s="184" t="s">
        <v>905</v>
      </c>
      <c r="D2348" s="185" t="s">
        <v>704</v>
      </c>
      <c r="E2348" s="186" t="s">
        <v>906</v>
      </c>
      <c r="F2348" s="186" t="s">
        <v>907</v>
      </c>
      <c r="G2348" s="186" t="s">
        <v>908</v>
      </c>
      <c r="H2348" s="186" t="s">
        <v>2448</v>
      </c>
      <c r="I2348" s="187" t="s">
        <v>2473</v>
      </c>
      <c r="J2348" s="187" t="s">
        <v>2474</v>
      </c>
      <c r="K2348" s="188"/>
      <c r="L2348" s="188"/>
      <c r="M2348" s="189" t="s">
        <v>807</v>
      </c>
      <c r="N2348" s="190">
        <v>82.51</v>
      </c>
      <c r="O2348" s="190">
        <f t="shared" si="291"/>
        <v>89.94</v>
      </c>
      <c r="P2348" s="191">
        <f t="shared" si="292"/>
        <v>0</v>
      </c>
      <c r="Q2348" s="192">
        <f t="shared" si="293"/>
        <v>0</v>
      </c>
      <c r="R2348" s="193"/>
      <c r="S2348" s="194"/>
      <c r="T2348" s="195">
        <f t="shared" si="294"/>
        <v>0</v>
      </c>
      <c r="U2348" s="195">
        <f t="shared" si="295"/>
        <v>0</v>
      </c>
      <c r="V2348" s="195">
        <f t="shared" si="296"/>
        <v>0</v>
      </c>
      <c r="W2348" s="196" t="e">
        <f t="shared" si="297"/>
        <v>#DIV/0!</v>
      </c>
      <c r="X2348" s="197" t="e">
        <f t="shared" si="298"/>
        <v>#DIV/0!</v>
      </c>
    </row>
    <row r="2349" ht="11.4" hidden="1" customHeight="1" spans="1:24">
      <c r="A2349" s="184" t="s">
        <v>3176</v>
      </c>
      <c r="B2349" s="184" t="s">
        <v>153</v>
      </c>
      <c r="C2349" s="184" t="s">
        <v>905</v>
      </c>
      <c r="D2349" s="185" t="s">
        <v>704</v>
      </c>
      <c r="E2349" s="186" t="s">
        <v>906</v>
      </c>
      <c r="F2349" s="186" t="s">
        <v>907</v>
      </c>
      <c r="G2349" s="186" t="s">
        <v>908</v>
      </c>
      <c r="H2349" s="186" t="s">
        <v>2448</v>
      </c>
      <c r="I2349" s="187" t="s">
        <v>2475</v>
      </c>
      <c r="J2349" s="187" t="s">
        <v>2476</v>
      </c>
      <c r="K2349" s="188"/>
      <c r="L2349" s="188"/>
      <c r="M2349" s="189" t="s">
        <v>807</v>
      </c>
      <c r="N2349" s="190">
        <v>75.09</v>
      </c>
      <c r="O2349" s="190">
        <f t="shared" si="291"/>
        <v>81.85</v>
      </c>
      <c r="P2349" s="191">
        <f t="shared" si="292"/>
        <v>0</v>
      </c>
      <c r="Q2349" s="192">
        <f t="shared" si="293"/>
        <v>0</v>
      </c>
      <c r="R2349" s="193"/>
      <c r="S2349" s="194"/>
      <c r="T2349" s="195">
        <f t="shared" si="294"/>
        <v>0</v>
      </c>
      <c r="U2349" s="195">
        <f t="shared" si="295"/>
        <v>0</v>
      </c>
      <c r="V2349" s="195">
        <f t="shared" si="296"/>
        <v>0</v>
      </c>
      <c r="W2349" s="196" t="e">
        <f t="shared" si="297"/>
        <v>#DIV/0!</v>
      </c>
      <c r="X2349" s="197" t="e">
        <f t="shared" si="298"/>
        <v>#DIV/0!</v>
      </c>
    </row>
    <row r="2350" ht="11.4" hidden="1" customHeight="1" spans="1:24">
      <c r="A2350" s="184" t="s">
        <v>3176</v>
      </c>
      <c r="B2350" s="184" t="s">
        <v>153</v>
      </c>
      <c r="C2350" s="184" t="s">
        <v>905</v>
      </c>
      <c r="D2350" s="185" t="s">
        <v>704</v>
      </c>
      <c r="E2350" s="186" t="s">
        <v>906</v>
      </c>
      <c r="F2350" s="186" t="s">
        <v>907</v>
      </c>
      <c r="G2350" s="186" t="s">
        <v>908</v>
      </c>
      <c r="H2350" s="186" t="s">
        <v>2448</v>
      </c>
      <c r="I2350" s="187" t="s">
        <v>2477</v>
      </c>
      <c r="J2350" s="187" t="s">
        <v>2478</v>
      </c>
      <c r="K2350" s="188"/>
      <c r="L2350" s="188"/>
      <c r="M2350" s="189" t="s">
        <v>807</v>
      </c>
      <c r="N2350" s="190">
        <v>64.9</v>
      </c>
      <c r="O2350" s="190">
        <f t="shared" si="291"/>
        <v>70.74</v>
      </c>
      <c r="P2350" s="191">
        <f t="shared" si="292"/>
        <v>0</v>
      </c>
      <c r="Q2350" s="192">
        <f t="shared" si="293"/>
        <v>0</v>
      </c>
      <c r="R2350" s="193"/>
      <c r="S2350" s="194"/>
      <c r="T2350" s="195">
        <f t="shared" si="294"/>
        <v>0</v>
      </c>
      <c r="U2350" s="195">
        <f t="shared" si="295"/>
        <v>0</v>
      </c>
      <c r="V2350" s="195">
        <f t="shared" si="296"/>
        <v>0</v>
      </c>
      <c r="W2350" s="196" t="e">
        <f t="shared" si="297"/>
        <v>#DIV/0!</v>
      </c>
      <c r="X2350" s="197" t="e">
        <f t="shared" si="298"/>
        <v>#DIV/0!</v>
      </c>
    </row>
    <row r="2351" ht="11.4" hidden="1" customHeight="1" spans="1:24">
      <c r="A2351" s="184" t="s">
        <v>3176</v>
      </c>
      <c r="B2351" s="184" t="s">
        <v>153</v>
      </c>
      <c r="C2351" s="184" t="s">
        <v>905</v>
      </c>
      <c r="D2351" s="185" t="s">
        <v>704</v>
      </c>
      <c r="E2351" s="186" t="s">
        <v>906</v>
      </c>
      <c r="F2351" s="186" t="s">
        <v>907</v>
      </c>
      <c r="G2351" s="186" t="s">
        <v>908</v>
      </c>
      <c r="H2351" s="186" t="s">
        <v>2479</v>
      </c>
      <c r="I2351" s="187" t="s">
        <v>2480</v>
      </c>
      <c r="J2351" s="187" t="s">
        <v>2481</v>
      </c>
      <c r="K2351" s="188"/>
      <c r="L2351" s="188"/>
      <c r="M2351" s="189" t="s">
        <v>963</v>
      </c>
      <c r="N2351" s="190">
        <v>418.43</v>
      </c>
      <c r="O2351" s="190">
        <f t="shared" si="291"/>
        <v>456.09</v>
      </c>
      <c r="P2351" s="191">
        <f t="shared" si="292"/>
        <v>0</v>
      </c>
      <c r="Q2351" s="192">
        <f t="shared" si="293"/>
        <v>0</v>
      </c>
      <c r="R2351" s="193"/>
      <c r="S2351" s="194"/>
      <c r="T2351" s="195">
        <f t="shared" si="294"/>
        <v>0</v>
      </c>
      <c r="U2351" s="195">
        <f t="shared" si="295"/>
        <v>0</v>
      </c>
      <c r="V2351" s="195">
        <f t="shared" si="296"/>
        <v>0</v>
      </c>
      <c r="W2351" s="196" t="e">
        <f t="shared" si="297"/>
        <v>#DIV/0!</v>
      </c>
      <c r="X2351" s="197" t="e">
        <f t="shared" si="298"/>
        <v>#DIV/0!</v>
      </c>
    </row>
    <row r="2352" ht="11.4" hidden="1" customHeight="1" spans="1:24">
      <c r="A2352" s="184" t="s">
        <v>3176</v>
      </c>
      <c r="B2352" s="184" t="s">
        <v>153</v>
      </c>
      <c r="C2352" s="184" t="s">
        <v>905</v>
      </c>
      <c r="D2352" s="185" t="s">
        <v>704</v>
      </c>
      <c r="E2352" s="186" t="s">
        <v>906</v>
      </c>
      <c r="F2352" s="186" t="s">
        <v>907</v>
      </c>
      <c r="G2352" s="186" t="s">
        <v>908</v>
      </c>
      <c r="H2352" s="186" t="s">
        <v>2479</v>
      </c>
      <c r="I2352" s="187" t="s">
        <v>2482</v>
      </c>
      <c r="J2352" s="187" t="s">
        <v>2483</v>
      </c>
      <c r="K2352" s="188"/>
      <c r="L2352" s="188"/>
      <c r="M2352" s="189" t="s">
        <v>963</v>
      </c>
      <c r="N2352" s="190">
        <v>360.13</v>
      </c>
      <c r="O2352" s="190">
        <f t="shared" si="291"/>
        <v>392.54</v>
      </c>
      <c r="P2352" s="191">
        <f t="shared" si="292"/>
        <v>0</v>
      </c>
      <c r="Q2352" s="192">
        <f t="shared" si="293"/>
        <v>0</v>
      </c>
      <c r="R2352" s="193"/>
      <c r="S2352" s="194"/>
      <c r="T2352" s="195">
        <f t="shared" si="294"/>
        <v>0</v>
      </c>
      <c r="U2352" s="195">
        <f t="shared" si="295"/>
        <v>0</v>
      </c>
      <c r="V2352" s="195">
        <f t="shared" si="296"/>
        <v>0</v>
      </c>
      <c r="W2352" s="196" t="e">
        <f t="shared" si="297"/>
        <v>#DIV/0!</v>
      </c>
      <c r="X2352" s="197" t="e">
        <f t="shared" si="298"/>
        <v>#DIV/0!</v>
      </c>
    </row>
    <row r="2353" ht="11.4" hidden="1" customHeight="1" spans="1:24">
      <c r="A2353" s="184" t="s">
        <v>3176</v>
      </c>
      <c r="B2353" s="184" t="s">
        <v>153</v>
      </c>
      <c r="C2353" s="184" t="s">
        <v>905</v>
      </c>
      <c r="D2353" s="185" t="s">
        <v>704</v>
      </c>
      <c r="E2353" s="186" t="s">
        <v>906</v>
      </c>
      <c r="F2353" s="186" t="s">
        <v>907</v>
      </c>
      <c r="G2353" s="186" t="s">
        <v>908</v>
      </c>
      <c r="H2353" s="186" t="s">
        <v>2479</v>
      </c>
      <c r="I2353" s="187" t="s">
        <v>2484</v>
      </c>
      <c r="J2353" s="187" t="s">
        <v>2485</v>
      </c>
      <c r="K2353" s="188"/>
      <c r="L2353" s="188"/>
      <c r="M2353" s="189" t="s">
        <v>963</v>
      </c>
      <c r="N2353" s="190">
        <v>297.43</v>
      </c>
      <c r="O2353" s="190">
        <f t="shared" si="291"/>
        <v>324.2</v>
      </c>
      <c r="P2353" s="191">
        <f t="shared" si="292"/>
        <v>0</v>
      </c>
      <c r="Q2353" s="192">
        <f t="shared" si="293"/>
        <v>0</v>
      </c>
      <c r="R2353" s="193"/>
      <c r="S2353" s="194"/>
      <c r="T2353" s="195">
        <f t="shared" si="294"/>
        <v>0</v>
      </c>
      <c r="U2353" s="195">
        <f t="shared" si="295"/>
        <v>0</v>
      </c>
      <c r="V2353" s="195">
        <f t="shared" si="296"/>
        <v>0</v>
      </c>
      <c r="W2353" s="196" t="e">
        <f t="shared" si="297"/>
        <v>#DIV/0!</v>
      </c>
      <c r="X2353" s="197" t="e">
        <f t="shared" si="298"/>
        <v>#DIV/0!</v>
      </c>
    </row>
    <row r="2354" ht="11.4" hidden="1" customHeight="1" spans="1:24">
      <c r="A2354" s="184" t="s">
        <v>3176</v>
      </c>
      <c r="B2354" s="184" t="s">
        <v>153</v>
      </c>
      <c r="C2354" s="184" t="s">
        <v>905</v>
      </c>
      <c r="D2354" s="185" t="s">
        <v>704</v>
      </c>
      <c r="E2354" s="186" t="s">
        <v>906</v>
      </c>
      <c r="F2354" s="186" t="s">
        <v>907</v>
      </c>
      <c r="G2354" s="186" t="s">
        <v>908</v>
      </c>
      <c r="H2354" s="186" t="s">
        <v>2479</v>
      </c>
      <c r="I2354" s="187" t="s">
        <v>2486</v>
      </c>
      <c r="J2354" s="187" t="s">
        <v>2487</v>
      </c>
      <c r="K2354" s="188"/>
      <c r="L2354" s="188"/>
      <c r="M2354" s="189" t="s">
        <v>963</v>
      </c>
      <c r="N2354" s="190">
        <v>412.93</v>
      </c>
      <c r="O2354" s="190">
        <f t="shared" si="291"/>
        <v>450.09</v>
      </c>
      <c r="P2354" s="191">
        <f t="shared" si="292"/>
        <v>0</v>
      </c>
      <c r="Q2354" s="192">
        <f t="shared" si="293"/>
        <v>0</v>
      </c>
      <c r="R2354" s="193"/>
      <c r="S2354" s="194"/>
      <c r="T2354" s="195">
        <f t="shared" si="294"/>
        <v>0</v>
      </c>
      <c r="U2354" s="195">
        <f t="shared" si="295"/>
        <v>0</v>
      </c>
      <c r="V2354" s="195">
        <f t="shared" si="296"/>
        <v>0</v>
      </c>
      <c r="W2354" s="196" t="e">
        <f t="shared" si="297"/>
        <v>#DIV/0!</v>
      </c>
      <c r="X2354" s="197" t="e">
        <f t="shared" si="298"/>
        <v>#DIV/0!</v>
      </c>
    </row>
    <row r="2355" ht="11.4" hidden="1" customHeight="1" spans="1:24">
      <c r="A2355" s="184" t="s">
        <v>3176</v>
      </c>
      <c r="B2355" s="184" t="s">
        <v>153</v>
      </c>
      <c r="C2355" s="184" t="s">
        <v>905</v>
      </c>
      <c r="D2355" s="185" t="s">
        <v>704</v>
      </c>
      <c r="E2355" s="186" t="s">
        <v>906</v>
      </c>
      <c r="F2355" s="186" t="s">
        <v>907</v>
      </c>
      <c r="G2355" s="186" t="s">
        <v>908</v>
      </c>
      <c r="H2355" s="186" t="s">
        <v>2479</v>
      </c>
      <c r="I2355" s="187" t="s">
        <v>2488</v>
      </c>
      <c r="J2355" s="187" t="s">
        <v>2489</v>
      </c>
      <c r="K2355" s="188"/>
      <c r="L2355" s="188"/>
      <c r="M2355" s="189" t="s">
        <v>963</v>
      </c>
      <c r="N2355" s="190">
        <v>363.43</v>
      </c>
      <c r="O2355" s="190">
        <f t="shared" si="291"/>
        <v>396.14</v>
      </c>
      <c r="P2355" s="191">
        <f t="shared" si="292"/>
        <v>0</v>
      </c>
      <c r="Q2355" s="192">
        <f t="shared" si="293"/>
        <v>0</v>
      </c>
      <c r="R2355" s="193"/>
      <c r="S2355" s="194"/>
      <c r="T2355" s="195">
        <f t="shared" si="294"/>
        <v>0</v>
      </c>
      <c r="U2355" s="195">
        <f t="shared" si="295"/>
        <v>0</v>
      </c>
      <c r="V2355" s="195">
        <f t="shared" si="296"/>
        <v>0</v>
      </c>
      <c r="W2355" s="196" t="e">
        <f t="shared" si="297"/>
        <v>#DIV/0!</v>
      </c>
      <c r="X2355" s="197" t="e">
        <f t="shared" si="298"/>
        <v>#DIV/0!</v>
      </c>
    </row>
    <row r="2356" ht="11.4" hidden="1" customHeight="1" spans="1:24">
      <c r="A2356" s="184" t="s">
        <v>3176</v>
      </c>
      <c r="B2356" s="184" t="s">
        <v>153</v>
      </c>
      <c r="C2356" s="184" t="s">
        <v>905</v>
      </c>
      <c r="D2356" s="185" t="s">
        <v>704</v>
      </c>
      <c r="E2356" s="186" t="s">
        <v>906</v>
      </c>
      <c r="F2356" s="186" t="s">
        <v>907</v>
      </c>
      <c r="G2356" s="186" t="s">
        <v>908</v>
      </c>
      <c r="H2356" s="186" t="s">
        <v>2479</v>
      </c>
      <c r="I2356" s="187" t="s">
        <v>2490</v>
      </c>
      <c r="J2356" s="187" t="s">
        <v>2491</v>
      </c>
      <c r="K2356" s="188"/>
      <c r="L2356" s="188"/>
      <c r="M2356" s="189" t="s">
        <v>963</v>
      </c>
      <c r="N2356" s="190">
        <v>348.03</v>
      </c>
      <c r="O2356" s="190">
        <f t="shared" si="291"/>
        <v>379.35</v>
      </c>
      <c r="P2356" s="191">
        <f t="shared" si="292"/>
        <v>0</v>
      </c>
      <c r="Q2356" s="192">
        <f t="shared" si="293"/>
        <v>0</v>
      </c>
      <c r="R2356" s="193"/>
      <c r="S2356" s="194"/>
      <c r="T2356" s="195">
        <f t="shared" si="294"/>
        <v>0</v>
      </c>
      <c r="U2356" s="195">
        <f t="shared" si="295"/>
        <v>0</v>
      </c>
      <c r="V2356" s="195">
        <f t="shared" si="296"/>
        <v>0</v>
      </c>
      <c r="W2356" s="196" t="e">
        <f t="shared" si="297"/>
        <v>#DIV/0!</v>
      </c>
      <c r="X2356" s="197" t="e">
        <f t="shared" si="298"/>
        <v>#DIV/0!</v>
      </c>
    </row>
    <row r="2357" ht="11.4" hidden="1" customHeight="1" spans="1:24">
      <c r="A2357" s="184" t="s">
        <v>3176</v>
      </c>
      <c r="B2357" s="184" t="s">
        <v>153</v>
      </c>
      <c r="C2357" s="184" t="s">
        <v>905</v>
      </c>
      <c r="D2357" s="185" t="s">
        <v>704</v>
      </c>
      <c r="E2357" s="186" t="s">
        <v>906</v>
      </c>
      <c r="F2357" s="186" t="s">
        <v>907</v>
      </c>
      <c r="G2357" s="186" t="s">
        <v>908</v>
      </c>
      <c r="H2357" s="186" t="s">
        <v>2479</v>
      </c>
      <c r="I2357" s="187" t="s">
        <v>2492</v>
      </c>
      <c r="J2357" s="187" t="s">
        <v>2493</v>
      </c>
      <c r="K2357" s="188"/>
      <c r="L2357" s="188"/>
      <c r="M2357" s="189" t="s">
        <v>807</v>
      </c>
      <c r="N2357" s="190">
        <v>212.29</v>
      </c>
      <c r="O2357" s="190">
        <f t="shared" si="291"/>
        <v>231.4</v>
      </c>
      <c r="P2357" s="191">
        <f t="shared" si="292"/>
        <v>0</v>
      </c>
      <c r="Q2357" s="192">
        <f t="shared" si="293"/>
        <v>0</v>
      </c>
      <c r="R2357" s="193"/>
      <c r="S2357" s="194"/>
      <c r="T2357" s="195">
        <f t="shared" si="294"/>
        <v>0</v>
      </c>
      <c r="U2357" s="195">
        <f t="shared" si="295"/>
        <v>0</v>
      </c>
      <c r="V2357" s="195">
        <f t="shared" si="296"/>
        <v>0</v>
      </c>
      <c r="W2357" s="196" t="e">
        <f t="shared" si="297"/>
        <v>#DIV/0!</v>
      </c>
      <c r="X2357" s="197" t="e">
        <f t="shared" si="298"/>
        <v>#DIV/0!</v>
      </c>
    </row>
    <row r="2358" ht="11.4" hidden="1" customHeight="1" spans="1:24">
      <c r="A2358" s="184" t="s">
        <v>3176</v>
      </c>
      <c r="B2358" s="184" t="s">
        <v>153</v>
      </c>
      <c r="C2358" s="184" t="s">
        <v>905</v>
      </c>
      <c r="D2358" s="185" t="s">
        <v>704</v>
      </c>
      <c r="E2358" s="186" t="s">
        <v>906</v>
      </c>
      <c r="F2358" s="186" t="s">
        <v>907</v>
      </c>
      <c r="G2358" s="186" t="s">
        <v>908</v>
      </c>
      <c r="H2358" s="186" t="s">
        <v>2479</v>
      </c>
      <c r="I2358" s="187" t="s">
        <v>2495</v>
      </c>
      <c r="J2358" s="187" t="s">
        <v>2496</v>
      </c>
      <c r="K2358" s="188"/>
      <c r="L2358" s="188"/>
      <c r="M2358" s="189" t="s">
        <v>963</v>
      </c>
      <c r="N2358" s="190">
        <v>488.83</v>
      </c>
      <c r="O2358" s="190">
        <f t="shared" si="291"/>
        <v>532.82</v>
      </c>
      <c r="P2358" s="191">
        <f t="shared" si="292"/>
        <v>0</v>
      </c>
      <c r="Q2358" s="192">
        <f t="shared" si="293"/>
        <v>0</v>
      </c>
      <c r="R2358" s="193"/>
      <c r="S2358" s="194"/>
      <c r="T2358" s="195">
        <f t="shared" si="294"/>
        <v>0</v>
      </c>
      <c r="U2358" s="195">
        <f t="shared" si="295"/>
        <v>0</v>
      </c>
      <c r="V2358" s="195">
        <f t="shared" si="296"/>
        <v>0</v>
      </c>
      <c r="W2358" s="196" t="e">
        <f t="shared" si="297"/>
        <v>#DIV/0!</v>
      </c>
      <c r="X2358" s="197" t="e">
        <f t="shared" si="298"/>
        <v>#DIV/0!</v>
      </c>
    </row>
    <row r="2359" ht="11.4" hidden="1" customHeight="1" spans="1:24">
      <c r="A2359" s="184" t="s">
        <v>3176</v>
      </c>
      <c r="B2359" s="184" t="s">
        <v>153</v>
      </c>
      <c r="C2359" s="184" t="s">
        <v>905</v>
      </c>
      <c r="D2359" s="185" t="s">
        <v>704</v>
      </c>
      <c r="E2359" s="186" t="s">
        <v>906</v>
      </c>
      <c r="F2359" s="186" t="s">
        <v>907</v>
      </c>
      <c r="G2359" s="186" t="s">
        <v>908</v>
      </c>
      <c r="H2359" s="186" t="s">
        <v>2479</v>
      </c>
      <c r="I2359" s="187" t="s">
        <v>2497</v>
      </c>
      <c r="J2359" s="187" t="s">
        <v>2498</v>
      </c>
      <c r="K2359" s="188"/>
      <c r="L2359" s="188"/>
      <c r="M2359" s="189" t="s">
        <v>963</v>
      </c>
      <c r="N2359" s="190">
        <v>277.63</v>
      </c>
      <c r="O2359" s="190">
        <f t="shared" si="291"/>
        <v>302.62</v>
      </c>
      <c r="P2359" s="191">
        <f t="shared" si="292"/>
        <v>0</v>
      </c>
      <c r="Q2359" s="192">
        <f t="shared" si="293"/>
        <v>0</v>
      </c>
      <c r="R2359" s="193"/>
      <c r="S2359" s="194"/>
      <c r="T2359" s="195">
        <f t="shared" si="294"/>
        <v>0</v>
      </c>
      <c r="U2359" s="195">
        <f t="shared" si="295"/>
        <v>0</v>
      </c>
      <c r="V2359" s="195">
        <f t="shared" si="296"/>
        <v>0</v>
      </c>
      <c r="W2359" s="196" t="e">
        <f t="shared" si="297"/>
        <v>#DIV/0!</v>
      </c>
      <c r="X2359" s="197" t="e">
        <f t="shared" si="298"/>
        <v>#DIV/0!</v>
      </c>
    </row>
    <row r="2360" ht="11.4" hidden="1" customHeight="1" spans="1:24">
      <c r="A2360" s="184" t="s">
        <v>3176</v>
      </c>
      <c r="B2360" s="184" t="s">
        <v>153</v>
      </c>
      <c r="C2360" s="184" t="s">
        <v>905</v>
      </c>
      <c r="D2360" s="185" t="s">
        <v>704</v>
      </c>
      <c r="E2360" s="186" t="s">
        <v>906</v>
      </c>
      <c r="F2360" s="186" t="s">
        <v>907</v>
      </c>
      <c r="G2360" s="186" t="s">
        <v>908</v>
      </c>
      <c r="H2360" s="186" t="s">
        <v>2479</v>
      </c>
      <c r="I2360" s="187" t="s">
        <v>2499</v>
      </c>
      <c r="J2360" s="187" t="s">
        <v>2500</v>
      </c>
      <c r="K2360" s="188"/>
      <c r="L2360" s="188"/>
      <c r="M2360" s="189" t="s">
        <v>963</v>
      </c>
      <c r="N2360" s="190">
        <v>430.53</v>
      </c>
      <c r="O2360" s="190">
        <f t="shared" si="291"/>
        <v>469.28</v>
      </c>
      <c r="P2360" s="191">
        <f t="shared" si="292"/>
        <v>0</v>
      </c>
      <c r="Q2360" s="192">
        <f t="shared" si="293"/>
        <v>0</v>
      </c>
      <c r="R2360" s="193"/>
      <c r="S2360" s="194"/>
      <c r="T2360" s="195">
        <f t="shared" si="294"/>
        <v>0</v>
      </c>
      <c r="U2360" s="195">
        <f t="shared" si="295"/>
        <v>0</v>
      </c>
      <c r="V2360" s="195">
        <f t="shared" si="296"/>
        <v>0</v>
      </c>
      <c r="W2360" s="196" t="e">
        <f t="shared" si="297"/>
        <v>#DIV/0!</v>
      </c>
      <c r="X2360" s="197" t="e">
        <f t="shared" si="298"/>
        <v>#DIV/0!</v>
      </c>
    </row>
    <row r="2361" ht="11.4" hidden="1" customHeight="1" spans="1:24">
      <c r="A2361" s="184" t="s">
        <v>3176</v>
      </c>
      <c r="B2361" s="184" t="s">
        <v>153</v>
      </c>
      <c r="C2361" s="184" t="s">
        <v>905</v>
      </c>
      <c r="D2361" s="185" t="s">
        <v>704</v>
      </c>
      <c r="E2361" s="186" t="s">
        <v>906</v>
      </c>
      <c r="F2361" s="186" t="s">
        <v>907</v>
      </c>
      <c r="G2361" s="186" t="s">
        <v>908</v>
      </c>
      <c r="H2361" s="186" t="s">
        <v>2479</v>
      </c>
      <c r="I2361" s="187" t="s">
        <v>2501</v>
      </c>
      <c r="J2361" s="187" t="s">
        <v>2502</v>
      </c>
      <c r="K2361" s="188"/>
      <c r="L2361" s="188"/>
      <c r="M2361" s="189" t="s">
        <v>963</v>
      </c>
      <c r="N2361" s="190">
        <v>720.06</v>
      </c>
      <c r="O2361" s="190">
        <f t="shared" si="291"/>
        <v>784.87</v>
      </c>
      <c r="P2361" s="191">
        <f t="shared" si="292"/>
        <v>0</v>
      </c>
      <c r="Q2361" s="192">
        <f t="shared" si="293"/>
        <v>0</v>
      </c>
      <c r="R2361" s="193"/>
      <c r="S2361" s="194"/>
      <c r="T2361" s="195">
        <f t="shared" si="294"/>
        <v>0</v>
      </c>
      <c r="U2361" s="195">
        <f t="shared" si="295"/>
        <v>0</v>
      </c>
      <c r="V2361" s="195">
        <f t="shared" si="296"/>
        <v>0</v>
      </c>
      <c r="W2361" s="196" t="e">
        <f t="shared" si="297"/>
        <v>#DIV/0!</v>
      </c>
      <c r="X2361" s="197" t="e">
        <f t="shared" si="298"/>
        <v>#DIV/0!</v>
      </c>
    </row>
    <row r="2362" ht="11.4" hidden="1" customHeight="1" spans="1:24">
      <c r="A2362" s="184" t="s">
        <v>3176</v>
      </c>
      <c r="B2362" s="184" t="s">
        <v>153</v>
      </c>
      <c r="C2362" s="184" t="s">
        <v>905</v>
      </c>
      <c r="D2362" s="185" t="s">
        <v>704</v>
      </c>
      <c r="E2362" s="186" t="s">
        <v>906</v>
      </c>
      <c r="F2362" s="186" t="s">
        <v>907</v>
      </c>
      <c r="G2362" s="186" t="s">
        <v>908</v>
      </c>
      <c r="H2362" s="186" t="s">
        <v>2479</v>
      </c>
      <c r="I2362" s="187" t="s">
        <v>2503</v>
      </c>
      <c r="J2362" s="187" t="s">
        <v>2504</v>
      </c>
      <c r="K2362" s="188"/>
      <c r="L2362" s="188"/>
      <c r="M2362" s="189" t="s">
        <v>963</v>
      </c>
      <c r="N2362" s="190">
        <v>358.38</v>
      </c>
      <c r="O2362" s="190">
        <f t="shared" si="291"/>
        <v>390.63</v>
      </c>
      <c r="P2362" s="191">
        <f t="shared" si="292"/>
        <v>0</v>
      </c>
      <c r="Q2362" s="192">
        <f t="shared" si="293"/>
        <v>0</v>
      </c>
      <c r="R2362" s="193"/>
      <c r="S2362" s="194"/>
      <c r="T2362" s="195">
        <f t="shared" si="294"/>
        <v>0</v>
      </c>
      <c r="U2362" s="195">
        <f t="shared" si="295"/>
        <v>0</v>
      </c>
      <c r="V2362" s="195">
        <f t="shared" si="296"/>
        <v>0</v>
      </c>
      <c r="W2362" s="196" t="e">
        <f t="shared" si="297"/>
        <v>#DIV/0!</v>
      </c>
      <c r="X2362" s="197" t="e">
        <f t="shared" si="298"/>
        <v>#DIV/0!</v>
      </c>
    </row>
    <row r="2363" ht="11.4" hidden="1" customHeight="1" spans="1:24">
      <c r="A2363" s="184" t="s">
        <v>3176</v>
      </c>
      <c r="B2363" s="184" t="s">
        <v>153</v>
      </c>
      <c r="C2363" s="184" t="s">
        <v>905</v>
      </c>
      <c r="D2363" s="185" t="s">
        <v>704</v>
      </c>
      <c r="E2363" s="186" t="s">
        <v>906</v>
      </c>
      <c r="F2363" s="186" t="s">
        <v>907</v>
      </c>
      <c r="G2363" s="186" t="s">
        <v>908</v>
      </c>
      <c r="H2363" s="186" t="s">
        <v>2479</v>
      </c>
      <c r="I2363" s="187" t="s">
        <v>2506</v>
      </c>
      <c r="J2363" s="187" t="s">
        <v>2507</v>
      </c>
      <c r="K2363" s="188"/>
      <c r="L2363" s="188"/>
      <c r="M2363" s="189" t="s">
        <v>963</v>
      </c>
      <c r="N2363" s="190">
        <v>597.73</v>
      </c>
      <c r="O2363" s="190">
        <f t="shared" si="291"/>
        <v>651.53</v>
      </c>
      <c r="P2363" s="191">
        <f t="shared" si="292"/>
        <v>0</v>
      </c>
      <c r="Q2363" s="192">
        <f t="shared" si="293"/>
        <v>0</v>
      </c>
      <c r="R2363" s="193"/>
      <c r="S2363" s="194"/>
      <c r="T2363" s="195">
        <f t="shared" si="294"/>
        <v>0</v>
      </c>
      <c r="U2363" s="195">
        <f t="shared" si="295"/>
        <v>0</v>
      </c>
      <c r="V2363" s="195">
        <f t="shared" si="296"/>
        <v>0</v>
      </c>
      <c r="W2363" s="196" t="e">
        <f t="shared" si="297"/>
        <v>#DIV/0!</v>
      </c>
      <c r="X2363" s="197" t="e">
        <f t="shared" si="298"/>
        <v>#DIV/0!</v>
      </c>
    </row>
    <row r="2364" ht="11.4" hidden="1" customHeight="1" spans="1:24">
      <c r="A2364" s="184" t="s">
        <v>3176</v>
      </c>
      <c r="B2364" s="184" t="s">
        <v>153</v>
      </c>
      <c r="C2364" s="184" t="s">
        <v>905</v>
      </c>
      <c r="D2364" s="185" t="s">
        <v>704</v>
      </c>
      <c r="E2364" s="186" t="s">
        <v>906</v>
      </c>
      <c r="F2364" s="186" t="s">
        <v>907</v>
      </c>
      <c r="G2364" s="186" t="s">
        <v>908</v>
      </c>
      <c r="H2364" s="186" t="s">
        <v>2479</v>
      </c>
      <c r="I2364" s="187" t="s">
        <v>2508</v>
      </c>
      <c r="J2364" s="187" t="s">
        <v>2509</v>
      </c>
      <c r="K2364" s="188"/>
      <c r="L2364" s="188"/>
      <c r="M2364" s="189" t="s">
        <v>963</v>
      </c>
      <c r="N2364" s="190">
        <v>368.83</v>
      </c>
      <c r="O2364" s="190">
        <f t="shared" si="291"/>
        <v>402.02</v>
      </c>
      <c r="P2364" s="191">
        <f t="shared" si="292"/>
        <v>0</v>
      </c>
      <c r="Q2364" s="192">
        <f t="shared" si="293"/>
        <v>0</v>
      </c>
      <c r="R2364" s="193"/>
      <c r="S2364" s="194"/>
      <c r="T2364" s="195">
        <f t="shared" si="294"/>
        <v>0</v>
      </c>
      <c r="U2364" s="195">
        <f t="shared" si="295"/>
        <v>0</v>
      </c>
      <c r="V2364" s="195">
        <f t="shared" si="296"/>
        <v>0</v>
      </c>
      <c r="W2364" s="196" t="e">
        <f t="shared" si="297"/>
        <v>#DIV/0!</v>
      </c>
      <c r="X2364" s="197" t="e">
        <f t="shared" si="298"/>
        <v>#DIV/0!</v>
      </c>
    </row>
    <row r="2365" ht="11.4" hidden="1" customHeight="1" spans="1:24">
      <c r="A2365" s="184" t="s">
        <v>3176</v>
      </c>
      <c r="B2365" s="184" t="s">
        <v>153</v>
      </c>
      <c r="C2365" s="184" t="s">
        <v>905</v>
      </c>
      <c r="D2365" s="185" t="s">
        <v>704</v>
      </c>
      <c r="E2365" s="186" t="s">
        <v>906</v>
      </c>
      <c r="F2365" s="186" t="s">
        <v>907</v>
      </c>
      <c r="G2365" s="186" t="s">
        <v>908</v>
      </c>
      <c r="H2365" s="186" t="s">
        <v>2479</v>
      </c>
      <c r="I2365" s="187" t="s">
        <v>2510</v>
      </c>
      <c r="J2365" s="187" t="s">
        <v>2511</v>
      </c>
      <c r="K2365" s="188"/>
      <c r="L2365" s="188"/>
      <c r="M2365" s="189" t="s">
        <v>963</v>
      </c>
      <c r="N2365" s="190">
        <v>623.03</v>
      </c>
      <c r="O2365" s="190">
        <f t="shared" si="291"/>
        <v>679.1</v>
      </c>
      <c r="P2365" s="191">
        <f t="shared" si="292"/>
        <v>0</v>
      </c>
      <c r="Q2365" s="192">
        <f t="shared" si="293"/>
        <v>0</v>
      </c>
      <c r="R2365" s="193"/>
      <c r="S2365" s="194"/>
      <c r="T2365" s="195">
        <f t="shared" si="294"/>
        <v>0</v>
      </c>
      <c r="U2365" s="195">
        <f t="shared" si="295"/>
        <v>0</v>
      </c>
      <c r="V2365" s="195">
        <f t="shared" si="296"/>
        <v>0</v>
      </c>
      <c r="W2365" s="196" t="e">
        <f t="shared" si="297"/>
        <v>#DIV/0!</v>
      </c>
      <c r="X2365" s="197" t="e">
        <f t="shared" si="298"/>
        <v>#DIV/0!</v>
      </c>
    </row>
    <row r="2366" ht="11.4" hidden="1" customHeight="1" spans="1:24">
      <c r="A2366" s="184" t="s">
        <v>3176</v>
      </c>
      <c r="B2366" s="184" t="s">
        <v>153</v>
      </c>
      <c r="C2366" s="184" t="s">
        <v>905</v>
      </c>
      <c r="D2366" s="185" t="s">
        <v>704</v>
      </c>
      <c r="E2366" s="186" t="s">
        <v>906</v>
      </c>
      <c r="F2366" s="186" t="s">
        <v>907</v>
      </c>
      <c r="G2366" s="186" t="s">
        <v>908</v>
      </c>
      <c r="H2366" s="186" t="s">
        <v>2479</v>
      </c>
      <c r="I2366" s="187" t="s">
        <v>2512</v>
      </c>
      <c r="J2366" s="187" t="s">
        <v>2513</v>
      </c>
      <c r="K2366" s="188"/>
      <c r="L2366" s="188"/>
      <c r="M2366" s="189" t="s">
        <v>963</v>
      </c>
      <c r="N2366" s="190">
        <v>894.62</v>
      </c>
      <c r="O2366" s="190">
        <f t="shared" si="291"/>
        <v>975.14</v>
      </c>
      <c r="P2366" s="191">
        <f t="shared" si="292"/>
        <v>0</v>
      </c>
      <c r="Q2366" s="192">
        <f t="shared" si="293"/>
        <v>0</v>
      </c>
      <c r="R2366" s="193"/>
      <c r="S2366" s="194"/>
      <c r="T2366" s="195">
        <f t="shared" si="294"/>
        <v>0</v>
      </c>
      <c r="U2366" s="195">
        <f t="shared" si="295"/>
        <v>0</v>
      </c>
      <c r="V2366" s="195">
        <f t="shared" si="296"/>
        <v>0</v>
      </c>
      <c r="W2366" s="196" t="e">
        <f t="shared" si="297"/>
        <v>#DIV/0!</v>
      </c>
      <c r="X2366" s="197" t="e">
        <f t="shared" si="298"/>
        <v>#DIV/0!</v>
      </c>
    </row>
    <row r="2367" ht="11.4" hidden="1" customHeight="1" spans="1:24">
      <c r="A2367" s="184" t="s">
        <v>3176</v>
      </c>
      <c r="B2367" s="184" t="s">
        <v>153</v>
      </c>
      <c r="C2367" s="184" t="s">
        <v>905</v>
      </c>
      <c r="D2367" s="185" t="s">
        <v>704</v>
      </c>
      <c r="E2367" s="186" t="s">
        <v>906</v>
      </c>
      <c r="F2367" s="186" t="s">
        <v>907</v>
      </c>
      <c r="G2367" s="186" t="s">
        <v>908</v>
      </c>
      <c r="H2367" s="186" t="s">
        <v>2479</v>
      </c>
      <c r="I2367" s="187" t="s">
        <v>2514</v>
      </c>
      <c r="J2367" s="187" t="s">
        <v>2515</v>
      </c>
      <c r="K2367" s="188"/>
      <c r="L2367" s="188"/>
      <c r="M2367" s="189" t="s">
        <v>963</v>
      </c>
      <c r="N2367" s="190">
        <v>1213.85</v>
      </c>
      <c r="O2367" s="190">
        <f t="shared" si="291"/>
        <v>1323.1</v>
      </c>
      <c r="P2367" s="191">
        <f t="shared" si="292"/>
        <v>0</v>
      </c>
      <c r="Q2367" s="192">
        <f t="shared" si="293"/>
        <v>0</v>
      </c>
      <c r="R2367" s="193"/>
      <c r="S2367" s="194"/>
      <c r="T2367" s="195">
        <f t="shared" si="294"/>
        <v>0</v>
      </c>
      <c r="U2367" s="195">
        <f t="shared" si="295"/>
        <v>0</v>
      </c>
      <c r="V2367" s="195">
        <f t="shared" si="296"/>
        <v>0</v>
      </c>
      <c r="W2367" s="196" t="e">
        <f t="shared" si="297"/>
        <v>#DIV/0!</v>
      </c>
      <c r="X2367" s="197" t="e">
        <f t="shared" si="298"/>
        <v>#DIV/0!</v>
      </c>
    </row>
    <row r="2368" ht="11.4" hidden="1" customHeight="1" spans="1:24">
      <c r="A2368" s="184" t="s">
        <v>3176</v>
      </c>
      <c r="B2368" s="184" t="s">
        <v>153</v>
      </c>
      <c r="C2368" s="184" t="s">
        <v>905</v>
      </c>
      <c r="D2368" s="185" t="s">
        <v>704</v>
      </c>
      <c r="E2368" s="186" t="s">
        <v>906</v>
      </c>
      <c r="F2368" s="186" t="s">
        <v>907</v>
      </c>
      <c r="G2368" s="186" t="s">
        <v>908</v>
      </c>
      <c r="H2368" s="186" t="s">
        <v>2479</v>
      </c>
      <c r="I2368" s="187" t="s">
        <v>2516</v>
      </c>
      <c r="J2368" s="187" t="s">
        <v>2517</v>
      </c>
      <c r="K2368" s="188"/>
      <c r="L2368" s="188"/>
      <c r="M2368" s="189" t="s">
        <v>963</v>
      </c>
      <c r="N2368" s="190">
        <v>232.43</v>
      </c>
      <c r="O2368" s="190">
        <f t="shared" si="291"/>
        <v>253.35</v>
      </c>
      <c r="P2368" s="191">
        <f t="shared" si="292"/>
        <v>0</v>
      </c>
      <c r="Q2368" s="192">
        <f t="shared" si="293"/>
        <v>0</v>
      </c>
      <c r="R2368" s="193"/>
      <c r="S2368" s="194"/>
      <c r="T2368" s="195">
        <f t="shared" si="294"/>
        <v>0</v>
      </c>
      <c r="U2368" s="195">
        <f t="shared" si="295"/>
        <v>0</v>
      </c>
      <c r="V2368" s="195">
        <f t="shared" si="296"/>
        <v>0</v>
      </c>
      <c r="W2368" s="196" t="e">
        <f t="shared" si="297"/>
        <v>#DIV/0!</v>
      </c>
      <c r="X2368" s="197" t="e">
        <f t="shared" si="298"/>
        <v>#DIV/0!</v>
      </c>
    </row>
    <row r="2369" ht="11.4" hidden="1" customHeight="1" spans="1:24">
      <c r="A2369" s="184" t="s">
        <v>3176</v>
      </c>
      <c r="B2369" s="184" t="s">
        <v>153</v>
      </c>
      <c r="C2369" s="184" t="s">
        <v>905</v>
      </c>
      <c r="D2369" s="185" t="s">
        <v>704</v>
      </c>
      <c r="E2369" s="186" t="s">
        <v>906</v>
      </c>
      <c r="F2369" s="186" t="s">
        <v>907</v>
      </c>
      <c r="G2369" s="186" t="s">
        <v>908</v>
      </c>
      <c r="H2369" s="186" t="s">
        <v>2479</v>
      </c>
      <c r="I2369" s="187" t="s">
        <v>2518</v>
      </c>
      <c r="J2369" s="187" t="s">
        <v>2519</v>
      </c>
      <c r="K2369" s="188"/>
      <c r="L2369" s="188"/>
      <c r="M2369" s="189" t="s">
        <v>793</v>
      </c>
      <c r="N2369" s="190"/>
      <c r="O2369" s="190">
        <f t="shared" si="291"/>
        <v>0</v>
      </c>
      <c r="P2369" s="191">
        <f t="shared" si="292"/>
        <v>0</v>
      </c>
      <c r="Q2369" s="192">
        <f t="shared" si="293"/>
        <v>0</v>
      </c>
      <c r="R2369" s="193"/>
      <c r="S2369" s="194"/>
      <c r="T2369" s="195">
        <f t="shared" si="294"/>
        <v>0</v>
      </c>
      <c r="U2369" s="195">
        <f t="shared" si="295"/>
        <v>0</v>
      </c>
      <c r="V2369" s="195">
        <f t="shared" si="296"/>
        <v>0</v>
      </c>
      <c r="W2369" s="196" t="e">
        <f t="shared" si="297"/>
        <v>#DIV/0!</v>
      </c>
      <c r="X2369" s="197" t="e">
        <f t="shared" si="298"/>
        <v>#DIV/0!</v>
      </c>
    </row>
    <row r="2370" ht="11.4" hidden="1" customHeight="1" spans="1:24">
      <c r="A2370" s="184" t="s">
        <v>3176</v>
      </c>
      <c r="B2370" s="184" t="s">
        <v>153</v>
      </c>
      <c r="C2370" s="184" t="s">
        <v>905</v>
      </c>
      <c r="D2370" s="185" t="s">
        <v>704</v>
      </c>
      <c r="E2370" s="186" t="s">
        <v>906</v>
      </c>
      <c r="F2370" s="186" t="s">
        <v>907</v>
      </c>
      <c r="G2370" s="186" t="s">
        <v>908</v>
      </c>
      <c r="H2370" s="186" t="s">
        <v>2479</v>
      </c>
      <c r="I2370" s="187" t="s">
        <v>2520</v>
      </c>
      <c r="J2370" s="187" t="s">
        <v>2521</v>
      </c>
      <c r="K2370" s="188"/>
      <c r="L2370" s="188"/>
      <c r="M2370" s="189" t="s">
        <v>793</v>
      </c>
      <c r="N2370" s="190"/>
      <c r="O2370" s="190">
        <f t="shared" si="291"/>
        <v>0</v>
      </c>
      <c r="P2370" s="191">
        <f t="shared" si="292"/>
        <v>0</v>
      </c>
      <c r="Q2370" s="192">
        <f t="shared" si="293"/>
        <v>0</v>
      </c>
      <c r="R2370" s="193"/>
      <c r="S2370" s="194"/>
      <c r="T2370" s="195">
        <f t="shared" si="294"/>
        <v>0</v>
      </c>
      <c r="U2370" s="195">
        <f t="shared" si="295"/>
        <v>0</v>
      </c>
      <c r="V2370" s="195">
        <f t="shared" si="296"/>
        <v>0</v>
      </c>
      <c r="W2370" s="196" t="e">
        <f t="shared" si="297"/>
        <v>#DIV/0!</v>
      </c>
      <c r="X2370" s="197" t="e">
        <f t="shared" si="298"/>
        <v>#DIV/0!</v>
      </c>
    </row>
    <row r="2371" ht="11.4" hidden="1" customHeight="1" spans="1:24">
      <c r="A2371" s="184" t="s">
        <v>3176</v>
      </c>
      <c r="B2371" s="184" t="s">
        <v>153</v>
      </c>
      <c r="C2371" s="184" t="s">
        <v>905</v>
      </c>
      <c r="D2371" s="185" t="s">
        <v>704</v>
      </c>
      <c r="E2371" s="186" t="s">
        <v>906</v>
      </c>
      <c r="F2371" s="186" t="s">
        <v>907</v>
      </c>
      <c r="G2371" s="186" t="s">
        <v>908</v>
      </c>
      <c r="H2371" s="186" t="s">
        <v>2522</v>
      </c>
      <c r="I2371" s="187" t="s">
        <v>2523</v>
      </c>
      <c r="J2371" s="187" t="s">
        <v>2524</v>
      </c>
      <c r="K2371" s="188"/>
      <c r="L2371" s="188"/>
      <c r="M2371" s="189" t="s">
        <v>793</v>
      </c>
      <c r="N2371" s="190">
        <v>2345</v>
      </c>
      <c r="O2371" s="190">
        <f t="shared" si="291"/>
        <v>2556.05</v>
      </c>
      <c r="P2371" s="191">
        <f t="shared" si="292"/>
        <v>0</v>
      </c>
      <c r="Q2371" s="192">
        <f t="shared" si="293"/>
        <v>0</v>
      </c>
      <c r="R2371" s="193"/>
      <c r="S2371" s="194"/>
      <c r="T2371" s="195">
        <f t="shared" si="294"/>
        <v>0</v>
      </c>
      <c r="U2371" s="195">
        <f t="shared" si="295"/>
        <v>0</v>
      </c>
      <c r="V2371" s="195">
        <f t="shared" si="296"/>
        <v>0</v>
      </c>
      <c r="W2371" s="196" t="e">
        <f t="shared" si="297"/>
        <v>#DIV/0!</v>
      </c>
      <c r="X2371" s="197" t="e">
        <f t="shared" si="298"/>
        <v>#DIV/0!</v>
      </c>
    </row>
    <row r="2372" ht="11.4" hidden="1" customHeight="1" spans="1:24">
      <c r="A2372" s="184" t="s">
        <v>3176</v>
      </c>
      <c r="B2372" s="184" t="s">
        <v>153</v>
      </c>
      <c r="C2372" s="184" t="s">
        <v>905</v>
      </c>
      <c r="D2372" s="185" t="s">
        <v>704</v>
      </c>
      <c r="E2372" s="186" t="s">
        <v>906</v>
      </c>
      <c r="F2372" s="186" t="s">
        <v>907</v>
      </c>
      <c r="G2372" s="186" t="s">
        <v>908</v>
      </c>
      <c r="H2372" s="186" t="s">
        <v>2522</v>
      </c>
      <c r="I2372" s="187" t="s">
        <v>2525</v>
      </c>
      <c r="J2372" s="187" t="s">
        <v>2526</v>
      </c>
      <c r="K2372" s="188"/>
      <c r="L2372" s="188"/>
      <c r="M2372" s="189" t="s">
        <v>989</v>
      </c>
      <c r="N2372" s="190">
        <v>649.73</v>
      </c>
      <c r="O2372" s="190">
        <f t="shared" si="291"/>
        <v>708.21</v>
      </c>
      <c r="P2372" s="191">
        <f t="shared" si="292"/>
        <v>0</v>
      </c>
      <c r="Q2372" s="192">
        <f t="shared" si="293"/>
        <v>0</v>
      </c>
      <c r="R2372" s="193"/>
      <c r="S2372" s="194"/>
      <c r="T2372" s="195">
        <f t="shared" si="294"/>
        <v>0</v>
      </c>
      <c r="U2372" s="195">
        <f t="shared" si="295"/>
        <v>0</v>
      </c>
      <c r="V2372" s="195">
        <f t="shared" si="296"/>
        <v>0</v>
      </c>
      <c r="W2372" s="196" t="e">
        <f t="shared" si="297"/>
        <v>#DIV/0!</v>
      </c>
      <c r="X2372" s="197" t="e">
        <f t="shared" si="298"/>
        <v>#DIV/0!</v>
      </c>
    </row>
    <row r="2373" ht="11.4" hidden="1" customHeight="1" spans="1:24">
      <c r="A2373" s="184" t="s">
        <v>3212</v>
      </c>
      <c r="B2373" s="184" t="s">
        <v>161</v>
      </c>
      <c r="C2373" s="184" t="s">
        <v>2528</v>
      </c>
      <c r="D2373" s="185" t="s">
        <v>704</v>
      </c>
      <c r="E2373" s="186" t="s">
        <v>906</v>
      </c>
      <c r="F2373" s="186" t="s">
        <v>2529</v>
      </c>
      <c r="G2373" s="186" t="s">
        <v>2530</v>
      </c>
      <c r="H2373" s="186" t="s">
        <v>2531</v>
      </c>
      <c r="I2373" s="187" t="s">
        <v>2532</v>
      </c>
      <c r="J2373" s="187" t="s">
        <v>2533</v>
      </c>
      <c r="K2373" s="188"/>
      <c r="L2373" s="188"/>
      <c r="M2373" s="189" t="s">
        <v>963</v>
      </c>
      <c r="N2373" s="190">
        <v>510.81</v>
      </c>
      <c r="O2373" s="190">
        <f t="shared" si="291"/>
        <v>556.78</v>
      </c>
      <c r="P2373" s="191">
        <f t="shared" si="292"/>
        <v>0</v>
      </c>
      <c r="Q2373" s="192">
        <f t="shared" si="293"/>
        <v>0</v>
      </c>
      <c r="R2373" s="193"/>
      <c r="S2373" s="194"/>
      <c r="T2373" s="195">
        <f t="shared" si="294"/>
        <v>0</v>
      </c>
      <c r="U2373" s="195">
        <f t="shared" si="295"/>
        <v>0</v>
      </c>
      <c r="V2373" s="195">
        <f t="shared" si="296"/>
        <v>0</v>
      </c>
      <c r="W2373" s="196" t="e">
        <f t="shared" si="297"/>
        <v>#DIV/0!</v>
      </c>
      <c r="X2373" s="197" t="e">
        <f t="shared" si="298"/>
        <v>#DIV/0!</v>
      </c>
    </row>
    <row r="2374" ht="11.4" hidden="1" customHeight="1" spans="1:24">
      <c r="A2374" s="184" t="s">
        <v>3212</v>
      </c>
      <c r="B2374" s="184" t="s">
        <v>161</v>
      </c>
      <c r="C2374" s="184" t="s">
        <v>2528</v>
      </c>
      <c r="D2374" s="185" t="s">
        <v>704</v>
      </c>
      <c r="E2374" s="186" t="s">
        <v>906</v>
      </c>
      <c r="F2374" s="186" t="s">
        <v>2529</v>
      </c>
      <c r="G2374" s="186" t="s">
        <v>2530</v>
      </c>
      <c r="H2374" s="186" t="s">
        <v>2531</v>
      </c>
      <c r="I2374" s="187" t="s">
        <v>2534</v>
      </c>
      <c r="J2374" s="187" t="s">
        <v>2535</v>
      </c>
      <c r="K2374" s="188"/>
      <c r="L2374" s="188"/>
      <c r="M2374" s="189" t="s">
        <v>963</v>
      </c>
      <c r="N2374" s="190">
        <v>509.91</v>
      </c>
      <c r="O2374" s="190">
        <f t="shared" si="291"/>
        <v>555.8</v>
      </c>
      <c r="P2374" s="191">
        <f t="shared" si="292"/>
        <v>0</v>
      </c>
      <c r="Q2374" s="192">
        <f t="shared" si="293"/>
        <v>0</v>
      </c>
      <c r="R2374" s="193"/>
      <c r="S2374" s="194"/>
      <c r="T2374" s="195">
        <f t="shared" si="294"/>
        <v>0</v>
      </c>
      <c r="U2374" s="195">
        <f t="shared" si="295"/>
        <v>0</v>
      </c>
      <c r="V2374" s="195">
        <f t="shared" si="296"/>
        <v>0</v>
      </c>
      <c r="W2374" s="196" t="e">
        <f t="shared" si="297"/>
        <v>#DIV/0!</v>
      </c>
      <c r="X2374" s="197" t="e">
        <f t="shared" si="298"/>
        <v>#DIV/0!</v>
      </c>
    </row>
    <row r="2375" ht="11.4" hidden="1" customHeight="1" spans="1:24">
      <c r="A2375" s="184" t="s">
        <v>3212</v>
      </c>
      <c r="B2375" s="184" t="s">
        <v>161</v>
      </c>
      <c r="C2375" s="184" t="s">
        <v>2528</v>
      </c>
      <c r="D2375" s="185" t="s">
        <v>704</v>
      </c>
      <c r="E2375" s="186" t="s">
        <v>906</v>
      </c>
      <c r="F2375" s="186" t="s">
        <v>2529</v>
      </c>
      <c r="G2375" s="186" t="s">
        <v>2530</v>
      </c>
      <c r="H2375" s="186" t="s">
        <v>2531</v>
      </c>
      <c r="I2375" s="187" t="s">
        <v>2536</v>
      </c>
      <c r="J2375" s="187" t="s">
        <v>2537</v>
      </c>
      <c r="K2375" s="188"/>
      <c r="L2375" s="188"/>
      <c r="M2375" s="189" t="s">
        <v>963</v>
      </c>
      <c r="N2375" s="190">
        <v>339.64</v>
      </c>
      <c r="O2375" s="190">
        <f t="shared" si="291"/>
        <v>370.21</v>
      </c>
      <c r="P2375" s="191">
        <f t="shared" si="292"/>
        <v>0</v>
      </c>
      <c r="Q2375" s="192">
        <f t="shared" si="293"/>
        <v>0</v>
      </c>
      <c r="R2375" s="193"/>
      <c r="S2375" s="194"/>
      <c r="T2375" s="195">
        <f t="shared" si="294"/>
        <v>0</v>
      </c>
      <c r="U2375" s="195">
        <f t="shared" si="295"/>
        <v>0</v>
      </c>
      <c r="V2375" s="195">
        <f t="shared" si="296"/>
        <v>0</v>
      </c>
      <c r="W2375" s="196" t="e">
        <f t="shared" si="297"/>
        <v>#DIV/0!</v>
      </c>
      <c r="X2375" s="197" t="e">
        <f t="shared" si="298"/>
        <v>#DIV/0!</v>
      </c>
    </row>
    <row r="2376" ht="11.4" hidden="1" customHeight="1" spans="1:24">
      <c r="A2376" s="184" t="s">
        <v>3212</v>
      </c>
      <c r="B2376" s="184" t="s">
        <v>161</v>
      </c>
      <c r="C2376" s="184" t="s">
        <v>2528</v>
      </c>
      <c r="D2376" s="185" t="s">
        <v>704</v>
      </c>
      <c r="E2376" s="186" t="s">
        <v>906</v>
      </c>
      <c r="F2376" s="186" t="s">
        <v>2529</v>
      </c>
      <c r="G2376" s="186" t="s">
        <v>2530</v>
      </c>
      <c r="H2376" s="186" t="s">
        <v>2531</v>
      </c>
      <c r="I2376" s="187" t="s">
        <v>2538</v>
      </c>
      <c r="J2376" s="187" t="s">
        <v>2539</v>
      </c>
      <c r="K2376" s="188"/>
      <c r="L2376" s="188"/>
      <c r="M2376" s="189" t="s">
        <v>963</v>
      </c>
      <c r="N2376" s="190">
        <v>339.64</v>
      </c>
      <c r="O2376" s="190">
        <f t="shared" si="291"/>
        <v>370.21</v>
      </c>
      <c r="P2376" s="191">
        <f t="shared" si="292"/>
        <v>0</v>
      </c>
      <c r="Q2376" s="192">
        <f t="shared" si="293"/>
        <v>0</v>
      </c>
      <c r="R2376" s="193"/>
      <c r="S2376" s="194"/>
      <c r="T2376" s="195">
        <f t="shared" si="294"/>
        <v>0</v>
      </c>
      <c r="U2376" s="195">
        <f t="shared" si="295"/>
        <v>0</v>
      </c>
      <c r="V2376" s="195">
        <f t="shared" si="296"/>
        <v>0</v>
      </c>
      <c r="W2376" s="196" t="e">
        <f t="shared" si="297"/>
        <v>#DIV/0!</v>
      </c>
      <c r="X2376" s="197" t="e">
        <f t="shared" si="298"/>
        <v>#DIV/0!</v>
      </c>
    </row>
    <row r="2377" ht="11.4" hidden="1" customHeight="1" spans="1:24">
      <c r="A2377" s="184" t="s">
        <v>3212</v>
      </c>
      <c r="B2377" s="184" t="s">
        <v>161</v>
      </c>
      <c r="C2377" s="184" t="s">
        <v>2528</v>
      </c>
      <c r="D2377" s="185" t="s">
        <v>704</v>
      </c>
      <c r="E2377" s="186" t="s">
        <v>906</v>
      </c>
      <c r="F2377" s="186" t="s">
        <v>2529</v>
      </c>
      <c r="G2377" s="186" t="s">
        <v>2530</v>
      </c>
      <c r="H2377" s="186" t="s">
        <v>2531</v>
      </c>
      <c r="I2377" s="187" t="s">
        <v>2540</v>
      </c>
      <c r="J2377" s="187" t="s">
        <v>2541</v>
      </c>
      <c r="K2377" s="188"/>
      <c r="L2377" s="188"/>
      <c r="M2377" s="189" t="s">
        <v>2308</v>
      </c>
      <c r="N2377" s="190">
        <v>311.71</v>
      </c>
      <c r="O2377" s="190">
        <f t="shared" si="291"/>
        <v>339.76</v>
      </c>
      <c r="P2377" s="191">
        <f t="shared" si="292"/>
        <v>0</v>
      </c>
      <c r="Q2377" s="192">
        <f t="shared" si="293"/>
        <v>0</v>
      </c>
      <c r="R2377" s="193"/>
      <c r="S2377" s="194"/>
      <c r="T2377" s="195">
        <f t="shared" si="294"/>
        <v>0</v>
      </c>
      <c r="U2377" s="195">
        <f t="shared" si="295"/>
        <v>0</v>
      </c>
      <c r="V2377" s="195">
        <f t="shared" si="296"/>
        <v>0</v>
      </c>
      <c r="W2377" s="196" t="e">
        <f t="shared" si="297"/>
        <v>#DIV/0!</v>
      </c>
      <c r="X2377" s="197" t="e">
        <f t="shared" si="298"/>
        <v>#DIV/0!</v>
      </c>
    </row>
    <row r="2378" ht="11.4" hidden="1" customHeight="1" spans="1:24">
      <c r="A2378" s="184" t="s">
        <v>3212</v>
      </c>
      <c r="B2378" s="184" t="s">
        <v>161</v>
      </c>
      <c r="C2378" s="184" t="s">
        <v>2528</v>
      </c>
      <c r="D2378" s="185" t="s">
        <v>704</v>
      </c>
      <c r="E2378" s="186" t="s">
        <v>906</v>
      </c>
      <c r="F2378" s="186" t="s">
        <v>2529</v>
      </c>
      <c r="G2378" s="186" t="s">
        <v>2530</v>
      </c>
      <c r="H2378" s="186" t="s">
        <v>2531</v>
      </c>
      <c r="I2378" s="187" t="s">
        <v>2542</v>
      </c>
      <c r="J2378" s="187" t="s">
        <v>2543</v>
      </c>
      <c r="K2378" s="188"/>
      <c r="L2378" s="188"/>
      <c r="M2378" s="189" t="s">
        <v>963</v>
      </c>
      <c r="N2378" s="190">
        <v>625.23</v>
      </c>
      <c r="O2378" s="190">
        <f t="shared" si="291"/>
        <v>681.5</v>
      </c>
      <c r="P2378" s="191">
        <f t="shared" si="292"/>
        <v>0</v>
      </c>
      <c r="Q2378" s="192">
        <f t="shared" si="293"/>
        <v>0</v>
      </c>
      <c r="R2378" s="193"/>
      <c r="S2378" s="194"/>
      <c r="T2378" s="195">
        <f t="shared" si="294"/>
        <v>0</v>
      </c>
      <c r="U2378" s="195">
        <f t="shared" si="295"/>
        <v>0</v>
      </c>
      <c r="V2378" s="195">
        <f t="shared" si="296"/>
        <v>0</v>
      </c>
      <c r="W2378" s="196" t="e">
        <f t="shared" si="297"/>
        <v>#DIV/0!</v>
      </c>
      <c r="X2378" s="197" t="e">
        <f t="shared" si="298"/>
        <v>#DIV/0!</v>
      </c>
    </row>
    <row r="2379" ht="11.4" hidden="1" customHeight="1" spans="1:24">
      <c r="A2379" s="184" t="s">
        <v>3212</v>
      </c>
      <c r="B2379" s="184" t="s">
        <v>161</v>
      </c>
      <c r="C2379" s="184" t="s">
        <v>2528</v>
      </c>
      <c r="D2379" s="185" t="s">
        <v>704</v>
      </c>
      <c r="E2379" s="186" t="s">
        <v>906</v>
      </c>
      <c r="F2379" s="186" t="s">
        <v>2529</v>
      </c>
      <c r="G2379" s="186" t="s">
        <v>2530</v>
      </c>
      <c r="H2379" s="186" t="s">
        <v>2531</v>
      </c>
      <c r="I2379" s="187" t="s">
        <v>2544</v>
      </c>
      <c r="J2379" s="187" t="s">
        <v>2545</v>
      </c>
      <c r="K2379" s="188"/>
      <c r="L2379" s="188"/>
      <c r="M2379" s="189" t="s">
        <v>989</v>
      </c>
      <c r="N2379" s="190">
        <v>556.76</v>
      </c>
      <c r="O2379" s="190">
        <f t="shared" si="291"/>
        <v>606.87</v>
      </c>
      <c r="P2379" s="191">
        <f t="shared" si="292"/>
        <v>0</v>
      </c>
      <c r="Q2379" s="192">
        <f t="shared" si="293"/>
        <v>0</v>
      </c>
      <c r="R2379" s="193"/>
      <c r="S2379" s="194"/>
      <c r="T2379" s="195">
        <f t="shared" si="294"/>
        <v>0</v>
      </c>
      <c r="U2379" s="195">
        <f t="shared" si="295"/>
        <v>0</v>
      </c>
      <c r="V2379" s="195">
        <f t="shared" si="296"/>
        <v>0</v>
      </c>
      <c r="W2379" s="196" t="e">
        <f t="shared" si="297"/>
        <v>#DIV/0!</v>
      </c>
      <c r="X2379" s="197" t="e">
        <f t="shared" si="298"/>
        <v>#DIV/0!</v>
      </c>
    </row>
    <row r="2380" ht="11.4" hidden="1" customHeight="1" spans="1:24">
      <c r="A2380" s="184" t="s">
        <v>3212</v>
      </c>
      <c r="B2380" s="184" t="s">
        <v>161</v>
      </c>
      <c r="C2380" s="184" t="s">
        <v>2528</v>
      </c>
      <c r="D2380" s="185" t="s">
        <v>704</v>
      </c>
      <c r="E2380" s="186" t="s">
        <v>906</v>
      </c>
      <c r="F2380" s="186" t="s">
        <v>2529</v>
      </c>
      <c r="G2380" s="186" t="s">
        <v>2530</v>
      </c>
      <c r="H2380" s="186" t="s">
        <v>2531</v>
      </c>
      <c r="I2380" s="187" t="s">
        <v>2546</v>
      </c>
      <c r="J2380" s="187" t="s">
        <v>2547</v>
      </c>
      <c r="K2380" s="188"/>
      <c r="L2380" s="188"/>
      <c r="M2380" s="189" t="s">
        <v>2548</v>
      </c>
      <c r="N2380" s="190">
        <v>3112.61</v>
      </c>
      <c r="O2380" s="190">
        <f t="shared" si="291"/>
        <v>3392.74</v>
      </c>
      <c r="P2380" s="191">
        <f t="shared" si="292"/>
        <v>0</v>
      </c>
      <c r="Q2380" s="192">
        <f t="shared" si="293"/>
        <v>0</v>
      </c>
      <c r="R2380" s="193"/>
      <c r="S2380" s="194"/>
      <c r="T2380" s="195">
        <f t="shared" si="294"/>
        <v>0</v>
      </c>
      <c r="U2380" s="195">
        <f t="shared" si="295"/>
        <v>0</v>
      </c>
      <c r="V2380" s="195">
        <f t="shared" si="296"/>
        <v>0</v>
      </c>
      <c r="W2380" s="196" t="e">
        <f t="shared" si="297"/>
        <v>#DIV/0!</v>
      </c>
      <c r="X2380" s="197" t="e">
        <f t="shared" si="298"/>
        <v>#DIV/0!</v>
      </c>
    </row>
    <row r="2381" ht="11.4" hidden="1" customHeight="1" spans="1:24">
      <c r="A2381" s="184" t="s">
        <v>3212</v>
      </c>
      <c r="B2381" s="184" t="s">
        <v>161</v>
      </c>
      <c r="C2381" s="184" t="s">
        <v>2528</v>
      </c>
      <c r="D2381" s="185" t="s">
        <v>704</v>
      </c>
      <c r="E2381" s="186" t="s">
        <v>906</v>
      </c>
      <c r="F2381" s="186" t="s">
        <v>2529</v>
      </c>
      <c r="G2381" s="186" t="s">
        <v>2530</v>
      </c>
      <c r="H2381" s="186" t="s">
        <v>2531</v>
      </c>
      <c r="I2381" s="187" t="s">
        <v>2549</v>
      </c>
      <c r="J2381" s="187" t="s">
        <v>2550</v>
      </c>
      <c r="K2381" s="188"/>
      <c r="L2381" s="188"/>
      <c r="M2381" s="189" t="s">
        <v>963</v>
      </c>
      <c r="N2381" s="190">
        <v>290.09</v>
      </c>
      <c r="O2381" s="190">
        <f t="shared" ref="O2381:O2444" si="299">ROUND(N2381*(1+$F$10),2)</f>
        <v>316.2</v>
      </c>
      <c r="P2381" s="191">
        <f t="shared" ref="P2381:P2444" si="300">ROUND(K2381*N2381,2)</f>
        <v>0</v>
      </c>
      <c r="Q2381" s="192">
        <f t="shared" ref="Q2381:Q2444" si="301">ROUND(L2381*N2381,2)</f>
        <v>0</v>
      </c>
      <c r="R2381" s="193"/>
      <c r="S2381" s="194"/>
      <c r="T2381" s="195">
        <f t="shared" ref="T2381:T2444" si="302">K2381-L2381</f>
        <v>0</v>
      </c>
      <c r="U2381" s="195">
        <f t="shared" ref="U2381:U2444" si="303">P2381-Q2381</f>
        <v>0</v>
      </c>
      <c r="V2381" s="195">
        <f t="shared" ref="V2381:V2444" si="304">ABS(U2381)</f>
        <v>0</v>
      </c>
      <c r="W2381" s="196" t="e">
        <f t="shared" ref="W2381:W2444" si="305">T2381/L2381</f>
        <v>#DIV/0!</v>
      </c>
      <c r="X2381" s="197" t="e">
        <f t="shared" ref="X2381:X2444" si="306">ABS(W2381)</f>
        <v>#DIV/0!</v>
      </c>
    </row>
    <row r="2382" ht="11.4" hidden="1" customHeight="1" spans="1:24">
      <c r="A2382" s="184" t="s">
        <v>3212</v>
      </c>
      <c r="B2382" s="184" t="s">
        <v>161</v>
      </c>
      <c r="C2382" s="184" t="s">
        <v>2528</v>
      </c>
      <c r="D2382" s="185" t="s">
        <v>704</v>
      </c>
      <c r="E2382" s="186" t="s">
        <v>906</v>
      </c>
      <c r="F2382" s="186" t="s">
        <v>2529</v>
      </c>
      <c r="G2382" s="186" t="s">
        <v>2530</v>
      </c>
      <c r="H2382" s="186" t="s">
        <v>2551</v>
      </c>
      <c r="I2382" s="187" t="s">
        <v>2552</v>
      </c>
      <c r="J2382" s="187" t="s">
        <v>2553</v>
      </c>
      <c r="K2382" s="188"/>
      <c r="L2382" s="188"/>
      <c r="M2382" s="189" t="s">
        <v>963</v>
      </c>
      <c r="N2382" s="190">
        <v>271.17</v>
      </c>
      <c r="O2382" s="190">
        <f t="shared" si="299"/>
        <v>295.58</v>
      </c>
      <c r="P2382" s="191">
        <f t="shared" si="300"/>
        <v>0</v>
      </c>
      <c r="Q2382" s="192">
        <f t="shared" si="301"/>
        <v>0</v>
      </c>
      <c r="R2382" s="193"/>
      <c r="S2382" s="194"/>
      <c r="T2382" s="195">
        <f t="shared" si="302"/>
        <v>0</v>
      </c>
      <c r="U2382" s="195">
        <f t="shared" si="303"/>
        <v>0</v>
      </c>
      <c r="V2382" s="195">
        <f t="shared" si="304"/>
        <v>0</v>
      </c>
      <c r="W2382" s="196" t="e">
        <f t="shared" si="305"/>
        <v>#DIV/0!</v>
      </c>
      <c r="X2382" s="197" t="e">
        <f t="shared" si="306"/>
        <v>#DIV/0!</v>
      </c>
    </row>
    <row r="2383" ht="11.4" hidden="1" customHeight="1" spans="1:24">
      <c r="A2383" s="184" t="s">
        <v>3212</v>
      </c>
      <c r="B2383" s="184" t="s">
        <v>161</v>
      </c>
      <c r="C2383" s="184" t="s">
        <v>2528</v>
      </c>
      <c r="D2383" s="185" t="s">
        <v>704</v>
      </c>
      <c r="E2383" s="186" t="s">
        <v>906</v>
      </c>
      <c r="F2383" s="186" t="s">
        <v>2529</v>
      </c>
      <c r="G2383" s="186" t="s">
        <v>2530</v>
      </c>
      <c r="H2383" s="186" t="s">
        <v>2551</v>
      </c>
      <c r="I2383" s="187" t="s">
        <v>2554</v>
      </c>
      <c r="J2383" s="187" t="s">
        <v>2555</v>
      </c>
      <c r="K2383" s="188"/>
      <c r="L2383" s="188"/>
      <c r="M2383" s="189" t="s">
        <v>989</v>
      </c>
      <c r="N2383" s="190">
        <v>1794.59</v>
      </c>
      <c r="O2383" s="190">
        <f t="shared" si="299"/>
        <v>1956.1</v>
      </c>
      <c r="P2383" s="191">
        <f t="shared" si="300"/>
        <v>0</v>
      </c>
      <c r="Q2383" s="192">
        <f t="shared" si="301"/>
        <v>0</v>
      </c>
      <c r="R2383" s="193"/>
      <c r="S2383" s="194"/>
      <c r="T2383" s="195">
        <f t="shared" si="302"/>
        <v>0</v>
      </c>
      <c r="U2383" s="195">
        <f t="shared" si="303"/>
        <v>0</v>
      </c>
      <c r="V2383" s="195">
        <f t="shared" si="304"/>
        <v>0</v>
      </c>
      <c r="W2383" s="196" t="e">
        <f t="shared" si="305"/>
        <v>#DIV/0!</v>
      </c>
      <c r="X2383" s="197" t="e">
        <f t="shared" si="306"/>
        <v>#DIV/0!</v>
      </c>
    </row>
    <row r="2384" ht="11.4" hidden="1" customHeight="1" spans="1:24">
      <c r="A2384" s="184" t="s">
        <v>3212</v>
      </c>
      <c r="B2384" s="184" t="s">
        <v>161</v>
      </c>
      <c r="C2384" s="184" t="s">
        <v>2528</v>
      </c>
      <c r="D2384" s="185" t="s">
        <v>704</v>
      </c>
      <c r="E2384" s="186" t="s">
        <v>906</v>
      </c>
      <c r="F2384" s="186" t="s">
        <v>2529</v>
      </c>
      <c r="G2384" s="186" t="s">
        <v>2530</v>
      </c>
      <c r="H2384" s="186" t="s">
        <v>2551</v>
      </c>
      <c r="I2384" s="187" t="s">
        <v>2556</v>
      </c>
      <c r="J2384" s="187" t="s">
        <v>2557</v>
      </c>
      <c r="K2384" s="188"/>
      <c r="L2384" s="188"/>
      <c r="M2384" s="189" t="s">
        <v>793</v>
      </c>
      <c r="N2384" s="190">
        <v>2774.77</v>
      </c>
      <c r="O2384" s="190">
        <f t="shared" si="299"/>
        <v>3024.5</v>
      </c>
      <c r="P2384" s="191">
        <f t="shared" si="300"/>
        <v>0</v>
      </c>
      <c r="Q2384" s="192">
        <f t="shared" si="301"/>
        <v>0</v>
      </c>
      <c r="R2384" s="193"/>
      <c r="S2384" s="194"/>
      <c r="T2384" s="195">
        <f t="shared" si="302"/>
        <v>0</v>
      </c>
      <c r="U2384" s="195">
        <f t="shared" si="303"/>
        <v>0</v>
      </c>
      <c r="V2384" s="195">
        <f t="shared" si="304"/>
        <v>0</v>
      </c>
      <c r="W2384" s="196" t="e">
        <f t="shared" si="305"/>
        <v>#DIV/0!</v>
      </c>
      <c r="X2384" s="197" t="e">
        <f t="shared" si="306"/>
        <v>#DIV/0!</v>
      </c>
    </row>
    <row r="2385" ht="11.4" hidden="1" customHeight="1" spans="1:24">
      <c r="A2385" s="184" t="s">
        <v>3212</v>
      </c>
      <c r="B2385" s="184" t="s">
        <v>161</v>
      </c>
      <c r="C2385" s="184" t="s">
        <v>2528</v>
      </c>
      <c r="D2385" s="185" t="s">
        <v>704</v>
      </c>
      <c r="E2385" s="186" t="s">
        <v>906</v>
      </c>
      <c r="F2385" s="186" t="s">
        <v>2529</v>
      </c>
      <c r="G2385" s="186" t="s">
        <v>2530</v>
      </c>
      <c r="H2385" s="186" t="s">
        <v>2558</v>
      </c>
      <c r="I2385" s="187" t="s">
        <v>2559</v>
      </c>
      <c r="J2385" s="187" t="s">
        <v>2560</v>
      </c>
      <c r="K2385" s="188"/>
      <c r="L2385" s="188"/>
      <c r="M2385" s="189" t="s">
        <v>1018</v>
      </c>
      <c r="N2385" s="190">
        <v>63.96</v>
      </c>
      <c r="O2385" s="190">
        <f t="shared" si="299"/>
        <v>69.72</v>
      </c>
      <c r="P2385" s="191">
        <f t="shared" si="300"/>
        <v>0</v>
      </c>
      <c r="Q2385" s="192">
        <f t="shared" si="301"/>
        <v>0</v>
      </c>
      <c r="R2385" s="193"/>
      <c r="S2385" s="194"/>
      <c r="T2385" s="195">
        <f t="shared" si="302"/>
        <v>0</v>
      </c>
      <c r="U2385" s="195">
        <f t="shared" si="303"/>
        <v>0</v>
      </c>
      <c r="V2385" s="195">
        <f t="shared" si="304"/>
        <v>0</v>
      </c>
      <c r="W2385" s="196" t="e">
        <f t="shared" si="305"/>
        <v>#DIV/0!</v>
      </c>
      <c r="X2385" s="197" t="e">
        <f t="shared" si="306"/>
        <v>#DIV/0!</v>
      </c>
    </row>
    <row r="2386" ht="11.4" hidden="1" customHeight="1" spans="1:24">
      <c r="A2386" s="184" t="s">
        <v>3212</v>
      </c>
      <c r="B2386" s="184" t="s">
        <v>161</v>
      </c>
      <c r="C2386" s="184" t="s">
        <v>2528</v>
      </c>
      <c r="D2386" s="185" t="s">
        <v>704</v>
      </c>
      <c r="E2386" s="186" t="s">
        <v>906</v>
      </c>
      <c r="F2386" s="186" t="s">
        <v>2529</v>
      </c>
      <c r="G2386" s="186" t="s">
        <v>2530</v>
      </c>
      <c r="H2386" s="186" t="s">
        <v>2558</v>
      </c>
      <c r="I2386" s="187" t="s">
        <v>2561</v>
      </c>
      <c r="J2386" s="187" t="s">
        <v>2562</v>
      </c>
      <c r="K2386" s="188"/>
      <c r="L2386" s="188"/>
      <c r="M2386" s="189" t="s">
        <v>1018</v>
      </c>
      <c r="N2386" s="190">
        <v>17.35</v>
      </c>
      <c r="O2386" s="190">
        <f t="shared" si="299"/>
        <v>18.91</v>
      </c>
      <c r="P2386" s="191">
        <f t="shared" si="300"/>
        <v>0</v>
      </c>
      <c r="Q2386" s="192">
        <f t="shared" si="301"/>
        <v>0</v>
      </c>
      <c r="R2386" s="193"/>
      <c r="S2386" s="194"/>
      <c r="T2386" s="195">
        <f t="shared" si="302"/>
        <v>0</v>
      </c>
      <c r="U2386" s="195">
        <f t="shared" si="303"/>
        <v>0</v>
      </c>
      <c r="V2386" s="195">
        <f t="shared" si="304"/>
        <v>0</v>
      </c>
      <c r="W2386" s="196" t="e">
        <f t="shared" si="305"/>
        <v>#DIV/0!</v>
      </c>
      <c r="X2386" s="197" t="e">
        <f t="shared" si="306"/>
        <v>#DIV/0!</v>
      </c>
    </row>
    <row r="2387" ht="11.4" hidden="1" customHeight="1" spans="1:24">
      <c r="A2387" s="184" t="s">
        <v>3212</v>
      </c>
      <c r="B2387" s="184" t="s">
        <v>161</v>
      </c>
      <c r="C2387" s="184" t="s">
        <v>2528</v>
      </c>
      <c r="D2387" s="185" t="s">
        <v>704</v>
      </c>
      <c r="E2387" s="186" t="s">
        <v>906</v>
      </c>
      <c r="F2387" s="186" t="s">
        <v>2529</v>
      </c>
      <c r="G2387" s="186" t="s">
        <v>2530</v>
      </c>
      <c r="H2387" s="186" t="s">
        <v>2558</v>
      </c>
      <c r="I2387" s="187" t="s">
        <v>2563</v>
      </c>
      <c r="J2387" s="187" t="s">
        <v>2564</v>
      </c>
      <c r="K2387" s="188"/>
      <c r="L2387" s="188"/>
      <c r="M2387" s="189" t="s">
        <v>807</v>
      </c>
      <c r="N2387" s="190">
        <v>44</v>
      </c>
      <c r="O2387" s="190">
        <f t="shared" si="299"/>
        <v>47.96</v>
      </c>
      <c r="P2387" s="191">
        <f t="shared" si="300"/>
        <v>0</v>
      </c>
      <c r="Q2387" s="192">
        <f t="shared" si="301"/>
        <v>0</v>
      </c>
      <c r="R2387" s="193"/>
      <c r="S2387" s="194"/>
      <c r="T2387" s="195">
        <f t="shared" si="302"/>
        <v>0</v>
      </c>
      <c r="U2387" s="195">
        <f t="shared" si="303"/>
        <v>0</v>
      </c>
      <c r="V2387" s="195">
        <f t="shared" si="304"/>
        <v>0</v>
      </c>
      <c r="W2387" s="196" t="e">
        <f t="shared" si="305"/>
        <v>#DIV/0!</v>
      </c>
      <c r="X2387" s="197" t="e">
        <f t="shared" si="306"/>
        <v>#DIV/0!</v>
      </c>
    </row>
    <row r="2388" ht="11.4" hidden="1" customHeight="1" spans="1:24">
      <c r="A2388" s="184" t="s">
        <v>3212</v>
      </c>
      <c r="B2388" s="184" t="s">
        <v>161</v>
      </c>
      <c r="C2388" s="184" t="s">
        <v>2528</v>
      </c>
      <c r="D2388" s="185" t="s">
        <v>704</v>
      </c>
      <c r="E2388" s="186" t="s">
        <v>906</v>
      </c>
      <c r="F2388" s="186" t="s">
        <v>2529</v>
      </c>
      <c r="G2388" s="186" t="s">
        <v>2530</v>
      </c>
      <c r="H2388" s="186" t="s">
        <v>2558</v>
      </c>
      <c r="I2388" s="187" t="s">
        <v>2565</v>
      </c>
      <c r="J2388" s="187" t="s">
        <v>2566</v>
      </c>
      <c r="K2388" s="188"/>
      <c r="L2388" s="188"/>
      <c r="M2388" s="189" t="s">
        <v>807</v>
      </c>
      <c r="N2388" s="190">
        <v>55.86</v>
      </c>
      <c r="O2388" s="190">
        <f t="shared" si="299"/>
        <v>60.89</v>
      </c>
      <c r="P2388" s="191">
        <f t="shared" si="300"/>
        <v>0</v>
      </c>
      <c r="Q2388" s="192">
        <f t="shared" si="301"/>
        <v>0</v>
      </c>
      <c r="R2388" s="193"/>
      <c r="S2388" s="194"/>
      <c r="T2388" s="195">
        <f t="shared" si="302"/>
        <v>0</v>
      </c>
      <c r="U2388" s="195">
        <f t="shared" si="303"/>
        <v>0</v>
      </c>
      <c r="V2388" s="195">
        <f t="shared" si="304"/>
        <v>0</v>
      </c>
      <c r="W2388" s="196" t="e">
        <f t="shared" si="305"/>
        <v>#DIV/0!</v>
      </c>
      <c r="X2388" s="197" t="e">
        <f t="shared" si="306"/>
        <v>#DIV/0!</v>
      </c>
    </row>
    <row r="2389" ht="11.4" hidden="1" customHeight="1" spans="1:24">
      <c r="A2389" s="184" t="s">
        <v>3212</v>
      </c>
      <c r="B2389" s="184" t="s">
        <v>161</v>
      </c>
      <c r="C2389" s="184" t="s">
        <v>2528</v>
      </c>
      <c r="D2389" s="185" t="s">
        <v>704</v>
      </c>
      <c r="E2389" s="186" t="s">
        <v>906</v>
      </c>
      <c r="F2389" s="186" t="s">
        <v>2529</v>
      </c>
      <c r="G2389" s="186" t="s">
        <v>2530</v>
      </c>
      <c r="H2389" s="186" t="s">
        <v>2558</v>
      </c>
      <c r="I2389" s="187" t="s">
        <v>2567</v>
      </c>
      <c r="J2389" s="187" t="s">
        <v>2568</v>
      </c>
      <c r="K2389" s="188"/>
      <c r="L2389" s="188"/>
      <c r="M2389" s="189" t="s">
        <v>807</v>
      </c>
      <c r="N2389" s="190">
        <v>70.27</v>
      </c>
      <c r="O2389" s="190">
        <f t="shared" si="299"/>
        <v>76.59</v>
      </c>
      <c r="P2389" s="191">
        <f t="shared" si="300"/>
        <v>0</v>
      </c>
      <c r="Q2389" s="192">
        <f t="shared" si="301"/>
        <v>0</v>
      </c>
      <c r="R2389" s="193"/>
      <c r="S2389" s="194"/>
      <c r="T2389" s="195">
        <f t="shared" si="302"/>
        <v>0</v>
      </c>
      <c r="U2389" s="195">
        <f t="shared" si="303"/>
        <v>0</v>
      </c>
      <c r="V2389" s="195">
        <f t="shared" si="304"/>
        <v>0</v>
      </c>
      <c r="W2389" s="196" t="e">
        <f t="shared" si="305"/>
        <v>#DIV/0!</v>
      </c>
      <c r="X2389" s="197" t="e">
        <f t="shared" si="306"/>
        <v>#DIV/0!</v>
      </c>
    </row>
    <row r="2390" ht="11.4" hidden="1" customHeight="1" spans="1:24">
      <c r="A2390" s="184" t="s">
        <v>3212</v>
      </c>
      <c r="B2390" s="184" t="s">
        <v>161</v>
      </c>
      <c r="C2390" s="184" t="s">
        <v>2528</v>
      </c>
      <c r="D2390" s="185" t="s">
        <v>704</v>
      </c>
      <c r="E2390" s="186" t="s">
        <v>906</v>
      </c>
      <c r="F2390" s="186" t="s">
        <v>2529</v>
      </c>
      <c r="G2390" s="186" t="s">
        <v>2530</v>
      </c>
      <c r="H2390" s="186" t="s">
        <v>2558</v>
      </c>
      <c r="I2390" s="187" t="s">
        <v>2569</v>
      </c>
      <c r="J2390" s="187" t="s">
        <v>2570</v>
      </c>
      <c r="K2390" s="188"/>
      <c r="L2390" s="188"/>
      <c r="M2390" s="189" t="s">
        <v>807</v>
      </c>
      <c r="N2390" s="190">
        <v>101.8</v>
      </c>
      <c r="O2390" s="190">
        <f t="shared" si="299"/>
        <v>110.96</v>
      </c>
      <c r="P2390" s="191">
        <f t="shared" si="300"/>
        <v>0</v>
      </c>
      <c r="Q2390" s="192">
        <f t="shared" si="301"/>
        <v>0</v>
      </c>
      <c r="R2390" s="193"/>
      <c r="S2390" s="194"/>
      <c r="T2390" s="195">
        <f t="shared" si="302"/>
        <v>0</v>
      </c>
      <c r="U2390" s="195">
        <f t="shared" si="303"/>
        <v>0</v>
      </c>
      <c r="V2390" s="195">
        <f t="shared" si="304"/>
        <v>0</v>
      </c>
      <c r="W2390" s="196" t="e">
        <f t="shared" si="305"/>
        <v>#DIV/0!</v>
      </c>
      <c r="X2390" s="197" t="e">
        <f t="shared" si="306"/>
        <v>#DIV/0!</v>
      </c>
    </row>
    <row r="2391" ht="11.4" hidden="1" customHeight="1" spans="1:24">
      <c r="A2391" s="184" t="s">
        <v>3212</v>
      </c>
      <c r="B2391" s="184" t="s">
        <v>161</v>
      </c>
      <c r="C2391" s="184" t="s">
        <v>2528</v>
      </c>
      <c r="D2391" s="185" t="s">
        <v>704</v>
      </c>
      <c r="E2391" s="186" t="s">
        <v>906</v>
      </c>
      <c r="F2391" s="186" t="s">
        <v>2529</v>
      </c>
      <c r="G2391" s="186" t="s">
        <v>2530</v>
      </c>
      <c r="H2391" s="186" t="s">
        <v>2558</v>
      </c>
      <c r="I2391" s="187" t="s">
        <v>2571</v>
      </c>
      <c r="J2391" s="187" t="s">
        <v>2572</v>
      </c>
      <c r="K2391" s="188"/>
      <c r="L2391" s="188"/>
      <c r="M2391" s="189" t="s">
        <v>807</v>
      </c>
      <c r="N2391" s="190">
        <v>118.02</v>
      </c>
      <c r="O2391" s="190">
        <f t="shared" si="299"/>
        <v>128.64</v>
      </c>
      <c r="P2391" s="191">
        <f t="shared" si="300"/>
        <v>0</v>
      </c>
      <c r="Q2391" s="192">
        <f t="shared" si="301"/>
        <v>0</v>
      </c>
      <c r="R2391" s="193"/>
      <c r="S2391" s="194"/>
      <c r="T2391" s="195">
        <f t="shared" si="302"/>
        <v>0</v>
      </c>
      <c r="U2391" s="195">
        <f t="shared" si="303"/>
        <v>0</v>
      </c>
      <c r="V2391" s="195">
        <f t="shared" si="304"/>
        <v>0</v>
      </c>
      <c r="W2391" s="196" t="e">
        <f t="shared" si="305"/>
        <v>#DIV/0!</v>
      </c>
      <c r="X2391" s="197" t="e">
        <f t="shared" si="306"/>
        <v>#DIV/0!</v>
      </c>
    </row>
    <row r="2392" ht="11.4" hidden="1" customHeight="1" spans="1:24">
      <c r="A2392" s="184" t="s">
        <v>3212</v>
      </c>
      <c r="B2392" s="184" t="s">
        <v>161</v>
      </c>
      <c r="C2392" s="184" t="s">
        <v>2528</v>
      </c>
      <c r="D2392" s="185" t="s">
        <v>704</v>
      </c>
      <c r="E2392" s="186" t="s">
        <v>906</v>
      </c>
      <c r="F2392" s="186" t="s">
        <v>2529</v>
      </c>
      <c r="G2392" s="186" t="s">
        <v>2530</v>
      </c>
      <c r="H2392" s="186" t="s">
        <v>2558</v>
      </c>
      <c r="I2392" s="187" t="s">
        <v>2573</v>
      </c>
      <c r="J2392" s="187" t="s">
        <v>2574</v>
      </c>
      <c r="K2392" s="188"/>
      <c r="L2392" s="188"/>
      <c r="M2392" s="189" t="s">
        <v>807</v>
      </c>
      <c r="N2392" s="190">
        <v>136.04</v>
      </c>
      <c r="O2392" s="190">
        <f t="shared" si="299"/>
        <v>148.28</v>
      </c>
      <c r="P2392" s="191">
        <f t="shared" si="300"/>
        <v>0</v>
      </c>
      <c r="Q2392" s="192">
        <f t="shared" si="301"/>
        <v>0</v>
      </c>
      <c r="R2392" s="193"/>
      <c r="S2392" s="194"/>
      <c r="T2392" s="195">
        <f t="shared" si="302"/>
        <v>0</v>
      </c>
      <c r="U2392" s="195">
        <f t="shared" si="303"/>
        <v>0</v>
      </c>
      <c r="V2392" s="195">
        <f t="shared" si="304"/>
        <v>0</v>
      </c>
      <c r="W2392" s="196" t="e">
        <f t="shared" si="305"/>
        <v>#DIV/0!</v>
      </c>
      <c r="X2392" s="197" t="e">
        <f t="shared" si="306"/>
        <v>#DIV/0!</v>
      </c>
    </row>
    <row r="2393" ht="11.4" hidden="1" customHeight="1" spans="1:24">
      <c r="A2393" s="184" t="s">
        <v>3212</v>
      </c>
      <c r="B2393" s="184" t="s">
        <v>161</v>
      </c>
      <c r="C2393" s="184" t="s">
        <v>2528</v>
      </c>
      <c r="D2393" s="185" t="s">
        <v>704</v>
      </c>
      <c r="E2393" s="186" t="s">
        <v>906</v>
      </c>
      <c r="F2393" s="186" t="s">
        <v>2529</v>
      </c>
      <c r="G2393" s="186" t="s">
        <v>2530</v>
      </c>
      <c r="H2393" s="186" t="s">
        <v>2558</v>
      </c>
      <c r="I2393" s="187" t="s">
        <v>2575</v>
      </c>
      <c r="J2393" s="187" t="s">
        <v>2576</v>
      </c>
      <c r="K2393" s="188"/>
      <c r="L2393" s="188"/>
      <c r="M2393" s="189" t="s">
        <v>807</v>
      </c>
      <c r="N2393" s="190">
        <v>182.88</v>
      </c>
      <c r="O2393" s="190">
        <f t="shared" si="299"/>
        <v>199.34</v>
      </c>
      <c r="P2393" s="191">
        <f t="shared" si="300"/>
        <v>0</v>
      </c>
      <c r="Q2393" s="192">
        <f t="shared" si="301"/>
        <v>0</v>
      </c>
      <c r="R2393" s="193"/>
      <c r="S2393" s="194"/>
      <c r="T2393" s="195">
        <f t="shared" si="302"/>
        <v>0</v>
      </c>
      <c r="U2393" s="195">
        <f t="shared" si="303"/>
        <v>0</v>
      </c>
      <c r="V2393" s="195">
        <f t="shared" si="304"/>
        <v>0</v>
      </c>
      <c r="W2393" s="196" t="e">
        <f t="shared" si="305"/>
        <v>#DIV/0!</v>
      </c>
      <c r="X2393" s="197" t="e">
        <f t="shared" si="306"/>
        <v>#DIV/0!</v>
      </c>
    </row>
    <row r="2394" ht="11.4" hidden="1" customHeight="1" spans="1:24">
      <c r="A2394" s="184" t="s">
        <v>3212</v>
      </c>
      <c r="B2394" s="184" t="s">
        <v>161</v>
      </c>
      <c r="C2394" s="184" t="s">
        <v>2528</v>
      </c>
      <c r="D2394" s="185" t="s">
        <v>704</v>
      </c>
      <c r="E2394" s="186" t="s">
        <v>906</v>
      </c>
      <c r="F2394" s="186" t="s">
        <v>2529</v>
      </c>
      <c r="G2394" s="186" t="s">
        <v>2530</v>
      </c>
      <c r="H2394" s="186" t="s">
        <v>2558</v>
      </c>
      <c r="I2394" s="187" t="s">
        <v>2577</v>
      </c>
      <c r="J2394" s="187" t="s">
        <v>2578</v>
      </c>
      <c r="K2394" s="188"/>
      <c r="L2394" s="188"/>
      <c r="M2394" s="189" t="s">
        <v>1018</v>
      </c>
      <c r="N2394" s="190">
        <v>489.12</v>
      </c>
      <c r="O2394" s="190">
        <f t="shared" si="299"/>
        <v>533.14</v>
      </c>
      <c r="P2394" s="191">
        <f t="shared" si="300"/>
        <v>0</v>
      </c>
      <c r="Q2394" s="192">
        <f t="shared" si="301"/>
        <v>0</v>
      </c>
      <c r="R2394" s="193"/>
      <c r="S2394" s="194"/>
      <c r="T2394" s="195">
        <f t="shared" si="302"/>
        <v>0</v>
      </c>
      <c r="U2394" s="195">
        <f t="shared" si="303"/>
        <v>0</v>
      </c>
      <c r="V2394" s="195">
        <f t="shared" si="304"/>
        <v>0</v>
      </c>
      <c r="W2394" s="196" t="e">
        <f t="shared" si="305"/>
        <v>#DIV/0!</v>
      </c>
      <c r="X2394" s="197" t="e">
        <f t="shared" si="306"/>
        <v>#DIV/0!</v>
      </c>
    </row>
    <row r="2395" ht="11.4" hidden="1" customHeight="1" spans="1:24">
      <c r="A2395" s="184" t="s">
        <v>3212</v>
      </c>
      <c r="B2395" s="184" t="s">
        <v>161</v>
      </c>
      <c r="C2395" s="184" t="s">
        <v>2528</v>
      </c>
      <c r="D2395" s="185" t="s">
        <v>704</v>
      </c>
      <c r="E2395" s="186" t="s">
        <v>906</v>
      </c>
      <c r="F2395" s="186" t="s">
        <v>2529</v>
      </c>
      <c r="G2395" s="186" t="s">
        <v>2530</v>
      </c>
      <c r="H2395" s="186" t="s">
        <v>2558</v>
      </c>
      <c r="I2395" s="187" t="s">
        <v>2579</v>
      </c>
      <c r="J2395" s="187" t="s">
        <v>2580</v>
      </c>
      <c r="K2395" s="188"/>
      <c r="L2395" s="188"/>
      <c r="M2395" s="189" t="s">
        <v>1018</v>
      </c>
      <c r="N2395" s="190">
        <v>909.48</v>
      </c>
      <c r="O2395" s="190">
        <f t="shared" si="299"/>
        <v>991.33</v>
      </c>
      <c r="P2395" s="191">
        <f t="shared" si="300"/>
        <v>0</v>
      </c>
      <c r="Q2395" s="192">
        <f t="shared" si="301"/>
        <v>0</v>
      </c>
      <c r="R2395" s="193"/>
      <c r="S2395" s="194"/>
      <c r="T2395" s="195">
        <f t="shared" si="302"/>
        <v>0</v>
      </c>
      <c r="U2395" s="195">
        <f t="shared" si="303"/>
        <v>0</v>
      </c>
      <c r="V2395" s="195">
        <f t="shared" si="304"/>
        <v>0</v>
      </c>
      <c r="W2395" s="196" t="e">
        <f t="shared" si="305"/>
        <v>#DIV/0!</v>
      </c>
      <c r="X2395" s="197" t="e">
        <f t="shared" si="306"/>
        <v>#DIV/0!</v>
      </c>
    </row>
    <row r="2396" ht="11.4" hidden="1" customHeight="1" spans="1:24">
      <c r="A2396" s="184" t="s">
        <v>3212</v>
      </c>
      <c r="B2396" s="184" t="s">
        <v>161</v>
      </c>
      <c r="C2396" s="184" t="s">
        <v>2528</v>
      </c>
      <c r="D2396" s="185" t="s">
        <v>704</v>
      </c>
      <c r="E2396" s="186" t="s">
        <v>906</v>
      </c>
      <c r="F2396" s="186" t="s">
        <v>2529</v>
      </c>
      <c r="G2396" s="186" t="s">
        <v>2530</v>
      </c>
      <c r="H2396" s="186" t="s">
        <v>2558</v>
      </c>
      <c r="I2396" s="187" t="s">
        <v>2581</v>
      </c>
      <c r="J2396" s="187" t="s">
        <v>2582</v>
      </c>
      <c r="K2396" s="188"/>
      <c r="L2396" s="188"/>
      <c r="M2396" s="189" t="s">
        <v>1018</v>
      </c>
      <c r="N2396" s="190">
        <v>240.54</v>
      </c>
      <c r="O2396" s="190">
        <f t="shared" si="299"/>
        <v>262.19</v>
      </c>
      <c r="P2396" s="191">
        <f t="shared" si="300"/>
        <v>0</v>
      </c>
      <c r="Q2396" s="192">
        <f t="shared" si="301"/>
        <v>0</v>
      </c>
      <c r="R2396" s="193"/>
      <c r="S2396" s="194"/>
      <c r="T2396" s="195">
        <f t="shared" si="302"/>
        <v>0</v>
      </c>
      <c r="U2396" s="195">
        <f t="shared" si="303"/>
        <v>0</v>
      </c>
      <c r="V2396" s="195">
        <f t="shared" si="304"/>
        <v>0</v>
      </c>
      <c r="W2396" s="196" t="e">
        <f t="shared" si="305"/>
        <v>#DIV/0!</v>
      </c>
      <c r="X2396" s="197" t="e">
        <f t="shared" si="306"/>
        <v>#DIV/0!</v>
      </c>
    </row>
    <row r="2397" ht="11.4" hidden="1" customHeight="1" spans="1:24">
      <c r="A2397" s="184" t="s">
        <v>3212</v>
      </c>
      <c r="B2397" s="184" t="s">
        <v>161</v>
      </c>
      <c r="C2397" s="184" t="s">
        <v>2528</v>
      </c>
      <c r="D2397" s="185" t="s">
        <v>704</v>
      </c>
      <c r="E2397" s="186" t="s">
        <v>906</v>
      </c>
      <c r="F2397" s="186" t="s">
        <v>2529</v>
      </c>
      <c r="G2397" s="186" t="s">
        <v>2530</v>
      </c>
      <c r="H2397" s="186" t="s">
        <v>2558</v>
      </c>
      <c r="I2397" s="187" t="s">
        <v>2583</v>
      </c>
      <c r="J2397" s="187" t="s">
        <v>2584</v>
      </c>
      <c r="K2397" s="188"/>
      <c r="L2397" s="188"/>
      <c r="M2397" s="189" t="s">
        <v>1018</v>
      </c>
      <c r="N2397" s="190">
        <v>232.43</v>
      </c>
      <c r="O2397" s="190">
        <f t="shared" si="299"/>
        <v>253.35</v>
      </c>
      <c r="P2397" s="191">
        <f t="shared" si="300"/>
        <v>0</v>
      </c>
      <c r="Q2397" s="192">
        <f t="shared" si="301"/>
        <v>0</v>
      </c>
      <c r="R2397" s="193"/>
      <c r="S2397" s="194"/>
      <c r="T2397" s="195">
        <f t="shared" si="302"/>
        <v>0</v>
      </c>
      <c r="U2397" s="195">
        <f t="shared" si="303"/>
        <v>0</v>
      </c>
      <c r="V2397" s="195">
        <f t="shared" si="304"/>
        <v>0</v>
      </c>
      <c r="W2397" s="196" t="e">
        <f t="shared" si="305"/>
        <v>#DIV/0!</v>
      </c>
      <c r="X2397" s="197" t="e">
        <f t="shared" si="306"/>
        <v>#DIV/0!</v>
      </c>
    </row>
    <row r="2398" ht="11.4" hidden="1" customHeight="1" spans="1:24">
      <c r="A2398" s="184" t="s">
        <v>3212</v>
      </c>
      <c r="B2398" s="184" t="s">
        <v>161</v>
      </c>
      <c r="C2398" s="184" t="s">
        <v>2528</v>
      </c>
      <c r="D2398" s="185" t="s">
        <v>704</v>
      </c>
      <c r="E2398" s="186" t="s">
        <v>906</v>
      </c>
      <c r="F2398" s="186" t="s">
        <v>2529</v>
      </c>
      <c r="G2398" s="186" t="s">
        <v>2530</v>
      </c>
      <c r="H2398" s="186" t="s">
        <v>2558</v>
      </c>
      <c r="I2398" s="187" t="s">
        <v>2585</v>
      </c>
      <c r="J2398" s="187" t="s">
        <v>2586</v>
      </c>
      <c r="K2398" s="188"/>
      <c r="L2398" s="188"/>
      <c r="M2398" s="189" t="s">
        <v>1018</v>
      </c>
      <c r="N2398" s="190">
        <v>2829.18</v>
      </c>
      <c r="O2398" s="190">
        <f t="shared" si="299"/>
        <v>3083.81</v>
      </c>
      <c r="P2398" s="191">
        <f t="shared" si="300"/>
        <v>0</v>
      </c>
      <c r="Q2398" s="192">
        <f t="shared" si="301"/>
        <v>0</v>
      </c>
      <c r="R2398" s="193"/>
      <c r="S2398" s="194"/>
      <c r="T2398" s="195">
        <f t="shared" si="302"/>
        <v>0</v>
      </c>
      <c r="U2398" s="195">
        <f t="shared" si="303"/>
        <v>0</v>
      </c>
      <c r="V2398" s="195">
        <f t="shared" si="304"/>
        <v>0</v>
      </c>
      <c r="W2398" s="196" t="e">
        <f t="shared" si="305"/>
        <v>#DIV/0!</v>
      </c>
      <c r="X2398" s="197" t="e">
        <f t="shared" si="306"/>
        <v>#DIV/0!</v>
      </c>
    </row>
    <row r="2399" ht="11.4" hidden="1" customHeight="1" spans="1:24">
      <c r="A2399" s="184" t="s">
        <v>3212</v>
      </c>
      <c r="B2399" s="184" t="s">
        <v>161</v>
      </c>
      <c r="C2399" s="184" t="s">
        <v>2528</v>
      </c>
      <c r="D2399" s="185" t="s">
        <v>704</v>
      </c>
      <c r="E2399" s="186" t="s">
        <v>906</v>
      </c>
      <c r="F2399" s="186" t="s">
        <v>2529</v>
      </c>
      <c r="G2399" s="186" t="s">
        <v>2530</v>
      </c>
      <c r="H2399" s="186" t="s">
        <v>2558</v>
      </c>
      <c r="I2399" s="187" t="s">
        <v>2587</v>
      </c>
      <c r="J2399" s="187" t="s">
        <v>2588</v>
      </c>
      <c r="K2399" s="188"/>
      <c r="L2399" s="188"/>
      <c r="M2399" s="189" t="s">
        <v>1018</v>
      </c>
      <c r="N2399" s="190">
        <v>750.19</v>
      </c>
      <c r="O2399" s="190">
        <f t="shared" si="299"/>
        <v>817.71</v>
      </c>
      <c r="P2399" s="191">
        <f t="shared" si="300"/>
        <v>0</v>
      </c>
      <c r="Q2399" s="192">
        <f t="shared" si="301"/>
        <v>0</v>
      </c>
      <c r="R2399" s="193"/>
      <c r="S2399" s="194"/>
      <c r="T2399" s="195">
        <f t="shared" si="302"/>
        <v>0</v>
      </c>
      <c r="U2399" s="195">
        <f t="shared" si="303"/>
        <v>0</v>
      </c>
      <c r="V2399" s="195">
        <f t="shared" si="304"/>
        <v>0</v>
      </c>
      <c r="W2399" s="196" t="e">
        <f t="shared" si="305"/>
        <v>#DIV/0!</v>
      </c>
      <c r="X2399" s="197" t="e">
        <f t="shared" si="306"/>
        <v>#DIV/0!</v>
      </c>
    </row>
    <row r="2400" ht="11.4" hidden="1" customHeight="1" spans="1:24">
      <c r="A2400" s="184" t="s">
        <v>3212</v>
      </c>
      <c r="B2400" s="184" t="s">
        <v>161</v>
      </c>
      <c r="C2400" s="184" t="s">
        <v>2528</v>
      </c>
      <c r="D2400" s="185" t="s">
        <v>704</v>
      </c>
      <c r="E2400" s="186" t="s">
        <v>906</v>
      </c>
      <c r="F2400" s="186" t="s">
        <v>2529</v>
      </c>
      <c r="G2400" s="186" t="s">
        <v>2530</v>
      </c>
      <c r="H2400" s="186" t="s">
        <v>2558</v>
      </c>
      <c r="I2400" s="187" t="s">
        <v>2589</v>
      </c>
      <c r="J2400" s="187" t="s">
        <v>2590</v>
      </c>
      <c r="K2400" s="188"/>
      <c r="L2400" s="188"/>
      <c r="M2400" s="189" t="s">
        <v>1018</v>
      </c>
      <c r="N2400" s="190">
        <v>579.08</v>
      </c>
      <c r="O2400" s="190">
        <f t="shared" si="299"/>
        <v>631.2</v>
      </c>
      <c r="P2400" s="191">
        <f t="shared" si="300"/>
        <v>0</v>
      </c>
      <c r="Q2400" s="192">
        <f t="shared" si="301"/>
        <v>0</v>
      </c>
      <c r="R2400" s="193"/>
      <c r="S2400" s="194"/>
      <c r="T2400" s="195">
        <f t="shared" si="302"/>
        <v>0</v>
      </c>
      <c r="U2400" s="195">
        <f t="shared" si="303"/>
        <v>0</v>
      </c>
      <c r="V2400" s="195">
        <f t="shared" si="304"/>
        <v>0</v>
      </c>
      <c r="W2400" s="196" t="e">
        <f t="shared" si="305"/>
        <v>#DIV/0!</v>
      </c>
      <c r="X2400" s="197" t="e">
        <f t="shared" si="306"/>
        <v>#DIV/0!</v>
      </c>
    </row>
    <row r="2401" ht="11.4" hidden="1" customHeight="1" spans="1:24">
      <c r="A2401" s="184" t="s">
        <v>3212</v>
      </c>
      <c r="B2401" s="184" t="s">
        <v>161</v>
      </c>
      <c r="C2401" s="184" t="s">
        <v>2528</v>
      </c>
      <c r="D2401" s="185" t="s">
        <v>704</v>
      </c>
      <c r="E2401" s="186" t="s">
        <v>906</v>
      </c>
      <c r="F2401" s="186" t="s">
        <v>2529</v>
      </c>
      <c r="G2401" s="186" t="s">
        <v>2530</v>
      </c>
      <c r="H2401" s="186" t="s">
        <v>2591</v>
      </c>
      <c r="I2401" s="187" t="s">
        <v>2592</v>
      </c>
      <c r="J2401" s="187" t="s">
        <v>2593</v>
      </c>
      <c r="K2401" s="188"/>
      <c r="L2401" s="188"/>
      <c r="M2401" s="189" t="s">
        <v>2548</v>
      </c>
      <c r="N2401" s="190">
        <v>2654.05</v>
      </c>
      <c r="O2401" s="190">
        <f t="shared" si="299"/>
        <v>2892.91</v>
      </c>
      <c r="P2401" s="191">
        <f t="shared" si="300"/>
        <v>0</v>
      </c>
      <c r="Q2401" s="192">
        <f t="shared" si="301"/>
        <v>0</v>
      </c>
      <c r="R2401" s="193"/>
      <c r="S2401" s="194"/>
      <c r="T2401" s="195">
        <f t="shared" si="302"/>
        <v>0</v>
      </c>
      <c r="U2401" s="195">
        <f t="shared" si="303"/>
        <v>0</v>
      </c>
      <c r="V2401" s="195">
        <f t="shared" si="304"/>
        <v>0</v>
      </c>
      <c r="W2401" s="196" t="e">
        <f t="shared" si="305"/>
        <v>#DIV/0!</v>
      </c>
      <c r="X2401" s="197" t="e">
        <f t="shared" si="306"/>
        <v>#DIV/0!</v>
      </c>
    </row>
    <row r="2402" ht="11.4" hidden="1" customHeight="1" spans="1:24">
      <c r="A2402" s="184" t="s">
        <v>3212</v>
      </c>
      <c r="B2402" s="184" t="s">
        <v>161</v>
      </c>
      <c r="C2402" s="184" t="s">
        <v>2528</v>
      </c>
      <c r="D2402" s="185" t="s">
        <v>704</v>
      </c>
      <c r="E2402" s="186" t="s">
        <v>906</v>
      </c>
      <c r="F2402" s="186" t="s">
        <v>2529</v>
      </c>
      <c r="G2402" s="186" t="s">
        <v>2530</v>
      </c>
      <c r="H2402" s="186" t="s">
        <v>2591</v>
      </c>
      <c r="I2402" s="187" t="s">
        <v>2594</v>
      </c>
      <c r="J2402" s="187" t="s">
        <v>2595</v>
      </c>
      <c r="K2402" s="188"/>
      <c r="L2402" s="188"/>
      <c r="M2402" s="189" t="s">
        <v>793</v>
      </c>
      <c r="N2402" s="190">
        <v>689.3</v>
      </c>
      <c r="O2402" s="190">
        <f t="shared" si="299"/>
        <v>751.34</v>
      </c>
      <c r="P2402" s="191">
        <f t="shared" si="300"/>
        <v>0</v>
      </c>
      <c r="Q2402" s="192">
        <f t="shared" si="301"/>
        <v>0</v>
      </c>
      <c r="R2402" s="193"/>
      <c r="S2402" s="194"/>
      <c r="T2402" s="195">
        <f t="shared" si="302"/>
        <v>0</v>
      </c>
      <c r="U2402" s="195">
        <f t="shared" si="303"/>
        <v>0</v>
      </c>
      <c r="V2402" s="195">
        <f t="shared" si="304"/>
        <v>0</v>
      </c>
      <c r="W2402" s="196" t="e">
        <f t="shared" si="305"/>
        <v>#DIV/0!</v>
      </c>
      <c r="X2402" s="197" t="e">
        <f t="shared" si="306"/>
        <v>#DIV/0!</v>
      </c>
    </row>
    <row r="2403" ht="11.4" hidden="1" customHeight="1" spans="1:24">
      <c r="A2403" s="184" t="s">
        <v>3212</v>
      </c>
      <c r="B2403" s="184" t="s">
        <v>161</v>
      </c>
      <c r="C2403" s="184" t="s">
        <v>2528</v>
      </c>
      <c r="D2403" s="185" t="s">
        <v>704</v>
      </c>
      <c r="E2403" s="186" t="s">
        <v>906</v>
      </c>
      <c r="F2403" s="186" t="s">
        <v>2529</v>
      </c>
      <c r="G2403" s="186" t="s">
        <v>2530</v>
      </c>
      <c r="H2403" s="186" t="s">
        <v>2591</v>
      </c>
      <c r="I2403" s="187" t="s">
        <v>2596</v>
      </c>
      <c r="J2403" s="187" t="s">
        <v>2597</v>
      </c>
      <c r="K2403" s="188"/>
      <c r="L2403" s="188"/>
      <c r="M2403" s="189" t="s">
        <v>989</v>
      </c>
      <c r="N2403" s="190">
        <v>99.97</v>
      </c>
      <c r="O2403" s="190">
        <f t="shared" si="299"/>
        <v>108.97</v>
      </c>
      <c r="P2403" s="191">
        <f t="shared" si="300"/>
        <v>0</v>
      </c>
      <c r="Q2403" s="192">
        <f t="shared" si="301"/>
        <v>0</v>
      </c>
      <c r="R2403" s="193"/>
      <c r="S2403" s="194"/>
      <c r="T2403" s="195">
        <f t="shared" si="302"/>
        <v>0</v>
      </c>
      <c r="U2403" s="195">
        <f t="shared" si="303"/>
        <v>0</v>
      </c>
      <c r="V2403" s="195">
        <f t="shared" si="304"/>
        <v>0</v>
      </c>
      <c r="W2403" s="196" t="e">
        <f t="shared" si="305"/>
        <v>#DIV/0!</v>
      </c>
      <c r="X2403" s="197" t="e">
        <f t="shared" si="306"/>
        <v>#DIV/0!</v>
      </c>
    </row>
    <row r="2404" ht="11.4" hidden="1" customHeight="1" spans="1:24">
      <c r="A2404" s="184" t="s">
        <v>3212</v>
      </c>
      <c r="B2404" s="184" t="s">
        <v>161</v>
      </c>
      <c r="C2404" s="184" t="s">
        <v>2528</v>
      </c>
      <c r="D2404" s="185" t="s">
        <v>704</v>
      </c>
      <c r="E2404" s="186" t="s">
        <v>906</v>
      </c>
      <c r="F2404" s="186" t="s">
        <v>2529</v>
      </c>
      <c r="G2404" s="186" t="s">
        <v>2530</v>
      </c>
      <c r="H2404" s="186" t="s">
        <v>2591</v>
      </c>
      <c r="I2404" s="187" t="s">
        <v>2598</v>
      </c>
      <c r="J2404" s="187" t="s">
        <v>2599</v>
      </c>
      <c r="K2404" s="188"/>
      <c r="L2404" s="188"/>
      <c r="M2404" s="189" t="s">
        <v>989</v>
      </c>
      <c r="N2404" s="190">
        <v>144.14</v>
      </c>
      <c r="O2404" s="190">
        <f t="shared" si="299"/>
        <v>157.11</v>
      </c>
      <c r="P2404" s="191">
        <f t="shared" si="300"/>
        <v>0</v>
      </c>
      <c r="Q2404" s="192">
        <f t="shared" si="301"/>
        <v>0</v>
      </c>
      <c r="R2404" s="193"/>
      <c r="S2404" s="194"/>
      <c r="T2404" s="195">
        <f t="shared" si="302"/>
        <v>0</v>
      </c>
      <c r="U2404" s="195">
        <f t="shared" si="303"/>
        <v>0</v>
      </c>
      <c r="V2404" s="195">
        <f t="shared" si="304"/>
        <v>0</v>
      </c>
      <c r="W2404" s="196" t="e">
        <f t="shared" si="305"/>
        <v>#DIV/0!</v>
      </c>
      <c r="X2404" s="197" t="e">
        <f t="shared" si="306"/>
        <v>#DIV/0!</v>
      </c>
    </row>
    <row r="2405" ht="11.4" hidden="1" customHeight="1" spans="1:24">
      <c r="A2405" s="184" t="s">
        <v>3212</v>
      </c>
      <c r="B2405" s="184" t="s">
        <v>161</v>
      </c>
      <c r="C2405" s="184" t="s">
        <v>2528</v>
      </c>
      <c r="D2405" s="185" t="s">
        <v>704</v>
      </c>
      <c r="E2405" s="186" t="s">
        <v>906</v>
      </c>
      <c r="F2405" s="186" t="s">
        <v>2529</v>
      </c>
      <c r="G2405" s="186" t="s">
        <v>2530</v>
      </c>
      <c r="H2405" s="186" t="s">
        <v>2591</v>
      </c>
      <c r="I2405" s="187" t="s">
        <v>2600</v>
      </c>
      <c r="J2405" s="187" t="s">
        <v>2601</v>
      </c>
      <c r="K2405" s="188"/>
      <c r="L2405" s="188"/>
      <c r="M2405" s="189" t="s">
        <v>989</v>
      </c>
      <c r="N2405" s="190">
        <v>1375.89</v>
      </c>
      <c r="O2405" s="190">
        <f t="shared" si="299"/>
        <v>1499.72</v>
      </c>
      <c r="P2405" s="191">
        <f t="shared" si="300"/>
        <v>0</v>
      </c>
      <c r="Q2405" s="192">
        <f t="shared" si="301"/>
        <v>0</v>
      </c>
      <c r="R2405" s="193"/>
      <c r="S2405" s="194"/>
      <c r="T2405" s="195">
        <f t="shared" si="302"/>
        <v>0</v>
      </c>
      <c r="U2405" s="195">
        <f t="shared" si="303"/>
        <v>0</v>
      </c>
      <c r="V2405" s="195">
        <f t="shared" si="304"/>
        <v>0</v>
      </c>
      <c r="W2405" s="196" t="e">
        <f t="shared" si="305"/>
        <v>#DIV/0!</v>
      </c>
      <c r="X2405" s="197" t="e">
        <f t="shared" si="306"/>
        <v>#DIV/0!</v>
      </c>
    </row>
    <row r="2406" ht="11.4" hidden="1" customHeight="1" spans="1:24">
      <c r="A2406" s="184" t="s">
        <v>3212</v>
      </c>
      <c r="B2406" s="184" t="s">
        <v>161</v>
      </c>
      <c r="C2406" s="184" t="s">
        <v>2528</v>
      </c>
      <c r="D2406" s="185" t="s">
        <v>704</v>
      </c>
      <c r="E2406" s="186" t="s">
        <v>906</v>
      </c>
      <c r="F2406" s="186" t="s">
        <v>2529</v>
      </c>
      <c r="G2406" s="186" t="s">
        <v>2530</v>
      </c>
      <c r="H2406" s="186" t="s">
        <v>2591</v>
      </c>
      <c r="I2406" s="187" t="s">
        <v>2602</v>
      </c>
      <c r="J2406" s="187" t="s">
        <v>2603</v>
      </c>
      <c r="K2406" s="188"/>
      <c r="L2406" s="188"/>
      <c r="M2406" s="189" t="s">
        <v>1018</v>
      </c>
      <c r="N2406" s="190">
        <v>1294.59</v>
      </c>
      <c r="O2406" s="190">
        <f t="shared" si="299"/>
        <v>1411.1</v>
      </c>
      <c r="P2406" s="191">
        <f t="shared" si="300"/>
        <v>0</v>
      </c>
      <c r="Q2406" s="192">
        <f t="shared" si="301"/>
        <v>0</v>
      </c>
      <c r="R2406" s="193"/>
      <c r="S2406" s="194"/>
      <c r="T2406" s="195">
        <f t="shared" si="302"/>
        <v>0</v>
      </c>
      <c r="U2406" s="195">
        <f t="shared" si="303"/>
        <v>0</v>
      </c>
      <c r="V2406" s="195">
        <f t="shared" si="304"/>
        <v>0</v>
      </c>
      <c r="W2406" s="196" t="e">
        <f t="shared" si="305"/>
        <v>#DIV/0!</v>
      </c>
      <c r="X2406" s="197" t="e">
        <f t="shared" si="306"/>
        <v>#DIV/0!</v>
      </c>
    </row>
    <row r="2407" ht="11.4" hidden="1" customHeight="1" spans="1:24">
      <c r="A2407" s="184" t="s">
        <v>3213</v>
      </c>
      <c r="B2407" s="184" t="s">
        <v>164</v>
      </c>
      <c r="C2407" s="184" t="s">
        <v>2605</v>
      </c>
      <c r="D2407" s="185" t="s">
        <v>704</v>
      </c>
      <c r="E2407" s="186" t="s">
        <v>906</v>
      </c>
      <c r="F2407" s="186" t="s">
        <v>2529</v>
      </c>
      <c r="G2407" s="186" t="s">
        <v>2530</v>
      </c>
      <c r="H2407" s="186" t="s">
        <v>2606</v>
      </c>
      <c r="I2407" s="187" t="s">
        <v>2607</v>
      </c>
      <c r="J2407" s="187" t="s">
        <v>2608</v>
      </c>
      <c r="K2407" s="188"/>
      <c r="L2407" s="188"/>
      <c r="M2407" s="189" t="s">
        <v>963</v>
      </c>
      <c r="N2407" s="190">
        <v>517.6</v>
      </c>
      <c r="O2407" s="190">
        <f t="shared" si="299"/>
        <v>564.18</v>
      </c>
      <c r="P2407" s="191">
        <f t="shared" si="300"/>
        <v>0</v>
      </c>
      <c r="Q2407" s="192">
        <f t="shared" si="301"/>
        <v>0</v>
      </c>
      <c r="R2407" s="193"/>
      <c r="S2407" s="194"/>
      <c r="T2407" s="195">
        <f t="shared" si="302"/>
        <v>0</v>
      </c>
      <c r="U2407" s="195">
        <f t="shared" si="303"/>
        <v>0</v>
      </c>
      <c r="V2407" s="195">
        <f t="shared" si="304"/>
        <v>0</v>
      </c>
      <c r="W2407" s="196" t="e">
        <f t="shared" si="305"/>
        <v>#DIV/0!</v>
      </c>
      <c r="X2407" s="197" t="e">
        <f t="shared" si="306"/>
        <v>#DIV/0!</v>
      </c>
    </row>
    <row r="2408" ht="11.4" hidden="1" customHeight="1" spans="1:24">
      <c r="A2408" s="184" t="s">
        <v>3213</v>
      </c>
      <c r="B2408" s="184" t="s">
        <v>164</v>
      </c>
      <c r="C2408" s="184" t="s">
        <v>2605</v>
      </c>
      <c r="D2408" s="185" t="s">
        <v>704</v>
      </c>
      <c r="E2408" s="186" t="s">
        <v>906</v>
      </c>
      <c r="F2408" s="186" t="s">
        <v>2529</v>
      </c>
      <c r="G2408" s="186" t="s">
        <v>2530</v>
      </c>
      <c r="H2408" s="186" t="s">
        <v>2606</v>
      </c>
      <c r="I2408" s="187" t="s">
        <v>2609</v>
      </c>
      <c r="J2408" s="187" t="s">
        <v>2610</v>
      </c>
      <c r="K2408" s="188"/>
      <c r="L2408" s="188"/>
      <c r="M2408" s="189" t="s">
        <v>963</v>
      </c>
      <c r="N2408" s="190">
        <v>624.3</v>
      </c>
      <c r="O2408" s="190">
        <f t="shared" si="299"/>
        <v>680.49</v>
      </c>
      <c r="P2408" s="191">
        <f t="shared" si="300"/>
        <v>0</v>
      </c>
      <c r="Q2408" s="192">
        <f t="shared" si="301"/>
        <v>0</v>
      </c>
      <c r="R2408" s="193"/>
      <c r="S2408" s="194"/>
      <c r="T2408" s="195">
        <f t="shared" si="302"/>
        <v>0</v>
      </c>
      <c r="U2408" s="195">
        <f t="shared" si="303"/>
        <v>0</v>
      </c>
      <c r="V2408" s="195">
        <f t="shared" si="304"/>
        <v>0</v>
      </c>
      <c r="W2408" s="196" t="e">
        <f t="shared" si="305"/>
        <v>#DIV/0!</v>
      </c>
      <c r="X2408" s="197" t="e">
        <f t="shared" si="306"/>
        <v>#DIV/0!</v>
      </c>
    </row>
    <row r="2409" ht="11.4" hidden="1" customHeight="1" spans="1:24">
      <c r="A2409" s="184" t="s">
        <v>3213</v>
      </c>
      <c r="B2409" s="184" t="s">
        <v>164</v>
      </c>
      <c r="C2409" s="184" t="s">
        <v>2605</v>
      </c>
      <c r="D2409" s="185" t="s">
        <v>704</v>
      </c>
      <c r="E2409" s="186" t="s">
        <v>906</v>
      </c>
      <c r="F2409" s="186" t="s">
        <v>2529</v>
      </c>
      <c r="G2409" s="186" t="s">
        <v>2530</v>
      </c>
      <c r="H2409" s="186" t="s">
        <v>2606</v>
      </c>
      <c r="I2409" s="187" t="s">
        <v>2611</v>
      </c>
      <c r="J2409" s="187" t="s">
        <v>2612</v>
      </c>
      <c r="K2409" s="188"/>
      <c r="L2409" s="188"/>
      <c r="M2409" s="189" t="s">
        <v>847</v>
      </c>
      <c r="N2409" s="190">
        <v>219.99</v>
      </c>
      <c r="O2409" s="190">
        <f t="shared" si="299"/>
        <v>239.79</v>
      </c>
      <c r="P2409" s="191">
        <f t="shared" si="300"/>
        <v>0</v>
      </c>
      <c r="Q2409" s="192">
        <f t="shared" si="301"/>
        <v>0</v>
      </c>
      <c r="R2409" s="193"/>
      <c r="S2409" s="194"/>
      <c r="T2409" s="195">
        <f t="shared" si="302"/>
        <v>0</v>
      </c>
      <c r="U2409" s="195">
        <f t="shared" si="303"/>
        <v>0</v>
      </c>
      <c r="V2409" s="195">
        <f t="shared" si="304"/>
        <v>0</v>
      </c>
      <c r="W2409" s="196" t="e">
        <f t="shared" si="305"/>
        <v>#DIV/0!</v>
      </c>
      <c r="X2409" s="197" t="e">
        <f t="shared" si="306"/>
        <v>#DIV/0!</v>
      </c>
    </row>
    <row r="2410" ht="11.4" hidden="1" customHeight="1" spans="1:24">
      <c r="A2410" s="184" t="s">
        <v>3213</v>
      </c>
      <c r="B2410" s="184" t="s">
        <v>164</v>
      </c>
      <c r="C2410" s="184" t="s">
        <v>2605</v>
      </c>
      <c r="D2410" s="185" t="s">
        <v>704</v>
      </c>
      <c r="E2410" s="186" t="s">
        <v>906</v>
      </c>
      <c r="F2410" s="186" t="s">
        <v>2529</v>
      </c>
      <c r="G2410" s="186" t="s">
        <v>2530</v>
      </c>
      <c r="H2410" s="186" t="s">
        <v>2606</v>
      </c>
      <c r="I2410" s="187" t="s">
        <v>2613</v>
      </c>
      <c r="J2410" s="187" t="s">
        <v>2614</v>
      </c>
      <c r="K2410" s="188"/>
      <c r="L2410" s="188"/>
      <c r="M2410" s="189" t="s">
        <v>2308</v>
      </c>
      <c r="N2410" s="190"/>
      <c r="O2410" s="190">
        <f t="shared" si="299"/>
        <v>0</v>
      </c>
      <c r="P2410" s="191">
        <f t="shared" si="300"/>
        <v>0</v>
      </c>
      <c r="Q2410" s="192">
        <f t="shared" si="301"/>
        <v>0</v>
      </c>
      <c r="R2410" s="193"/>
      <c r="S2410" s="194"/>
      <c r="T2410" s="195">
        <f t="shared" si="302"/>
        <v>0</v>
      </c>
      <c r="U2410" s="195">
        <f t="shared" si="303"/>
        <v>0</v>
      </c>
      <c r="V2410" s="195">
        <f t="shared" si="304"/>
        <v>0</v>
      </c>
      <c r="W2410" s="196" t="e">
        <f t="shared" si="305"/>
        <v>#DIV/0!</v>
      </c>
      <c r="X2410" s="197" t="e">
        <f t="shared" si="306"/>
        <v>#DIV/0!</v>
      </c>
    </row>
    <row r="2411" ht="11.4" hidden="1" customHeight="1" spans="1:24">
      <c r="A2411" s="184" t="s">
        <v>3213</v>
      </c>
      <c r="B2411" s="184" t="s">
        <v>164</v>
      </c>
      <c r="C2411" s="184" t="s">
        <v>2605</v>
      </c>
      <c r="D2411" s="185" t="s">
        <v>704</v>
      </c>
      <c r="E2411" s="186" t="s">
        <v>906</v>
      </c>
      <c r="F2411" s="186" t="s">
        <v>2529</v>
      </c>
      <c r="G2411" s="186" t="s">
        <v>2530</v>
      </c>
      <c r="H2411" s="186" t="s">
        <v>2606</v>
      </c>
      <c r="I2411" s="187" t="s">
        <v>2615</v>
      </c>
      <c r="J2411" s="187" t="s">
        <v>2616</v>
      </c>
      <c r="K2411" s="188"/>
      <c r="L2411" s="188"/>
      <c r="M2411" s="189" t="s">
        <v>847</v>
      </c>
      <c r="N2411" s="190">
        <v>560</v>
      </c>
      <c r="O2411" s="190">
        <f t="shared" si="299"/>
        <v>610.4</v>
      </c>
      <c r="P2411" s="191">
        <f t="shared" si="300"/>
        <v>0</v>
      </c>
      <c r="Q2411" s="192">
        <f t="shared" si="301"/>
        <v>0</v>
      </c>
      <c r="R2411" s="193"/>
      <c r="S2411" s="194"/>
      <c r="T2411" s="195">
        <f t="shared" si="302"/>
        <v>0</v>
      </c>
      <c r="U2411" s="195">
        <f t="shared" si="303"/>
        <v>0</v>
      </c>
      <c r="V2411" s="195">
        <f t="shared" si="304"/>
        <v>0</v>
      </c>
      <c r="W2411" s="196" t="e">
        <f t="shared" si="305"/>
        <v>#DIV/0!</v>
      </c>
      <c r="X2411" s="197" t="e">
        <f t="shared" si="306"/>
        <v>#DIV/0!</v>
      </c>
    </row>
    <row r="2412" ht="11.4" hidden="1" customHeight="1" spans="1:24">
      <c r="A2412" s="184" t="s">
        <v>3213</v>
      </c>
      <c r="B2412" s="184" t="s">
        <v>164</v>
      </c>
      <c r="C2412" s="184" t="s">
        <v>2605</v>
      </c>
      <c r="D2412" s="185" t="s">
        <v>704</v>
      </c>
      <c r="E2412" s="186" t="s">
        <v>906</v>
      </c>
      <c r="F2412" s="186" t="s">
        <v>2529</v>
      </c>
      <c r="G2412" s="186" t="s">
        <v>2530</v>
      </c>
      <c r="H2412" s="186" t="s">
        <v>2606</v>
      </c>
      <c r="I2412" s="187" t="s">
        <v>2617</v>
      </c>
      <c r="J2412" s="187" t="s">
        <v>2618</v>
      </c>
      <c r="K2412" s="188"/>
      <c r="L2412" s="188"/>
      <c r="M2412" s="189" t="s">
        <v>2308</v>
      </c>
      <c r="N2412" s="190">
        <v>3580</v>
      </c>
      <c r="O2412" s="190">
        <f t="shared" si="299"/>
        <v>3902.2</v>
      </c>
      <c r="P2412" s="191">
        <f t="shared" si="300"/>
        <v>0</v>
      </c>
      <c r="Q2412" s="192">
        <f t="shared" si="301"/>
        <v>0</v>
      </c>
      <c r="R2412" s="193"/>
      <c r="S2412" s="194"/>
      <c r="T2412" s="195">
        <f t="shared" si="302"/>
        <v>0</v>
      </c>
      <c r="U2412" s="195">
        <f t="shared" si="303"/>
        <v>0</v>
      </c>
      <c r="V2412" s="195">
        <f t="shared" si="304"/>
        <v>0</v>
      </c>
      <c r="W2412" s="196" t="e">
        <f t="shared" si="305"/>
        <v>#DIV/0!</v>
      </c>
      <c r="X2412" s="197" t="e">
        <f t="shared" si="306"/>
        <v>#DIV/0!</v>
      </c>
    </row>
    <row r="2413" ht="11.4" hidden="1" customHeight="1" spans="1:24">
      <c r="A2413" s="184" t="s">
        <v>3212</v>
      </c>
      <c r="B2413" s="184" t="s">
        <v>161</v>
      </c>
      <c r="C2413" s="184" t="s">
        <v>2528</v>
      </c>
      <c r="D2413" s="185" t="s">
        <v>704</v>
      </c>
      <c r="E2413" s="186" t="s">
        <v>906</v>
      </c>
      <c r="F2413" s="186" t="s">
        <v>2529</v>
      </c>
      <c r="G2413" s="186" t="s">
        <v>2530</v>
      </c>
      <c r="H2413" s="186" t="s">
        <v>2619</v>
      </c>
      <c r="I2413" s="187" t="s">
        <v>2620</v>
      </c>
      <c r="J2413" s="187" t="s">
        <v>2621</v>
      </c>
      <c r="K2413" s="188"/>
      <c r="L2413" s="188"/>
      <c r="M2413" s="189" t="s">
        <v>1018</v>
      </c>
      <c r="N2413" s="190">
        <v>40</v>
      </c>
      <c r="O2413" s="190">
        <f t="shared" si="299"/>
        <v>43.6</v>
      </c>
      <c r="P2413" s="191">
        <f t="shared" si="300"/>
        <v>0</v>
      </c>
      <c r="Q2413" s="192">
        <f t="shared" si="301"/>
        <v>0</v>
      </c>
      <c r="R2413" s="193"/>
      <c r="S2413" s="194"/>
      <c r="T2413" s="195">
        <f t="shared" si="302"/>
        <v>0</v>
      </c>
      <c r="U2413" s="195">
        <f t="shared" si="303"/>
        <v>0</v>
      </c>
      <c r="V2413" s="195">
        <f t="shared" si="304"/>
        <v>0</v>
      </c>
      <c r="W2413" s="196" t="e">
        <f t="shared" si="305"/>
        <v>#DIV/0!</v>
      </c>
      <c r="X2413" s="197" t="e">
        <f t="shared" si="306"/>
        <v>#DIV/0!</v>
      </c>
    </row>
    <row r="2414" ht="11.4" hidden="1" customHeight="1" spans="1:24">
      <c r="A2414" s="184" t="s">
        <v>3214</v>
      </c>
      <c r="B2414" s="184" t="s">
        <v>170</v>
      </c>
      <c r="C2414" s="184" t="s">
        <v>2623</v>
      </c>
      <c r="D2414" s="185" t="s">
        <v>704</v>
      </c>
      <c r="E2414" s="186" t="s">
        <v>906</v>
      </c>
      <c r="F2414" s="186" t="s">
        <v>2624</v>
      </c>
      <c r="G2414" s="186" t="s">
        <v>2625</v>
      </c>
      <c r="H2414" s="186" t="s">
        <v>2626</v>
      </c>
      <c r="I2414" s="187" t="s">
        <v>2627</v>
      </c>
      <c r="J2414" s="187" t="s">
        <v>2628</v>
      </c>
      <c r="K2414" s="188"/>
      <c r="L2414" s="188"/>
      <c r="M2414" s="189" t="s">
        <v>847</v>
      </c>
      <c r="N2414" s="190">
        <v>260.72</v>
      </c>
      <c r="O2414" s="190">
        <f t="shared" si="299"/>
        <v>284.18</v>
      </c>
      <c r="P2414" s="191">
        <f t="shared" si="300"/>
        <v>0</v>
      </c>
      <c r="Q2414" s="192">
        <f t="shared" si="301"/>
        <v>0</v>
      </c>
      <c r="R2414" s="193"/>
      <c r="S2414" s="194"/>
      <c r="T2414" s="195">
        <f t="shared" si="302"/>
        <v>0</v>
      </c>
      <c r="U2414" s="195">
        <f t="shared" si="303"/>
        <v>0</v>
      </c>
      <c r="V2414" s="195">
        <f t="shared" si="304"/>
        <v>0</v>
      </c>
      <c r="W2414" s="196" t="e">
        <f t="shared" si="305"/>
        <v>#DIV/0!</v>
      </c>
      <c r="X2414" s="197" t="e">
        <f t="shared" si="306"/>
        <v>#DIV/0!</v>
      </c>
    </row>
    <row r="2415" ht="11.4" hidden="1" customHeight="1" spans="1:24">
      <c r="A2415" s="184" t="s">
        <v>3214</v>
      </c>
      <c r="B2415" s="184" t="s">
        <v>170</v>
      </c>
      <c r="C2415" s="184" t="s">
        <v>2623</v>
      </c>
      <c r="D2415" s="185" t="s">
        <v>704</v>
      </c>
      <c r="E2415" s="186" t="s">
        <v>906</v>
      </c>
      <c r="F2415" s="186" t="s">
        <v>2624</v>
      </c>
      <c r="G2415" s="186" t="s">
        <v>2625</v>
      </c>
      <c r="H2415" s="186" t="s">
        <v>2629</v>
      </c>
      <c r="I2415" s="187" t="s">
        <v>2630</v>
      </c>
      <c r="J2415" s="187" t="s">
        <v>2631</v>
      </c>
      <c r="K2415" s="188"/>
      <c r="L2415" s="188"/>
      <c r="M2415" s="189" t="s">
        <v>793</v>
      </c>
      <c r="N2415" s="190">
        <v>0</v>
      </c>
      <c r="O2415" s="190">
        <f t="shared" si="299"/>
        <v>0</v>
      </c>
      <c r="P2415" s="191">
        <f t="shared" si="300"/>
        <v>0</v>
      </c>
      <c r="Q2415" s="192">
        <f t="shared" si="301"/>
        <v>0</v>
      </c>
      <c r="R2415" s="193"/>
      <c r="S2415" s="194"/>
      <c r="T2415" s="195">
        <f t="shared" si="302"/>
        <v>0</v>
      </c>
      <c r="U2415" s="195">
        <f t="shared" si="303"/>
        <v>0</v>
      </c>
      <c r="V2415" s="195">
        <f t="shared" si="304"/>
        <v>0</v>
      </c>
      <c r="W2415" s="196" t="e">
        <f t="shared" si="305"/>
        <v>#DIV/0!</v>
      </c>
      <c r="X2415" s="197" t="e">
        <f t="shared" si="306"/>
        <v>#DIV/0!</v>
      </c>
    </row>
    <row r="2416" ht="11.4" hidden="1" customHeight="1" spans="1:24">
      <c r="A2416" s="184" t="s">
        <v>3214</v>
      </c>
      <c r="B2416" s="184" t="s">
        <v>170</v>
      </c>
      <c r="C2416" s="184" t="s">
        <v>2623</v>
      </c>
      <c r="D2416" s="185" t="s">
        <v>704</v>
      </c>
      <c r="E2416" s="186" t="s">
        <v>906</v>
      </c>
      <c r="F2416" s="186" t="s">
        <v>2624</v>
      </c>
      <c r="G2416" s="186" t="s">
        <v>2625</v>
      </c>
      <c r="H2416" s="186" t="s">
        <v>2629</v>
      </c>
      <c r="I2416" s="187" t="s">
        <v>2632</v>
      </c>
      <c r="J2416" s="187" t="s">
        <v>2633</v>
      </c>
      <c r="K2416" s="188"/>
      <c r="L2416" s="188"/>
      <c r="M2416" s="189" t="s">
        <v>793</v>
      </c>
      <c r="N2416" s="190">
        <v>1572.2</v>
      </c>
      <c r="O2416" s="190">
        <f t="shared" si="299"/>
        <v>1713.7</v>
      </c>
      <c r="P2416" s="191">
        <f t="shared" si="300"/>
        <v>0</v>
      </c>
      <c r="Q2416" s="192">
        <f t="shared" si="301"/>
        <v>0</v>
      </c>
      <c r="R2416" s="193"/>
      <c r="S2416" s="194"/>
      <c r="T2416" s="195">
        <f t="shared" si="302"/>
        <v>0</v>
      </c>
      <c r="U2416" s="195">
        <f t="shared" si="303"/>
        <v>0</v>
      </c>
      <c r="V2416" s="195">
        <f t="shared" si="304"/>
        <v>0</v>
      </c>
      <c r="W2416" s="196" t="e">
        <f t="shared" si="305"/>
        <v>#DIV/0!</v>
      </c>
      <c r="X2416" s="197" t="e">
        <f t="shared" si="306"/>
        <v>#DIV/0!</v>
      </c>
    </row>
    <row r="2417" ht="11.4" hidden="1" customHeight="1" spans="1:24">
      <c r="A2417" s="184" t="s">
        <v>3214</v>
      </c>
      <c r="B2417" s="184" t="s">
        <v>170</v>
      </c>
      <c r="C2417" s="184" t="s">
        <v>2623</v>
      </c>
      <c r="D2417" s="185" t="s">
        <v>704</v>
      </c>
      <c r="E2417" s="186" t="s">
        <v>906</v>
      </c>
      <c r="F2417" s="186" t="s">
        <v>2624</v>
      </c>
      <c r="G2417" s="186" t="s">
        <v>2625</v>
      </c>
      <c r="H2417" s="186" t="s">
        <v>2634</v>
      </c>
      <c r="I2417" s="187" t="s">
        <v>2635</v>
      </c>
      <c r="J2417" s="187" t="s">
        <v>2636</v>
      </c>
      <c r="K2417" s="188"/>
      <c r="L2417" s="188"/>
      <c r="M2417" s="189" t="s">
        <v>793</v>
      </c>
      <c r="N2417" s="190">
        <v>11764.6</v>
      </c>
      <c r="O2417" s="190">
        <f t="shared" si="299"/>
        <v>12823.41</v>
      </c>
      <c r="P2417" s="191">
        <f t="shared" si="300"/>
        <v>0</v>
      </c>
      <c r="Q2417" s="192">
        <f t="shared" si="301"/>
        <v>0</v>
      </c>
      <c r="R2417" s="193"/>
      <c r="S2417" s="194"/>
      <c r="T2417" s="195">
        <f t="shared" si="302"/>
        <v>0</v>
      </c>
      <c r="U2417" s="195">
        <f t="shared" si="303"/>
        <v>0</v>
      </c>
      <c r="V2417" s="195">
        <f t="shared" si="304"/>
        <v>0</v>
      </c>
      <c r="W2417" s="196" t="e">
        <f t="shared" si="305"/>
        <v>#DIV/0!</v>
      </c>
      <c r="X2417" s="197" t="e">
        <f t="shared" si="306"/>
        <v>#DIV/0!</v>
      </c>
    </row>
    <row r="2418" ht="11.4" hidden="1" customHeight="1" spans="1:24">
      <c r="A2418" s="184" t="s">
        <v>3214</v>
      </c>
      <c r="B2418" s="184" t="s">
        <v>170</v>
      </c>
      <c r="C2418" s="184" t="s">
        <v>2623</v>
      </c>
      <c r="D2418" s="185" t="s">
        <v>704</v>
      </c>
      <c r="E2418" s="186" t="s">
        <v>906</v>
      </c>
      <c r="F2418" s="186" t="s">
        <v>2624</v>
      </c>
      <c r="G2418" s="186" t="s">
        <v>2625</v>
      </c>
      <c r="H2418" s="186" t="s">
        <v>2634</v>
      </c>
      <c r="I2418" s="187" t="s">
        <v>2637</v>
      </c>
      <c r="J2418" s="187" t="s">
        <v>2638</v>
      </c>
      <c r="K2418" s="188"/>
      <c r="L2418" s="188"/>
      <c r="M2418" s="189" t="s">
        <v>1018</v>
      </c>
      <c r="N2418" s="190">
        <v>661.09</v>
      </c>
      <c r="O2418" s="190">
        <f t="shared" si="299"/>
        <v>720.59</v>
      </c>
      <c r="P2418" s="191">
        <f t="shared" si="300"/>
        <v>0</v>
      </c>
      <c r="Q2418" s="192">
        <f t="shared" si="301"/>
        <v>0</v>
      </c>
      <c r="R2418" s="193"/>
      <c r="S2418" s="194"/>
      <c r="T2418" s="195">
        <f t="shared" si="302"/>
        <v>0</v>
      </c>
      <c r="U2418" s="195">
        <f t="shared" si="303"/>
        <v>0</v>
      </c>
      <c r="V2418" s="195">
        <f t="shared" si="304"/>
        <v>0</v>
      </c>
      <c r="W2418" s="196" t="e">
        <f t="shared" si="305"/>
        <v>#DIV/0!</v>
      </c>
      <c r="X2418" s="197" t="e">
        <f t="shared" si="306"/>
        <v>#DIV/0!</v>
      </c>
    </row>
    <row r="2419" ht="11.4" hidden="1" customHeight="1" spans="1:24">
      <c r="A2419" s="184" t="s">
        <v>3214</v>
      </c>
      <c r="B2419" s="184" t="s">
        <v>170</v>
      </c>
      <c r="C2419" s="184" t="s">
        <v>2623</v>
      </c>
      <c r="D2419" s="185" t="s">
        <v>704</v>
      </c>
      <c r="E2419" s="186" t="s">
        <v>906</v>
      </c>
      <c r="F2419" s="186" t="s">
        <v>2624</v>
      </c>
      <c r="G2419" s="186" t="s">
        <v>2625</v>
      </c>
      <c r="H2419" s="186" t="s">
        <v>2634</v>
      </c>
      <c r="I2419" s="187" t="s">
        <v>2639</v>
      </c>
      <c r="J2419" s="187" t="s">
        <v>2640</v>
      </c>
      <c r="K2419" s="188"/>
      <c r="L2419" s="188"/>
      <c r="M2419" s="189" t="s">
        <v>793</v>
      </c>
      <c r="N2419" s="190">
        <v>11489.6</v>
      </c>
      <c r="O2419" s="190">
        <f t="shared" si="299"/>
        <v>12523.66</v>
      </c>
      <c r="P2419" s="191">
        <f t="shared" si="300"/>
        <v>0</v>
      </c>
      <c r="Q2419" s="192">
        <f t="shared" si="301"/>
        <v>0</v>
      </c>
      <c r="R2419" s="193"/>
      <c r="S2419" s="194"/>
      <c r="T2419" s="195">
        <f t="shared" si="302"/>
        <v>0</v>
      </c>
      <c r="U2419" s="195">
        <f t="shared" si="303"/>
        <v>0</v>
      </c>
      <c r="V2419" s="195">
        <f t="shared" si="304"/>
        <v>0</v>
      </c>
      <c r="W2419" s="196" t="e">
        <f t="shared" si="305"/>
        <v>#DIV/0!</v>
      </c>
      <c r="X2419" s="197" t="e">
        <f t="shared" si="306"/>
        <v>#DIV/0!</v>
      </c>
    </row>
    <row r="2420" ht="11.4" hidden="1" customHeight="1" spans="1:24">
      <c r="A2420" s="184" t="s">
        <v>3214</v>
      </c>
      <c r="B2420" s="184" t="s">
        <v>170</v>
      </c>
      <c r="C2420" s="184" t="s">
        <v>2623</v>
      </c>
      <c r="D2420" s="185" t="s">
        <v>704</v>
      </c>
      <c r="E2420" s="186" t="s">
        <v>906</v>
      </c>
      <c r="F2420" s="186" t="s">
        <v>2624</v>
      </c>
      <c r="G2420" s="186" t="s">
        <v>2625</v>
      </c>
      <c r="H2420" s="186" t="s">
        <v>2634</v>
      </c>
      <c r="I2420" s="187" t="s">
        <v>2641</v>
      </c>
      <c r="J2420" s="187" t="s">
        <v>2642</v>
      </c>
      <c r="K2420" s="188"/>
      <c r="L2420" s="188"/>
      <c r="M2420" s="189" t="s">
        <v>793</v>
      </c>
      <c r="N2420" s="190">
        <v>5866.38</v>
      </c>
      <c r="O2420" s="190">
        <f t="shared" si="299"/>
        <v>6394.35</v>
      </c>
      <c r="P2420" s="191">
        <f t="shared" si="300"/>
        <v>0</v>
      </c>
      <c r="Q2420" s="192">
        <f t="shared" si="301"/>
        <v>0</v>
      </c>
      <c r="R2420" s="193"/>
      <c r="S2420" s="194"/>
      <c r="T2420" s="195">
        <f t="shared" si="302"/>
        <v>0</v>
      </c>
      <c r="U2420" s="195">
        <f t="shared" si="303"/>
        <v>0</v>
      </c>
      <c r="V2420" s="195">
        <f t="shared" si="304"/>
        <v>0</v>
      </c>
      <c r="W2420" s="196" t="e">
        <f t="shared" si="305"/>
        <v>#DIV/0!</v>
      </c>
      <c r="X2420" s="197" t="e">
        <f t="shared" si="306"/>
        <v>#DIV/0!</v>
      </c>
    </row>
    <row r="2421" ht="11.4" hidden="1" customHeight="1" spans="1:24">
      <c r="A2421" s="184" t="s">
        <v>3215</v>
      </c>
      <c r="B2421" s="184" t="s">
        <v>188</v>
      </c>
      <c r="C2421" s="184" t="s">
        <v>2644</v>
      </c>
      <c r="D2421" s="185" t="s">
        <v>704</v>
      </c>
      <c r="E2421" s="186" t="s">
        <v>2645</v>
      </c>
      <c r="F2421" s="186" t="s">
        <v>2646</v>
      </c>
      <c r="G2421" s="186" t="s">
        <v>2647</v>
      </c>
      <c r="H2421" s="186" t="s">
        <v>2647</v>
      </c>
      <c r="I2421" s="187" t="s">
        <v>2648</v>
      </c>
      <c r="J2421" s="187" t="s">
        <v>2649</v>
      </c>
      <c r="K2421" s="188"/>
      <c r="L2421" s="188"/>
      <c r="M2421" s="189" t="s">
        <v>847</v>
      </c>
      <c r="N2421" s="190">
        <v>60</v>
      </c>
      <c r="O2421" s="190">
        <f t="shared" si="299"/>
        <v>65.4</v>
      </c>
      <c r="P2421" s="191">
        <f t="shared" si="300"/>
        <v>0</v>
      </c>
      <c r="Q2421" s="192">
        <f t="shared" si="301"/>
        <v>0</v>
      </c>
      <c r="R2421" s="193"/>
      <c r="S2421" s="194"/>
      <c r="T2421" s="195">
        <f t="shared" si="302"/>
        <v>0</v>
      </c>
      <c r="U2421" s="195">
        <f t="shared" si="303"/>
        <v>0</v>
      </c>
      <c r="V2421" s="195">
        <f t="shared" si="304"/>
        <v>0</v>
      </c>
      <c r="W2421" s="196" t="e">
        <f t="shared" si="305"/>
        <v>#DIV/0!</v>
      </c>
      <c r="X2421" s="197" t="e">
        <f t="shared" si="306"/>
        <v>#DIV/0!</v>
      </c>
    </row>
    <row r="2422" ht="11.4" hidden="1" customHeight="1" spans="1:24">
      <c r="A2422" s="184" t="s">
        <v>3215</v>
      </c>
      <c r="B2422" s="184" t="s">
        <v>188</v>
      </c>
      <c r="C2422" s="184" t="s">
        <v>2644</v>
      </c>
      <c r="D2422" s="185" t="s">
        <v>704</v>
      </c>
      <c r="E2422" s="186" t="s">
        <v>2645</v>
      </c>
      <c r="F2422" s="186" t="s">
        <v>2651</v>
      </c>
      <c r="G2422" s="186" t="s">
        <v>2647</v>
      </c>
      <c r="H2422" s="186" t="s">
        <v>2647</v>
      </c>
      <c r="I2422" s="187" t="s">
        <v>2652</v>
      </c>
      <c r="J2422" s="187" t="s">
        <v>2653</v>
      </c>
      <c r="K2422" s="188"/>
      <c r="L2422" s="188"/>
      <c r="M2422" s="189" t="s">
        <v>847</v>
      </c>
      <c r="N2422" s="190">
        <v>438.66</v>
      </c>
      <c r="O2422" s="190">
        <f t="shared" si="299"/>
        <v>478.14</v>
      </c>
      <c r="P2422" s="191">
        <f t="shared" si="300"/>
        <v>0</v>
      </c>
      <c r="Q2422" s="192">
        <f t="shared" si="301"/>
        <v>0</v>
      </c>
      <c r="R2422" s="193"/>
      <c r="S2422" s="194"/>
      <c r="T2422" s="195">
        <f t="shared" si="302"/>
        <v>0</v>
      </c>
      <c r="U2422" s="195">
        <f t="shared" si="303"/>
        <v>0</v>
      </c>
      <c r="V2422" s="195">
        <f t="shared" si="304"/>
        <v>0</v>
      </c>
      <c r="W2422" s="196" t="e">
        <f t="shared" si="305"/>
        <v>#DIV/0!</v>
      </c>
      <c r="X2422" s="197" t="e">
        <f t="shared" si="306"/>
        <v>#DIV/0!</v>
      </c>
    </row>
    <row r="2423" ht="11.4" hidden="1" customHeight="1" spans="1:24">
      <c r="A2423" s="184" t="s">
        <v>3215</v>
      </c>
      <c r="B2423" s="184" t="s">
        <v>188</v>
      </c>
      <c r="C2423" s="184" t="s">
        <v>2644</v>
      </c>
      <c r="D2423" s="185" t="s">
        <v>704</v>
      </c>
      <c r="E2423" s="186" t="s">
        <v>2645</v>
      </c>
      <c r="F2423" s="186" t="s">
        <v>2651</v>
      </c>
      <c r="G2423" s="186" t="s">
        <v>2647</v>
      </c>
      <c r="H2423" s="186" t="s">
        <v>2647</v>
      </c>
      <c r="I2423" s="187" t="s">
        <v>2655</v>
      </c>
      <c r="J2423" s="187" t="s">
        <v>2656</v>
      </c>
      <c r="K2423" s="188"/>
      <c r="L2423" s="188"/>
      <c r="M2423" s="189" t="s">
        <v>963</v>
      </c>
      <c r="N2423" s="190">
        <v>4341.19</v>
      </c>
      <c r="O2423" s="190">
        <f t="shared" si="299"/>
        <v>4731.9</v>
      </c>
      <c r="P2423" s="191">
        <f t="shared" si="300"/>
        <v>0</v>
      </c>
      <c r="Q2423" s="192">
        <f t="shared" si="301"/>
        <v>0</v>
      </c>
      <c r="R2423" s="193"/>
      <c r="S2423" s="194"/>
      <c r="T2423" s="195">
        <f t="shared" si="302"/>
        <v>0</v>
      </c>
      <c r="U2423" s="195">
        <f t="shared" si="303"/>
        <v>0</v>
      </c>
      <c r="V2423" s="195">
        <f t="shared" si="304"/>
        <v>0</v>
      </c>
      <c r="W2423" s="196" t="e">
        <f t="shared" si="305"/>
        <v>#DIV/0!</v>
      </c>
      <c r="X2423" s="197" t="e">
        <f t="shared" si="306"/>
        <v>#DIV/0!</v>
      </c>
    </row>
    <row r="2424" ht="11.4" hidden="1" customHeight="1" spans="1:24">
      <c r="A2424" s="184" t="s">
        <v>3215</v>
      </c>
      <c r="B2424" s="184" t="s">
        <v>188</v>
      </c>
      <c r="C2424" s="184" t="s">
        <v>2644</v>
      </c>
      <c r="D2424" s="185" t="s">
        <v>704</v>
      </c>
      <c r="E2424" s="186" t="s">
        <v>2645</v>
      </c>
      <c r="F2424" s="186" t="s">
        <v>2651</v>
      </c>
      <c r="G2424" s="186" t="s">
        <v>2647</v>
      </c>
      <c r="H2424" s="186" t="s">
        <v>2647</v>
      </c>
      <c r="I2424" s="187" t="s">
        <v>2658</v>
      </c>
      <c r="J2424" s="187" t="s">
        <v>2659</v>
      </c>
      <c r="K2424" s="188"/>
      <c r="L2424" s="188"/>
      <c r="M2424" s="189" t="s">
        <v>963</v>
      </c>
      <c r="N2424" s="190">
        <v>5895.79</v>
      </c>
      <c r="O2424" s="190">
        <f t="shared" si="299"/>
        <v>6426.41</v>
      </c>
      <c r="P2424" s="191">
        <f t="shared" si="300"/>
        <v>0</v>
      </c>
      <c r="Q2424" s="192">
        <f t="shared" si="301"/>
        <v>0</v>
      </c>
      <c r="R2424" s="193"/>
      <c r="S2424" s="194"/>
      <c r="T2424" s="195">
        <f t="shared" si="302"/>
        <v>0</v>
      </c>
      <c r="U2424" s="195">
        <f t="shared" si="303"/>
        <v>0</v>
      </c>
      <c r="V2424" s="195">
        <f t="shared" si="304"/>
        <v>0</v>
      </c>
      <c r="W2424" s="196" t="e">
        <f t="shared" si="305"/>
        <v>#DIV/0!</v>
      </c>
      <c r="X2424" s="197" t="e">
        <f t="shared" si="306"/>
        <v>#DIV/0!</v>
      </c>
    </row>
    <row r="2425" ht="11.4" hidden="1" customHeight="1" spans="1:24">
      <c r="A2425" s="184" t="s">
        <v>3215</v>
      </c>
      <c r="B2425" s="184" t="s">
        <v>188</v>
      </c>
      <c r="C2425" s="184" t="s">
        <v>2644</v>
      </c>
      <c r="D2425" s="185" t="s">
        <v>704</v>
      </c>
      <c r="E2425" s="186" t="s">
        <v>2645</v>
      </c>
      <c r="F2425" s="186" t="s">
        <v>2651</v>
      </c>
      <c r="G2425" s="186" t="s">
        <v>2647</v>
      </c>
      <c r="H2425" s="186" t="s">
        <v>2647</v>
      </c>
      <c r="I2425" s="187" t="s">
        <v>2660</v>
      </c>
      <c r="J2425" s="187" t="s">
        <v>2661</v>
      </c>
      <c r="K2425" s="188"/>
      <c r="L2425" s="188"/>
      <c r="M2425" s="189" t="s">
        <v>963</v>
      </c>
      <c r="N2425" s="190">
        <v>1317.56</v>
      </c>
      <c r="O2425" s="190">
        <f t="shared" si="299"/>
        <v>1436.14</v>
      </c>
      <c r="P2425" s="191">
        <f t="shared" si="300"/>
        <v>0</v>
      </c>
      <c r="Q2425" s="192">
        <f t="shared" si="301"/>
        <v>0</v>
      </c>
      <c r="R2425" s="193"/>
      <c r="S2425" s="194"/>
      <c r="T2425" s="195">
        <f t="shared" si="302"/>
        <v>0</v>
      </c>
      <c r="U2425" s="195">
        <f t="shared" si="303"/>
        <v>0</v>
      </c>
      <c r="V2425" s="195">
        <f t="shared" si="304"/>
        <v>0</v>
      </c>
      <c r="W2425" s="196" t="e">
        <f t="shared" si="305"/>
        <v>#DIV/0!</v>
      </c>
      <c r="X2425" s="197" t="e">
        <f t="shared" si="306"/>
        <v>#DIV/0!</v>
      </c>
    </row>
    <row r="2426" ht="11.4" hidden="1" customHeight="1" spans="1:24">
      <c r="A2426" s="184" t="s">
        <v>3215</v>
      </c>
      <c r="B2426" s="184" t="s">
        <v>188</v>
      </c>
      <c r="C2426" s="184" t="s">
        <v>2644</v>
      </c>
      <c r="D2426" s="185" t="s">
        <v>704</v>
      </c>
      <c r="E2426" s="186" t="s">
        <v>2645</v>
      </c>
      <c r="F2426" s="186" t="s">
        <v>2651</v>
      </c>
      <c r="G2426" s="186" t="s">
        <v>2647</v>
      </c>
      <c r="H2426" s="186" t="s">
        <v>2647</v>
      </c>
      <c r="I2426" s="187" t="s">
        <v>2662</v>
      </c>
      <c r="J2426" s="187" t="s">
        <v>2663</v>
      </c>
      <c r="K2426" s="188"/>
      <c r="L2426" s="188"/>
      <c r="M2426" s="189" t="s">
        <v>963</v>
      </c>
      <c r="N2426" s="190">
        <v>16886.35</v>
      </c>
      <c r="O2426" s="190">
        <f t="shared" si="299"/>
        <v>18406.12</v>
      </c>
      <c r="P2426" s="191">
        <f t="shared" si="300"/>
        <v>0</v>
      </c>
      <c r="Q2426" s="192">
        <f t="shared" si="301"/>
        <v>0</v>
      </c>
      <c r="R2426" s="193"/>
      <c r="S2426" s="194"/>
      <c r="T2426" s="195">
        <f t="shared" si="302"/>
        <v>0</v>
      </c>
      <c r="U2426" s="195">
        <f t="shared" si="303"/>
        <v>0</v>
      </c>
      <c r="V2426" s="195">
        <f t="shared" si="304"/>
        <v>0</v>
      </c>
      <c r="W2426" s="196" t="e">
        <f t="shared" si="305"/>
        <v>#DIV/0!</v>
      </c>
      <c r="X2426" s="197" t="e">
        <f t="shared" si="306"/>
        <v>#DIV/0!</v>
      </c>
    </row>
    <row r="2427" ht="11.4" hidden="1" customHeight="1" spans="1:24">
      <c r="A2427" s="184" t="s">
        <v>3215</v>
      </c>
      <c r="B2427" s="184" t="s">
        <v>188</v>
      </c>
      <c r="C2427" s="184" t="s">
        <v>2644</v>
      </c>
      <c r="D2427" s="185" t="s">
        <v>704</v>
      </c>
      <c r="E2427" s="186" t="s">
        <v>2645</v>
      </c>
      <c r="F2427" s="186" t="s">
        <v>2651</v>
      </c>
      <c r="G2427" s="186" t="s">
        <v>2647</v>
      </c>
      <c r="H2427" s="186" t="s">
        <v>2647</v>
      </c>
      <c r="I2427" s="187" t="s">
        <v>2664</v>
      </c>
      <c r="J2427" s="187" t="s">
        <v>2665</v>
      </c>
      <c r="K2427" s="188"/>
      <c r="L2427" s="188"/>
      <c r="M2427" s="189" t="s">
        <v>963</v>
      </c>
      <c r="N2427" s="190">
        <v>43209.18</v>
      </c>
      <c r="O2427" s="190">
        <f t="shared" si="299"/>
        <v>47098.01</v>
      </c>
      <c r="P2427" s="191">
        <f t="shared" si="300"/>
        <v>0</v>
      </c>
      <c r="Q2427" s="192">
        <f t="shared" si="301"/>
        <v>0</v>
      </c>
      <c r="R2427" s="193"/>
      <c r="S2427" s="194"/>
      <c r="T2427" s="195">
        <f t="shared" si="302"/>
        <v>0</v>
      </c>
      <c r="U2427" s="195">
        <f t="shared" si="303"/>
        <v>0</v>
      </c>
      <c r="V2427" s="195">
        <f t="shared" si="304"/>
        <v>0</v>
      </c>
      <c r="W2427" s="196" t="e">
        <f t="shared" si="305"/>
        <v>#DIV/0!</v>
      </c>
      <c r="X2427" s="197" t="e">
        <f t="shared" si="306"/>
        <v>#DIV/0!</v>
      </c>
    </row>
    <row r="2428" ht="11.4" hidden="1" customHeight="1" spans="1:24">
      <c r="A2428" s="184" t="s">
        <v>3215</v>
      </c>
      <c r="B2428" s="184" t="s">
        <v>188</v>
      </c>
      <c r="C2428" s="184" t="s">
        <v>2644</v>
      </c>
      <c r="D2428" s="185" t="s">
        <v>704</v>
      </c>
      <c r="E2428" s="186" t="s">
        <v>2645</v>
      </c>
      <c r="F2428" s="186" t="s">
        <v>2651</v>
      </c>
      <c r="G2428" s="186" t="s">
        <v>2647</v>
      </c>
      <c r="H2428" s="186" t="s">
        <v>2647</v>
      </c>
      <c r="I2428" s="187" t="s">
        <v>2666</v>
      </c>
      <c r="J2428" s="187" t="s">
        <v>2667</v>
      </c>
      <c r="K2428" s="188"/>
      <c r="L2428" s="188"/>
      <c r="M2428" s="189" t="s">
        <v>963</v>
      </c>
      <c r="N2428" s="190">
        <v>18631.78</v>
      </c>
      <c r="O2428" s="190">
        <f t="shared" si="299"/>
        <v>20308.64</v>
      </c>
      <c r="P2428" s="191">
        <f t="shared" si="300"/>
        <v>0</v>
      </c>
      <c r="Q2428" s="192">
        <f t="shared" si="301"/>
        <v>0</v>
      </c>
      <c r="R2428" s="193"/>
      <c r="S2428" s="194"/>
      <c r="T2428" s="195">
        <f t="shared" si="302"/>
        <v>0</v>
      </c>
      <c r="U2428" s="195">
        <f t="shared" si="303"/>
        <v>0</v>
      </c>
      <c r="V2428" s="195">
        <f t="shared" si="304"/>
        <v>0</v>
      </c>
      <c r="W2428" s="196" t="e">
        <f t="shared" si="305"/>
        <v>#DIV/0!</v>
      </c>
      <c r="X2428" s="197" t="e">
        <f t="shared" si="306"/>
        <v>#DIV/0!</v>
      </c>
    </row>
    <row r="2429" ht="11.4" hidden="1" customHeight="1" spans="1:24">
      <c r="A2429" s="184" t="s">
        <v>3215</v>
      </c>
      <c r="B2429" s="184" t="s">
        <v>188</v>
      </c>
      <c r="C2429" s="184" t="s">
        <v>2644</v>
      </c>
      <c r="D2429" s="185" t="s">
        <v>704</v>
      </c>
      <c r="E2429" s="186" t="s">
        <v>2645</v>
      </c>
      <c r="F2429" s="186" t="s">
        <v>2651</v>
      </c>
      <c r="G2429" s="186" t="s">
        <v>2647</v>
      </c>
      <c r="H2429" s="186" t="s">
        <v>2647</v>
      </c>
      <c r="I2429" s="187" t="s">
        <v>2668</v>
      </c>
      <c r="J2429" s="187" t="s">
        <v>2669</v>
      </c>
      <c r="K2429" s="188"/>
      <c r="L2429" s="188"/>
      <c r="M2429" s="189" t="s">
        <v>963</v>
      </c>
      <c r="N2429" s="190">
        <v>45299.18</v>
      </c>
      <c r="O2429" s="190">
        <f t="shared" si="299"/>
        <v>49376.11</v>
      </c>
      <c r="P2429" s="191">
        <f t="shared" si="300"/>
        <v>0</v>
      </c>
      <c r="Q2429" s="192">
        <f t="shared" si="301"/>
        <v>0</v>
      </c>
      <c r="R2429" s="193"/>
      <c r="S2429" s="194"/>
      <c r="T2429" s="195">
        <f t="shared" si="302"/>
        <v>0</v>
      </c>
      <c r="U2429" s="195">
        <f t="shared" si="303"/>
        <v>0</v>
      </c>
      <c r="V2429" s="195">
        <f t="shared" si="304"/>
        <v>0</v>
      </c>
      <c r="W2429" s="196" t="e">
        <f t="shared" si="305"/>
        <v>#DIV/0!</v>
      </c>
      <c r="X2429" s="197" t="e">
        <f t="shared" si="306"/>
        <v>#DIV/0!</v>
      </c>
    </row>
    <row r="2430" ht="11.4" hidden="1" customHeight="1" spans="1:24">
      <c r="A2430" s="184" t="s">
        <v>3215</v>
      </c>
      <c r="B2430" s="184" t="s">
        <v>188</v>
      </c>
      <c r="C2430" s="184" t="s">
        <v>2644</v>
      </c>
      <c r="D2430" s="185" t="s">
        <v>704</v>
      </c>
      <c r="E2430" s="186" t="s">
        <v>2645</v>
      </c>
      <c r="F2430" s="186" t="s">
        <v>2651</v>
      </c>
      <c r="G2430" s="186" t="s">
        <v>2647</v>
      </c>
      <c r="H2430" s="186" t="s">
        <v>2647</v>
      </c>
      <c r="I2430" s="187" t="s">
        <v>2670</v>
      </c>
      <c r="J2430" s="187" t="s">
        <v>2671</v>
      </c>
      <c r="K2430" s="188"/>
      <c r="L2430" s="188"/>
      <c r="M2430" s="189" t="s">
        <v>963</v>
      </c>
      <c r="N2430" s="190">
        <v>3067.95</v>
      </c>
      <c r="O2430" s="190">
        <f t="shared" si="299"/>
        <v>3344.07</v>
      </c>
      <c r="P2430" s="191">
        <f t="shared" si="300"/>
        <v>0</v>
      </c>
      <c r="Q2430" s="192">
        <f t="shared" si="301"/>
        <v>0</v>
      </c>
      <c r="R2430" s="193"/>
      <c r="S2430" s="194"/>
      <c r="T2430" s="195">
        <f t="shared" si="302"/>
        <v>0</v>
      </c>
      <c r="U2430" s="195">
        <f t="shared" si="303"/>
        <v>0</v>
      </c>
      <c r="V2430" s="195">
        <f t="shared" si="304"/>
        <v>0</v>
      </c>
      <c r="W2430" s="196" t="e">
        <f t="shared" si="305"/>
        <v>#DIV/0!</v>
      </c>
      <c r="X2430" s="197" t="e">
        <f t="shared" si="306"/>
        <v>#DIV/0!</v>
      </c>
    </row>
    <row r="2431" ht="11.4" hidden="1" customHeight="1" spans="1:24">
      <c r="A2431" s="184" t="s">
        <v>3215</v>
      </c>
      <c r="B2431" s="184" t="s">
        <v>188</v>
      </c>
      <c r="C2431" s="184" t="s">
        <v>2644</v>
      </c>
      <c r="D2431" s="185" t="s">
        <v>704</v>
      </c>
      <c r="E2431" s="186" t="s">
        <v>2645</v>
      </c>
      <c r="F2431" s="186" t="s">
        <v>2651</v>
      </c>
      <c r="G2431" s="186" t="s">
        <v>2647</v>
      </c>
      <c r="H2431" s="186" t="s">
        <v>2647</v>
      </c>
      <c r="I2431" s="187" t="s">
        <v>2672</v>
      </c>
      <c r="J2431" s="187" t="s">
        <v>2673</v>
      </c>
      <c r="K2431" s="188"/>
      <c r="L2431" s="188"/>
      <c r="M2431" s="189" t="s">
        <v>963</v>
      </c>
      <c r="N2431" s="190">
        <v>4892.05</v>
      </c>
      <c r="O2431" s="190">
        <f t="shared" si="299"/>
        <v>5332.33</v>
      </c>
      <c r="P2431" s="191">
        <f t="shared" si="300"/>
        <v>0</v>
      </c>
      <c r="Q2431" s="192">
        <f t="shared" si="301"/>
        <v>0</v>
      </c>
      <c r="R2431" s="193"/>
      <c r="S2431" s="194"/>
      <c r="T2431" s="195">
        <f t="shared" si="302"/>
        <v>0</v>
      </c>
      <c r="U2431" s="195">
        <f t="shared" si="303"/>
        <v>0</v>
      </c>
      <c r="V2431" s="195">
        <f t="shared" si="304"/>
        <v>0</v>
      </c>
      <c r="W2431" s="196" t="e">
        <f t="shared" si="305"/>
        <v>#DIV/0!</v>
      </c>
      <c r="X2431" s="197" t="e">
        <f t="shared" si="306"/>
        <v>#DIV/0!</v>
      </c>
    </row>
    <row r="2432" ht="11.4" hidden="1" customHeight="1" spans="1:24">
      <c r="A2432" s="184" t="s">
        <v>3215</v>
      </c>
      <c r="B2432" s="184" t="s">
        <v>188</v>
      </c>
      <c r="C2432" s="184" t="s">
        <v>2644</v>
      </c>
      <c r="D2432" s="185" t="s">
        <v>704</v>
      </c>
      <c r="E2432" s="186" t="s">
        <v>2645</v>
      </c>
      <c r="F2432" s="186" t="s">
        <v>2651</v>
      </c>
      <c r="G2432" s="186" t="s">
        <v>2647</v>
      </c>
      <c r="H2432" s="186" t="s">
        <v>2647</v>
      </c>
      <c r="I2432" s="187" t="s">
        <v>2674</v>
      </c>
      <c r="J2432" s="187" t="s">
        <v>2675</v>
      </c>
      <c r="K2432" s="188"/>
      <c r="L2432" s="188"/>
      <c r="M2432" s="189" t="s">
        <v>963</v>
      </c>
      <c r="N2432" s="190">
        <v>1554.6</v>
      </c>
      <c r="O2432" s="190">
        <f t="shared" si="299"/>
        <v>1694.51</v>
      </c>
      <c r="P2432" s="191">
        <f t="shared" si="300"/>
        <v>0</v>
      </c>
      <c r="Q2432" s="192">
        <f t="shared" si="301"/>
        <v>0</v>
      </c>
      <c r="R2432" s="193"/>
      <c r="S2432" s="194"/>
      <c r="T2432" s="195">
        <f t="shared" si="302"/>
        <v>0</v>
      </c>
      <c r="U2432" s="195">
        <f t="shared" si="303"/>
        <v>0</v>
      </c>
      <c r="V2432" s="195">
        <f t="shared" si="304"/>
        <v>0</v>
      </c>
      <c r="W2432" s="196" t="e">
        <f t="shared" si="305"/>
        <v>#DIV/0!</v>
      </c>
      <c r="X2432" s="197" t="e">
        <f t="shared" si="306"/>
        <v>#DIV/0!</v>
      </c>
    </row>
    <row r="2433" ht="11.4" hidden="1" customHeight="1" spans="1:24">
      <c r="A2433" s="184" t="s">
        <v>3215</v>
      </c>
      <c r="B2433" s="184" t="s">
        <v>188</v>
      </c>
      <c r="C2433" s="184" t="s">
        <v>2644</v>
      </c>
      <c r="D2433" s="185" t="s">
        <v>704</v>
      </c>
      <c r="E2433" s="186" t="s">
        <v>2645</v>
      </c>
      <c r="F2433" s="186" t="s">
        <v>2651</v>
      </c>
      <c r="G2433" s="186" t="s">
        <v>2647</v>
      </c>
      <c r="H2433" s="186" t="s">
        <v>2647</v>
      </c>
      <c r="I2433" s="187" t="s">
        <v>2676</v>
      </c>
      <c r="J2433" s="187" t="s">
        <v>2677</v>
      </c>
      <c r="K2433" s="188"/>
      <c r="L2433" s="188"/>
      <c r="M2433" s="189" t="s">
        <v>963</v>
      </c>
      <c r="N2433" s="190">
        <v>165</v>
      </c>
      <c r="O2433" s="190">
        <f t="shared" si="299"/>
        <v>179.85</v>
      </c>
      <c r="P2433" s="191">
        <f t="shared" si="300"/>
        <v>0</v>
      </c>
      <c r="Q2433" s="192">
        <f t="shared" si="301"/>
        <v>0</v>
      </c>
      <c r="R2433" s="193"/>
      <c r="S2433" s="194"/>
      <c r="T2433" s="195">
        <f t="shared" si="302"/>
        <v>0</v>
      </c>
      <c r="U2433" s="195">
        <f t="shared" si="303"/>
        <v>0</v>
      </c>
      <c r="V2433" s="195">
        <f t="shared" si="304"/>
        <v>0</v>
      </c>
      <c r="W2433" s="196" t="e">
        <f t="shared" si="305"/>
        <v>#DIV/0!</v>
      </c>
      <c r="X2433" s="197" t="e">
        <f t="shared" si="306"/>
        <v>#DIV/0!</v>
      </c>
    </row>
    <row r="2434" ht="11.4" hidden="1" customHeight="1" spans="1:24">
      <c r="A2434" s="184" t="s">
        <v>3215</v>
      </c>
      <c r="B2434" s="184" t="s">
        <v>188</v>
      </c>
      <c r="C2434" s="184" t="s">
        <v>2644</v>
      </c>
      <c r="D2434" s="185" t="s">
        <v>704</v>
      </c>
      <c r="E2434" s="186" t="s">
        <v>2645</v>
      </c>
      <c r="F2434" s="186" t="s">
        <v>2651</v>
      </c>
      <c r="G2434" s="186" t="s">
        <v>2647</v>
      </c>
      <c r="H2434" s="186" t="s">
        <v>2647</v>
      </c>
      <c r="I2434" s="187" t="s">
        <v>2678</v>
      </c>
      <c r="J2434" s="187" t="s">
        <v>2679</v>
      </c>
      <c r="K2434" s="188"/>
      <c r="L2434" s="188"/>
      <c r="M2434" s="189" t="s">
        <v>963</v>
      </c>
      <c r="N2434" s="190">
        <v>648.76</v>
      </c>
      <c r="O2434" s="190">
        <f t="shared" si="299"/>
        <v>707.15</v>
      </c>
      <c r="P2434" s="191">
        <f t="shared" si="300"/>
        <v>0</v>
      </c>
      <c r="Q2434" s="192">
        <f t="shared" si="301"/>
        <v>0</v>
      </c>
      <c r="R2434" s="193"/>
      <c r="S2434" s="194"/>
      <c r="T2434" s="195">
        <f t="shared" si="302"/>
        <v>0</v>
      </c>
      <c r="U2434" s="195">
        <f t="shared" si="303"/>
        <v>0</v>
      </c>
      <c r="V2434" s="195">
        <f t="shared" si="304"/>
        <v>0</v>
      </c>
      <c r="W2434" s="196" t="e">
        <f t="shared" si="305"/>
        <v>#DIV/0!</v>
      </c>
      <c r="X2434" s="197" t="e">
        <f t="shared" si="306"/>
        <v>#DIV/0!</v>
      </c>
    </row>
    <row r="2435" ht="11.4" hidden="1" customHeight="1" spans="1:24">
      <c r="A2435" s="184" t="s">
        <v>3215</v>
      </c>
      <c r="B2435" s="184" t="s">
        <v>188</v>
      </c>
      <c r="C2435" s="184" t="s">
        <v>2644</v>
      </c>
      <c r="D2435" s="185" t="s">
        <v>704</v>
      </c>
      <c r="E2435" s="186" t="s">
        <v>2645</v>
      </c>
      <c r="F2435" s="186" t="s">
        <v>2651</v>
      </c>
      <c r="G2435" s="186" t="s">
        <v>2647</v>
      </c>
      <c r="H2435" s="186" t="s">
        <v>2647</v>
      </c>
      <c r="I2435" s="187" t="s">
        <v>2680</v>
      </c>
      <c r="J2435" s="187" t="s">
        <v>2681</v>
      </c>
      <c r="K2435" s="188"/>
      <c r="L2435" s="188"/>
      <c r="M2435" s="189" t="s">
        <v>1018</v>
      </c>
      <c r="N2435" s="190">
        <v>1369.65</v>
      </c>
      <c r="O2435" s="190">
        <f t="shared" si="299"/>
        <v>1492.92</v>
      </c>
      <c r="P2435" s="191">
        <f t="shared" si="300"/>
        <v>0</v>
      </c>
      <c r="Q2435" s="192">
        <f t="shared" si="301"/>
        <v>0</v>
      </c>
      <c r="R2435" s="193"/>
      <c r="S2435" s="194"/>
      <c r="T2435" s="195">
        <f t="shared" si="302"/>
        <v>0</v>
      </c>
      <c r="U2435" s="195">
        <f t="shared" si="303"/>
        <v>0</v>
      </c>
      <c r="V2435" s="195">
        <f t="shared" si="304"/>
        <v>0</v>
      </c>
      <c r="W2435" s="196" t="e">
        <f t="shared" si="305"/>
        <v>#DIV/0!</v>
      </c>
      <c r="X2435" s="197" t="e">
        <f t="shared" si="306"/>
        <v>#DIV/0!</v>
      </c>
    </row>
    <row r="2436" ht="11.4" hidden="1" customHeight="1" spans="1:24">
      <c r="A2436" s="184" t="s">
        <v>3215</v>
      </c>
      <c r="B2436" s="184" t="s">
        <v>188</v>
      </c>
      <c r="C2436" s="184" t="s">
        <v>2644</v>
      </c>
      <c r="D2436" s="185" t="s">
        <v>704</v>
      </c>
      <c r="E2436" s="186" t="s">
        <v>2645</v>
      </c>
      <c r="F2436" s="186" t="s">
        <v>2651</v>
      </c>
      <c r="G2436" s="186" t="s">
        <v>2647</v>
      </c>
      <c r="H2436" s="186" t="s">
        <v>2647</v>
      </c>
      <c r="I2436" s="187" t="s">
        <v>2682</v>
      </c>
      <c r="J2436" s="187" t="s">
        <v>2683</v>
      </c>
      <c r="K2436" s="188"/>
      <c r="L2436" s="188"/>
      <c r="M2436" s="189" t="s">
        <v>847</v>
      </c>
      <c r="N2436" s="190">
        <v>489.26</v>
      </c>
      <c r="O2436" s="190">
        <f t="shared" si="299"/>
        <v>533.29</v>
      </c>
      <c r="P2436" s="191">
        <f t="shared" si="300"/>
        <v>0</v>
      </c>
      <c r="Q2436" s="192">
        <f t="shared" si="301"/>
        <v>0</v>
      </c>
      <c r="R2436" s="193"/>
      <c r="S2436" s="194"/>
      <c r="T2436" s="195">
        <f t="shared" si="302"/>
        <v>0</v>
      </c>
      <c r="U2436" s="195">
        <f t="shared" si="303"/>
        <v>0</v>
      </c>
      <c r="V2436" s="195">
        <f t="shared" si="304"/>
        <v>0</v>
      </c>
      <c r="W2436" s="196" t="e">
        <f t="shared" si="305"/>
        <v>#DIV/0!</v>
      </c>
      <c r="X2436" s="197" t="e">
        <f t="shared" si="306"/>
        <v>#DIV/0!</v>
      </c>
    </row>
    <row r="2437" ht="11.4" hidden="1" customHeight="1" spans="1:24">
      <c r="A2437" s="184" t="s">
        <v>3215</v>
      </c>
      <c r="B2437" s="184" t="s">
        <v>188</v>
      </c>
      <c r="C2437" s="184" t="s">
        <v>2644</v>
      </c>
      <c r="D2437" s="185" t="s">
        <v>704</v>
      </c>
      <c r="E2437" s="186" t="s">
        <v>2645</v>
      </c>
      <c r="F2437" s="186" t="s">
        <v>2651</v>
      </c>
      <c r="G2437" s="186" t="s">
        <v>2647</v>
      </c>
      <c r="H2437" s="186" t="s">
        <v>2647</v>
      </c>
      <c r="I2437" s="187" t="s">
        <v>2684</v>
      </c>
      <c r="J2437" s="187" t="s">
        <v>2685</v>
      </c>
      <c r="K2437" s="188"/>
      <c r="L2437" s="188"/>
      <c r="M2437" s="189" t="s">
        <v>963</v>
      </c>
      <c r="N2437" s="190">
        <v>1457.26</v>
      </c>
      <c r="O2437" s="190">
        <f t="shared" si="299"/>
        <v>1588.41</v>
      </c>
      <c r="P2437" s="191">
        <f t="shared" si="300"/>
        <v>0</v>
      </c>
      <c r="Q2437" s="192">
        <f t="shared" si="301"/>
        <v>0</v>
      </c>
      <c r="R2437" s="193"/>
      <c r="S2437" s="194"/>
      <c r="T2437" s="195">
        <f t="shared" si="302"/>
        <v>0</v>
      </c>
      <c r="U2437" s="195">
        <f t="shared" si="303"/>
        <v>0</v>
      </c>
      <c r="V2437" s="195">
        <f t="shared" si="304"/>
        <v>0</v>
      </c>
      <c r="W2437" s="196" t="e">
        <f t="shared" si="305"/>
        <v>#DIV/0!</v>
      </c>
      <c r="X2437" s="197" t="e">
        <f t="shared" si="306"/>
        <v>#DIV/0!</v>
      </c>
    </row>
    <row r="2438" ht="11.4" hidden="1" customHeight="1" spans="1:24">
      <c r="A2438" s="184" t="s">
        <v>3215</v>
      </c>
      <c r="B2438" s="184" t="s">
        <v>188</v>
      </c>
      <c r="C2438" s="184" t="s">
        <v>2644</v>
      </c>
      <c r="D2438" s="185" t="s">
        <v>704</v>
      </c>
      <c r="E2438" s="186" t="s">
        <v>2645</v>
      </c>
      <c r="F2438" s="186" t="s">
        <v>2651</v>
      </c>
      <c r="G2438" s="186" t="s">
        <v>2647</v>
      </c>
      <c r="H2438" s="186" t="s">
        <v>2647</v>
      </c>
      <c r="I2438" s="187" t="s">
        <v>2686</v>
      </c>
      <c r="J2438" s="187" t="s">
        <v>2687</v>
      </c>
      <c r="K2438" s="188"/>
      <c r="L2438" s="188"/>
      <c r="M2438" s="189" t="s">
        <v>963</v>
      </c>
      <c r="N2438" s="190">
        <v>489.26</v>
      </c>
      <c r="O2438" s="190">
        <f t="shared" si="299"/>
        <v>533.29</v>
      </c>
      <c r="P2438" s="191">
        <f t="shared" si="300"/>
        <v>0</v>
      </c>
      <c r="Q2438" s="192">
        <f t="shared" si="301"/>
        <v>0</v>
      </c>
      <c r="R2438" s="193"/>
      <c r="S2438" s="194"/>
      <c r="T2438" s="195">
        <f t="shared" si="302"/>
        <v>0</v>
      </c>
      <c r="U2438" s="195">
        <f t="shared" si="303"/>
        <v>0</v>
      </c>
      <c r="V2438" s="195">
        <f t="shared" si="304"/>
        <v>0</v>
      </c>
      <c r="W2438" s="196" t="e">
        <f t="shared" si="305"/>
        <v>#DIV/0!</v>
      </c>
      <c r="X2438" s="197" t="e">
        <f t="shared" si="306"/>
        <v>#DIV/0!</v>
      </c>
    </row>
    <row r="2439" ht="11.4" hidden="1" customHeight="1" spans="1:24">
      <c r="A2439" s="184" t="s">
        <v>3215</v>
      </c>
      <c r="B2439" s="184" t="s">
        <v>188</v>
      </c>
      <c r="C2439" s="184" t="s">
        <v>2644</v>
      </c>
      <c r="D2439" s="185" t="s">
        <v>704</v>
      </c>
      <c r="E2439" s="186" t="s">
        <v>2645</v>
      </c>
      <c r="F2439" s="186" t="s">
        <v>2651</v>
      </c>
      <c r="G2439" s="186" t="s">
        <v>2647</v>
      </c>
      <c r="H2439" s="186" t="s">
        <v>2647</v>
      </c>
      <c r="I2439" s="187" t="s">
        <v>2688</v>
      </c>
      <c r="J2439" s="187" t="s">
        <v>2689</v>
      </c>
      <c r="K2439" s="188"/>
      <c r="L2439" s="188"/>
      <c r="M2439" s="189" t="s">
        <v>963</v>
      </c>
      <c r="N2439" s="190">
        <v>439.49</v>
      </c>
      <c r="O2439" s="190">
        <f t="shared" si="299"/>
        <v>479.04</v>
      </c>
      <c r="P2439" s="191">
        <f t="shared" si="300"/>
        <v>0</v>
      </c>
      <c r="Q2439" s="192">
        <f t="shared" si="301"/>
        <v>0</v>
      </c>
      <c r="R2439" s="193"/>
      <c r="S2439" s="194"/>
      <c r="T2439" s="195">
        <f t="shared" si="302"/>
        <v>0</v>
      </c>
      <c r="U2439" s="195">
        <f t="shared" si="303"/>
        <v>0</v>
      </c>
      <c r="V2439" s="195">
        <f t="shared" si="304"/>
        <v>0</v>
      </c>
      <c r="W2439" s="196" t="e">
        <f t="shared" si="305"/>
        <v>#DIV/0!</v>
      </c>
      <c r="X2439" s="197" t="e">
        <f t="shared" si="306"/>
        <v>#DIV/0!</v>
      </c>
    </row>
    <row r="2440" ht="11.4" hidden="1" customHeight="1" spans="1:24">
      <c r="A2440" s="184" t="s">
        <v>3215</v>
      </c>
      <c r="B2440" s="184" t="s">
        <v>188</v>
      </c>
      <c r="C2440" s="184" t="s">
        <v>2644</v>
      </c>
      <c r="D2440" s="185" t="s">
        <v>704</v>
      </c>
      <c r="E2440" s="186" t="s">
        <v>2645</v>
      </c>
      <c r="F2440" s="186" t="s">
        <v>2651</v>
      </c>
      <c r="G2440" s="186" t="s">
        <v>2647</v>
      </c>
      <c r="H2440" s="186" t="s">
        <v>2647</v>
      </c>
      <c r="I2440" s="187" t="s">
        <v>2690</v>
      </c>
      <c r="J2440" s="187" t="s">
        <v>2691</v>
      </c>
      <c r="K2440" s="188"/>
      <c r="L2440" s="188"/>
      <c r="M2440" s="189" t="s">
        <v>963</v>
      </c>
      <c r="N2440" s="190">
        <v>6462.29</v>
      </c>
      <c r="O2440" s="190">
        <f t="shared" si="299"/>
        <v>7043.9</v>
      </c>
      <c r="P2440" s="191">
        <f t="shared" si="300"/>
        <v>0</v>
      </c>
      <c r="Q2440" s="192">
        <f t="shared" si="301"/>
        <v>0</v>
      </c>
      <c r="R2440" s="193"/>
      <c r="S2440" s="194"/>
      <c r="T2440" s="195">
        <f t="shared" si="302"/>
        <v>0</v>
      </c>
      <c r="U2440" s="195">
        <f t="shared" si="303"/>
        <v>0</v>
      </c>
      <c r="V2440" s="195">
        <f t="shared" si="304"/>
        <v>0</v>
      </c>
      <c r="W2440" s="196" t="e">
        <f t="shared" si="305"/>
        <v>#DIV/0!</v>
      </c>
      <c r="X2440" s="197" t="e">
        <f t="shared" si="306"/>
        <v>#DIV/0!</v>
      </c>
    </row>
    <row r="2441" ht="11.4" hidden="1" customHeight="1" spans="1:24">
      <c r="A2441" s="184" t="s">
        <v>3215</v>
      </c>
      <c r="B2441" s="184" t="s">
        <v>188</v>
      </c>
      <c r="C2441" s="184" t="s">
        <v>2644</v>
      </c>
      <c r="D2441" s="185" t="s">
        <v>704</v>
      </c>
      <c r="E2441" s="186" t="s">
        <v>2645</v>
      </c>
      <c r="F2441" s="186" t="s">
        <v>2651</v>
      </c>
      <c r="G2441" s="186" t="s">
        <v>2647</v>
      </c>
      <c r="H2441" s="186" t="s">
        <v>2647</v>
      </c>
      <c r="I2441" s="187" t="s">
        <v>2692</v>
      </c>
      <c r="J2441" s="187" t="s">
        <v>2693</v>
      </c>
      <c r="K2441" s="188"/>
      <c r="L2441" s="188"/>
      <c r="M2441" s="189" t="s">
        <v>963</v>
      </c>
      <c r="N2441" s="190">
        <v>4737.19</v>
      </c>
      <c r="O2441" s="190">
        <f t="shared" si="299"/>
        <v>5163.54</v>
      </c>
      <c r="P2441" s="191">
        <f t="shared" si="300"/>
        <v>0</v>
      </c>
      <c r="Q2441" s="192">
        <f t="shared" si="301"/>
        <v>0</v>
      </c>
      <c r="R2441" s="193"/>
      <c r="S2441" s="194"/>
      <c r="T2441" s="195">
        <f t="shared" si="302"/>
        <v>0</v>
      </c>
      <c r="U2441" s="195">
        <f t="shared" si="303"/>
        <v>0</v>
      </c>
      <c r="V2441" s="195">
        <f t="shared" si="304"/>
        <v>0</v>
      </c>
      <c r="W2441" s="196" t="e">
        <f t="shared" si="305"/>
        <v>#DIV/0!</v>
      </c>
      <c r="X2441" s="197" t="e">
        <f t="shared" si="306"/>
        <v>#DIV/0!</v>
      </c>
    </row>
    <row r="2442" ht="11.4" hidden="1" customHeight="1" spans="1:24">
      <c r="A2442" s="184" t="s">
        <v>3215</v>
      </c>
      <c r="B2442" s="184" t="s">
        <v>188</v>
      </c>
      <c r="C2442" s="184" t="s">
        <v>2644</v>
      </c>
      <c r="D2442" s="185" t="s">
        <v>704</v>
      </c>
      <c r="E2442" s="186" t="s">
        <v>2645</v>
      </c>
      <c r="F2442" s="186" t="s">
        <v>2651</v>
      </c>
      <c r="G2442" s="186" t="s">
        <v>2647</v>
      </c>
      <c r="H2442" s="186" t="s">
        <v>2647</v>
      </c>
      <c r="I2442" s="187" t="s">
        <v>2694</v>
      </c>
      <c r="J2442" s="187" t="s">
        <v>2695</v>
      </c>
      <c r="K2442" s="188"/>
      <c r="L2442" s="188"/>
      <c r="M2442" s="189" t="s">
        <v>963</v>
      </c>
      <c r="N2442" s="190">
        <v>1591.99</v>
      </c>
      <c r="O2442" s="190">
        <f t="shared" si="299"/>
        <v>1735.27</v>
      </c>
      <c r="P2442" s="191">
        <f t="shared" si="300"/>
        <v>0</v>
      </c>
      <c r="Q2442" s="192">
        <f t="shared" si="301"/>
        <v>0</v>
      </c>
      <c r="R2442" s="193"/>
      <c r="S2442" s="194"/>
      <c r="T2442" s="195">
        <f t="shared" si="302"/>
        <v>0</v>
      </c>
      <c r="U2442" s="195">
        <f t="shared" si="303"/>
        <v>0</v>
      </c>
      <c r="V2442" s="195">
        <f t="shared" si="304"/>
        <v>0</v>
      </c>
      <c r="W2442" s="196" t="e">
        <f t="shared" si="305"/>
        <v>#DIV/0!</v>
      </c>
      <c r="X2442" s="197" t="e">
        <f t="shared" si="306"/>
        <v>#DIV/0!</v>
      </c>
    </row>
    <row r="2443" ht="11.4" hidden="1" customHeight="1" spans="1:24">
      <c r="A2443" s="184" t="s">
        <v>3215</v>
      </c>
      <c r="B2443" s="184" t="s">
        <v>188</v>
      </c>
      <c r="C2443" s="184" t="s">
        <v>2644</v>
      </c>
      <c r="D2443" s="185" t="s">
        <v>704</v>
      </c>
      <c r="E2443" s="186" t="s">
        <v>2645</v>
      </c>
      <c r="F2443" s="186" t="s">
        <v>2651</v>
      </c>
      <c r="G2443" s="186" t="s">
        <v>2647</v>
      </c>
      <c r="H2443" s="186" t="s">
        <v>2647</v>
      </c>
      <c r="I2443" s="187" t="s">
        <v>2696</v>
      </c>
      <c r="J2443" s="187" t="s">
        <v>2697</v>
      </c>
      <c r="K2443" s="188"/>
      <c r="L2443" s="188"/>
      <c r="M2443" s="189" t="s">
        <v>963</v>
      </c>
      <c r="N2443" s="190">
        <v>372.89</v>
      </c>
      <c r="O2443" s="190">
        <f t="shared" si="299"/>
        <v>406.45</v>
      </c>
      <c r="P2443" s="191">
        <f t="shared" si="300"/>
        <v>0</v>
      </c>
      <c r="Q2443" s="192">
        <f t="shared" si="301"/>
        <v>0</v>
      </c>
      <c r="R2443" s="193"/>
      <c r="S2443" s="194"/>
      <c r="T2443" s="195">
        <f t="shared" si="302"/>
        <v>0</v>
      </c>
      <c r="U2443" s="195">
        <f t="shared" si="303"/>
        <v>0</v>
      </c>
      <c r="V2443" s="195">
        <f t="shared" si="304"/>
        <v>0</v>
      </c>
      <c r="W2443" s="196" t="e">
        <f t="shared" si="305"/>
        <v>#DIV/0!</v>
      </c>
      <c r="X2443" s="197" t="e">
        <f t="shared" si="306"/>
        <v>#DIV/0!</v>
      </c>
    </row>
    <row r="2444" ht="11.4" hidden="1" customHeight="1" spans="1:24">
      <c r="A2444" s="184" t="s">
        <v>3215</v>
      </c>
      <c r="B2444" s="184" t="s">
        <v>188</v>
      </c>
      <c r="C2444" s="184" t="s">
        <v>2644</v>
      </c>
      <c r="D2444" s="185" t="s">
        <v>704</v>
      </c>
      <c r="E2444" s="186" t="s">
        <v>2645</v>
      </c>
      <c r="F2444" s="186" t="s">
        <v>2651</v>
      </c>
      <c r="G2444" s="186" t="s">
        <v>2647</v>
      </c>
      <c r="H2444" s="186" t="s">
        <v>2647</v>
      </c>
      <c r="I2444" s="187" t="s">
        <v>2698</v>
      </c>
      <c r="J2444" s="187" t="s">
        <v>2699</v>
      </c>
      <c r="K2444" s="188"/>
      <c r="L2444" s="188"/>
      <c r="M2444" s="189" t="s">
        <v>963</v>
      </c>
      <c r="N2444" s="190">
        <v>549.99</v>
      </c>
      <c r="O2444" s="190">
        <f t="shared" si="299"/>
        <v>599.49</v>
      </c>
      <c r="P2444" s="191">
        <f t="shared" si="300"/>
        <v>0</v>
      </c>
      <c r="Q2444" s="192">
        <f t="shared" si="301"/>
        <v>0</v>
      </c>
      <c r="R2444" s="193"/>
      <c r="S2444" s="194"/>
      <c r="T2444" s="195">
        <f t="shared" si="302"/>
        <v>0</v>
      </c>
      <c r="U2444" s="195">
        <f t="shared" si="303"/>
        <v>0</v>
      </c>
      <c r="V2444" s="195">
        <f t="shared" si="304"/>
        <v>0</v>
      </c>
      <c r="W2444" s="196" t="e">
        <f t="shared" si="305"/>
        <v>#DIV/0!</v>
      </c>
      <c r="X2444" s="197" t="e">
        <f t="shared" si="306"/>
        <v>#DIV/0!</v>
      </c>
    </row>
    <row r="2445" ht="11.4" hidden="1" customHeight="1" spans="1:24">
      <c r="A2445" s="184" t="s">
        <v>3215</v>
      </c>
      <c r="B2445" s="184" t="s">
        <v>188</v>
      </c>
      <c r="C2445" s="184" t="s">
        <v>2644</v>
      </c>
      <c r="D2445" s="185" t="s">
        <v>704</v>
      </c>
      <c r="E2445" s="186" t="s">
        <v>2645</v>
      </c>
      <c r="F2445" s="186" t="s">
        <v>2651</v>
      </c>
      <c r="G2445" s="186" t="s">
        <v>2647</v>
      </c>
      <c r="H2445" s="186" t="s">
        <v>2647</v>
      </c>
      <c r="I2445" s="187" t="s">
        <v>2700</v>
      </c>
      <c r="J2445" s="187" t="s">
        <v>2701</v>
      </c>
      <c r="K2445" s="188"/>
      <c r="L2445" s="188"/>
      <c r="M2445" s="189" t="s">
        <v>963</v>
      </c>
      <c r="N2445" s="190">
        <v>416.89</v>
      </c>
      <c r="O2445" s="190">
        <f t="shared" ref="O2445:O2508" si="307">ROUND(N2445*(1+$F$10),2)</f>
        <v>454.41</v>
      </c>
      <c r="P2445" s="191">
        <f t="shared" ref="P2445:P2508" si="308">ROUND(K2445*N2445,2)</f>
        <v>0</v>
      </c>
      <c r="Q2445" s="192">
        <f t="shared" ref="Q2445:Q2508" si="309">ROUND(L2445*N2445,2)</f>
        <v>0</v>
      </c>
      <c r="R2445" s="193"/>
      <c r="S2445" s="194"/>
      <c r="T2445" s="195">
        <f t="shared" ref="T2445:T2508" si="310">K2445-L2445</f>
        <v>0</v>
      </c>
      <c r="U2445" s="195">
        <f t="shared" ref="U2445:U2508" si="311">P2445-Q2445</f>
        <v>0</v>
      </c>
      <c r="V2445" s="195">
        <f t="shared" ref="V2445:V2508" si="312">ABS(U2445)</f>
        <v>0</v>
      </c>
      <c r="W2445" s="196" t="e">
        <f t="shared" ref="W2445:W2508" si="313">T2445/L2445</f>
        <v>#DIV/0!</v>
      </c>
      <c r="X2445" s="197" t="e">
        <f t="shared" ref="X2445:X2508" si="314">ABS(W2445)</f>
        <v>#DIV/0!</v>
      </c>
    </row>
    <row r="2446" ht="11.4" hidden="1" customHeight="1" spans="1:24">
      <c r="A2446" s="184" t="s">
        <v>3215</v>
      </c>
      <c r="B2446" s="184" t="s">
        <v>188</v>
      </c>
      <c r="C2446" s="184" t="s">
        <v>2644</v>
      </c>
      <c r="D2446" s="185" t="s">
        <v>704</v>
      </c>
      <c r="E2446" s="186" t="s">
        <v>2645</v>
      </c>
      <c r="F2446" s="186" t="s">
        <v>2651</v>
      </c>
      <c r="G2446" s="186" t="s">
        <v>2647</v>
      </c>
      <c r="H2446" s="186" t="s">
        <v>2647</v>
      </c>
      <c r="I2446" s="187" t="s">
        <v>2702</v>
      </c>
      <c r="J2446" s="187" t="s">
        <v>2703</v>
      </c>
      <c r="K2446" s="188"/>
      <c r="L2446" s="188"/>
      <c r="M2446" s="189" t="s">
        <v>963</v>
      </c>
      <c r="N2446" s="190">
        <v>598.39</v>
      </c>
      <c r="O2446" s="190">
        <f t="shared" si="307"/>
        <v>652.25</v>
      </c>
      <c r="P2446" s="191">
        <f t="shared" si="308"/>
        <v>0</v>
      </c>
      <c r="Q2446" s="192">
        <f t="shared" si="309"/>
        <v>0</v>
      </c>
      <c r="R2446" s="193"/>
      <c r="S2446" s="194"/>
      <c r="T2446" s="195">
        <f t="shared" si="310"/>
        <v>0</v>
      </c>
      <c r="U2446" s="195">
        <f t="shared" si="311"/>
        <v>0</v>
      </c>
      <c r="V2446" s="195">
        <f t="shared" si="312"/>
        <v>0</v>
      </c>
      <c r="W2446" s="196" t="e">
        <f t="shared" si="313"/>
        <v>#DIV/0!</v>
      </c>
      <c r="X2446" s="197" t="e">
        <f t="shared" si="314"/>
        <v>#DIV/0!</v>
      </c>
    </row>
    <row r="2447" ht="11.4" hidden="1" customHeight="1" spans="1:24">
      <c r="A2447" s="184" t="s">
        <v>3215</v>
      </c>
      <c r="B2447" s="184" t="s">
        <v>188</v>
      </c>
      <c r="C2447" s="184" t="s">
        <v>2644</v>
      </c>
      <c r="D2447" s="185" t="s">
        <v>704</v>
      </c>
      <c r="E2447" s="186" t="s">
        <v>2645</v>
      </c>
      <c r="F2447" s="186" t="s">
        <v>2651</v>
      </c>
      <c r="G2447" s="186" t="s">
        <v>2647</v>
      </c>
      <c r="H2447" s="186" t="s">
        <v>2647</v>
      </c>
      <c r="I2447" s="187" t="s">
        <v>2704</v>
      </c>
      <c r="J2447" s="187" t="s">
        <v>2705</v>
      </c>
      <c r="K2447" s="188"/>
      <c r="L2447" s="188"/>
      <c r="M2447" s="189" t="s">
        <v>963</v>
      </c>
      <c r="N2447" s="190"/>
      <c r="O2447" s="190">
        <f t="shared" si="307"/>
        <v>0</v>
      </c>
      <c r="P2447" s="191">
        <f t="shared" si="308"/>
        <v>0</v>
      </c>
      <c r="Q2447" s="192">
        <f t="shared" si="309"/>
        <v>0</v>
      </c>
      <c r="R2447" s="193"/>
      <c r="S2447" s="194"/>
      <c r="T2447" s="195">
        <f t="shared" si="310"/>
        <v>0</v>
      </c>
      <c r="U2447" s="195">
        <f t="shared" si="311"/>
        <v>0</v>
      </c>
      <c r="V2447" s="195">
        <f t="shared" si="312"/>
        <v>0</v>
      </c>
      <c r="W2447" s="196" t="e">
        <f t="shared" si="313"/>
        <v>#DIV/0!</v>
      </c>
      <c r="X2447" s="197" t="e">
        <f t="shared" si="314"/>
        <v>#DIV/0!</v>
      </c>
    </row>
    <row r="2448" ht="11.4" hidden="1" customHeight="1" spans="1:24">
      <c r="A2448" s="184" t="s">
        <v>3215</v>
      </c>
      <c r="B2448" s="184" t="s">
        <v>188</v>
      </c>
      <c r="C2448" s="184" t="s">
        <v>2644</v>
      </c>
      <c r="D2448" s="185" t="s">
        <v>704</v>
      </c>
      <c r="E2448" s="186" t="s">
        <v>2645</v>
      </c>
      <c r="F2448" s="186" t="s">
        <v>2651</v>
      </c>
      <c r="G2448" s="186" t="s">
        <v>2647</v>
      </c>
      <c r="H2448" s="186" t="s">
        <v>2647</v>
      </c>
      <c r="I2448" s="187" t="s">
        <v>2706</v>
      </c>
      <c r="J2448" s="187" t="s">
        <v>2707</v>
      </c>
      <c r="K2448" s="188"/>
      <c r="L2448" s="188"/>
      <c r="M2448" s="189" t="s">
        <v>963</v>
      </c>
      <c r="N2448" s="190"/>
      <c r="O2448" s="190">
        <f t="shared" si="307"/>
        <v>0</v>
      </c>
      <c r="P2448" s="191">
        <f t="shared" si="308"/>
        <v>0</v>
      </c>
      <c r="Q2448" s="192">
        <f t="shared" si="309"/>
        <v>0</v>
      </c>
      <c r="R2448" s="193"/>
      <c r="S2448" s="194"/>
      <c r="T2448" s="195">
        <f t="shared" si="310"/>
        <v>0</v>
      </c>
      <c r="U2448" s="195">
        <f t="shared" si="311"/>
        <v>0</v>
      </c>
      <c r="V2448" s="195">
        <f t="shared" si="312"/>
        <v>0</v>
      </c>
      <c r="W2448" s="196" t="e">
        <f t="shared" si="313"/>
        <v>#DIV/0!</v>
      </c>
      <c r="X2448" s="197" t="e">
        <f t="shared" si="314"/>
        <v>#DIV/0!</v>
      </c>
    </row>
    <row r="2449" ht="11.4" hidden="1" customHeight="1" spans="1:24">
      <c r="A2449" s="184" t="s">
        <v>3215</v>
      </c>
      <c r="B2449" s="184" t="s">
        <v>188</v>
      </c>
      <c r="C2449" s="184" t="s">
        <v>2644</v>
      </c>
      <c r="D2449" s="185" t="s">
        <v>704</v>
      </c>
      <c r="E2449" s="186" t="s">
        <v>2645</v>
      </c>
      <c r="F2449" s="186" t="s">
        <v>2651</v>
      </c>
      <c r="G2449" s="186" t="s">
        <v>2647</v>
      </c>
      <c r="H2449" s="186" t="s">
        <v>2647</v>
      </c>
      <c r="I2449" s="187" t="s">
        <v>2708</v>
      </c>
      <c r="J2449" s="187" t="s">
        <v>2709</v>
      </c>
      <c r="K2449" s="188"/>
      <c r="L2449" s="188"/>
      <c r="M2449" s="189" t="s">
        <v>963</v>
      </c>
      <c r="N2449" s="190"/>
      <c r="O2449" s="190">
        <f t="shared" si="307"/>
        <v>0</v>
      </c>
      <c r="P2449" s="191">
        <f t="shared" si="308"/>
        <v>0</v>
      </c>
      <c r="Q2449" s="192">
        <f t="shared" si="309"/>
        <v>0</v>
      </c>
      <c r="R2449" s="193"/>
      <c r="S2449" s="194"/>
      <c r="T2449" s="195">
        <f t="shared" si="310"/>
        <v>0</v>
      </c>
      <c r="U2449" s="195">
        <f t="shared" si="311"/>
        <v>0</v>
      </c>
      <c r="V2449" s="195">
        <f t="shared" si="312"/>
        <v>0</v>
      </c>
      <c r="W2449" s="196" t="e">
        <f t="shared" si="313"/>
        <v>#DIV/0!</v>
      </c>
      <c r="X2449" s="197" t="e">
        <f t="shared" si="314"/>
        <v>#DIV/0!</v>
      </c>
    </row>
    <row r="2450" ht="11.4" hidden="1" customHeight="1" spans="1:24">
      <c r="A2450" s="184" t="s">
        <v>3215</v>
      </c>
      <c r="B2450" s="184" t="s">
        <v>188</v>
      </c>
      <c r="C2450" s="184" t="s">
        <v>2644</v>
      </c>
      <c r="D2450" s="185" t="s">
        <v>704</v>
      </c>
      <c r="E2450" s="186" t="s">
        <v>2645</v>
      </c>
      <c r="F2450" s="186" t="s">
        <v>2651</v>
      </c>
      <c r="G2450" s="186" t="s">
        <v>2647</v>
      </c>
      <c r="H2450" s="186" t="s">
        <v>2647</v>
      </c>
      <c r="I2450" s="187" t="s">
        <v>2710</v>
      </c>
      <c r="J2450" s="187" t="s">
        <v>2711</v>
      </c>
      <c r="K2450" s="188"/>
      <c r="L2450" s="188"/>
      <c r="M2450" s="189" t="s">
        <v>963</v>
      </c>
      <c r="N2450" s="190"/>
      <c r="O2450" s="190">
        <f t="shared" si="307"/>
        <v>0</v>
      </c>
      <c r="P2450" s="191">
        <f t="shared" si="308"/>
        <v>0</v>
      </c>
      <c r="Q2450" s="192">
        <f t="shared" si="309"/>
        <v>0</v>
      </c>
      <c r="R2450" s="193"/>
      <c r="S2450" s="194"/>
      <c r="T2450" s="195">
        <f t="shared" si="310"/>
        <v>0</v>
      </c>
      <c r="U2450" s="195">
        <f t="shared" si="311"/>
        <v>0</v>
      </c>
      <c r="V2450" s="195">
        <f t="shared" si="312"/>
        <v>0</v>
      </c>
      <c r="W2450" s="196" t="e">
        <f t="shared" si="313"/>
        <v>#DIV/0!</v>
      </c>
      <c r="X2450" s="197" t="e">
        <f t="shared" si="314"/>
        <v>#DIV/0!</v>
      </c>
    </row>
    <row r="2451" ht="11.4" hidden="1" customHeight="1" spans="1:24">
      <c r="A2451" s="184" t="s">
        <v>3215</v>
      </c>
      <c r="B2451" s="184" t="s">
        <v>188</v>
      </c>
      <c r="C2451" s="184" t="s">
        <v>2644</v>
      </c>
      <c r="D2451" s="185" t="s">
        <v>704</v>
      </c>
      <c r="E2451" s="186" t="s">
        <v>2645</v>
      </c>
      <c r="F2451" s="186" t="s">
        <v>2651</v>
      </c>
      <c r="G2451" s="186" t="s">
        <v>2647</v>
      </c>
      <c r="H2451" s="186" t="s">
        <v>2647</v>
      </c>
      <c r="I2451" s="187" t="s">
        <v>2712</v>
      </c>
      <c r="J2451" s="187" t="s">
        <v>2713</v>
      </c>
      <c r="K2451" s="188"/>
      <c r="L2451" s="188"/>
      <c r="M2451" s="189" t="s">
        <v>963</v>
      </c>
      <c r="N2451" s="190"/>
      <c r="O2451" s="190">
        <f t="shared" si="307"/>
        <v>0</v>
      </c>
      <c r="P2451" s="191">
        <f t="shared" si="308"/>
        <v>0</v>
      </c>
      <c r="Q2451" s="192">
        <f t="shared" si="309"/>
        <v>0</v>
      </c>
      <c r="R2451" s="193"/>
      <c r="S2451" s="194"/>
      <c r="T2451" s="195">
        <f t="shared" si="310"/>
        <v>0</v>
      </c>
      <c r="U2451" s="195">
        <f t="shared" si="311"/>
        <v>0</v>
      </c>
      <c r="V2451" s="195">
        <f t="shared" si="312"/>
        <v>0</v>
      </c>
      <c r="W2451" s="196" t="e">
        <f t="shared" si="313"/>
        <v>#DIV/0!</v>
      </c>
      <c r="X2451" s="197" t="e">
        <f t="shared" si="314"/>
        <v>#DIV/0!</v>
      </c>
    </row>
    <row r="2452" ht="11.4" hidden="1" customHeight="1" spans="1:24">
      <c r="A2452" s="184" t="s">
        <v>3215</v>
      </c>
      <c r="B2452" s="184" t="s">
        <v>188</v>
      </c>
      <c r="C2452" s="184" t="s">
        <v>2644</v>
      </c>
      <c r="D2452" s="185" t="s">
        <v>704</v>
      </c>
      <c r="E2452" s="186" t="s">
        <v>2645</v>
      </c>
      <c r="F2452" s="186" t="s">
        <v>2651</v>
      </c>
      <c r="G2452" s="186" t="s">
        <v>2647</v>
      </c>
      <c r="H2452" s="186" t="s">
        <v>2647</v>
      </c>
      <c r="I2452" s="187" t="s">
        <v>2714</v>
      </c>
      <c r="J2452" s="187" t="s">
        <v>2715</v>
      </c>
      <c r="K2452" s="188"/>
      <c r="L2452" s="188"/>
      <c r="M2452" s="189" t="s">
        <v>963</v>
      </c>
      <c r="N2452" s="190"/>
      <c r="O2452" s="190">
        <f t="shared" si="307"/>
        <v>0</v>
      </c>
      <c r="P2452" s="191">
        <f t="shared" si="308"/>
        <v>0</v>
      </c>
      <c r="Q2452" s="192">
        <f t="shared" si="309"/>
        <v>0</v>
      </c>
      <c r="R2452" s="193"/>
      <c r="S2452" s="194"/>
      <c r="T2452" s="195">
        <f t="shared" si="310"/>
        <v>0</v>
      </c>
      <c r="U2452" s="195">
        <f t="shared" si="311"/>
        <v>0</v>
      </c>
      <c r="V2452" s="195">
        <f t="shared" si="312"/>
        <v>0</v>
      </c>
      <c r="W2452" s="196" t="e">
        <f t="shared" si="313"/>
        <v>#DIV/0!</v>
      </c>
      <c r="X2452" s="197" t="e">
        <f t="shared" si="314"/>
        <v>#DIV/0!</v>
      </c>
    </row>
    <row r="2453" ht="11.4" hidden="1" customHeight="1" spans="1:24">
      <c r="A2453" s="184" t="s">
        <v>3215</v>
      </c>
      <c r="B2453" s="184" t="s">
        <v>188</v>
      </c>
      <c r="C2453" s="184" t="s">
        <v>2644</v>
      </c>
      <c r="D2453" s="185" t="s">
        <v>704</v>
      </c>
      <c r="E2453" s="186" t="s">
        <v>2645</v>
      </c>
      <c r="F2453" s="186" t="s">
        <v>2651</v>
      </c>
      <c r="G2453" s="186" t="s">
        <v>2647</v>
      </c>
      <c r="H2453" s="186" t="s">
        <v>2647</v>
      </c>
      <c r="I2453" s="187" t="s">
        <v>2716</v>
      </c>
      <c r="J2453" s="187" t="s">
        <v>2717</v>
      </c>
      <c r="K2453" s="188"/>
      <c r="L2453" s="188"/>
      <c r="M2453" s="189" t="s">
        <v>963</v>
      </c>
      <c r="N2453" s="190">
        <v>1575.49</v>
      </c>
      <c r="O2453" s="190">
        <f t="shared" si="307"/>
        <v>1717.28</v>
      </c>
      <c r="P2453" s="191">
        <f t="shared" si="308"/>
        <v>0</v>
      </c>
      <c r="Q2453" s="192">
        <f t="shared" si="309"/>
        <v>0</v>
      </c>
      <c r="R2453" s="193"/>
      <c r="S2453" s="194"/>
      <c r="T2453" s="195">
        <f t="shared" si="310"/>
        <v>0</v>
      </c>
      <c r="U2453" s="195">
        <f t="shared" si="311"/>
        <v>0</v>
      </c>
      <c r="V2453" s="195">
        <f t="shared" si="312"/>
        <v>0</v>
      </c>
      <c r="W2453" s="196" t="e">
        <f t="shared" si="313"/>
        <v>#DIV/0!</v>
      </c>
      <c r="X2453" s="197" t="e">
        <f t="shared" si="314"/>
        <v>#DIV/0!</v>
      </c>
    </row>
    <row r="2454" ht="11.4" hidden="1" customHeight="1" spans="1:24">
      <c r="A2454" s="184" t="s">
        <v>3215</v>
      </c>
      <c r="B2454" s="184" t="s">
        <v>188</v>
      </c>
      <c r="C2454" s="184" t="s">
        <v>2644</v>
      </c>
      <c r="D2454" s="185" t="s">
        <v>704</v>
      </c>
      <c r="E2454" s="186" t="s">
        <v>2645</v>
      </c>
      <c r="F2454" s="186" t="s">
        <v>2651</v>
      </c>
      <c r="G2454" s="186" t="s">
        <v>2647</v>
      </c>
      <c r="H2454" s="186" t="s">
        <v>2647</v>
      </c>
      <c r="I2454" s="187" t="s">
        <v>2718</v>
      </c>
      <c r="J2454" s="187" t="s">
        <v>2719</v>
      </c>
      <c r="K2454" s="188"/>
      <c r="L2454" s="188"/>
      <c r="M2454" s="189" t="s">
        <v>793</v>
      </c>
      <c r="N2454" s="190">
        <v>3038.34</v>
      </c>
      <c r="O2454" s="190">
        <f t="shared" si="307"/>
        <v>3311.79</v>
      </c>
      <c r="P2454" s="191">
        <f t="shared" si="308"/>
        <v>0</v>
      </c>
      <c r="Q2454" s="192">
        <f t="shared" si="309"/>
        <v>0</v>
      </c>
      <c r="R2454" s="193"/>
      <c r="S2454" s="194"/>
      <c r="T2454" s="195">
        <f t="shared" si="310"/>
        <v>0</v>
      </c>
      <c r="U2454" s="195">
        <f t="shared" si="311"/>
        <v>0</v>
      </c>
      <c r="V2454" s="195">
        <f t="shared" si="312"/>
        <v>0</v>
      </c>
      <c r="W2454" s="196" t="e">
        <f t="shared" si="313"/>
        <v>#DIV/0!</v>
      </c>
      <c r="X2454" s="197" t="e">
        <f t="shared" si="314"/>
        <v>#DIV/0!</v>
      </c>
    </row>
    <row r="2455" ht="11.4" hidden="1" customHeight="1" spans="1:24">
      <c r="A2455" s="184" t="s">
        <v>3215</v>
      </c>
      <c r="B2455" s="184" t="s">
        <v>188</v>
      </c>
      <c r="C2455" s="184" t="s">
        <v>2644</v>
      </c>
      <c r="D2455" s="185" t="s">
        <v>704</v>
      </c>
      <c r="E2455" s="186" t="s">
        <v>2645</v>
      </c>
      <c r="F2455" s="186" t="s">
        <v>2651</v>
      </c>
      <c r="G2455" s="186" t="s">
        <v>2647</v>
      </c>
      <c r="H2455" s="186" t="s">
        <v>2647</v>
      </c>
      <c r="I2455" s="187" t="s">
        <v>2720</v>
      </c>
      <c r="J2455" s="187" t="s">
        <v>2721</v>
      </c>
      <c r="K2455" s="188"/>
      <c r="L2455" s="188"/>
      <c r="M2455" s="189" t="s">
        <v>963</v>
      </c>
      <c r="N2455" s="190">
        <v>1575.49</v>
      </c>
      <c r="O2455" s="190">
        <f t="shared" si="307"/>
        <v>1717.28</v>
      </c>
      <c r="P2455" s="191">
        <f t="shared" si="308"/>
        <v>0</v>
      </c>
      <c r="Q2455" s="192">
        <f t="shared" si="309"/>
        <v>0</v>
      </c>
      <c r="R2455" s="193"/>
      <c r="S2455" s="194"/>
      <c r="T2455" s="195">
        <f t="shared" si="310"/>
        <v>0</v>
      </c>
      <c r="U2455" s="195">
        <f t="shared" si="311"/>
        <v>0</v>
      </c>
      <c r="V2455" s="195">
        <f t="shared" si="312"/>
        <v>0</v>
      </c>
      <c r="W2455" s="196" t="e">
        <f t="shared" si="313"/>
        <v>#DIV/0!</v>
      </c>
      <c r="X2455" s="197" t="e">
        <f t="shared" si="314"/>
        <v>#DIV/0!</v>
      </c>
    </row>
    <row r="2456" ht="11.4" hidden="1" customHeight="1" spans="1:24">
      <c r="A2456" s="184" t="s">
        <v>3215</v>
      </c>
      <c r="B2456" s="184" t="s">
        <v>188</v>
      </c>
      <c r="C2456" s="184" t="s">
        <v>2644</v>
      </c>
      <c r="D2456" s="185" t="s">
        <v>704</v>
      </c>
      <c r="E2456" s="186" t="s">
        <v>2645</v>
      </c>
      <c r="F2456" s="186" t="s">
        <v>2651</v>
      </c>
      <c r="G2456" s="186" t="s">
        <v>2647</v>
      </c>
      <c r="H2456" s="186" t="s">
        <v>2647</v>
      </c>
      <c r="I2456" s="187" t="s">
        <v>2722</v>
      </c>
      <c r="J2456" s="187" t="s">
        <v>2723</v>
      </c>
      <c r="K2456" s="188"/>
      <c r="L2456" s="188"/>
      <c r="M2456" s="189" t="s">
        <v>793</v>
      </c>
      <c r="N2456" s="190">
        <v>876.46</v>
      </c>
      <c r="O2456" s="190">
        <f t="shared" si="307"/>
        <v>955.34</v>
      </c>
      <c r="P2456" s="191">
        <f t="shared" si="308"/>
        <v>0</v>
      </c>
      <c r="Q2456" s="192">
        <f t="shared" si="309"/>
        <v>0</v>
      </c>
      <c r="R2456" s="193"/>
      <c r="S2456" s="194"/>
      <c r="T2456" s="195">
        <f t="shared" si="310"/>
        <v>0</v>
      </c>
      <c r="U2456" s="195">
        <f t="shared" si="311"/>
        <v>0</v>
      </c>
      <c r="V2456" s="195">
        <f t="shared" si="312"/>
        <v>0</v>
      </c>
      <c r="W2456" s="196" t="e">
        <f t="shared" si="313"/>
        <v>#DIV/0!</v>
      </c>
      <c r="X2456" s="197" t="e">
        <f t="shared" si="314"/>
        <v>#DIV/0!</v>
      </c>
    </row>
    <row r="2457" ht="11.4" hidden="1" customHeight="1" spans="1:24">
      <c r="A2457" s="184" t="s">
        <v>3215</v>
      </c>
      <c r="B2457" s="184" t="s">
        <v>188</v>
      </c>
      <c r="C2457" s="184" t="s">
        <v>2644</v>
      </c>
      <c r="D2457" s="185" t="s">
        <v>704</v>
      </c>
      <c r="E2457" s="186" t="s">
        <v>2645</v>
      </c>
      <c r="F2457" s="186" t="s">
        <v>2651</v>
      </c>
      <c r="G2457" s="186" t="s">
        <v>2647</v>
      </c>
      <c r="H2457" s="186" t="s">
        <v>2647</v>
      </c>
      <c r="I2457" s="187" t="s">
        <v>2724</v>
      </c>
      <c r="J2457" s="187" t="s">
        <v>2725</v>
      </c>
      <c r="K2457" s="188"/>
      <c r="L2457" s="188"/>
      <c r="M2457" s="189" t="s">
        <v>963</v>
      </c>
      <c r="N2457" s="190">
        <v>372.89</v>
      </c>
      <c r="O2457" s="190">
        <f t="shared" si="307"/>
        <v>406.45</v>
      </c>
      <c r="P2457" s="191">
        <f t="shared" si="308"/>
        <v>0</v>
      </c>
      <c r="Q2457" s="192">
        <f t="shared" si="309"/>
        <v>0</v>
      </c>
      <c r="R2457" s="193"/>
      <c r="S2457" s="194"/>
      <c r="T2457" s="195">
        <f t="shared" si="310"/>
        <v>0</v>
      </c>
      <c r="U2457" s="195">
        <f t="shared" si="311"/>
        <v>0</v>
      </c>
      <c r="V2457" s="195">
        <f t="shared" si="312"/>
        <v>0</v>
      </c>
      <c r="W2457" s="196" t="e">
        <f t="shared" si="313"/>
        <v>#DIV/0!</v>
      </c>
      <c r="X2457" s="197" t="e">
        <f t="shared" si="314"/>
        <v>#DIV/0!</v>
      </c>
    </row>
    <row r="2458" ht="11.4" hidden="1" customHeight="1" spans="1:24">
      <c r="A2458" s="184" t="s">
        <v>3216</v>
      </c>
      <c r="B2458" s="184" t="s">
        <v>351</v>
      </c>
      <c r="C2458" s="184" t="s">
        <v>2727</v>
      </c>
      <c r="D2458" s="185" t="s">
        <v>704</v>
      </c>
      <c r="E2458" s="186" t="s">
        <v>2728</v>
      </c>
      <c r="F2458" s="186" t="s">
        <v>2729</v>
      </c>
      <c r="G2458" s="186" t="s">
        <v>2730</v>
      </c>
      <c r="H2458" s="186" t="s">
        <v>563</v>
      </c>
      <c r="I2458" s="187" t="s">
        <v>2731</v>
      </c>
      <c r="J2458" s="187" t="s">
        <v>563</v>
      </c>
      <c r="K2458" s="188"/>
      <c r="L2458" s="188"/>
      <c r="M2458" s="189" t="s">
        <v>2308</v>
      </c>
      <c r="N2458" s="190">
        <v>2676.15</v>
      </c>
      <c r="O2458" s="190">
        <f t="shared" si="307"/>
        <v>2917</v>
      </c>
      <c r="P2458" s="191">
        <f t="shared" si="308"/>
        <v>0</v>
      </c>
      <c r="Q2458" s="192">
        <f t="shared" si="309"/>
        <v>0</v>
      </c>
      <c r="R2458" s="193"/>
      <c r="S2458" s="194"/>
      <c r="T2458" s="195">
        <f t="shared" si="310"/>
        <v>0</v>
      </c>
      <c r="U2458" s="195">
        <f t="shared" si="311"/>
        <v>0</v>
      </c>
      <c r="V2458" s="195">
        <f t="shared" si="312"/>
        <v>0</v>
      </c>
      <c r="W2458" s="196" t="e">
        <f t="shared" si="313"/>
        <v>#DIV/0!</v>
      </c>
      <c r="X2458" s="197" t="e">
        <f t="shared" si="314"/>
        <v>#DIV/0!</v>
      </c>
    </row>
    <row r="2459" ht="11.4" hidden="1" customHeight="1" spans="1:24">
      <c r="A2459" s="184" t="s">
        <v>3217</v>
      </c>
      <c r="B2459" s="184" t="s">
        <v>355</v>
      </c>
      <c r="C2459" s="184" t="s">
        <v>2733</v>
      </c>
      <c r="D2459" s="185" t="s">
        <v>704</v>
      </c>
      <c r="E2459" s="186" t="s">
        <v>2728</v>
      </c>
      <c r="F2459" s="186" t="s">
        <v>2729</v>
      </c>
      <c r="G2459" s="186" t="s">
        <v>2734</v>
      </c>
      <c r="H2459" s="186" t="s">
        <v>2735</v>
      </c>
      <c r="I2459" s="187" t="s">
        <v>2736</v>
      </c>
      <c r="J2459" s="187" t="s">
        <v>2737</v>
      </c>
      <c r="K2459" s="188"/>
      <c r="L2459" s="188"/>
      <c r="M2459" s="189" t="s">
        <v>2308</v>
      </c>
      <c r="N2459" s="190"/>
      <c r="O2459" s="190">
        <f t="shared" si="307"/>
        <v>0</v>
      </c>
      <c r="P2459" s="191">
        <f t="shared" si="308"/>
        <v>0</v>
      </c>
      <c r="Q2459" s="192">
        <f t="shared" si="309"/>
        <v>0</v>
      </c>
      <c r="R2459" s="193"/>
      <c r="S2459" s="194"/>
      <c r="T2459" s="195">
        <f t="shared" si="310"/>
        <v>0</v>
      </c>
      <c r="U2459" s="195">
        <f t="shared" si="311"/>
        <v>0</v>
      </c>
      <c r="V2459" s="195">
        <f t="shared" si="312"/>
        <v>0</v>
      </c>
      <c r="W2459" s="196" t="e">
        <f t="shared" si="313"/>
        <v>#DIV/0!</v>
      </c>
      <c r="X2459" s="197" t="e">
        <f t="shared" si="314"/>
        <v>#DIV/0!</v>
      </c>
    </row>
    <row r="2460" ht="11.4" hidden="1" customHeight="1" spans="1:24">
      <c r="A2460" s="184" t="s">
        <v>3217</v>
      </c>
      <c r="B2460" s="184" t="s">
        <v>355</v>
      </c>
      <c r="C2460" s="184" t="s">
        <v>2733</v>
      </c>
      <c r="D2460" s="185" t="s">
        <v>704</v>
      </c>
      <c r="E2460" s="186" t="s">
        <v>2728</v>
      </c>
      <c r="F2460" s="186" t="s">
        <v>2729</v>
      </c>
      <c r="G2460" s="186" t="s">
        <v>2734</v>
      </c>
      <c r="H2460" s="186" t="s">
        <v>2735</v>
      </c>
      <c r="I2460" s="187" t="s">
        <v>2738</v>
      </c>
      <c r="J2460" s="187" t="s">
        <v>2739</v>
      </c>
      <c r="K2460" s="188"/>
      <c r="L2460" s="188"/>
      <c r="M2460" s="189" t="s">
        <v>2308</v>
      </c>
      <c r="N2460" s="190">
        <v>939</v>
      </c>
      <c r="O2460" s="190">
        <f t="shared" si="307"/>
        <v>1023.51</v>
      </c>
      <c r="P2460" s="191">
        <f t="shared" si="308"/>
        <v>0</v>
      </c>
      <c r="Q2460" s="192">
        <f t="shared" si="309"/>
        <v>0</v>
      </c>
      <c r="R2460" s="193"/>
      <c r="S2460" s="194"/>
      <c r="T2460" s="195">
        <f t="shared" si="310"/>
        <v>0</v>
      </c>
      <c r="U2460" s="195">
        <f t="shared" si="311"/>
        <v>0</v>
      </c>
      <c r="V2460" s="195">
        <f t="shared" si="312"/>
        <v>0</v>
      </c>
      <c r="W2460" s="196" t="e">
        <f t="shared" si="313"/>
        <v>#DIV/0!</v>
      </c>
      <c r="X2460" s="197" t="e">
        <f t="shared" si="314"/>
        <v>#DIV/0!</v>
      </c>
    </row>
    <row r="2461" ht="11.4" hidden="1" customHeight="1" spans="1:24">
      <c r="A2461" s="184" t="s">
        <v>3218</v>
      </c>
      <c r="B2461" s="184" t="s">
        <v>363</v>
      </c>
      <c r="C2461" s="184" t="s">
        <v>362</v>
      </c>
      <c r="D2461" s="185" t="s">
        <v>704</v>
      </c>
      <c r="E2461" s="186" t="s">
        <v>2728</v>
      </c>
      <c r="F2461" s="186" t="s">
        <v>2729</v>
      </c>
      <c r="G2461" s="186" t="s">
        <v>2734</v>
      </c>
      <c r="H2461" s="186" t="s">
        <v>2735</v>
      </c>
      <c r="I2461" s="187" t="s">
        <v>2741</v>
      </c>
      <c r="J2461" s="187" t="s">
        <v>2742</v>
      </c>
      <c r="K2461" s="188"/>
      <c r="L2461" s="188"/>
      <c r="M2461" s="189" t="s">
        <v>989</v>
      </c>
      <c r="N2461" s="190">
        <v>4889.85</v>
      </c>
      <c r="O2461" s="190">
        <f t="shared" si="307"/>
        <v>5329.94</v>
      </c>
      <c r="P2461" s="191">
        <f t="shared" si="308"/>
        <v>0</v>
      </c>
      <c r="Q2461" s="192">
        <f t="shared" si="309"/>
        <v>0</v>
      </c>
      <c r="R2461" s="193"/>
      <c r="S2461" s="194"/>
      <c r="T2461" s="195">
        <f t="shared" si="310"/>
        <v>0</v>
      </c>
      <c r="U2461" s="195">
        <f t="shared" si="311"/>
        <v>0</v>
      </c>
      <c r="V2461" s="195">
        <f t="shared" si="312"/>
        <v>0</v>
      </c>
      <c r="W2461" s="196" t="e">
        <f t="shared" si="313"/>
        <v>#DIV/0!</v>
      </c>
      <c r="X2461" s="197" t="e">
        <f t="shared" si="314"/>
        <v>#DIV/0!</v>
      </c>
    </row>
    <row r="2462" ht="11.4" hidden="1" customHeight="1" spans="1:24">
      <c r="A2462" s="184" t="s">
        <v>3217</v>
      </c>
      <c r="B2462" s="184" t="s">
        <v>355</v>
      </c>
      <c r="C2462" s="184" t="s">
        <v>2743</v>
      </c>
      <c r="D2462" s="185" t="s">
        <v>704</v>
      </c>
      <c r="E2462" s="186" t="s">
        <v>2728</v>
      </c>
      <c r="F2462" s="186" t="s">
        <v>2729</v>
      </c>
      <c r="G2462" s="186" t="s">
        <v>2734</v>
      </c>
      <c r="H2462" s="186" t="s">
        <v>2735</v>
      </c>
      <c r="I2462" s="187" t="s">
        <v>2744</v>
      </c>
      <c r="J2462" s="187" t="s">
        <v>2745</v>
      </c>
      <c r="K2462" s="188"/>
      <c r="L2462" s="188"/>
      <c r="M2462" s="189" t="s">
        <v>793</v>
      </c>
      <c r="N2462" s="190">
        <v>8944.69</v>
      </c>
      <c r="O2462" s="190">
        <f t="shared" si="307"/>
        <v>9749.71</v>
      </c>
      <c r="P2462" s="191">
        <f t="shared" si="308"/>
        <v>0</v>
      </c>
      <c r="Q2462" s="192">
        <f t="shared" si="309"/>
        <v>0</v>
      </c>
      <c r="R2462" s="193"/>
      <c r="S2462" s="194"/>
      <c r="T2462" s="195">
        <f t="shared" si="310"/>
        <v>0</v>
      </c>
      <c r="U2462" s="195">
        <f t="shared" si="311"/>
        <v>0</v>
      </c>
      <c r="V2462" s="195">
        <f t="shared" si="312"/>
        <v>0</v>
      </c>
      <c r="W2462" s="196" t="e">
        <f t="shared" si="313"/>
        <v>#DIV/0!</v>
      </c>
      <c r="X2462" s="197" t="e">
        <f t="shared" si="314"/>
        <v>#DIV/0!</v>
      </c>
    </row>
    <row r="2463" ht="11.4" hidden="1" customHeight="1" spans="1:24">
      <c r="A2463" s="184" t="s">
        <v>3217</v>
      </c>
      <c r="B2463" s="184" t="s">
        <v>355</v>
      </c>
      <c r="C2463" s="184" t="s">
        <v>2743</v>
      </c>
      <c r="D2463" s="185" t="s">
        <v>704</v>
      </c>
      <c r="E2463" s="186" t="s">
        <v>2728</v>
      </c>
      <c r="F2463" s="186" t="s">
        <v>2729</v>
      </c>
      <c r="G2463" s="186" t="s">
        <v>2734</v>
      </c>
      <c r="H2463" s="186" t="s">
        <v>2735</v>
      </c>
      <c r="I2463" s="187" t="s">
        <v>2746</v>
      </c>
      <c r="J2463" s="187" t="s">
        <v>2747</v>
      </c>
      <c r="K2463" s="188"/>
      <c r="L2463" s="188"/>
      <c r="M2463" s="189" t="s">
        <v>793</v>
      </c>
      <c r="N2463" s="190">
        <v>9276.48</v>
      </c>
      <c r="O2463" s="190">
        <f t="shared" si="307"/>
        <v>10111.36</v>
      </c>
      <c r="P2463" s="191">
        <f t="shared" si="308"/>
        <v>0</v>
      </c>
      <c r="Q2463" s="192">
        <f t="shared" si="309"/>
        <v>0</v>
      </c>
      <c r="R2463" s="193"/>
      <c r="S2463" s="194"/>
      <c r="T2463" s="195">
        <f t="shared" si="310"/>
        <v>0</v>
      </c>
      <c r="U2463" s="195">
        <f t="shared" si="311"/>
        <v>0</v>
      </c>
      <c r="V2463" s="195">
        <f t="shared" si="312"/>
        <v>0</v>
      </c>
      <c r="W2463" s="196" t="e">
        <f t="shared" si="313"/>
        <v>#DIV/0!</v>
      </c>
      <c r="X2463" s="197" t="e">
        <f t="shared" si="314"/>
        <v>#DIV/0!</v>
      </c>
    </row>
    <row r="2464" ht="11.4" hidden="1" customHeight="1" spans="1:24">
      <c r="A2464" s="184" t="s">
        <v>3217</v>
      </c>
      <c r="B2464" s="184" t="s">
        <v>355</v>
      </c>
      <c r="C2464" s="184" t="s">
        <v>2743</v>
      </c>
      <c r="D2464" s="185" t="s">
        <v>704</v>
      </c>
      <c r="E2464" s="186" t="s">
        <v>2728</v>
      </c>
      <c r="F2464" s="186" t="s">
        <v>2729</v>
      </c>
      <c r="G2464" s="186" t="s">
        <v>2734</v>
      </c>
      <c r="H2464" s="186" t="s">
        <v>2735</v>
      </c>
      <c r="I2464" s="187" t="s">
        <v>2748</v>
      </c>
      <c r="J2464" s="187" t="s">
        <v>2749</v>
      </c>
      <c r="K2464" s="188"/>
      <c r="L2464" s="188"/>
      <c r="M2464" s="189" t="s">
        <v>793</v>
      </c>
      <c r="N2464" s="190">
        <v>4264.19</v>
      </c>
      <c r="O2464" s="190">
        <f t="shared" si="307"/>
        <v>4647.97</v>
      </c>
      <c r="P2464" s="191">
        <f t="shared" si="308"/>
        <v>0</v>
      </c>
      <c r="Q2464" s="192">
        <f t="shared" si="309"/>
        <v>0</v>
      </c>
      <c r="R2464" s="193"/>
      <c r="S2464" s="194"/>
      <c r="T2464" s="195">
        <f t="shared" si="310"/>
        <v>0</v>
      </c>
      <c r="U2464" s="195">
        <f t="shared" si="311"/>
        <v>0</v>
      </c>
      <c r="V2464" s="195">
        <f t="shared" si="312"/>
        <v>0</v>
      </c>
      <c r="W2464" s="196" t="e">
        <f t="shared" si="313"/>
        <v>#DIV/0!</v>
      </c>
      <c r="X2464" s="197" t="e">
        <f t="shared" si="314"/>
        <v>#DIV/0!</v>
      </c>
    </row>
    <row r="2465" ht="11.4" hidden="1" customHeight="1" spans="1:24">
      <c r="A2465" s="184" t="s">
        <v>3219</v>
      </c>
      <c r="B2465" s="184" t="s">
        <v>359</v>
      </c>
      <c r="C2465" s="184" t="s">
        <v>358</v>
      </c>
      <c r="D2465" s="185" t="s">
        <v>704</v>
      </c>
      <c r="E2465" s="186" t="s">
        <v>2728</v>
      </c>
      <c r="F2465" s="186" t="s">
        <v>2729</v>
      </c>
      <c r="G2465" s="186" t="s">
        <v>2751</v>
      </c>
      <c r="H2465" s="186" t="s">
        <v>2752</v>
      </c>
      <c r="I2465" s="187" t="s">
        <v>2753</v>
      </c>
      <c r="J2465" s="187" t="s">
        <v>2752</v>
      </c>
      <c r="K2465" s="188"/>
      <c r="L2465" s="188"/>
      <c r="M2465" s="189" t="s">
        <v>989</v>
      </c>
      <c r="N2465" s="190">
        <v>10650.04</v>
      </c>
      <c r="O2465" s="190">
        <f t="shared" si="307"/>
        <v>11608.54</v>
      </c>
      <c r="P2465" s="191">
        <f t="shared" si="308"/>
        <v>0</v>
      </c>
      <c r="Q2465" s="192">
        <f t="shared" si="309"/>
        <v>0</v>
      </c>
      <c r="R2465" s="193"/>
      <c r="S2465" s="194"/>
      <c r="T2465" s="195">
        <f t="shared" si="310"/>
        <v>0</v>
      </c>
      <c r="U2465" s="195">
        <f t="shared" si="311"/>
        <v>0</v>
      </c>
      <c r="V2465" s="195">
        <f t="shared" si="312"/>
        <v>0</v>
      </c>
      <c r="W2465" s="196" t="e">
        <f t="shared" si="313"/>
        <v>#DIV/0!</v>
      </c>
      <c r="X2465" s="197" t="e">
        <f t="shared" si="314"/>
        <v>#DIV/0!</v>
      </c>
    </row>
    <row r="2466" ht="11.4" hidden="1" customHeight="1" spans="1:24">
      <c r="A2466" s="184" t="s">
        <v>3219</v>
      </c>
      <c r="B2466" s="184" t="s">
        <v>359</v>
      </c>
      <c r="C2466" s="184" t="s">
        <v>358</v>
      </c>
      <c r="D2466" s="185" t="s">
        <v>704</v>
      </c>
      <c r="E2466" s="186" t="s">
        <v>2728</v>
      </c>
      <c r="F2466" s="186" t="s">
        <v>2729</v>
      </c>
      <c r="G2466" s="186" t="s">
        <v>2751</v>
      </c>
      <c r="H2466" s="186" t="s">
        <v>2754</v>
      </c>
      <c r="I2466" s="187" t="s">
        <v>2755</v>
      </c>
      <c r="J2466" s="187" t="s">
        <v>2754</v>
      </c>
      <c r="K2466" s="188"/>
      <c r="L2466" s="188"/>
      <c r="M2466" s="189" t="s">
        <v>989</v>
      </c>
      <c r="N2466" s="190">
        <v>29506.31</v>
      </c>
      <c r="O2466" s="190">
        <f t="shared" si="307"/>
        <v>32161.88</v>
      </c>
      <c r="P2466" s="191">
        <f t="shared" si="308"/>
        <v>0</v>
      </c>
      <c r="Q2466" s="192">
        <f t="shared" si="309"/>
        <v>0</v>
      </c>
      <c r="R2466" s="193"/>
      <c r="S2466" s="194"/>
      <c r="T2466" s="195">
        <f t="shared" si="310"/>
        <v>0</v>
      </c>
      <c r="U2466" s="195">
        <f t="shared" si="311"/>
        <v>0</v>
      </c>
      <c r="V2466" s="195">
        <f t="shared" si="312"/>
        <v>0</v>
      </c>
      <c r="W2466" s="196" t="e">
        <f t="shared" si="313"/>
        <v>#DIV/0!</v>
      </c>
      <c r="X2466" s="197" t="e">
        <f t="shared" si="314"/>
        <v>#DIV/0!</v>
      </c>
    </row>
    <row r="2467" ht="11.4" hidden="1" customHeight="1" spans="1:24">
      <c r="A2467" s="184" t="s">
        <v>3219</v>
      </c>
      <c r="B2467" s="184" t="s">
        <v>359</v>
      </c>
      <c r="C2467" s="184" t="s">
        <v>358</v>
      </c>
      <c r="D2467" s="185" t="s">
        <v>704</v>
      </c>
      <c r="E2467" s="186" t="s">
        <v>2728</v>
      </c>
      <c r="F2467" s="186" t="s">
        <v>2729</v>
      </c>
      <c r="G2467" s="186" t="s">
        <v>2751</v>
      </c>
      <c r="H2467" s="186" t="s">
        <v>2756</v>
      </c>
      <c r="I2467" s="187" t="s">
        <v>2757</v>
      </c>
      <c r="J2467" s="187" t="s">
        <v>2756</v>
      </c>
      <c r="K2467" s="188"/>
      <c r="L2467" s="188"/>
      <c r="M2467" s="189" t="s">
        <v>989</v>
      </c>
      <c r="N2467" s="190">
        <v>9009.01</v>
      </c>
      <c r="O2467" s="190">
        <f t="shared" si="307"/>
        <v>9819.82</v>
      </c>
      <c r="P2467" s="191">
        <f t="shared" si="308"/>
        <v>0</v>
      </c>
      <c r="Q2467" s="192">
        <f t="shared" si="309"/>
        <v>0</v>
      </c>
      <c r="R2467" s="193"/>
      <c r="S2467" s="194"/>
      <c r="T2467" s="195">
        <f t="shared" si="310"/>
        <v>0</v>
      </c>
      <c r="U2467" s="195">
        <f t="shared" si="311"/>
        <v>0</v>
      </c>
      <c r="V2467" s="195">
        <f t="shared" si="312"/>
        <v>0</v>
      </c>
      <c r="W2467" s="196" t="e">
        <f t="shared" si="313"/>
        <v>#DIV/0!</v>
      </c>
      <c r="X2467" s="197" t="e">
        <f t="shared" si="314"/>
        <v>#DIV/0!</v>
      </c>
    </row>
    <row r="2468" ht="11.4" hidden="1" customHeight="1" spans="1:24">
      <c r="A2468" s="184" t="s">
        <v>3220</v>
      </c>
      <c r="B2468" s="184" t="s">
        <v>378</v>
      </c>
      <c r="C2468" s="184" t="s">
        <v>573</v>
      </c>
      <c r="D2468" s="185" t="s">
        <v>704</v>
      </c>
      <c r="E2468" s="186" t="s">
        <v>2728</v>
      </c>
      <c r="F2468" s="186" t="s">
        <v>2729</v>
      </c>
      <c r="G2468" s="186" t="s">
        <v>2759</v>
      </c>
      <c r="H2468" s="186" t="s">
        <v>570</v>
      </c>
      <c r="I2468" s="187" t="s">
        <v>2760</v>
      </c>
      <c r="J2468" s="187" t="s">
        <v>2761</v>
      </c>
      <c r="K2468" s="188"/>
      <c r="L2468" s="188"/>
      <c r="M2468" s="189" t="s">
        <v>2308</v>
      </c>
      <c r="N2468" s="190">
        <v>1133.63</v>
      </c>
      <c r="O2468" s="190">
        <f t="shared" si="307"/>
        <v>1235.66</v>
      </c>
      <c r="P2468" s="191">
        <f t="shared" si="308"/>
        <v>0</v>
      </c>
      <c r="Q2468" s="192">
        <f t="shared" si="309"/>
        <v>0</v>
      </c>
      <c r="R2468" s="193"/>
      <c r="S2468" s="194"/>
      <c r="T2468" s="195">
        <f t="shared" si="310"/>
        <v>0</v>
      </c>
      <c r="U2468" s="195">
        <f t="shared" si="311"/>
        <v>0</v>
      </c>
      <c r="V2468" s="195">
        <f t="shared" si="312"/>
        <v>0</v>
      </c>
      <c r="W2468" s="196" t="e">
        <f t="shared" si="313"/>
        <v>#DIV/0!</v>
      </c>
      <c r="X2468" s="197" t="e">
        <f t="shared" si="314"/>
        <v>#DIV/0!</v>
      </c>
    </row>
    <row r="2469" ht="11.4" hidden="1" customHeight="1" spans="1:24">
      <c r="A2469" s="184" t="s">
        <v>3220</v>
      </c>
      <c r="B2469" s="184" t="s">
        <v>378</v>
      </c>
      <c r="C2469" s="184" t="s">
        <v>2763</v>
      </c>
      <c r="D2469" s="185" t="s">
        <v>704</v>
      </c>
      <c r="E2469" s="186" t="s">
        <v>2728</v>
      </c>
      <c r="F2469" s="186" t="s">
        <v>2729</v>
      </c>
      <c r="G2469" s="186" t="s">
        <v>2759</v>
      </c>
      <c r="H2469" s="186" t="s">
        <v>570</v>
      </c>
      <c r="I2469" s="187" t="s">
        <v>2764</v>
      </c>
      <c r="J2469" s="187" t="s">
        <v>2765</v>
      </c>
      <c r="K2469" s="188"/>
      <c r="L2469" s="188"/>
      <c r="M2469" s="189" t="s">
        <v>1018</v>
      </c>
      <c r="N2469" s="190">
        <v>262.5</v>
      </c>
      <c r="O2469" s="190">
        <f t="shared" si="307"/>
        <v>286.13</v>
      </c>
      <c r="P2469" s="191">
        <f t="shared" si="308"/>
        <v>0</v>
      </c>
      <c r="Q2469" s="192">
        <f t="shared" si="309"/>
        <v>0</v>
      </c>
      <c r="R2469" s="193"/>
      <c r="S2469" s="194"/>
      <c r="T2469" s="195">
        <f t="shared" si="310"/>
        <v>0</v>
      </c>
      <c r="U2469" s="195">
        <f t="shared" si="311"/>
        <v>0</v>
      </c>
      <c r="V2469" s="195">
        <f t="shared" si="312"/>
        <v>0</v>
      </c>
      <c r="W2469" s="196" t="e">
        <f t="shared" si="313"/>
        <v>#DIV/0!</v>
      </c>
      <c r="X2469" s="197" t="e">
        <f t="shared" si="314"/>
        <v>#DIV/0!</v>
      </c>
    </row>
    <row r="2470" ht="11.4" hidden="1" customHeight="1" spans="1:24">
      <c r="A2470" s="184" t="s">
        <v>3220</v>
      </c>
      <c r="B2470" s="184" t="s">
        <v>378</v>
      </c>
      <c r="C2470" s="184" t="s">
        <v>2763</v>
      </c>
      <c r="D2470" s="185" t="s">
        <v>704</v>
      </c>
      <c r="E2470" s="186" t="s">
        <v>2728</v>
      </c>
      <c r="F2470" s="186" t="s">
        <v>2729</v>
      </c>
      <c r="G2470" s="186" t="s">
        <v>2759</v>
      </c>
      <c r="H2470" s="186" t="s">
        <v>570</v>
      </c>
      <c r="I2470" s="187" t="s">
        <v>2766</v>
      </c>
      <c r="J2470" s="187" t="s">
        <v>2767</v>
      </c>
      <c r="K2470" s="188"/>
      <c r="L2470" s="188"/>
      <c r="M2470" s="189" t="s">
        <v>1018</v>
      </c>
      <c r="N2470" s="190">
        <v>220.5</v>
      </c>
      <c r="O2470" s="190">
        <f t="shared" si="307"/>
        <v>240.35</v>
      </c>
      <c r="P2470" s="191">
        <f t="shared" si="308"/>
        <v>0</v>
      </c>
      <c r="Q2470" s="192">
        <f t="shared" si="309"/>
        <v>0</v>
      </c>
      <c r="R2470" s="193"/>
      <c r="S2470" s="194"/>
      <c r="T2470" s="195">
        <f t="shared" si="310"/>
        <v>0</v>
      </c>
      <c r="U2470" s="195">
        <f t="shared" si="311"/>
        <v>0</v>
      </c>
      <c r="V2470" s="195">
        <f t="shared" si="312"/>
        <v>0</v>
      </c>
      <c r="W2470" s="196" t="e">
        <f t="shared" si="313"/>
        <v>#DIV/0!</v>
      </c>
      <c r="X2470" s="197" t="e">
        <f t="shared" si="314"/>
        <v>#DIV/0!</v>
      </c>
    </row>
    <row r="2471" ht="11.4" hidden="1" customHeight="1" spans="1:24">
      <c r="A2471" s="184" t="s">
        <v>3221</v>
      </c>
      <c r="B2471" s="184" t="s">
        <v>394</v>
      </c>
      <c r="C2471" s="184" t="s">
        <v>393</v>
      </c>
      <c r="D2471" s="185" t="s">
        <v>704</v>
      </c>
      <c r="E2471" s="186" t="s">
        <v>2728</v>
      </c>
      <c r="F2471" s="186" t="s">
        <v>2769</v>
      </c>
      <c r="G2471" s="186" t="s">
        <v>582</v>
      </c>
      <c r="H2471" s="186" t="s">
        <v>582</v>
      </c>
      <c r="I2471" s="187" t="s">
        <v>2770</v>
      </c>
      <c r="J2471" s="187" t="s">
        <v>576</v>
      </c>
      <c r="K2471" s="188"/>
      <c r="L2471" s="188"/>
      <c r="M2471" s="189" t="s">
        <v>2308</v>
      </c>
      <c r="N2471" s="190">
        <v>402</v>
      </c>
      <c r="O2471" s="190">
        <f t="shared" si="307"/>
        <v>438.18</v>
      </c>
      <c r="P2471" s="191">
        <f t="shared" si="308"/>
        <v>0</v>
      </c>
      <c r="Q2471" s="192">
        <f t="shared" si="309"/>
        <v>0</v>
      </c>
      <c r="R2471" s="193"/>
      <c r="S2471" s="194"/>
      <c r="T2471" s="195">
        <f t="shared" si="310"/>
        <v>0</v>
      </c>
      <c r="U2471" s="195">
        <f t="shared" si="311"/>
        <v>0</v>
      </c>
      <c r="V2471" s="195">
        <f t="shared" si="312"/>
        <v>0</v>
      </c>
      <c r="W2471" s="196" t="e">
        <f t="shared" si="313"/>
        <v>#DIV/0!</v>
      </c>
      <c r="X2471" s="197" t="e">
        <f t="shared" si="314"/>
        <v>#DIV/0!</v>
      </c>
    </row>
    <row r="2472" ht="11.4" hidden="1" customHeight="1" spans="1:24">
      <c r="A2472" s="184" t="s">
        <v>3222</v>
      </c>
      <c r="B2472" s="184" t="s">
        <v>401</v>
      </c>
      <c r="C2472" s="184" t="s">
        <v>400</v>
      </c>
      <c r="D2472" s="185" t="s">
        <v>704</v>
      </c>
      <c r="E2472" s="186" t="s">
        <v>2728</v>
      </c>
      <c r="F2472" s="186" t="s">
        <v>2772</v>
      </c>
      <c r="G2472" s="186" t="s">
        <v>2773</v>
      </c>
      <c r="H2472" s="186" t="s">
        <v>2773</v>
      </c>
      <c r="I2472" s="187" t="s">
        <v>2774</v>
      </c>
      <c r="J2472" s="187" t="s">
        <v>2775</v>
      </c>
      <c r="K2472" s="188"/>
      <c r="L2472" s="188"/>
      <c r="M2472" s="189" t="s">
        <v>2308</v>
      </c>
      <c r="N2472" s="190">
        <v>1413.32</v>
      </c>
      <c r="O2472" s="190">
        <f t="shared" si="307"/>
        <v>1540.52</v>
      </c>
      <c r="P2472" s="191">
        <f t="shared" si="308"/>
        <v>0</v>
      </c>
      <c r="Q2472" s="192">
        <f t="shared" si="309"/>
        <v>0</v>
      </c>
      <c r="R2472" s="193"/>
      <c r="S2472" s="194"/>
      <c r="T2472" s="195">
        <f t="shared" si="310"/>
        <v>0</v>
      </c>
      <c r="U2472" s="195">
        <f t="shared" si="311"/>
        <v>0</v>
      </c>
      <c r="V2472" s="195">
        <f t="shared" si="312"/>
        <v>0</v>
      </c>
      <c r="W2472" s="196" t="e">
        <f t="shared" si="313"/>
        <v>#DIV/0!</v>
      </c>
      <c r="X2472" s="197" t="e">
        <f t="shared" si="314"/>
        <v>#DIV/0!</v>
      </c>
    </row>
    <row r="2473" ht="11.4" hidden="1" customHeight="1" spans="1:24">
      <c r="A2473" s="184" t="s">
        <v>3222</v>
      </c>
      <c r="B2473" s="184" t="s">
        <v>401</v>
      </c>
      <c r="C2473" s="184" t="s">
        <v>400</v>
      </c>
      <c r="D2473" s="185" t="s">
        <v>704</v>
      </c>
      <c r="E2473" s="186" t="s">
        <v>2728</v>
      </c>
      <c r="F2473" s="186" t="s">
        <v>2772</v>
      </c>
      <c r="G2473" s="186" t="s">
        <v>2773</v>
      </c>
      <c r="H2473" s="186" t="s">
        <v>2773</v>
      </c>
      <c r="I2473" s="187" t="s">
        <v>2776</v>
      </c>
      <c r="J2473" s="187" t="s">
        <v>2777</v>
      </c>
      <c r="K2473" s="188"/>
      <c r="L2473" s="188"/>
      <c r="M2473" s="189" t="s">
        <v>2308</v>
      </c>
      <c r="N2473" s="190">
        <v>1413.32</v>
      </c>
      <c r="O2473" s="190">
        <f t="shared" si="307"/>
        <v>1540.52</v>
      </c>
      <c r="P2473" s="191">
        <f t="shared" si="308"/>
        <v>0</v>
      </c>
      <c r="Q2473" s="192">
        <f t="shared" si="309"/>
        <v>0</v>
      </c>
      <c r="R2473" s="193"/>
      <c r="S2473" s="194"/>
      <c r="T2473" s="195">
        <f t="shared" si="310"/>
        <v>0</v>
      </c>
      <c r="U2473" s="195">
        <f t="shared" si="311"/>
        <v>0</v>
      </c>
      <c r="V2473" s="195">
        <f t="shared" si="312"/>
        <v>0</v>
      </c>
      <c r="W2473" s="196" t="e">
        <f t="shared" si="313"/>
        <v>#DIV/0!</v>
      </c>
      <c r="X2473" s="197" t="e">
        <f t="shared" si="314"/>
        <v>#DIV/0!</v>
      </c>
    </row>
    <row r="2474" ht="11.4" hidden="1" customHeight="1" spans="1:24">
      <c r="A2474" s="184" t="s">
        <v>3222</v>
      </c>
      <c r="B2474" s="184" t="s">
        <v>401</v>
      </c>
      <c r="C2474" s="184" t="s">
        <v>400</v>
      </c>
      <c r="D2474" s="185" t="s">
        <v>704</v>
      </c>
      <c r="E2474" s="186" t="s">
        <v>2728</v>
      </c>
      <c r="F2474" s="186" t="s">
        <v>2772</v>
      </c>
      <c r="G2474" s="186" t="s">
        <v>2773</v>
      </c>
      <c r="H2474" s="186" t="s">
        <v>2773</v>
      </c>
      <c r="I2474" s="187" t="s">
        <v>2778</v>
      </c>
      <c r="J2474" s="187" t="s">
        <v>2779</v>
      </c>
      <c r="K2474" s="188"/>
      <c r="L2474" s="188"/>
      <c r="M2474" s="189" t="s">
        <v>2308</v>
      </c>
      <c r="N2474" s="190">
        <v>1600.08</v>
      </c>
      <c r="O2474" s="190">
        <f t="shared" si="307"/>
        <v>1744.09</v>
      </c>
      <c r="P2474" s="191">
        <f t="shared" si="308"/>
        <v>0</v>
      </c>
      <c r="Q2474" s="192">
        <f t="shared" si="309"/>
        <v>0</v>
      </c>
      <c r="R2474" s="193"/>
      <c r="S2474" s="194"/>
      <c r="T2474" s="195">
        <f t="shared" si="310"/>
        <v>0</v>
      </c>
      <c r="U2474" s="195">
        <f t="shared" si="311"/>
        <v>0</v>
      </c>
      <c r="V2474" s="195">
        <f t="shared" si="312"/>
        <v>0</v>
      </c>
      <c r="W2474" s="196" t="e">
        <f t="shared" si="313"/>
        <v>#DIV/0!</v>
      </c>
      <c r="X2474" s="197" t="e">
        <f t="shared" si="314"/>
        <v>#DIV/0!</v>
      </c>
    </row>
    <row r="2475" ht="11.4" hidden="1" customHeight="1" spans="1:24">
      <c r="A2475" s="184" t="s">
        <v>3222</v>
      </c>
      <c r="B2475" s="184" t="s">
        <v>401</v>
      </c>
      <c r="C2475" s="184" t="s">
        <v>400</v>
      </c>
      <c r="D2475" s="185" t="s">
        <v>704</v>
      </c>
      <c r="E2475" s="186" t="s">
        <v>2728</v>
      </c>
      <c r="F2475" s="186" t="s">
        <v>2772</v>
      </c>
      <c r="G2475" s="186" t="s">
        <v>2773</v>
      </c>
      <c r="H2475" s="186" t="s">
        <v>2773</v>
      </c>
      <c r="I2475" s="187" t="s">
        <v>2780</v>
      </c>
      <c r="J2475" s="187" t="s">
        <v>2781</v>
      </c>
      <c r="K2475" s="188"/>
      <c r="L2475" s="188"/>
      <c r="M2475" s="189" t="s">
        <v>963</v>
      </c>
      <c r="N2475" s="190">
        <v>2295.13</v>
      </c>
      <c r="O2475" s="190">
        <f t="shared" si="307"/>
        <v>2501.69</v>
      </c>
      <c r="P2475" s="191">
        <f t="shared" si="308"/>
        <v>0</v>
      </c>
      <c r="Q2475" s="192">
        <f t="shared" si="309"/>
        <v>0</v>
      </c>
      <c r="R2475" s="193"/>
      <c r="S2475" s="194"/>
      <c r="T2475" s="195">
        <f t="shared" si="310"/>
        <v>0</v>
      </c>
      <c r="U2475" s="195">
        <f t="shared" si="311"/>
        <v>0</v>
      </c>
      <c r="V2475" s="195">
        <f t="shared" si="312"/>
        <v>0</v>
      </c>
      <c r="W2475" s="196" t="e">
        <f t="shared" si="313"/>
        <v>#DIV/0!</v>
      </c>
      <c r="X2475" s="197" t="e">
        <f t="shared" si="314"/>
        <v>#DIV/0!</v>
      </c>
    </row>
    <row r="2476" ht="11.4" hidden="1" customHeight="1" spans="1:24">
      <c r="A2476" s="184" t="s">
        <v>3222</v>
      </c>
      <c r="B2476" s="184" t="s">
        <v>401</v>
      </c>
      <c r="C2476" s="184" t="s">
        <v>400</v>
      </c>
      <c r="D2476" s="185" t="s">
        <v>704</v>
      </c>
      <c r="E2476" s="186" t="s">
        <v>2728</v>
      </c>
      <c r="F2476" s="186" t="s">
        <v>2772</v>
      </c>
      <c r="G2476" s="186" t="s">
        <v>2773</v>
      </c>
      <c r="H2476" s="186" t="s">
        <v>2773</v>
      </c>
      <c r="I2476" s="187" t="s">
        <v>2782</v>
      </c>
      <c r="J2476" s="187" t="s">
        <v>2783</v>
      </c>
      <c r="K2476" s="188"/>
      <c r="L2476" s="188"/>
      <c r="M2476" s="189" t="s">
        <v>2308</v>
      </c>
      <c r="N2476" s="190">
        <v>2520</v>
      </c>
      <c r="O2476" s="190">
        <f t="shared" si="307"/>
        <v>2746.8</v>
      </c>
      <c r="P2476" s="191">
        <f t="shared" si="308"/>
        <v>0</v>
      </c>
      <c r="Q2476" s="192">
        <f t="shared" si="309"/>
        <v>0</v>
      </c>
      <c r="R2476" s="193"/>
      <c r="S2476" s="194"/>
      <c r="T2476" s="195">
        <f t="shared" si="310"/>
        <v>0</v>
      </c>
      <c r="U2476" s="195">
        <f t="shared" si="311"/>
        <v>0</v>
      </c>
      <c r="V2476" s="195">
        <f t="shared" si="312"/>
        <v>0</v>
      </c>
      <c r="W2476" s="196" t="e">
        <f t="shared" si="313"/>
        <v>#DIV/0!</v>
      </c>
      <c r="X2476" s="197" t="e">
        <f t="shared" si="314"/>
        <v>#DIV/0!</v>
      </c>
    </row>
    <row r="2477" ht="11.4" hidden="1" customHeight="1" spans="1:24">
      <c r="A2477" s="184" t="s">
        <v>3222</v>
      </c>
      <c r="B2477" s="184" t="s">
        <v>401</v>
      </c>
      <c r="C2477" s="184" t="s">
        <v>400</v>
      </c>
      <c r="D2477" s="185" t="s">
        <v>704</v>
      </c>
      <c r="E2477" s="186" t="s">
        <v>2728</v>
      </c>
      <c r="F2477" s="186" t="s">
        <v>2772</v>
      </c>
      <c r="G2477" s="186" t="s">
        <v>2773</v>
      </c>
      <c r="H2477" s="186" t="s">
        <v>2773</v>
      </c>
      <c r="I2477" s="187" t="s">
        <v>2784</v>
      </c>
      <c r="J2477" s="187" t="s">
        <v>2785</v>
      </c>
      <c r="K2477" s="188"/>
      <c r="L2477" s="188"/>
      <c r="M2477" s="189" t="s">
        <v>2308</v>
      </c>
      <c r="N2477" s="190">
        <v>1417.5</v>
      </c>
      <c r="O2477" s="190">
        <f t="shared" si="307"/>
        <v>1545.08</v>
      </c>
      <c r="P2477" s="191">
        <f t="shared" si="308"/>
        <v>0</v>
      </c>
      <c r="Q2477" s="192">
        <f t="shared" si="309"/>
        <v>0</v>
      </c>
      <c r="R2477" s="193"/>
      <c r="S2477" s="194"/>
      <c r="T2477" s="195">
        <f t="shared" si="310"/>
        <v>0</v>
      </c>
      <c r="U2477" s="195">
        <f t="shared" si="311"/>
        <v>0</v>
      </c>
      <c r="V2477" s="195">
        <f t="shared" si="312"/>
        <v>0</v>
      </c>
      <c r="W2477" s="196" t="e">
        <f t="shared" si="313"/>
        <v>#DIV/0!</v>
      </c>
      <c r="X2477" s="197" t="e">
        <f t="shared" si="314"/>
        <v>#DIV/0!</v>
      </c>
    </row>
    <row r="2478" ht="11.4" hidden="1" customHeight="1" spans="1:24">
      <c r="A2478" s="184" t="s">
        <v>3222</v>
      </c>
      <c r="B2478" s="184" t="s">
        <v>401</v>
      </c>
      <c r="C2478" s="184" t="s">
        <v>400</v>
      </c>
      <c r="D2478" s="185" t="s">
        <v>704</v>
      </c>
      <c r="E2478" s="186" t="s">
        <v>2728</v>
      </c>
      <c r="F2478" s="186" t="s">
        <v>2772</v>
      </c>
      <c r="G2478" s="186" t="s">
        <v>2773</v>
      </c>
      <c r="H2478" s="186" t="s">
        <v>2773</v>
      </c>
      <c r="I2478" s="187" t="s">
        <v>2786</v>
      </c>
      <c r="J2478" s="187" t="s">
        <v>2787</v>
      </c>
      <c r="K2478" s="188"/>
      <c r="L2478" s="188"/>
      <c r="M2478" s="189" t="s">
        <v>2308</v>
      </c>
      <c r="N2478" s="190">
        <v>761.25</v>
      </c>
      <c r="O2478" s="190">
        <f t="shared" si="307"/>
        <v>829.76</v>
      </c>
      <c r="P2478" s="191">
        <f t="shared" si="308"/>
        <v>0</v>
      </c>
      <c r="Q2478" s="192">
        <f t="shared" si="309"/>
        <v>0</v>
      </c>
      <c r="R2478" s="193"/>
      <c r="S2478" s="194"/>
      <c r="T2478" s="195">
        <f t="shared" si="310"/>
        <v>0</v>
      </c>
      <c r="U2478" s="195">
        <f t="shared" si="311"/>
        <v>0</v>
      </c>
      <c r="V2478" s="195">
        <f t="shared" si="312"/>
        <v>0</v>
      </c>
      <c r="W2478" s="196" t="e">
        <f t="shared" si="313"/>
        <v>#DIV/0!</v>
      </c>
      <c r="X2478" s="197" t="e">
        <f t="shared" si="314"/>
        <v>#DIV/0!</v>
      </c>
    </row>
    <row r="2479" ht="11.4" hidden="1" customHeight="1" spans="1:24">
      <c r="A2479" s="184" t="s">
        <v>3222</v>
      </c>
      <c r="B2479" s="184" t="s">
        <v>401</v>
      </c>
      <c r="C2479" s="184" t="s">
        <v>400</v>
      </c>
      <c r="D2479" s="185" t="s">
        <v>704</v>
      </c>
      <c r="E2479" s="186" t="s">
        <v>2728</v>
      </c>
      <c r="F2479" s="186" t="s">
        <v>2772</v>
      </c>
      <c r="G2479" s="186" t="s">
        <v>2788</v>
      </c>
      <c r="H2479" s="186" t="s">
        <v>2788</v>
      </c>
      <c r="I2479" s="187" t="s">
        <v>2789</v>
      </c>
      <c r="J2479" s="187" t="s">
        <v>2790</v>
      </c>
      <c r="K2479" s="188"/>
      <c r="L2479" s="188"/>
      <c r="M2479" s="189" t="s">
        <v>2308</v>
      </c>
      <c r="N2479" s="190">
        <v>670.89</v>
      </c>
      <c r="O2479" s="190">
        <f t="shared" si="307"/>
        <v>731.27</v>
      </c>
      <c r="P2479" s="191">
        <f t="shared" si="308"/>
        <v>0</v>
      </c>
      <c r="Q2479" s="192">
        <f t="shared" si="309"/>
        <v>0</v>
      </c>
      <c r="R2479" s="193"/>
      <c r="S2479" s="194"/>
      <c r="T2479" s="195">
        <f t="shared" si="310"/>
        <v>0</v>
      </c>
      <c r="U2479" s="195">
        <f t="shared" si="311"/>
        <v>0</v>
      </c>
      <c r="V2479" s="195">
        <f t="shared" si="312"/>
        <v>0</v>
      </c>
      <c r="W2479" s="196" t="e">
        <f t="shared" si="313"/>
        <v>#DIV/0!</v>
      </c>
      <c r="X2479" s="197" t="e">
        <f t="shared" si="314"/>
        <v>#DIV/0!</v>
      </c>
    </row>
    <row r="2480" ht="11.4" hidden="1" customHeight="1" spans="1:24">
      <c r="A2480" s="184" t="s">
        <v>3223</v>
      </c>
      <c r="B2480" s="184" t="s">
        <v>405</v>
      </c>
      <c r="C2480" s="184" t="s">
        <v>404</v>
      </c>
      <c r="D2480" s="185" t="s">
        <v>704</v>
      </c>
      <c r="E2480" s="186" t="s">
        <v>2728</v>
      </c>
      <c r="F2480" s="186" t="s">
        <v>2772</v>
      </c>
      <c r="G2480" s="186" t="s">
        <v>2792</v>
      </c>
      <c r="H2480" s="186" t="s">
        <v>578</v>
      </c>
      <c r="I2480" s="187" t="s">
        <v>2793</v>
      </c>
      <c r="J2480" s="187" t="s">
        <v>2794</v>
      </c>
      <c r="K2480" s="188"/>
      <c r="L2480" s="188"/>
      <c r="M2480" s="189" t="s">
        <v>2308</v>
      </c>
      <c r="N2480" s="190">
        <v>7311.91</v>
      </c>
      <c r="O2480" s="190">
        <f t="shared" si="307"/>
        <v>7969.98</v>
      </c>
      <c r="P2480" s="191">
        <f t="shared" si="308"/>
        <v>0</v>
      </c>
      <c r="Q2480" s="192">
        <f t="shared" si="309"/>
        <v>0</v>
      </c>
      <c r="R2480" s="193"/>
      <c r="S2480" s="194"/>
      <c r="T2480" s="195">
        <f t="shared" si="310"/>
        <v>0</v>
      </c>
      <c r="U2480" s="195">
        <f t="shared" si="311"/>
        <v>0</v>
      </c>
      <c r="V2480" s="195">
        <f t="shared" si="312"/>
        <v>0</v>
      </c>
      <c r="W2480" s="196" t="e">
        <f t="shared" si="313"/>
        <v>#DIV/0!</v>
      </c>
      <c r="X2480" s="197" t="e">
        <f t="shared" si="314"/>
        <v>#DIV/0!</v>
      </c>
    </row>
    <row r="2481" ht="11.4" hidden="1" customHeight="1" spans="1:24">
      <c r="A2481" s="184" t="s">
        <v>3223</v>
      </c>
      <c r="B2481" s="184" t="s">
        <v>405</v>
      </c>
      <c r="C2481" s="184" t="s">
        <v>404</v>
      </c>
      <c r="D2481" s="185" t="s">
        <v>704</v>
      </c>
      <c r="E2481" s="186" t="s">
        <v>2728</v>
      </c>
      <c r="F2481" s="186" t="s">
        <v>2772</v>
      </c>
      <c r="G2481" s="186" t="s">
        <v>2792</v>
      </c>
      <c r="H2481" s="186" t="s">
        <v>578</v>
      </c>
      <c r="I2481" s="187" t="s">
        <v>2795</v>
      </c>
      <c r="J2481" s="187" t="s">
        <v>2796</v>
      </c>
      <c r="K2481" s="188"/>
      <c r="L2481" s="188"/>
      <c r="M2481" s="189" t="s">
        <v>2308</v>
      </c>
      <c r="N2481" s="190">
        <v>6891.91</v>
      </c>
      <c r="O2481" s="190">
        <f t="shared" si="307"/>
        <v>7512.18</v>
      </c>
      <c r="P2481" s="191">
        <f t="shared" si="308"/>
        <v>0</v>
      </c>
      <c r="Q2481" s="192">
        <f t="shared" si="309"/>
        <v>0</v>
      </c>
      <c r="R2481" s="193"/>
      <c r="S2481" s="194"/>
      <c r="T2481" s="195">
        <f t="shared" si="310"/>
        <v>0</v>
      </c>
      <c r="U2481" s="195">
        <f t="shared" si="311"/>
        <v>0</v>
      </c>
      <c r="V2481" s="195">
        <f t="shared" si="312"/>
        <v>0</v>
      </c>
      <c r="W2481" s="196" t="e">
        <f t="shared" si="313"/>
        <v>#DIV/0!</v>
      </c>
      <c r="X2481" s="197" t="e">
        <f t="shared" si="314"/>
        <v>#DIV/0!</v>
      </c>
    </row>
    <row r="2482" ht="11.4" hidden="1" customHeight="1" spans="1:24">
      <c r="A2482" s="184" t="s">
        <v>3223</v>
      </c>
      <c r="B2482" s="184" t="s">
        <v>405</v>
      </c>
      <c r="C2482" s="184" t="s">
        <v>404</v>
      </c>
      <c r="D2482" s="185" t="s">
        <v>704</v>
      </c>
      <c r="E2482" s="186" t="s">
        <v>2728</v>
      </c>
      <c r="F2482" s="186" t="s">
        <v>2772</v>
      </c>
      <c r="G2482" s="186" t="s">
        <v>2792</v>
      </c>
      <c r="H2482" s="186" t="s">
        <v>578</v>
      </c>
      <c r="I2482" s="187" t="s">
        <v>2797</v>
      </c>
      <c r="J2482" s="187" t="s">
        <v>2798</v>
      </c>
      <c r="K2482" s="188"/>
      <c r="L2482" s="188"/>
      <c r="M2482" s="189" t="s">
        <v>2308</v>
      </c>
      <c r="N2482" s="190">
        <v>1399.38</v>
      </c>
      <c r="O2482" s="190">
        <f t="shared" si="307"/>
        <v>1525.32</v>
      </c>
      <c r="P2482" s="191">
        <f t="shared" si="308"/>
        <v>0</v>
      </c>
      <c r="Q2482" s="192">
        <f t="shared" si="309"/>
        <v>0</v>
      </c>
      <c r="R2482" s="193"/>
      <c r="S2482" s="194"/>
      <c r="T2482" s="195">
        <f t="shared" si="310"/>
        <v>0</v>
      </c>
      <c r="U2482" s="195">
        <f t="shared" si="311"/>
        <v>0</v>
      </c>
      <c r="V2482" s="195">
        <f t="shared" si="312"/>
        <v>0</v>
      </c>
      <c r="W2482" s="196" t="e">
        <f t="shared" si="313"/>
        <v>#DIV/0!</v>
      </c>
      <c r="X2482" s="197" t="e">
        <f t="shared" si="314"/>
        <v>#DIV/0!</v>
      </c>
    </row>
    <row r="2483" ht="11.4" hidden="1" customHeight="1" spans="1:24">
      <c r="A2483" s="184" t="s">
        <v>3223</v>
      </c>
      <c r="B2483" s="184" t="s">
        <v>405</v>
      </c>
      <c r="C2483" s="184" t="s">
        <v>404</v>
      </c>
      <c r="D2483" s="185" t="s">
        <v>704</v>
      </c>
      <c r="E2483" s="186" t="s">
        <v>2728</v>
      </c>
      <c r="F2483" s="186" t="s">
        <v>2772</v>
      </c>
      <c r="G2483" s="186" t="s">
        <v>2792</v>
      </c>
      <c r="H2483" s="186" t="s">
        <v>578</v>
      </c>
      <c r="I2483" s="187" t="s">
        <v>2799</v>
      </c>
      <c r="J2483" s="187" t="s">
        <v>2800</v>
      </c>
      <c r="K2483" s="188"/>
      <c r="L2483" s="188"/>
      <c r="M2483" s="189" t="s">
        <v>2308</v>
      </c>
      <c r="N2483" s="190">
        <v>7312.31</v>
      </c>
      <c r="O2483" s="190">
        <f t="shared" si="307"/>
        <v>7970.42</v>
      </c>
      <c r="P2483" s="191">
        <f t="shared" si="308"/>
        <v>0</v>
      </c>
      <c r="Q2483" s="192">
        <f t="shared" si="309"/>
        <v>0</v>
      </c>
      <c r="R2483" s="193"/>
      <c r="S2483" s="194"/>
      <c r="T2483" s="195">
        <f t="shared" si="310"/>
        <v>0</v>
      </c>
      <c r="U2483" s="195">
        <f t="shared" si="311"/>
        <v>0</v>
      </c>
      <c r="V2483" s="195">
        <f t="shared" si="312"/>
        <v>0</v>
      </c>
      <c r="W2483" s="196" t="e">
        <f t="shared" si="313"/>
        <v>#DIV/0!</v>
      </c>
      <c r="X2483" s="197" t="e">
        <f t="shared" si="314"/>
        <v>#DIV/0!</v>
      </c>
    </row>
    <row r="2484" ht="11.4" hidden="1" customHeight="1" spans="1:24">
      <c r="A2484" s="184" t="s">
        <v>3223</v>
      </c>
      <c r="B2484" s="184" t="s">
        <v>405</v>
      </c>
      <c r="C2484" s="184" t="s">
        <v>404</v>
      </c>
      <c r="D2484" s="185" t="s">
        <v>704</v>
      </c>
      <c r="E2484" s="186" t="s">
        <v>2728</v>
      </c>
      <c r="F2484" s="186" t="s">
        <v>2772</v>
      </c>
      <c r="G2484" s="186" t="s">
        <v>2792</v>
      </c>
      <c r="H2484" s="186" t="s">
        <v>578</v>
      </c>
      <c r="I2484" s="187" t="s">
        <v>2801</v>
      </c>
      <c r="J2484" s="187" t="s">
        <v>2802</v>
      </c>
      <c r="K2484" s="188"/>
      <c r="L2484" s="188"/>
      <c r="M2484" s="189" t="s">
        <v>2308</v>
      </c>
      <c r="N2484" s="190">
        <v>6892.31</v>
      </c>
      <c r="O2484" s="190">
        <f t="shared" si="307"/>
        <v>7512.62</v>
      </c>
      <c r="P2484" s="191">
        <f t="shared" si="308"/>
        <v>0</v>
      </c>
      <c r="Q2484" s="192">
        <f t="shared" si="309"/>
        <v>0</v>
      </c>
      <c r="R2484" s="193"/>
      <c r="S2484" s="194"/>
      <c r="T2484" s="195">
        <f t="shared" si="310"/>
        <v>0</v>
      </c>
      <c r="U2484" s="195">
        <f t="shared" si="311"/>
        <v>0</v>
      </c>
      <c r="V2484" s="195">
        <f t="shared" si="312"/>
        <v>0</v>
      </c>
      <c r="W2484" s="196" t="e">
        <f t="shared" si="313"/>
        <v>#DIV/0!</v>
      </c>
      <c r="X2484" s="197" t="e">
        <f t="shared" si="314"/>
        <v>#DIV/0!</v>
      </c>
    </row>
    <row r="2485" ht="11.4" hidden="1" customHeight="1" spans="1:24">
      <c r="A2485" s="184" t="s">
        <v>3223</v>
      </c>
      <c r="B2485" s="184" t="s">
        <v>405</v>
      </c>
      <c r="C2485" s="184" t="s">
        <v>404</v>
      </c>
      <c r="D2485" s="185" t="s">
        <v>704</v>
      </c>
      <c r="E2485" s="186" t="s">
        <v>2728</v>
      </c>
      <c r="F2485" s="186" t="s">
        <v>2772</v>
      </c>
      <c r="G2485" s="186" t="s">
        <v>2792</v>
      </c>
      <c r="H2485" s="186" t="s">
        <v>578</v>
      </c>
      <c r="I2485" s="187" t="s">
        <v>2803</v>
      </c>
      <c r="J2485" s="187" t="s">
        <v>2804</v>
      </c>
      <c r="K2485" s="188"/>
      <c r="L2485" s="188"/>
      <c r="M2485" s="189" t="s">
        <v>2308</v>
      </c>
      <c r="N2485" s="190">
        <v>1400</v>
      </c>
      <c r="O2485" s="190">
        <f t="shared" si="307"/>
        <v>1526</v>
      </c>
      <c r="P2485" s="191">
        <f t="shared" si="308"/>
        <v>0</v>
      </c>
      <c r="Q2485" s="192">
        <f t="shared" si="309"/>
        <v>0</v>
      </c>
      <c r="R2485" s="193"/>
      <c r="S2485" s="194"/>
      <c r="T2485" s="195">
        <f t="shared" si="310"/>
        <v>0</v>
      </c>
      <c r="U2485" s="195">
        <f t="shared" si="311"/>
        <v>0</v>
      </c>
      <c r="V2485" s="195">
        <f t="shared" si="312"/>
        <v>0</v>
      </c>
      <c r="W2485" s="196" t="e">
        <f t="shared" si="313"/>
        <v>#DIV/0!</v>
      </c>
      <c r="X2485" s="197" t="e">
        <f t="shared" si="314"/>
        <v>#DIV/0!</v>
      </c>
    </row>
    <row r="2486" ht="11.4" hidden="1" customHeight="1" spans="1:24">
      <c r="A2486" s="184" t="s">
        <v>3224</v>
      </c>
      <c r="B2486" s="184" t="s">
        <v>421</v>
      </c>
      <c r="C2486" s="184" t="s">
        <v>420</v>
      </c>
      <c r="D2486" s="185" t="s">
        <v>704</v>
      </c>
      <c r="E2486" s="186" t="s">
        <v>2728</v>
      </c>
      <c r="F2486" s="186" t="s">
        <v>2772</v>
      </c>
      <c r="G2486" s="186" t="s">
        <v>2806</v>
      </c>
      <c r="H2486" s="186" t="s">
        <v>580</v>
      </c>
      <c r="I2486" s="187" t="s">
        <v>2807</v>
      </c>
      <c r="J2486" s="187" t="s">
        <v>2808</v>
      </c>
      <c r="K2486" s="188"/>
      <c r="L2486" s="188"/>
      <c r="M2486" s="189" t="s">
        <v>2308</v>
      </c>
      <c r="N2486" s="190">
        <v>3437.7</v>
      </c>
      <c r="O2486" s="190">
        <f t="shared" si="307"/>
        <v>3747.09</v>
      </c>
      <c r="P2486" s="191">
        <f t="shared" si="308"/>
        <v>0</v>
      </c>
      <c r="Q2486" s="192">
        <f t="shared" si="309"/>
        <v>0</v>
      </c>
      <c r="R2486" s="193"/>
      <c r="S2486" s="194"/>
      <c r="T2486" s="195">
        <f t="shared" si="310"/>
        <v>0</v>
      </c>
      <c r="U2486" s="195">
        <f t="shared" si="311"/>
        <v>0</v>
      </c>
      <c r="V2486" s="195">
        <f t="shared" si="312"/>
        <v>0</v>
      </c>
      <c r="W2486" s="196" t="e">
        <f t="shared" si="313"/>
        <v>#DIV/0!</v>
      </c>
      <c r="X2486" s="197" t="e">
        <f t="shared" si="314"/>
        <v>#DIV/0!</v>
      </c>
    </row>
    <row r="2487" ht="11.4" hidden="1" customHeight="1" spans="1:24">
      <c r="A2487" s="184" t="s">
        <v>3224</v>
      </c>
      <c r="B2487" s="184" t="s">
        <v>421</v>
      </c>
      <c r="C2487" s="184" t="s">
        <v>420</v>
      </c>
      <c r="D2487" s="185" t="s">
        <v>704</v>
      </c>
      <c r="E2487" s="186" t="s">
        <v>2728</v>
      </c>
      <c r="F2487" s="186" t="s">
        <v>2772</v>
      </c>
      <c r="G2487" s="186" t="s">
        <v>2806</v>
      </c>
      <c r="H2487" s="186" t="s">
        <v>580</v>
      </c>
      <c r="I2487" s="187" t="s">
        <v>2809</v>
      </c>
      <c r="J2487" s="187" t="s">
        <v>2810</v>
      </c>
      <c r="K2487" s="188"/>
      <c r="L2487" s="188"/>
      <c r="M2487" s="189" t="s">
        <v>2308</v>
      </c>
      <c r="N2487" s="190">
        <v>4340.7</v>
      </c>
      <c r="O2487" s="190">
        <f t="shared" si="307"/>
        <v>4731.36</v>
      </c>
      <c r="P2487" s="191">
        <f t="shared" si="308"/>
        <v>0</v>
      </c>
      <c r="Q2487" s="192">
        <f t="shared" si="309"/>
        <v>0</v>
      </c>
      <c r="R2487" s="193"/>
      <c r="S2487" s="194"/>
      <c r="T2487" s="195">
        <f t="shared" si="310"/>
        <v>0</v>
      </c>
      <c r="U2487" s="195">
        <f t="shared" si="311"/>
        <v>0</v>
      </c>
      <c r="V2487" s="195">
        <f t="shared" si="312"/>
        <v>0</v>
      </c>
      <c r="W2487" s="196" t="e">
        <f t="shared" si="313"/>
        <v>#DIV/0!</v>
      </c>
      <c r="X2487" s="197" t="e">
        <f t="shared" si="314"/>
        <v>#DIV/0!</v>
      </c>
    </row>
    <row r="2488" ht="11.4" hidden="1" customHeight="1" spans="1:24">
      <c r="A2488" s="184" t="s">
        <v>3225</v>
      </c>
      <c r="B2488" s="184" t="s">
        <v>425</v>
      </c>
      <c r="C2488" s="184" t="s">
        <v>424</v>
      </c>
      <c r="D2488" s="185" t="s">
        <v>704</v>
      </c>
      <c r="E2488" s="186" t="s">
        <v>2728</v>
      </c>
      <c r="F2488" s="186" t="s">
        <v>2772</v>
      </c>
      <c r="G2488" s="186" t="s">
        <v>2812</v>
      </c>
      <c r="H2488" s="186" t="s">
        <v>2813</v>
      </c>
      <c r="I2488" s="187" t="s">
        <v>2814</v>
      </c>
      <c r="J2488" s="187" t="s">
        <v>2815</v>
      </c>
      <c r="K2488" s="188"/>
      <c r="L2488" s="188"/>
      <c r="M2488" s="189" t="s">
        <v>847</v>
      </c>
      <c r="N2488" s="190">
        <v>298</v>
      </c>
      <c r="O2488" s="190">
        <f t="shared" si="307"/>
        <v>324.82</v>
      </c>
      <c r="P2488" s="191">
        <f t="shared" si="308"/>
        <v>0</v>
      </c>
      <c r="Q2488" s="192">
        <f t="shared" si="309"/>
        <v>0</v>
      </c>
      <c r="R2488" s="193"/>
      <c r="S2488" s="194"/>
      <c r="T2488" s="195">
        <f t="shared" si="310"/>
        <v>0</v>
      </c>
      <c r="U2488" s="195">
        <f t="shared" si="311"/>
        <v>0</v>
      </c>
      <c r="V2488" s="195">
        <f t="shared" si="312"/>
        <v>0</v>
      </c>
      <c r="W2488" s="196" t="e">
        <f t="shared" si="313"/>
        <v>#DIV/0!</v>
      </c>
      <c r="X2488" s="197" t="e">
        <f t="shared" si="314"/>
        <v>#DIV/0!</v>
      </c>
    </row>
    <row r="2489" ht="11.4" hidden="1" customHeight="1" spans="1:24">
      <c r="A2489" s="184" t="s">
        <v>3225</v>
      </c>
      <c r="B2489" s="184" t="s">
        <v>425</v>
      </c>
      <c r="C2489" s="184" t="s">
        <v>424</v>
      </c>
      <c r="D2489" s="185" t="s">
        <v>704</v>
      </c>
      <c r="E2489" s="186" t="s">
        <v>2728</v>
      </c>
      <c r="F2489" s="186" t="s">
        <v>2772</v>
      </c>
      <c r="G2489" s="186" t="s">
        <v>2812</v>
      </c>
      <c r="H2489" s="186" t="s">
        <v>2813</v>
      </c>
      <c r="I2489" s="187" t="s">
        <v>2816</v>
      </c>
      <c r="J2489" s="187" t="s">
        <v>2817</v>
      </c>
      <c r="K2489" s="188"/>
      <c r="L2489" s="188"/>
      <c r="M2489" s="189" t="s">
        <v>2308</v>
      </c>
      <c r="N2489" s="190">
        <v>2330</v>
      </c>
      <c r="O2489" s="190">
        <f t="shared" si="307"/>
        <v>2539.7</v>
      </c>
      <c r="P2489" s="191">
        <f t="shared" si="308"/>
        <v>0</v>
      </c>
      <c r="Q2489" s="192">
        <f t="shared" si="309"/>
        <v>0</v>
      </c>
      <c r="R2489" s="193"/>
      <c r="S2489" s="194"/>
      <c r="T2489" s="195">
        <f t="shared" si="310"/>
        <v>0</v>
      </c>
      <c r="U2489" s="195">
        <f t="shared" si="311"/>
        <v>0</v>
      </c>
      <c r="V2489" s="195">
        <f t="shared" si="312"/>
        <v>0</v>
      </c>
      <c r="W2489" s="196" t="e">
        <f t="shared" si="313"/>
        <v>#DIV/0!</v>
      </c>
      <c r="X2489" s="197" t="e">
        <f t="shared" si="314"/>
        <v>#DIV/0!</v>
      </c>
    </row>
    <row r="2490" ht="11.4" hidden="1" customHeight="1" spans="1:24">
      <c r="A2490" s="184" t="s">
        <v>3226</v>
      </c>
      <c r="B2490" s="184" t="s">
        <v>323</v>
      </c>
      <c r="C2490" s="184" t="s">
        <v>2819</v>
      </c>
      <c r="D2490" s="185" t="s">
        <v>704</v>
      </c>
      <c r="E2490" s="186" t="s">
        <v>2728</v>
      </c>
      <c r="F2490" s="186" t="s">
        <v>2769</v>
      </c>
      <c r="G2490" s="186" t="s">
        <v>582</v>
      </c>
      <c r="H2490" s="186" t="s">
        <v>582</v>
      </c>
      <c r="I2490" s="187" t="s">
        <v>2820</v>
      </c>
      <c r="J2490" s="187" t="s">
        <v>2821</v>
      </c>
      <c r="K2490" s="188"/>
      <c r="L2490" s="188"/>
      <c r="M2490" s="189" t="s">
        <v>2308</v>
      </c>
      <c r="N2490" s="190">
        <v>881</v>
      </c>
      <c r="O2490" s="190">
        <f t="shared" si="307"/>
        <v>960.29</v>
      </c>
      <c r="P2490" s="191">
        <f t="shared" si="308"/>
        <v>0</v>
      </c>
      <c r="Q2490" s="192">
        <f t="shared" si="309"/>
        <v>0</v>
      </c>
      <c r="R2490" s="193"/>
      <c r="S2490" s="194"/>
      <c r="T2490" s="195">
        <f t="shared" si="310"/>
        <v>0</v>
      </c>
      <c r="U2490" s="195">
        <f t="shared" si="311"/>
        <v>0</v>
      </c>
      <c r="V2490" s="195">
        <f t="shared" si="312"/>
        <v>0</v>
      </c>
      <c r="W2490" s="196" t="e">
        <f t="shared" si="313"/>
        <v>#DIV/0!</v>
      </c>
      <c r="X2490" s="197" t="e">
        <f t="shared" si="314"/>
        <v>#DIV/0!</v>
      </c>
    </row>
    <row r="2491" ht="11.4" hidden="1" customHeight="1" spans="1:24">
      <c r="A2491" s="184" t="s">
        <v>3227</v>
      </c>
      <c r="B2491" s="184" t="s">
        <v>430</v>
      </c>
      <c r="C2491" s="184" t="s">
        <v>2823</v>
      </c>
      <c r="D2491" s="185" t="s">
        <v>704</v>
      </c>
      <c r="E2491" s="186" t="s">
        <v>2728</v>
      </c>
      <c r="F2491" s="186" t="s">
        <v>2769</v>
      </c>
      <c r="G2491" s="186" t="s">
        <v>582</v>
      </c>
      <c r="H2491" s="186" t="s">
        <v>582</v>
      </c>
      <c r="I2491" s="187" t="s">
        <v>2824</v>
      </c>
      <c r="J2491" s="187" t="s">
        <v>2825</v>
      </c>
      <c r="K2491" s="188"/>
      <c r="L2491" s="188"/>
      <c r="M2491" s="189" t="s">
        <v>2308</v>
      </c>
      <c r="N2491" s="190">
        <v>258</v>
      </c>
      <c r="O2491" s="190">
        <f t="shared" si="307"/>
        <v>281.22</v>
      </c>
      <c r="P2491" s="191">
        <f t="shared" si="308"/>
        <v>0</v>
      </c>
      <c r="Q2491" s="192">
        <f t="shared" si="309"/>
        <v>0</v>
      </c>
      <c r="R2491" s="193"/>
      <c r="S2491" s="194"/>
      <c r="T2491" s="195">
        <f t="shared" si="310"/>
        <v>0</v>
      </c>
      <c r="U2491" s="195">
        <f t="shared" si="311"/>
        <v>0</v>
      </c>
      <c r="V2491" s="195">
        <f t="shared" si="312"/>
        <v>0</v>
      </c>
      <c r="W2491" s="196" t="e">
        <f t="shared" si="313"/>
        <v>#DIV/0!</v>
      </c>
      <c r="X2491" s="197" t="e">
        <f t="shared" si="314"/>
        <v>#DIV/0!</v>
      </c>
    </row>
    <row r="2492" ht="11.4" hidden="1" customHeight="1" spans="1:24">
      <c r="A2492" s="184" t="s">
        <v>3220</v>
      </c>
      <c r="B2492" s="184" t="s">
        <v>378</v>
      </c>
      <c r="C2492" s="184" t="s">
        <v>2826</v>
      </c>
      <c r="D2492" s="185" t="s">
        <v>704</v>
      </c>
      <c r="E2492" s="186" t="s">
        <v>2728</v>
      </c>
      <c r="F2492" s="186" t="s">
        <v>2769</v>
      </c>
      <c r="G2492" s="186" t="s">
        <v>582</v>
      </c>
      <c r="H2492" s="186" t="s">
        <v>582</v>
      </c>
      <c r="I2492" s="187" t="s">
        <v>2827</v>
      </c>
      <c r="J2492" s="187" t="s">
        <v>2828</v>
      </c>
      <c r="K2492" s="188"/>
      <c r="L2492" s="188"/>
      <c r="M2492" s="189" t="s">
        <v>2308</v>
      </c>
      <c r="N2492" s="190">
        <v>300</v>
      </c>
      <c r="O2492" s="190">
        <f t="shared" si="307"/>
        <v>327</v>
      </c>
      <c r="P2492" s="191">
        <f t="shared" si="308"/>
        <v>0</v>
      </c>
      <c r="Q2492" s="192">
        <f t="shared" si="309"/>
        <v>0</v>
      </c>
      <c r="R2492" s="193"/>
      <c r="S2492" s="194"/>
      <c r="T2492" s="195">
        <f t="shared" si="310"/>
        <v>0</v>
      </c>
      <c r="U2492" s="195">
        <f t="shared" si="311"/>
        <v>0</v>
      </c>
      <c r="V2492" s="195">
        <f t="shared" si="312"/>
        <v>0</v>
      </c>
      <c r="W2492" s="196" t="e">
        <f t="shared" si="313"/>
        <v>#DIV/0!</v>
      </c>
      <c r="X2492" s="197" t="e">
        <f t="shared" si="314"/>
        <v>#DIV/0!</v>
      </c>
    </row>
    <row r="2493" ht="11.4" hidden="1" customHeight="1" spans="1:24">
      <c r="A2493" s="184" t="s">
        <v>3227</v>
      </c>
      <c r="B2493" s="184" t="s">
        <v>430</v>
      </c>
      <c r="C2493" s="184" t="s">
        <v>2823</v>
      </c>
      <c r="D2493" s="185" t="s">
        <v>704</v>
      </c>
      <c r="E2493" s="186" t="s">
        <v>2728</v>
      </c>
      <c r="F2493" s="186" t="s">
        <v>2769</v>
      </c>
      <c r="G2493" s="186" t="s">
        <v>582</v>
      </c>
      <c r="H2493" s="186" t="s">
        <v>582</v>
      </c>
      <c r="I2493" s="187" t="s">
        <v>2829</v>
      </c>
      <c r="J2493" s="187" t="s">
        <v>2830</v>
      </c>
      <c r="K2493" s="188"/>
      <c r="L2493" s="188"/>
      <c r="M2493" s="189" t="s">
        <v>807</v>
      </c>
      <c r="N2493" s="190">
        <v>99.32</v>
      </c>
      <c r="O2493" s="190">
        <f t="shared" si="307"/>
        <v>108.26</v>
      </c>
      <c r="P2493" s="191">
        <f t="shared" si="308"/>
        <v>0</v>
      </c>
      <c r="Q2493" s="192">
        <f t="shared" si="309"/>
        <v>0</v>
      </c>
      <c r="R2493" s="193"/>
      <c r="S2493" s="194"/>
      <c r="T2493" s="195">
        <f t="shared" si="310"/>
        <v>0</v>
      </c>
      <c r="U2493" s="195">
        <f t="shared" si="311"/>
        <v>0</v>
      </c>
      <c r="V2493" s="195">
        <f t="shared" si="312"/>
        <v>0</v>
      </c>
      <c r="W2493" s="196" t="e">
        <f t="shared" si="313"/>
        <v>#DIV/0!</v>
      </c>
      <c r="X2493" s="197" t="e">
        <f t="shared" si="314"/>
        <v>#DIV/0!</v>
      </c>
    </row>
    <row r="2494" ht="11.4" hidden="1" customHeight="1" spans="1:24">
      <c r="A2494" s="184" t="s">
        <v>3227</v>
      </c>
      <c r="B2494" s="184" t="s">
        <v>430</v>
      </c>
      <c r="C2494" s="184" t="s">
        <v>2823</v>
      </c>
      <c r="D2494" s="185" t="s">
        <v>704</v>
      </c>
      <c r="E2494" s="186" t="s">
        <v>2728</v>
      </c>
      <c r="F2494" s="186" t="s">
        <v>2769</v>
      </c>
      <c r="G2494" s="186" t="s">
        <v>582</v>
      </c>
      <c r="H2494" s="186" t="s">
        <v>582</v>
      </c>
      <c r="I2494" s="187" t="s">
        <v>2831</v>
      </c>
      <c r="J2494" s="187" t="s">
        <v>2832</v>
      </c>
      <c r="K2494" s="188"/>
      <c r="L2494" s="188"/>
      <c r="M2494" s="189" t="s">
        <v>807</v>
      </c>
      <c r="N2494" s="190">
        <v>99.32</v>
      </c>
      <c r="O2494" s="190">
        <f t="shared" si="307"/>
        <v>108.26</v>
      </c>
      <c r="P2494" s="191">
        <f t="shared" si="308"/>
        <v>0</v>
      </c>
      <c r="Q2494" s="192">
        <f t="shared" si="309"/>
        <v>0</v>
      </c>
      <c r="R2494" s="193"/>
      <c r="S2494" s="194"/>
      <c r="T2494" s="195">
        <f t="shared" si="310"/>
        <v>0</v>
      </c>
      <c r="U2494" s="195">
        <f t="shared" si="311"/>
        <v>0</v>
      </c>
      <c r="V2494" s="195">
        <f t="shared" si="312"/>
        <v>0</v>
      </c>
      <c r="W2494" s="196" t="e">
        <f t="shared" si="313"/>
        <v>#DIV/0!</v>
      </c>
      <c r="X2494" s="197" t="e">
        <f t="shared" si="314"/>
        <v>#DIV/0!</v>
      </c>
    </row>
    <row r="2495" ht="11.4" hidden="1" customHeight="1" spans="1:24">
      <c r="A2495" s="184" t="s">
        <v>3227</v>
      </c>
      <c r="B2495" s="184" t="s">
        <v>430</v>
      </c>
      <c r="C2495" s="184" t="s">
        <v>2823</v>
      </c>
      <c r="D2495" s="185" t="s">
        <v>704</v>
      </c>
      <c r="E2495" s="186" t="s">
        <v>2728</v>
      </c>
      <c r="F2495" s="186" t="s">
        <v>2769</v>
      </c>
      <c r="G2495" s="186" t="s">
        <v>582</v>
      </c>
      <c r="H2495" s="186" t="s">
        <v>582</v>
      </c>
      <c r="I2495" s="187" t="s">
        <v>2833</v>
      </c>
      <c r="J2495" s="187" t="s">
        <v>2834</v>
      </c>
      <c r="K2495" s="188"/>
      <c r="L2495" s="188"/>
      <c r="M2495" s="189" t="s">
        <v>1018</v>
      </c>
      <c r="N2495" s="190">
        <v>21</v>
      </c>
      <c r="O2495" s="190">
        <f t="shared" si="307"/>
        <v>22.89</v>
      </c>
      <c r="P2495" s="191">
        <f t="shared" si="308"/>
        <v>0</v>
      </c>
      <c r="Q2495" s="192">
        <f t="shared" si="309"/>
        <v>0</v>
      </c>
      <c r="R2495" s="193"/>
      <c r="S2495" s="194"/>
      <c r="T2495" s="195">
        <f t="shared" si="310"/>
        <v>0</v>
      </c>
      <c r="U2495" s="195">
        <f t="shared" si="311"/>
        <v>0</v>
      </c>
      <c r="V2495" s="195">
        <f t="shared" si="312"/>
        <v>0</v>
      </c>
      <c r="W2495" s="196" t="e">
        <f t="shared" si="313"/>
        <v>#DIV/0!</v>
      </c>
      <c r="X2495" s="197" t="e">
        <f t="shared" si="314"/>
        <v>#DIV/0!</v>
      </c>
    </row>
    <row r="2496" ht="11.4" hidden="1" customHeight="1" spans="1:24">
      <c r="A2496" s="184" t="s">
        <v>3228</v>
      </c>
      <c r="B2496" s="184" t="s">
        <v>439</v>
      </c>
      <c r="C2496" s="184" t="s">
        <v>2836</v>
      </c>
      <c r="D2496" s="185" t="s">
        <v>704</v>
      </c>
      <c r="E2496" s="186" t="s">
        <v>2837</v>
      </c>
      <c r="F2496" s="186" t="s">
        <v>2838</v>
      </c>
      <c r="G2496" s="186" t="s">
        <v>583</v>
      </c>
      <c r="H2496" s="186" t="s">
        <v>583</v>
      </c>
      <c r="I2496" s="187" t="s">
        <v>2839</v>
      </c>
      <c r="J2496" s="187" t="s">
        <v>2840</v>
      </c>
      <c r="K2496" s="188"/>
      <c r="L2496" s="188"/>
      <c r="M2496" s="189" t="s">
        <v>793</v>
      </c>
      <c r="N2496" s="190">
        <v>3735</v>
      </c>
      <c r="O2496" s="190">
        <f t="shared" si="307"/>
        <v>4071.15</v>
      </c>
      <c r="P2496" s="191">
        <f t="shared" si="308"/>
        <v>0</v>
      </c>
      <c r="Q2496" s="192">
        <f t="shared" si="309"/>
        <v>0</v>
      </c>
      <c r="R2496" s="193"/>
      <c r="S2496" s="194"/>
      <c r="T2496" s="195">
        <f t="shared" si="310"/>
        <v>0</v>
      </c>
      <c r="U2496" s="195">
        <f t="shared" si="311"/>
        <v>0</v>
      </c>
      <c r="V2496" s="195">
        <f t="shared" si="312"/>
        <v>0</v>
      </c>
      <c r="W2496" s="196" t="e">
        <f t="shared" si="313"/>
        <v>#DIV/0!</v>
      </c>
      <c r="X2496" s="197" t="e">
        <f t="shared" si="314"/>
        <v>#DIV/0!</v>
      </c>
    </row>
    <row r="2497" ht="11.4" hidden="1" customHeight="1" spans="1:24">
      <c r="A2497" s="184" t="s">
        <v>3229</v>
      </c>
      <c r="B2497" s="184" t="s">
        <v>459</v>
      </c>
      <c r="C2497" s="184" t="s">
        <v>2842</v>
      </c>
      <c r="D2497" s="185" t="s">
        <v>704</v>
      </c>
      <c r="E2497" s="186" t="s">
        <v>2843</v>
      </c>
      <c r="F2497" s="186" t="s">
        <v>2844</v>
      </c>
      <c r="G2497" s="186" t="s">
        <v>2845</v>
      </c>
      <c r="H2497" s="186" t="s">
        <v>2845</v>
      </c>
      <c r="I2497" s="187" t="s">
        <v>2846</v>
      </c>
      <c r="J2497" s="187" t="s">
        <v>2847</v>
      </c>
      <c r="K2497" s="188"/>
      <c r="L2497" s="188"/>
      <c r="M2497" s="189" t="s">
        <v>793</v>
      </c>
      <c r="N2497" s="190">
        <v>538.44</v>
      </c>
      <c r="O2497" s="190">
        <f t="shared" si="307"/>
        <v>586.9</v>
      </c>
      <c r="P2497" s="191">
        <f t="shared" si="308"/>
        <v>0</v>
      </c>
      <c r="Q2497" s="192">
        <f t="shared" si="309"/>
        <v>0</v>
      </c>
      <c r="R2497" s="193"/>
      <c r="S2497" s="194"/>
      <c r="T2497" s="195">
        <f t="shared" si="310"/>
        <v>0</v>
      </c>
      <c r="U2497" s="195">
        <f t="shared" si="311"/>
        <v>0</v>
      </c>
      <c r="V2497" s="195">
        <f t="shared" si="312"/>
        <v>0</v>
      </c>
      <c r="W2497" s="196" t="e">
        <f t="shared" si="313"/>
        <v>#DIV/0!</v>
      </c>
      <c r="X2497" s="197" t="e">
        <f t="shared" si="314"/>
        <v>#DIV/0!</v>
      </c>
    </row>
    <row r="2498" ht="11.4" hidden="1" customHeight="1" spans="1:24">
      <c r="A2498" s="184" t="s">
        <v>3229</v>
      </c>
      <c r="B2498" s="184" t="s">
        <v>459</v>
      </c>
      <c r="C2498" s="184" t="s">
        <v>2842</v>
      </c>
      <c r="D2498" s="185" t="s">
        <v>704</v>
      </c>
      <c r="E2498" s="186" t="s">
        <v>2843</v>
      </c>
      <c r="F2498" s="186" t="s">
        <v>2844</v>
      </c>
      <c r="G2498" s="186" t="s">
        <v>2845</v>
      </c>
      <c r="H2498" s="186" t="s">
        <v>2845</v>
      </c>
      <c r="I2498" s="187" t="s">
        <v>2848</v>
      </c>
      <c r="J2498" s="187" t="s">
        <v>2849</v>
      </c>
      <c r="K2498" s="188"/>
      <c r="L2498" s="188"/>
      <c r="M2498" s="189" t="s">
        <v>793</v>
      </c>
      <c r="N2498" s="190">
        <v>200.08</v>
      </c>
      <c r="O2498" s="190">
        <f t="shared" si="307"/>
        <v>218.09</v>
      </c>
      <c r="P2498" s="191">
        <f t="shared" si="308"/>
        <v>0</v>
      </c>
      <c r="Q2498" s="192">
        <f t="shared" si="309"/>
        <v>0</v>
      </c>
      <c r="R2498" s="193"/>
      <c r="S2498" s="194"/>
      <c r="T2498" s="195">
        <f t="shared" si="310"/>
        <v>0</v>
      </c>
      <c r="U2498" s="195">
        <f t="shared" si="311"/>
        <v>0</v>
      </c>
      <c r="V2498" s="195">
        <f t="shared" si="312"/>
        <v>0</v>
      </c>
      <c r="W2498" s="196" t="e">
        <f t="shared" si="313"/>
        <v>#DIV/0!</v>
      </c>
      <c r="X2498" s="197" t="e">
        <f t="shared" si="314"/>
        <v>#DIV/0!</v>
      </c>
    </row>
    <row r="2499" ht="11.4" hidden="1" customHeight="1" spans="1:24">
      <c r="A2499" s="184" t="s">
        <v>3230</v>
      </c>
      <c r="B2499" s="184" t="s">
        <v>457</v>
      </c>
      <c r="C2499" s="184" t="s">
        <v>2851</v>
      </c>
      <c r="D2499" s="185" t="s">
        <v>704</v>
      </c>
      <c r="E2499" s="186" t="s">
        <v>2843</v>
      </c>
      <c r="F2499" s="186" t="s">
        <v>2852</v>
      </c>
      <c r="G2499" s="186" t="s">
        <v>2853</v>
      </c>
      <c r="H2499" s="186" t="s">
        <v>2853</v>
      </c>
      <c r="I2499" s="187" t="s">
        <v>2854</v>
      </c>
      <c r="J2499" s="187" t="s">
        <v>2855</v>
      </c>
      <c r="K2499" s="188"/>
      <c r="L2499" s="188"/>
      <c r="M2499" s="189" t="s">
        <v>793</v>
      </c>
      <c r="N2499" s="190"/>
      <c r="O2499" s="190">
        <f t="shared" si="307"/>
        <v>0</v>
      </c>
      <c r="P2499" s="191">
        <f t="shared" si="308"/>
        <v>0</v>
      </c>
      <c r="Q2499" s="192">
        <f t="shared" si="309"/>
        <v>0</v>
      </c>
      <c r="R2499" s="193"/>
      <c r="S2499" s="194"/>
      <c r="T2499" s="195">
        <f t="shared" si="310"/>
        <v>0</v>
      </c>
      <c r="U2499" s="195">
        <f t="shared" si="311"/>
        <v>0</v>
      </c>
      <c r="V2499" s="195">
        <f t="shared" si="312"/>
        <v>0</v>
      </c>
      <c r="W2499" s="196" t="e">
        <f t="shared" si="313"/>
        <v>#DIV/0!</v>
      </c>
      <c r="X2499" s="197" t="e">
        <f t="shared" si="314"/>
        <v>#DIV/0!</v>
      </c>
    </row>
    <row r="2500" ht="11.4" hidden="1" customHeight="1" spans="1:24">
      <c r="A2500" s="184" t="s">
        <v>3230</v>
      </c>
      <c r="B2500" s="184" t="s">
        <v>457</v>
      </c>
      <c r="C2500" s="184" t="s">
        <v>2851</v>
      </c>
      <c r="D2500" s="185" t="s">
        <v>704</v>
      </c>
      <c r="E2500" s="186" t="s">
        <v>2843</v>
      </c>
      <c r="F2500" s="186" t="s">
        <v>2852</v>
      </c>
      <c r="G2500" s="186" t="s">
        <v>2853</v>
      </c>
      <c r="H2500" s="186" t="s">
        <v>2853</v>
      </c>
      <c r="I2500" s="187" t="s">
        <v>2856</v>
      </c>
      <c r="J2500" s="187" t="s">
        <v>2857</v>
      </c>
      <c r="K2500" s="188"/>
      <c r="L2500" s="188"/>
      <c r="M2500" s="189" t="s">
        <v>1018</v>
      </c>
      <c r="N2500" s="190"/>
      <c r="O2500" s="190">
        <f t="shared" si="307"/>
        <v>0</v>
      </c>
      <c r="P2500" s="191">
        <f t="shared" si="308"/>
        <v>0</v>
      </c>
      <c r="Q2500" s="192">
        <f t="shared" si="309"/>
        <v>0</v>
      </c>
      <c r="R2500" s="193"/>
      <c r="S2500" s="194"/>
      <c r="T2500" s="195">
        <f t="shared" si="310"/>
        <v>0</v>
      </c>
      <c r="U2500" s="195">
        <f t="shared" si="311"/>
        <v>0</v>
      </c>
      <c r="V2500" s="195">
        <f t="shared" si="312"/>
        <v>0</v>
      </c>
      <c r="W2500" s="196" t="e">
        <f t="shared" si="313"/>
        <v>#DIV/0!</v>
      </c>
      <c r="X2500" s="197" t="e">
        <f t="shared" si="314"/>
        <v>#DIV/0!</v>
      </c>
    </row>
    <row r="2501" ht="11.4" hidden="1" customHeight="1" spans="1:24">
      <c r="A2501" s="184" t="s">
        <v>3230</v>
      </c>
      <c r="B2501" s="184" t="s">
        <v>457</v>
      </c>
      <c r="C2501" s="184" t="s">
        <v>2851</v>
      </c>
      <c r="D2501" s="185" t="s">
        <v>704</v>
      </c>
      <c r="E2501" s="186" t="s">
        <v>2843</v>
      </c>
      <c r="F2501" s="186" t="s">
        <v>2852</v>
      </c>
      <c r="G2501" s="186" t="s">
        <v>2853</v>
      </c>
      <c r="H2501" s="186" t="s">
        <v>2853</v>
      </c>
      <c r="I2501" s="187" t="s">
        <v>2858</v>
      </c>
      <c r="J2501" s="187" t="s">
        <v>2859</v>
      </c>
      <c r="K2501" s="188"/>
      <c r="L2501" s="188"/>
      <c r="M2501" s="189" t="s">
        <v>1018</v>
      </c>
      <c r="N2501" s="190"/>
      <c r="O2501" s="190">
        <f t="shared" si="307"/>
        <v>0</v>
      </c>
      <c r="P2501" s="191">
        <f t="shared" si="308"/>
        <v>0</v>
      </c>
      <c r="Q2501" s="192">
        <f t="shared" si="309"/>
        <v>0</v>
      </c>
      <c r="R2501" s="193"/>
      <c r="S2501" s="194"/>
      <c r="T2501" s="195">
        <f t="shared" si="310"/>
        <v>0</v>
      </c>
      <c r="U2501" s="195">
        <f t="shared" si="311"/>
        <v>0</v>
      </c>
      <c r="V2501" s="195">
        <f t="shared" si="312"/>
        <v>0</v>
      </c>
      <c r="W2501" s="196" t="e">
        <f t="shared" si="313"/>
        <v>#DIV/0!</v>
      </c>
      <c r="X2501" s="197" t="e">
        <f t="shared" si="314"/>
        <v>#DIV/0!</v>
      </c>
    </row>
    <row r="2502" ht="11.4" hidden="1" customHeight="1" spans="1:24">
      <c r="A2502" s="184" t="s">
        <v>3230</v>
      </c>
      <c r="B2502" s="184" t="s">
        <v>457</v>
      </c>
      <c r="C2502" s="184" t="s">
        <v>2851</v>
      </c>
      <c r="D2502" s="185" t="s">
        <v>704</v>
      </c>
      <c r="E2502" s="186" t="s">
        <v>2843</v>
      </c>
      <c r="F2502" s="186" t="s">
        <v>2852</v>
      </c>
      <c r="G2502" s="186" t="s">
        <v>2853</v>
      </c>
      <c r="H2502" s="186" t="s">
        <v>2853</v>
      </c>
      <c r="I2502" s="187" t="s">
        <v>2860</v>
      </c>
      <c r="J2502" s="187" t="s">
        <v>2861</v>
      </c>
      <c r="K2502" s="188"/>
      <c r="L2502" s="188"/>
      <c r="M2502" s="189" t="s">
        <v>1018</v>
      </c>
      <c r="N2502" s="190">
        <v>495.5</v>
      </c>
      <c r="O2502" s="190">
        <f t="shared" si="307"/>
        <v>540.1</v>
      </c>
      <c r="P2502" s="191">
        <f t="shared" si="308"/>
        <v>0</v>
      </c>
      <c r="Q2502" s="192">
        <f t="shared" si="309"/>
        <v>0</v>
      </c>
      <c r="R2502" s="193"/>
      <c r="S2502" s="194"/>
      <c r="T2502" s="195">
        <f t="shared" si="310"/>
        <v>0</v>
      </c>
      <c r="U2502" s="195">
        <f t="shared" si="311"/>
        <v>0</v>
      </c>
      <c r="V2502" s="195">
        <f t="shared" si="312"/>
        <v>0</v>
      </c>
      <c r="W2502" s="196" t="e">
        <f t="shared" si="313"/>
        <v>#DIV/0!</v>
      </c>
      <c r="X2502" s="197" t="e">
        <f t="shared" si="314"/>
        <v>#DIV/0!</v>
      </c>
    </row>
    <row r="2503" ht="11.4" hidden="1" customHeight="1" spans="1:24">
      <c r="A2503" s="184" t="s">
        <v>3230</v>
      </c>
      <c r="B2503" s="184" t="s">
        <v>457</v>
      </c>
      <c r="C2503" s="184" t="s">
        <v>2851</v>
      </c>
      <c r="D2503" s="185" t="s">
        <v>704</v>
      </c>
      <c r="E2503" s="186" t="s">
        <v>2843</v>
      </c>
      <c r="F2503" s="186" t="s">
        <v>2852</v>
      </c>
      <c r="G2503" s="186" t="s">
        <v>2853</v>
      </c>
      <c r="H2503" s="186" t="s">
        <v>2853</v>
      </c>
      <c r="I2503" s="187" t="s">
        <v>2862</v>
      </c>
      <c r="J2503" s="187" t="s">
        <v>2863</v>
      </c>
      <c r="K2503" s="188"/>
      <c r="L2503" s="188"/>
      <c r="M2503" s="189" t="s">
        <v>1018</v>
      </c>
      <c r="N2503" s="190">
        <v>553.15</v>
      </c>
      <c r="O2503" s="190">
        <f t="shared" si="307"/>
        <v>602.93</v>
      </c>
      <c r="P2503" s="191">
        <f t="shared" si="308"/>
        <v>0</v>
      </c>
      <c r="Q2503" s="192">
        <f t="shared" si="309"/>
        <v>0</v>
      </c>
      <c r="R2503" s="193"/>
      <c r="S2503" s="194"/>
      <c r="T2503" s="195">
        <f t="shared" si="310"/>
        <v>0</v>
      </c>
      <c r="U2503" s="195">
        <f t="shared" si="311"/>
        <v>0</v>
      </c>
      <c r="V2503" s="195">
        <f t="shared" si="312"/>
        <v>0</v>
      </c>
      <c r="W2503" s="196" t="e">
        <f t="shared" si="313"/>
        <v>#DIV/0!</v>
      </c>
      <c r="X2503" s="197" t="e">
        <f t="shared" si="314"/>
        <v>#DIV/0!</v>
      </c>
    </row>
    <row r="2504" ht="11.4" hidden="1" customHeight="1" spans="1:24">
      <c r="A2504" s="184" t="s">
        <v>3231</v>
      </c>
      <c r="B2504" s="184" t="s">
        <v>461</v>
      </c>
      <c r="C2504" s="184" t="s">
        <v>2865</v>
      </c>
      <c r="D2504" s="185" t="s">
        <v>704</v>
      </c>
      <c r="E2504" s="186" t="s">
        <v>2843</v>
      </c>
      <c r="F2504" s="186" t="s">
        <v>2866</v>
      </c>
      <c r="G2504" s="186" t="s">
        <v>2867</v>
      </c>
      <c r="H2504" s="186" t="s">
        <v>2867</v>
      </c>
      <c r="I2504" s="187" t="s">
        <v>2868</v>
      </c>
      <c r="J2504" s="187" t="s">
        <v>2869</v>
      </c>
      <c r="K2504" s="188"/>
      <c r="L2504" s="188"/>
      <c r="M2504" s="189" t="s">
        <v>793</v>
      </c>
      <c r="N2504" s="190">
        <v>3715</v>
      </c>
      <c r="O2504" s="190">
        <f t="shared" si="307"/>
        <v>4049.35</v>
      </c>
      <c r="P2504" s="191">
        <f t="shared" si="308"/>
        <v>0</v>
      </c>
      <c r="Q2504" s="192">
        <f t="shared" si="309"/>
        <v>0</v>
      </c>
      <c r="R2504" s="193"/>
      <c r="S2504" s="194"/>
      <c r="T2504" s="195">
        <f t="shared" si="310"/>
        <v>0</v>
      </c>
      <c r="U2504" s="195">
        <f t="shared" si="311"/>
        <v>0</v>
      </c>
      <c r="V2504" s="195">
        <f t="shared" si="312"/>
        <v>0</v>
      </c>
      <c r="W2504" s="196" t="e">
        <f t="shared" si="313"/>
        <v>#DIV/0!</v>
      </c>
      <c r="X2504" s="197" t="e">
        <f t="shared" si="314"/>
        <v>#DIV/0!</v>
      </c>
    </row>
    <row r="2505" ht="11.4" hidden="1" customHeight="1" spans="1:24">
      <c r="A2505" s="184" t="s">
        <v>3231</v>
      </c>
      <c r="B2505" s="184" t="s">
        <v>461</v>
      </c>
      <c r="C2505" s="184" t="s">
        <v>2865</v>
      </c>
      <c r="D2505" s="185" t="s">
        <v>704</v>
      </c>
      <c r="E2505" s="186" t="s">
        <v>2843</v>
      </c>
      <c r="F2505" s="186" t="s">
        <v>2866</v>
      </c>
      <c r="G2505" s="186" t="s">
        <v>2867</v>
      </c>
      <c r="H2505" s="186" t="s">
        <v>2867</v>
      </c>
      <c r="I2505" s="187" t="s">
        <v>2870</v>
      </c>
      <c r="J2505" s="187" t="s">
        <v>2871</v>
      </c>
      <c r="K2505" s="188"/>
      <c r="L2505" s="188"/>
      <c r="M2505" s="189" t="s">
        <v>1018</v>
      </c>
      <c r="N2505" s="190">
        <v>395.49</v>
      </c>
      <c r="O2505" s="190">
        <f t="shared" si="307"/>
        <v>431.08</v>
      </c>
      <c r="P2505" s="191">
        <f t="shared" si="308"/>
        <v>0</v>
      </c>
      <c r="Q2505" s="192">
        <f t="shared" si="309"/>
        <v>0</v>
      </c>
      <c r="R2505" s="193"/>
      <c r="S2505" s="194"/>
      <c r="T2505" s="195">
        <f t="shared" si="310"/>
        <v>0</v>
      </c>
      <c r="U2505" s="195">
        <f t="shared" si="311"/>
        <v>0</v>
      </c>
      <c r="V2505" s="195">
        <f t="shared" si="312"/>
        <v>0</v>
      </c>
      <c r="W2505" s="196" t="e">
        <f t="shared" si="313"/>
        <v>#DIV/0!</v>
      </c>
      <c r="X2505" s="197" t="e">
        <f t="shared" si="314"/>
        <v>#DIV/0!</v>
      </c>
    </row>
    <row r="2506" ht="11.4" hidden="1" customHeight="1" spans="1:24">
      <c r="A2506" s="184" t="s">
        <v>3231</v>
      </c>
      <c r="B2506" s="184" t="s">
        <v>461</v>
      </c>
      <c r="C2506" s="184" t="s">
        <v>2865</v>
      </c>
      <c r="D2506" s="185" t="s">
        <v>704</v>
      </c>
      <c r="E2506" s="186" t="s">
        <v>2843</v>
      </c>
      <c r="F2506" s="186" t="s">
        <v>2866</v>
      </c>
      <c r="G2506" s="186" t="s">
        <v>2867</v>
      </c>
      <c r="H2506" s="186" t="s">
        <v>2867</v>
      </c>
      <c r="I2506" s="187" t="s">
        <v>2872</v>
      </c>
      <c r="J2506" s="187" t="s">
        <v>2873</v>
      </c>
      <c r="K2506" s="188"/>
      <c r="L2506" s="188"/>
      <c r="M2506" s="189" t="s">
        <v>807</v>
      </c>
      <c r="N2506" s="190">
        <v>103.83</v>
      </c>
      <c r="O2506" s="190">
        <f t="shared" si="307"/>
        <v>113.17</v>
      </c>
      <c r="P2506" s="191">
        <f t="shared" si="308"/>
        <v>0</v>
      </c>
      <c r="Q2506" s="192">
        <f t="shared" si="309"/>
        <v>0</v>
      </c>
      <c r="R2506" s="193"/>
      <c r="S2506" s="194"/>
      <c r="T2506" s="195">
        <f t="shared" si="310"/>
        <v>0</v>
      </c>
      <c r="U2506" s="195">
        <f t="shared" si="311"/>
        <v>0</v>
      </c>
      <c r="V2506" s="195">
        <f t="shared" si="312"/>
        <v>0</v>
      </c>
      <c r="W2506" s="196" t="e">
        <f t="shared" si="313"/>
        <v>#DIV/0!</v>
      </c>
      <c r="X2506" s="197" t="e">
        <f t="shared" si="314"/>
        <v>#DIV/0!</v>
      </c>
    </row>
    <row r="2507" ht="11.4" hidden="1" customHeight="1" spans="1:24">
      <c r="A2507" s="184" t="s">
        <v>3231</v>
      </c>
      <c r="B2507" s="184" t="s">
        <v>461</v>
      </c>
      <c r="C2507" s="184" t="s">
        <v>2865</v>
      </c>
      <c r="D2507" s="185" t="s">
        <v>704</v>
      </c>
      <c r="E2507" s="186" t="s">
        <v>2843</v>
      </c>
      <c r="F2507" s="186" t="s">
        <v>2866</v>
      </c>
      <c r="G2507" s="186" t="s">
        <v>2867</v>
      </c>
      <c r="H2507" s="186" t="s">
        <v>2867</v>
      </c>
      <c r="I2507" s="187" t="s">
        <v>2874</v>
      </c>
      <c r="J2507" s="187" t="s">
        <v>2875</v>
      </c>
      <c r="K2507" s="188"/>
      <c r="L2507" s="188"/>
      <c r="M2507" s="189" t="s">
        <v>1018</v>
      </c>
      <c r="N2507" s="190">
        <v>24.29</v>
      </c>
      <c r="O2507" s="190">
        <f t="shared" si="307"/>
        <v>26.48</v>
      </c>
      <c r="P2507" s="191">
        <f t="shared" si="308"/>
        <v>0</v>
      </c>
      <c r="Q2507" s="192">
        <f t="shared" si="309"/>
        <v>0</v>
      </c>
      <c r="R2507" s="193"/>
      <c r="S2507" s="194"/>
      <c r="T2507" s="195">
        <f t="shared" si="310"/>
        <v>0</v>
      </c>
      <c r="U2507" s="195">
        <f t="shared" si="311"/>
        <v>0</v>
      </c>
      <c r="V2507" s="195">
        <f t="shared" si="312"/>
        <v>0</v>
      </c>
      <c r="W2507" s="196" t="e">
        <f t="shared" si="313"/>
        <v>#DIV/0!</v>
      </c>
      <c r="X2507" s="197" t="e">
        <f t="shared" si="314"/>
        <v>#DIV/0!</v>
      </c>
    </row>
    <row r="2508" ht="11.4" hidden="1" customHeight="1" spans="1:24">
      <c r="A2508" s="184" t="s">
        <v>3231</v>
      </c>
      <c r="B2508" s="184" t="s">
        <v>461</v>
      </c>
      <c r="C2508" s="184" t="s">
        <v>2865</v>
      </c>
      <c r="D2508" s="185" t="s">
        <v>704</v>
      </c>
      <c r="E2508" s="186" t="s">
        <v>2843</v>
      </c>
      <c r="F2508" s="186" t="s">
        <v>2866</v>
      </c>
      <c r="G2508" s="186" t="s">
        <v>2867</v>
      </c>
      <c r="H2508" s="186" t="s">
        <v>2867</v>
      </c>
      <c r="I2508" s="187" t="s">
        <v>2876</v>
      </c>
      <c r="J2508" s="187" t="s">
        <v>2877</v>
      </c>
      <c r="K2508" s="188"/>
      <c r="L2508" s="188"/>
      <c r="M2508" s="189" t="s">
        <v>793</v>
      </c>
      <c r="N2508" s="190">
        <v>784.55</v>
      </c>
      <c r="O2508" s="190">
        <f t="shared" si="307"/>
        <v>855.16</v>
      </c>
      <c r="P2508" s="191">
        <f t="shared" si="308"/>
        <v>0</v>
      </c>
      <c r="Q2508" s="192">
        <f t="shared" si="309"/>
        <v>0</v>
      </c>
      <c r="R2508" s="193"/>
      <c r="S2508" s="194"/>
      <c r="T2508" s="195">
        <f t="shared" si="310"/>
        <v>0</v>
      </c>
      <c r="U2508" s="195">
        <f t="shared" si="311"/>
        <v>0</v>
      </c>
      <c r="V2508" s="195">
        <f t="shared" si="312"/>
        <v>0</v>
      </c>
      <c r="W2508" s="196" t="e">
        <f t="shared" si="313"/>
        <v>#DIV/0!</v>
      </c>
      <c r="X2508" s="197" t="e">
        <f t="shared" si="314"/>
        <v>#DIV/0!</v>
      </c>
    </row>
    <row r="2509" ht="11.4" hidden="1" customHeight="1" spans="1:24">
      <c r="A2509" s="184" t="s">
        <v>3231</v>
      </c>
      <c r="B2509" s="184" t="s">
        <v>461</v>
      </c>
      <c r="C2509" s="184" t="s">
        <v>2865</v>
      </c>
      <c r="D2509" s="185" t="s">
        <v>704</v>
      </c>
      <c r="E2509" s="186" t="s">
        <v>2843</v>
      </c>
      <c r="F2509" s="186" t="s">
        <v>2866</v>
      </c>
      <c r="G2509" s="186" t="s">
        <v>2867</v>
      </c>
      <c r="H2509" s="186" t="s">
        <v>2867</v>
      </c>
      <c r="I2509" s="187" t="s">
        <v>2878</v>
      </c>
      <c r="J2509" s="187" t="s">
        <v>2879</v>
      </c>
      <c r="K2509" s="188"/>
      <c r="L2509" s="188"/>
      <c r="M2509" s="189" t="s">
        <v>793</v>
      </c>
      <c r="N2509" s="190">
        <v>80.33</v>
      </c>
      <c r="O2509" s="190">
        <f t="shared" ref="O2509:O2539" si="315">ROUND(N2509*(1+$F$10),2)</f>
        <v>87.56</v>
      </c>
      <c r="P2509" s="191">
        <f t="shared" ref="P2509:P2529" si="316">ROUND(K2509*N2509,2)</f>
        <v>0</v>
      </c>
      <c r="Q2509" s="192">
        <f t="shared" ref="Q2509:Q2529" si="317">ROUND(L2509*N2509,2)</f>
        <v>0</v>
      </c>
      <c r="R2509" s="193"/>
      <c r="S2509" s="194"/>
      <c r="T2509" s="195">
        <f t="shared" ref="T2509:T2531" si="318">K2509-L2509</f>
        <v>0</v>
      </c>
      <c r="U2509" s="195">
        <f t="shared" ref="U2509:U2531" si="319">P2509-Q2509</f>
        <v>0</v>
      </c>
      <c r="V2509" s="195">
        <f t="shared" ref="V2509:V2531" si="320">ABS(U2509)</f>
        <v>0</v>
      </c>
      <c r="W2509" s="196" t="e">
        <f t="shared" ref="W2509:W2531" si="321">T2509/L2509</f>
        <v>#DIV/0!</v>
      </c>
      <c r="X2509" s="197" t="e">
        <f t="shared" ref="X2509:X2531" si="322">ABS(W2509)</f>
        <v>#DIV/0!</v>
      </c>
    </row>
    <row r="2510" ht="11.4" hidden="1" customHeight="1" spans="1:24">
      <c r="A2510" s="184" t="s">
        <v>3231</v>
      </c>
      <c r="B2510" s="184" t="s">
        <v>461</v>
      </c>
      <c r="C2510" s="184" t="s">
        <v>2865</v>
      </c>
      <c r="D2510" s="185" t="s">
        <v>704</v>
      </c>
      <c r="E2510" s="186" t="s">
        <v>2843</v>
      </c>
      <c r="F2510" s="186" t="s">
        <v>2866</v>
      </c>
      <c r="G2510" s="186" t="s">
        <v>2867</v>
      </c>
      <c r="H2510" s="186" t="s">
        <v>2867</v>
      </c>
      <c r="I2510" s="187" t="s">
        <v>2880</v>
      </c>
      <c r="J2510" s="187" t="s">
        <v>2881</v>
      </c>
      <c r="K2510" s="188"/>
      <c r="L2510" s="188"/>
      <c r="M2510" s="189" t="s">
        <v>1018</v>
      </c>
      <c r="N2510" s="190">
        <v>23.74</v>
      </c>
      <c r="O2510" s="190">
        <f t="shared" si="315"/>
        <v>25.88</v>
      </c>
      <c r="P2510" s="191">
        <f t="shared" si="316"/>
        <v>0</v>
      </c>
      <c r="Q2510" s="192">
        <f t="shared" si="317"/>
        <v>0</v>
      </c>
      <c r="R2510" s="193"/>
      <c r="S2510" s="194"/>
      <c r="T2510" s="195">
        <f t="shared" si="318"/>
        <v>0</v>
      </c>
      <c r="U2510" s="195">
        <f t="shared" si="319"/>
        <v>0</v>
      </c>
      <c r="V2510" s="195">
        <f t="shared" si="320"/>
        <v>0</v>
      </c>
      <c r="W2510" s="196" t="e">
        <f t="shared" si="321"/>
        <v>#DIV/0!</v>
      </c>
      <c r="X2510" s="197" t="e">
        <f t="shared" si="322"/>
        <v>#DIV/0!</v>
      </c>
    </row>
    <row r="2511" ht="11.4" hidden="1" customHeight="1" spans="1:24">
      <c r="A2511" s="184" t="s">
        <v>3231</v>
      </c>
      <c r="B2511" s="184" t="s">
        <v>461</v>
      </c>
      <c r="C2511" s="184" t="s">
        <v>2865</v>
      </c>
      <c r="D2511" s="185" t="s">
        <v>704</v>
      </c>
      <c r="E2511" s="186" t="s">
        <v>2843</v>
      </c>
      <c r="F2511" s="186" t="s">
        <v>2866</v>
      </c>
      <c r="G2511" s="186" t="s">
        <v>2867</v>
      </c>
      <c r="H2511" s="186" t="s">
        <v>2867</v>
      </c>
      <c r="I2511" s="187" t="s">
        <v>2882</v>
      </c>
      <c r="J2511" s="187" t="s">
        <v>2883</v>
      </c>
      <c r="K2511" s="188"/>
      <c r="L2511" s="188"/>
      <c r="M2511" s="189" t="s">
        <v>1778</v>
      </c>
      <c r="N2511" s="190">
        <v>917</v>
      </c>
      <c r="O2511" s="190">
        <f t="shared" si="315"/>
        <v>999.53</v>
      </c>
      <c r="P2511" s="191">
        <f t="shared" si="316"/>
        <v>0</v>
      </c>
      <c r="Q2511" s="192">
        <f t="shared" si="317"/>
        <v>0</v>
      </c>
      <c r="R2511" s="193"/>
      <c r="S2511" s="194"/>
      <c r="T2511" s="195">
        <f t="shared" si="318"/>
        <v>0</v>
      </c>
      <c r="U2511" s="195">
        <f t="shared" si="319"/>
        <v>0</v>
      </c>
      <c r="V2511" s="195">
        <f t="shared" si="320"/>
        <v>0</v>
      </c>
      <c r="W2511" s="196" t="e">
        <f t="shared" si="321"/>
        <v>#DIV/0!</v>
      </c>
      <c r="X2511" s="197" t="e">
        <f t="shared" si="322"/>
        <v>#DIV/0!</v>
      </c>
    </row>
    <row r="2512" ht="11.4" hidden="1" customHeight="1" spans="1:24">
      <c r="A2512" s="184" t="s">
        <v>3231</v>
      </c>
      <c r="B2512" s="184" t="s">
        <v>461</v>
      </c>
      <c r="C2512" s="184" t="s">
        <v>2865</v>
      </c>
      <c r="D2512" s="185" t="s">
        <v>704</v>
      </c>
      <c r="E2512" s="186" t="s">
        <v>2843</v>
      </c>
      <c r="F2512" s="186" t="s">
        <v>2866</v>
      </c>
      <c r="G2512" s="186" t="s">
        <v>2867</v>
      </c>
      <c r="H2512" s="186" t="s">
        <v>2867</v>
      </c>
      <c r="I2512" s="187" t="s">
        <v>2884</v>
      </c>
      <c r="J2512" s="187" t="s">
        <v>2885</v>
      </c>
      <c r="K2512" s="188"/>
      <c r="L2512" s="188"/>
      <c r="M2512" s="189" t="s">
        <v>793</v>
      </c>
      <c r="N2512" s="190">
        <v>255</v>
      </c>
      <c r="O2512" s="190">
        <f t="shared" si="315"/>
        <v>277.95</v>
      </c>
      <c r="P2512" s="191">
        <f t="shared" si="316"/>
        <v>0</v>
      </c>
      <c r="Q2512" s="192">
        <f t="shared" si="317"/>
        <v>0</v>
      </c>
      <c r="R2512" s="193"/>
      <c r="S2512" s="194"/>
      <c r="T2512" s="195">
        <f t="shared" si="318"/>
        <v>0</v>
      </c>
      <c r="U2512" s="195">
        <f t="shared" si="319"/>
        <v>0</v>
      </c>
      <c r="V2512" s="195">
        <f t="shared" si="320"/>
        <v>0</v>
      </c>
      <c r="W2512" s="196" t="e">
        <f t="shared" si="321"/>
        <v>#DIV/0!</v>
      </c>
      <c r="X2512" s="197" t="e">
        <f t="shared" si="322"/>
        <v>#DIV/0!</v>
      </c>
    </row>
    <row r="2513" ht="11.4" hidden="1" customHeight="1" spans="1:27">
      <c r="A2513" s="184" t="s">
        <v>3231</v>
      </c>
      <c r="B2513" s="184" t="s">
        <v>461</v>
      </c>
      <c r="C2513" s="184" t="s">
        <v>2865</v>
      </c>
      <c r="D2513" s="185" t="s">
        <v>704</v>
      </c>
      <c r="E2513" s="186" t="s">
        <v>2843</v>
      </c>
      <c r="F2513" s="186" t="s">
        <v>2866</v>
      </c>
      <c r="G2513" s="186" t="s">
        <v>2867</v>
      </c>
      <c r="H2513" s="186" t="s">
        <v>2867</v>
      </c>
      <c r="I2513" s="187" t="s">
        <v>2886</v>
      </c>
      <c r="J2513" s="187" t="s">
        <v>2887</v>
      </c>
      <c r="K2513" s="188"/>
      <c r="L2513" s="188"/>
      <c r="M2513" s="189" t="s">
        <v>793</v>
      </c>
      <c r="N2513" s="190">
        <v>255</v>
      </c>
      <c r="O2513" s="190">
        <f t="shared" si="315"/>
        <v>277.95</v>
      </c>
      <c r="P2513" s="191">
        <f t="shared" si="316"/>
        <v>0</v>
      </c>
      <c r="Q2513" s="192">
        <f t="shared" si="317"/>
        <v>0</v>
      </c>
      <c r="R2513" s="193"/>
      <c r="S2513" s="194"/>
      <c r="T2513" s="195">
        <f t="shared" si="318"/>
        <v>0</v>
      </c>
      <c r="U2513" s="195">
        <f t="shared" si="319"/>
        <v>0</v>
      </c>
      <c r="V2513" s="195">
        <f t="shared" si="320"/>
        <v>0</v>
      </c>
      <c r="W2513" s="196" t="e">
        <f t="shared" si="321"/>
        <v>#DIV/0!</v>
      </c>
      <c r="X2513" s="197" t="e">
        <f t="shared" si="322"/>
        <v>#DIV/0!</v>
      </c>
    </row>
    <row r="2514" ht="11.4" hidden="1" customHeight="1" spans="1:27">
      <c r="A2514" s="184" t="s">
        <v>3231</v>
      </c>
      <c r="B2514" s="184" t="s">
        <v>461</v>
      </c>
      <c r="C2514" s="184" t="s">
        <v>2865</v>
      </c>
      <c r="D2514" s="185" t="s">
        <v>704</v>
      </c>
      <c r="E2514" s="186" t="s">
        <v>2843</v>
      </c>
      <c r="F2514" s="186" t="s">
        <v>2866</v>
      </c>
      <c r="G2514" s="186" t="s">
        <v>2867</v>
      </c>
      <c r="H2514" s="186" t="s">
        <v>2867</v>
      </c>
      <c r="I2514" s="187" t="s">
        <v>2888</v>
      </c>
      <c r="J2514" s="187" t="s">
        <v>2889</v>
      </c>
      <c r="K2514" s="188"/>
      <c r="L2514" s="188"/>
      <c r="M2514" s="189" t="s">
        <v>847</v>
      </c>
      <c r="N2514" s="190">
        <v>255</v>
      </c>
      <c r="O2514" s="190">
        <f t="shared" si="315"/>
        <v>277.95</v>
      </c>
      <c r="P2514" s="191">
        <f t="shared" si="316"/>
        <v>0</v>
      </c>
      <c r="Q2514" s="192">
        <f t="shared" si="317"/>
        <v>0</v>
      </c>
      <c r="R2514" s="193"/>
      <c r="S2514" s="194"/>
      <c r="T2514" s="195">
        <f t="shared" si="318"/>
        <v>0</v>
      </c>
      <c r="U2514" s="195">
        <f t="shared" si="319"/>
        <v>0</v>
      </c>
      <c r="V2514" s="195">
        <f t="shared" si="320"/>
        <v>0</v>
      </c>
      <c r="W2514" s="196" t="e">
        <f t="shared" si="321"/>
        <v>#DIV/0!</v>
      </c>
      <c r="X2514" s="197" t="e">
        <f t="shared" si="322"/>
        <v>#DIV/0!</v>
      </c>
    </row>
    <row r="2515" ht="11.4" hidden="1" customHeight="1" spans="1:27">
      <c r="A2515" s="184" t="s">
        <v>3231</v>
      </c>
      <c r="B2515" s="184" t="s">
        <v>461</v>
      </c>
      <c r="C2515" s="184" t="s">
        <v>2865</v>
      </c>
      <c r="D2515" s="185" t="s">
        <v>704</v>
      </c>
      <c r="E2515" s="186" t="s">
        <v>2843</v>
      </c>
      <c r="F2515" s="186" t="s">
        <v>2866</v>
      </c>
      <c r="G2515" s="186" t="s">
        <v>2867</v>
      </c>
      <c r="H2515" s="186" t="s">
        <v>2867</v>
      </c>
      <c r="I2515" s="187" t="s">
        <v>2890</v>
      </c>
      <c r="J2515" s="187" t="s">
        <v>2891</v>
      </c>
      <c r="K2515" s="188"/>
      <c r="L2515" s="188"/>
      <c r="M2515" s="189" t="s">
        <v>1018</v>
      </c>
      <c r="N2515" s="190">
        <v>410.55</v>
      </c>
      <c r="O2515" s="190">
        <f t="shared" si="315"/>
        <v>447.5</v>
      </c>
      <c r="P2515" s="191">
        <f t="shared" si="316"/>
        <v>0</v>
      </c>
      <c r="Q2515" s="192">
        <f t="shared" si="317"/>
        <v>0</v>
      </c>
      <c r="R2515" s="193"/>
      <c r="S2515" s="194"/>
      <c r="T2515" s="195">
        <f t="shared" si="318"/>
        <v>0</v>
      </c>
      <c r="U2515" s="195">
        <f t="shared" si="319"/>
        <v>0</v>
      </c>
      <c r="V2515" s="195">
        <f t="shared" si="320"/>
        <v>0</v>
      </c>
      <c r="W2515" s="196" t="e">
        <f t="shared" si="321"/>
        <v>#DIV/0!</v>
      </c>
      <c r="X2515" s="197" t="e">
        <f t="shared" si="322"/>
        <v>#DIV/0!</v>
      </c>
    </row>
    <row r="2516" ht="11.4" hidden="1" customHeight="1" spans="1:27">
      <c r="A2516" s="184" t="s">
        <v>3231</v>
      </c>
      <c r="B2516" s="184" t="s">
        <v>461</v>
      </c>
      <c r="C2516" s="184" t="s">
        <v>2865</v>
      </c>
      <c r="D2516" s="185" t="s">
        <v>704</v>
      </c>
      <c r="E2516" s="186" t="s">
        <v>2843</v>
      </c>
      <c r="F2516" s="186" t="s">
        <v>2866</v>
      </c>
      <c r="G2516" s="186" t="s">
        <v>2867</v>
      </c>
      <c r="H2516" s="186" t="s">
        <v>2867</v>
      </c>
      <c r="I2516" s="187" t="s">
        <v>2892</v>
      </c>
      <c r="J2516" s="187" t="s">
        <v>2893</v>
      </c>
      <c r="K2516" s="188"/>
      <c r="L2516" s="188"/>
      <c r="M2516" s="189" t="s">
        <v>963</v>
      </c>
      <c r="N2516" s="190">
        <v>1457.26</v>
      </c>
      <c r="O2516" s="190">
        <f t="shared" si="315"/>
        <v>1588.41</v>
      </c>
      <c r="P2516" s="191">
        <f t="shared" si="316"/>
        <v>0</v>
      </c>
      <c r="Q2516" s="192">
        <f t="shared" si="317"/>
        <v>0</v>
      </c>
      <c r="R2516" s="193"/>
      <c r="S2516" s="194"/>
      <c r="T2516" s="195">
        <f t="shared" si="318"/>
        <v>0</v>
      </c>
      <c r="U2516" s="195">
        <f t="shared" si="319"/>
        <v>0</v>
      </c>
      <c r="V2516" s="195">
        <f t="shared" si="320"/>
        <v>0</v>
      </c>
      <c r="W2516" s="196" t="e">
        <f t="shared" si="321"/>
        <v>#DIV/0!</v>
      </c>
      <c r="X2516" s="197" t="e">
        <f t="shared" si="322"/>
        <v>#DIV/0!</v>
      </c>
    </row>
    <row r="2517" ht="11.4" hidden="1" customHeight="1" spans="1:27">
      <c r="A2517" s="184" t="s">
        <v>1605</v>
      </c>
      <c r="B2517" s="184" t="s">
        <v>136</v>
      </c>
      <c r="C2517" s="184" t="s">
        <v>1606</v>
      </c>
      <c r="D2517" s="185" t="s">
        <v>522</v>
      </c>
      <c r="E2517" s="186" t="s">
        <v>906</v>
      </c>
      <c r="F2517" s="186" t="s">
        <v>907</v>
      </c>
      <c r="G2517" s="186" t="s">
        <v>1102</v>
      </c>
      <c r="H2517" s="186" t="s">
        <v>1607</v>
      </c>
      <c r="I2517" s="187" t="s">
        <v>3232</v>
      </c>
      <c r="J2517" s="187" t="s">
        <v>3233</v>
      </c>
      <c r="K2517" s="188"/>
      <c r="L2517" s="188"/>
      <c r="M2517" s="189" t="s">
        <v>989</v>
      </c>
      <c r="N2517" s="190">
        <v>2175.14</v>
      </c>
      <c r="O2517" s="190">
        <f t="shared" si="315"/>
        <v>2370.9</v>
      </c>
      <c r="P2517" s="191">
        <f t="shared" si="316"/>
        <v>0</v>
      </c>
      <c r="Q2517" s="192">
        <f t="shared" si="317"/>
        <v>0</v>
      </c>
      <c r="R2517" s="193"/>
      <c r="S2517" s="194"/>
      <c r="T2517" s="195">
        <f t="shared" si="318"/>
        <v>0</v>
      </c>
      <c r="U2517" s="195">
        <f t="shared" si="319"/>
        <v>0</v>
      </c>
      <c r="V2517" s="195">
        <f t="shared" si="320"/>
        <v>0</v>
      </c>
      <c r="W2517" s="196" t="e">
        <f t="shared" si="321"/>
        <v>#DIV/0!</v>
      </c>
      <c r="X2517" s="197" t="e">
        <f t="shared" si="322"/>
        <v>#DIV/0!</v>
      </c>
    </row>
    <row r="2518" ht="11.4" hidden="1" customHeight="1" spans="1:27">
      <c r="A2518" s="184" t="s">
        <v>2771</v>
      </c>
      <c r="B2518" s="184" t="s">
        <v>401</v>
      </c>
      <c r="C2518" s="184" t="s">
        <v>400</v>
      </c>
      <c r="D2518" s="185" t="s">
        <v>522</v>
      </c>
      <c r="E2518" s="186" t="s">
        <v>2728</v>
      </c>
      <c r="F2518" s="186" t="s">
        <v>2772</v>
      </c>
      <c r="G2518" s="186" t="s">
        <v>2788</v>
      </c>
      <c r="H2518" s="186" t="s">
        <v>2788</v>
      </c>
      <c r="I2518" s="187" t="s">
        <v>3234</v>
      </c>
      <c r="J2518" s="187" t="s">
        <v>3235</v>
      </c>
      <c r="K2518" s="188">
        <v>2</v>
      </c>
      <c r="L2518" s="188">
        <v>2</v>
      </c>
      <c r="M2518" s="189" t="s">
        <v>989</v>
      </c>
      <c r="N2518" s="190">
        <v>2136.75</v>
      </c>
      <c r="O2518" s="190">
        <f t="shared" si="315"/>
        <v>2329.06</v>
      </c>
      <c r="P2518" s="191">
        <f t="shared" si="316"/>
        <v>4273.5</v>
      </c>
      <c r="Q2518" s="192">
        <f t="shared" si="317"/>
        <v>4273.5</v>
      </c>
      <c r="R2518" s="193"/>
      <c r="S2518" s="194"/>
      <c r="T2518" s="195">
        <f t="shared" si="318"/>
        <v>0</v>
      </c>
      <c r="U2518" s="195">
        <f t="shared" si="319"/>
        <v>0</v>
      </c>
      <c r="V2518" s="195">
        <f t="shared" si="320"/>
        <v>0</v>
      </c>
      <c r="W2518" s="196">
        <f t="shared" si="321"/>
        <v>0</v>
      </c>
      <c r="X2518" s="197">
        <f t="shared" si="322"/>
        <v>0</v>
      </c>
    </row>
    <row r="2519" ht="11.4" hidden="1" customHeight="1" spans="1:27">
      <c r="A2519" s="184" t="s">
        <v>2740</v>
      </c>
      <c r="B2519" s="184" t="s">
        <v>363</v>
      </c>
      <c r="C2519" s="184" t="s">
        <v>362</v>
      </c>
      <c r="D2519" s="185" t="s">
        <v>522</v>
      </c>
      <c r="E2519" s="186" t="s">
        <v>2728</v>
      </c>
      <c r="F2519" s="186" t="s">
        <v>2772</v>
      </c>
      <c r="G2519" s="186" t="s">
        <v>3236</v>
      </c>
      <c r="H2519" s="186" t="s">
        <v>1882</v>
      </c>
      <c r="I2519" s="187" t="s">
        <v>3237</v>
      </c>
      <c r="J2519" s="187" t="s">
        <v>3238</v>
      </c>
      <c r="K2519" s="188"/>
      <c r="L2519" s="188"/>
      <c r="M2519" s="189" t="s">
        <v>2308</v>
      </c>
      <c r="N2519" s="190">
        <v>53846.15</v>
      </c>
      <c r="O2519" s="190">
        <f t="shared" si="315"/>
        <v>58692.3</v>
      </c>
      <c r="P2519" s="191">
        <f t="shared" si="316"/>
        <v>0</v>
      </c>
      <c r="Q2519" s="192">
        <f t="shared" si="317"/>
        <v>0</v>
      </c>
      <c r="R2519" s="193"/>
      <c r="S2519" s="194"/>
      <c r="T2519" s="195">
        <f t="shared" si="318"/>
        <v>0</v>
      </c>
      <c r="U2519" s="195">
        <f t="shared" si="319"/>
        <v>0</v>
      </c>
      <c r="V2519" s="195">
        <f t="shared" si="320"/>
        <v>0</v>
      </c>
      <c r="W2519" s="196" t="e">
        <f t="shared" si="321"/>
        <v>#DIV/0!</v>
      </c>
      <c r="X2519" s="197" t="e">
        <f t="shared" si="322"/>
        <v>#DIV/0!</v>
      </c>
    </row>
    <row r="2520" ht="11.4" hidden="1" customHeight="1" spans="1:27">
      <c r="A2520" s="184" t="s">
        <v>2740</v>
      </c>
      <c r="B2520" s="184" t="s">
        <v>363</v>
      </c>
      <c r="C2520" s="184" t="s">
        <v>362</v>
      </c>
      <c r="D2520" s="185" t="s">
        <v>522</v>
      </c>
      <c r="E2520" s="186" t="s">
        <v>2728</v>
      </c>
      <c r="F2520" s="186" t="s">
        <v>2772</v>
      </c>
      <c r="G2520" s="186" t="s">
        <v>3236</v>
      </c>
      <c r="H2520" s="186" t="s">
        <v>1882</v>
      </c>
      <c r="I2520" s="187" t="s">
        <v>3239</v>
      </c>
      <c r="J2520" s="187" t="s">
        <v>3240</v>
      </c>
      <c r="K2520" s="188"/>
      <c r="L2520" s="188"/>
      <c r="M2520" s="189" t="s">
        <v>2308</v>
      </c>
      <c r="N2520" s="190">
        <v>59230.77</v>
      </c>
      <c r="O2520" s="190">
        <f t="shared" si="315"/>
        <v>64561.54</v>
      </c>
      <c r="P2520" s="191">
        <f t="shared" si="316"/>
        <v>0</v>
      </c>
      <c r="Q2520" s="192">
        <f t="shared" si="317"/>
        <v>0</v>
      </c>
      <c r="R2520" s="193"/>
      <c r="S2520" s="194"/>
      <c r="T2520" s="195">
        <f t="shared" si="318"/>
        <v>0</v>
      </c>
      <c r="U2520" s="195">
        <f t="shared" si="319"/>
        <v>0</v>
      </c>
      <c r="V2520" s="195">
        <f t="shared" si="320"/>
        <v>0</v>
      </c>
      <c r="W2520" s="196" t="e">
        <f t="shared" si="321"/>
        <v>#DIV/0!</v>
      </c>
      <c r="X2520" s="197" t="e">
        <f t="shared" si="322"/>
        <v>#DIV/0!</v>
      </c>
    </row>
    <row r="2521" ht="11.4" hidden="1" customHeight="1" spans="1:27">
      <c r="A2521" s="184" t="s">
        <v>2740</v>
      </c>
      <c r="B2521" s="184" t="s">
        <v>363</v>
      </c>
      <c r="C2521" s="184" t="s">
        <v>362</v>
      </c>
      <c r="D2521" s="185" t="s">
        <v>522</v>
      </c>
      <c r="E2521" s="186" t="s">
        <v>2728</v>
      </c>
      <c r="F2521" s="186" t="s">
        <v>2772</v>
      </c>
      <c r="G2521" s="186" t="s">
        <v>3236</v>
      </c>
      <c r="H2521" s="186" t="s">
        <v>1882</v>
      </c>
      <c r="I2521" s="187" t="s">
        <v>3241</v>
      </c>
      <c r="J2521" s="187" t="s">
        <v>3242</v>
      </c>
      <c r="K2521" s="188"/>
      <c r="L2521" s="188"/>
      <c r="M2521" s="189" t="s">
        <v>2308</v>
      </c>
      <c r="N2521" s="190">
        <v>60128.21</v>
      </c>
      <c r="O2521" s="190">
        <f t="shared" si="315"/>
        <v>65539.75</v>
      </c>
      <c r="P2521" s="191">
        <f t="shared" si="316"/>
        <v>0</v>
      </c>
      <c r="Q2521" s="192">
        <f t="shared" si="317"/>
        <v>0</v>
      </c>
      <c r="R2521" s="193"/>
      <c r="S2521" s="194"/>
      <c r="T2521" s="195">
        <f t="shared" si="318"/>
        <v>0</v>
      </c>
      <c r="U2521" s="195">
        <f t="shared" si="319"/>
        <v>0</v>
      </c>
      <c r="V2521" s="195">
        <f t="shared" si="320"/>
        <v>0</v>
      </c>
      <c r="W2521" s="196" t="e">
        <f t="shared" si="321"/>
        <v>#DIV/0!</v>
      </c>
      <c r="X2521" s="197" t="e">
        <f t="shared" si="322"/>
        <v>#DIV/0!</v>
      </c>
    </row>
    <row r="2522" ht="11.4" hidden="1" customHeight="1" spans="1:27">
      <c r="A2522" s="205" t="s">
        <v>1706</v>
      </c>
      <c r="B2522" s="205" t="s">
        <v>125</v>
      </c>
      <c r="C2522" s="205" t="s">
        <v>1101</v>
      </c>
      <c r="D2522" s="206" t="s">
        <v>522</v>
      </c>
      <c r="E2522" s="207" t="s">
        <v>906</v>
      </c>
      <c r="F2522" s="207" t="s">
        <v>907</v>
      </c>
      <c r="G2522" s="207" t="s">
        <v>1102</v>
      </c>
      <c r="H2522" s="207" t="s">
        <v>1720</v>
      </c>
      <c r="I2522" s="208" t="s">
        <v>1258</v>
      </c>
      <c r="J2522" s="209" t="s">
        <v>1259</v>
      </c>
      <c r="K2522" s="188">
        <v>6.92</v>
      </c>
      <c r="L2522" s="188">
        <v>6.97</v>
      </c>
      <c r="M2522" s="189" t="s">
        <v>847</v>
      </c>
      <c r="N2522" s="190">
        <v>236.6</v>
      </c>
      <c r="O2522" s="190">
        <f t="shared" si="315"/>
        <v>257.89</v>
      </c>
      <c r="P2522" s="191">
        <f t="shared" si="316"/>
        <v>1637.27</v>
      </c>
      <c r="Q2522" s="192">
        <f t="shared" si="317"/>
        <v>1649.1</v>
      </c>
      <c r="R2522" s="193"/>
      <c r="S2522" s="194"/>
      <c r="T2522" s="195">
        <f t="shared" si="318"/>
        <v>-0.0499999999999998</v>
      </c>
      <c r="U2522" s="195">
        <f t="shared" si="319"/>
        <v>-11.8299999999999</v>
      </c>
      <c r="V2522" s="195">
        <f t="shared" si="320"/>
        <v>11.8299999999999</v>
      </c>
      <c r="W2522" s="196">
        <f t="shared" si="321"/>
        <v>-0.00717360114777616</v>
      </c>
      <c r="X2522" s="197">
        <f t="shared" si="322"/>
        <v>0.00717360114777616</v>
      </c>
    </row>
    <row r="2523" ht="11.4" hidden="1" customHeight="1" spans="1:27">
      <c r="A2523" s="205" t="s">
        <v>1740</v>
      </c>
      <c r="B2523" s="205" t="s">
        <v>109</v>
      </c>
      <c r="C2523" s="205" t="s">
        <v>1101</v>
      </c>
      <c r="D2523" s="206" t="s">
        <v>522</v>
      </c>
      <c r="E2523" s="207" t="s">
        <v>906</v>
      </c>
      <c r="F2523" s="207" t="s">
        <v>907</v>
      </c>
      <c r="G2523" s="207" t="s">
        <v>1102</v>
      </c>
      <c r="H2523" s="207" t="s">
        <v>1720</v>
      </c>
      <c r="I2523" s="208" t="s">
        <v>1749</v>
      </c>
      <c r="J2523" s="209" t="s">
        <v>1750</v>
      </c>
      <c r="K2523" s="200">
        <v>10.75</v>
      </c>
      <c r="L2523" s="188">
        <v>10.58</v>
      </c>
      <c r="M2523" s="189" t="s">
        <v>847</v>
      </c>
      <c r="N2523" s="190">
        <v>118.11</v>
      </c>
      <c r="O2523" s="190">
        <f t="shared" si="315"/>
        <v>128.74</v>
      </c>
      <c r="P2523" s="191">
        <f t="shared" si="316"/>
        <v>1269.68</v>
      </c>
      <c r="Q2523" s="192">
        <f t="shared" si="317"/>
        <v>1249.6</v>
      </c>
      <c r="R2523" s="193"/>
      <c r="S2523" s="194"/>
      <c r="T2523" s="195">
        <f t="shared" si="318"/>
        <v>0.17</v>
      </c>
      <c r="U2523" s="195">
        <f t="shared" si="319"/>
        <v>20.0800000000002</v>
      </c>
      <c r="V2523" s="195">
        <f t="shared" si="320"/>
        <v>20.0800000000002</v>
      </c>
      <c r="W2523" s="196">
        <f t="shared" si="321"/>
        <v>0.0160680529300567</v>
      </c>
      <c r="X2523" s="197">
        <f t="shared" si="322"/>
        <v>0.0160680529300567</v>
      </c>
      <c r="AA2523" s="201" t="s">
        <v>3267</v>
      </c>
    </row>
    <row r="2524" ht="11.4" hidden="1" customHeight="1" spans="1:27">
      <c r="A2524" s="205" t="s">
        <v>2901</v>
      </c>
      <c r="B2524" s="205" t="s">
        <v>115</v>
      </c>
      <c r="C2524" s="205" t="s">
        <v>1101</v>
      </c>
      <c r="D2524" s="206" t="s">
        <v>702</v>
      </c>
      <c r="E2524" s="207" t="s">
        <v>2895</v>
      </c>
      <c r="F2524" s="207" t="s">
        <v>2896</v>
      </c>
      <c r="G2524" s="207" t="s">
        <v>2896</v>
      </c>
      <c r="H2524" s="207" t="s">
        <v>2902</v>
      </c>
      <c r="I2524" s="208" t="s">
        <v>1372</v>
      </c>
      <c r="J2524" s="209" t="s">
        <v>1373</v>
      </c>
      <c r="K2524" s="188">
        <v>0.42</v>
      </c>
      <c r="L2524" s="188">
        <v>0.42</v>
      </c>
      <c r="M2524" s="189" t="s">
        <v>847</v>
      </c>
      <c r="N2524" s="190">
        <v>508.7</v>
      </c>
      <c r="O2524" s="190">
        <f t="shared" si="315"/>
        <v>554.48</v>
      </c>
      <c r="P2524" s="191">
        <f t="shared" si="316"/>
        <v>213.65</v>
      </c>
      <c r="Q2524" s="192">
        <f t="shared" si="317"/>
        <v>213.65</v>
      </c>
      <c r="R2524" s="193"/>
      <c r="S2524" s="194"/>
      <c r="T2524" s="195">
        <f t="shared" si="318"/>
        <v>0</v>
      </c>
      <c r="U2524" s="195">
        <f t="shared" si="319"/>
        <v>0</v>
      </c>
      <c r="V2524" s="195">
        <f t="shared" si="320"/>
        <v>0</v>
      </c>
      <c r="W2524" s="196">
        <f t="shared" si="321"/>
        <v>0</v>
      </c>
      <c r="X2524" s="197">
        <f t="shared" si="322"/>
        <v>0</v>
      </c>
    </row>
    <row r="2525" ht="11.4" hidden="1" customHeight="1" spans="1:27">
      <c r="A2525" s="205" t="s">
        <v>1173</v>
      </c>
      <c r="B2525" s="205" t="s">
        <v>109</v>
      </c>
      <c r="C2525" s="205" t="s">
        <v>1101</v>
      </c>
      <c r="D2525" s="206" t="s">
        <v>522</v>
      </c>
      <c r="E2525" s="207" t="s">
        <v>906</v>
      </c>
      <c r="F2525" s="207" t="s">
        <v>907</v>
      </c>
      <c r="G2525" s="207" t="s">
        <v>1102</v>
      </c>
      <c r="H2525" s="207" t="s">
        <v>1479</v>
      </c>
      <c r="I2525" s="208" t="s">
        <v>1258</v>
      </c>
      <c r="J2525" s="209" t="s">
        <v>1259</v>
      </c>
      <c r="K2525" s="188">
        <v>0.56</v>
      </c>
      <c r="L2525" s="188">
        <v>0.57</v>
      </c>
      <c r="M2525" s="189" t="s">
        <v>847</v>
      </c>
      <c r="N2525" s="190">
        <v>236.6</v>
      </c>
      <c r="O2525" s="190">
        <f t="shared" si="315"/>
        <v>257.89</v>
      </c>
      <c r="P2525" s="191">
        <f t="shared" si="316"/>
        <v>132.5</v>
      </c>
      <c r="Q2525" s="192">
        <f t="shared" si="317"/>
        <v>134.86</v>
      </c>
      <c r="R2525" s="193"/>
      <c r="S2525" s="194"/>
      <c r="T2525" s="195">
        <f t="shared" si="318"/>
        <v>-0.0099999999999999</v>
      </c>
      <c r="U2525" s="195">
        <f t="shared" si="319"/>
        <v>-2.36000000000001</v>
      </c>
      <c r="V2525" s="195">
        <f t="shared" si="320"/>
        <v>2.36000000000001</v>
      </c>
      <c r="W2525" s="196">
        <f t="shared" si="321"/>
        <v>-0.0175438596491226</v>
      </c>
      <c r="X2525" s="197">
        <f t="shared" si="322"/>
        <v>0.0175438596491226</v>
      </c>
    </row>
    <row r="2526" ht="11.4" hidden="1" customHeight="1" spans="1:27">
      <c r="A2526" s="205" t="s">
        <v>2262</v>
      </c>
      <c r="B2526" s="205" t="s">
        <v>149</v>
      </c>
      <c r="C2526" s="205" t="s">
        <v>2263</v>
      </c>
      <c r="D2526" s="206" t="s">
        <v>522</v>
      </c>
      <c r="E2526" s="207" t="s">
        <v>906</v>
      </c>
      <c r="F2526" s="207" t="s">
        <v>907</v>
      </c>
      <c r="G2526" s="207" t="s">
        <v>2264</v>
      </c>
      <c r="H2526" s="207" t="s">
        <v>2265</v>
      </c>
      <c r="I2526" s="208"/>
      <c r="J2526" s="209" t="s">
        <v>3243</v>
      </c>
      <c r="K2526" s="188">
        <v>1</v>
      </c>
      <c r="L2526" s="188">
        <v>1</v>
      </c>
      <c r="M2526" s="189" t="s">
        <v>963</v>
      </c>
      <c r="N2526" s="190">
        <v>183</v>
      </c>
      <c r="O2526" s="190">
        <f t="shared" si="315"/>
        <v>199.47</v>
      </c>
      <c r="P2526" s="191">
        <f t="shared" si="316"/>
        <v>183</v>
      </c>
      <c r="Q2526" s="192">
        <f t="shared" si="317"/>
        <v>183</v>
      </c>
      <c r="R2526" s="193"/>
      <c r="S2526" s="194"/>
      <c r="T2526" s="195">
        <f t="shared" si="318"/>
        <v>0</v>
      </c>
      <c r="U2526" s="195">
        <f t="shared" si="319"/>
        <v>0</v>
      </c>
      <c r="V2526" s="195">
        <f t="shared" si="320"/>
        <v>0</v>
      </c>
      <c r="W2526" s="196">
        <f t="shared" si="321"/>
        <v>0</v>
      </c>
      <c r="X2526" s="197">
        <f t="shared" si="322"/>
        <v>0</v>
      </c>
    </row>
    <row r="2527" ht="11.4" hidden="1" customHeight="1" spans="1:27">
      <c r="A2527" s="205" t="s">
        <v>1399</v>
      </c>
      <c r="B2527" s="205" t="s">
        <v>117</v>
      </c>
      <c r="C2527" s="205" t="s">
        <v>1101</v>
      </c>
      <c r="D2527" s="206" t="s">
        <v>522</v>
      </c>
      <c r="E2527" s="207" t="s">
        <v>906</v>
      </c>
      <c r="F2527" s="207" t="s">
        <v>907</v>
      </c>
      <c r="G2527" s="207" t="s">
        <v>1102</v>
      </c>
      <c r="H2527" s="207" t="s">
        <v>1425</v>
      </c>
      <c r="I2527" s="208"/>
      <c r="J2527" s="209" t="s">
        <v>3244</v>
      </c>
      <c r="K2527" s="188">
        <v>3.57</v>
      </c>
      <c r="L2527" s="188">
        <v>3.58</v>
      </c>
      <c r="M2527" s="189" t="s">
        <v>3245</v>
      </c>
      <c r="N2527" s="190">
        <v>45.72</v>
      </c>
      <c r="O2527" s="190">
        <f t="shared" si="315"/>
        <v>49.83</v>
      </c>
      <c r="P2527" s="191">
        <f t="shared" si="316"/>
        <v>163.22</v>
      </c>
      <c r="Q2527" s="192">
        <f t="shared" si="317"/>
        <v>163.68</v>
      </c>
      <c r="R2527" s="193"/>
      <c r="S2527" s="194"/>
      <c r="T2527" s="195">
        <f t="shared" si="318"/>
        <v>-0.0100000000000002</v>
      </c>
      <c r="U2527" s="195">
        <f t="shared" si="319"/>
        <v>-0.460000000000008</v>
      </c>
      <c r="V2527" s="195">
        <f t="shared" si="320"/>
        <v>0.460000000000008</v>
      </c>
      <c r="W2527" s="196">
        <f t="shared" si="321"/>
        <v>-0.00279329608938554</v>
      </c>
      <c r="X2527" s="197">
        <f t="shared" si="322"/>
        <v>0.00279329608938554</v>
      </c>
    </row>
    <row r="2528" ht="11.4" hidden="1" customHeight="1" spans="1:27">
      <c r="A2528" s="205" t="s">
        <v>2771</v>
      </c>
      <c r="B2528" s="205" t="s">
        <v>401</v>
      </c>
      <c r="C2528" s="205" t="s">
        <v>400</v>
      </c>
      <c r="D2528" s="206" t="s">
        <v>522</v>
      </c>
      <c r="E2528" s="207" t="s">
        <v>2728</v>
      </c>
      <c r="F2528" s="207" t="s">
        <v>2772</v>
      </c>
      <c r="G2528" s="207" t="s">
        <v>2773</v>
      </c>
      <c r="H2528" s="207" t="s">
        <v>2773</v>
      </c>
      <c r="I2528" s="208" t="s">
        <v>3246</v>
      </c>
      <c r="J2528" s="154" t="s">
        <v>3247</v>
      </c>
      <c r="K2528" s="188">
        <v>3</v>
      </c>
      <c r="L2528" s="188">
        <v>3</v>
      </c>
      <c r="M2528" s="189" t="s">
        <v>963</v>
      </c>
      <c r="N2528" s="190">
        <v>-186.77</v>
      </c>
      <c r="O2528" s="190">
        <f t="shared" si="315"/>
        <v>-203.58</v>
      </c>
      <c r="P2528" s="191">
        <f t="shared" si="316"/>
        <v>-560.31</v>
      </c>
      <c r="Q2528" s="192">
        <f t="shared" si="317"/>
        <v>-560.31</v>
      </c>
      <c r="R2528" s="193"/>
      <c r="S2528" s="194"/>
      <c r="T2528" s="195">
        <f t="shared" si="318"/>
        <v>0</v>
      </c>
      <c r="U2528" s="195">
        <f t="shared" si="319"/>
        <v>0</v>
      </c>
      <c r="V2528" s="195">
        <f t="shared" si="320"/>
        <v>0</v>
      </c>
      <c r="W2528" s="196">
        <f t="shared" si="321"/>
        <v>0</v>
      </c>
      <c r="X2528" s="197">
        <f t="shared" si="322"/>
        <v>0</v>
      </c>
    </row>
    <row r="2529" ht="11.4" hidden="1" customHeight="1" spans="1:27">
      <c r="A2529" s="205" t="s">
        <v>2262</v>
      </c>
      <c r="B2529" s="205" t="s">
        <v>149</v>
      </c>
      <c r="C2529" s="205" t="s">
        <v>2263</v>
      </c>
      <c r="D2529" s="206" t="s">
        <v>522</v>
      </c>
      <c r="E2529" s="207" t="s">
        <v>906</v>
      </c>
      <c r="F2529" s="207" t="s">
        <v>907</v>
      </c>
      <c r="G2529" s="207" t="s">
        <v>2264</v>
      </c>
      <c r="H2529" s="207" t="s">
        <v>2265</v>
      </c>
      <c r="I2529" s="208"/>
      <c r="J2529" s="209" t="s">
        <v>3249</v>
      </c>
      <c r="K2529" s="200">
        <f>4.1+4.5</f>
        <v>8.6</v>
      </c>
      <c r="L2529" s="188">
        <v>8.83</v>
      </c>
      <c r="M2529" s="189" t="s">
        <v>807</v>
      </c>
      <c r="N2529" s="190">
        <v>52.58</v>
      </c>
      <c r="O2529" s="190">
        <f t="shared" si="315"/>
        <v>57.31</v>
      </c>
      <c r="P2529" s="191">
        <f t="shared" si="316"/>
        <v>452.19</v>
      </c>
      <c r="Q2529" s="192">
        <f t="shared" si="317"/>
        <v>464.28</v>
      </c>
      <c r="R2529" s="193"/>
      <c r="S2529" s="194"/>
      <c r="T2529" s="195">
        <f t="shared" si="318"/>
        <v>-0.23</v>
      </c>
      <c r="U2529" s="195">
        <f t="shared" si="319"/>
        <v>-12.09</v>
      </c>
      <c r="V2529" s="195">
        <f t="shared" si="320"/>
        <v>12.09</v>
      </c>
      <c r="W2529" s="196">
        <f t="shared" si="321"/>
        <v>-0.0260475651189128</v>
      </c>
      <c r="X2529" s="197">
        <f t="shared" si="322"/>
        <v>0.0260475651189128</v>
      </c>
      <c r="AA2529" s="201" t="s">
        <v>3268</v>
      </c>
    </row>
    <row r="2530" ht="11.4" hidden="1" customHeight="1" spans="1:27">
      <c r="A2530" s="205" t="s">
        <v>1740</v>
      </c>
      <c r="B2530" s="205" t="s">
        <v>109</v>
      </c>
      <c r="C2530" s="205" t="s">
        <v>1101</v>
      </c>
      <c r="D2530" s="206" t="s">
        <v>522</v>
      </c>
      <c r="E2530" s="207" t="s">
        <v>906</v>
      </c>
      <c r="F2530" s="207" t="s">
        <v>907</v>
      </c>
      <c r="G2530" s="207" t="s">
        <v>1102</v>
      </c>
      <c r="H2530" s="207" t="s">
        <v>1741</v>
      </c>
      <c r="I2530" s="208" t="s">
        <v>1139</v>
      </c>
      <c r="J2530" s="209" t="s">
        <v>2898</v>
      </c>
      <c r="K2530" s="188"/>
      <c r="L2530" s="188"/>
      <c r="M2530" s="189" t="s">
        <v>807</v>
      </c>
      <c r="N2530" s="190">
        <v>41.36</v>
      </c>
      <c r="O2530" s="190">
        <f t="shared" si="315"/>
        <v>45.08</v>
      </c>
      <c r="P2530" s="191"/>
      <c r="Q2530" s="191"/>
      <c r="R2530" s="193"/>
      <c r="S2530" s="210"/>
      <c r="T2530" s="195">
        <f t="shared" si="318"/>
        <v>0</v>
      </c>
      <c r="U2530" s="195">
        <f t="shared" si="319"/>
        <v>0</v>
      </c>
      <c r="V2530" s="195">
        <f t="shared" si="320"/>
        <v>0</v>
      </c>
      <c r="W2530" s="196" t="e">
        <f t="shared" si="321"/>
        <v>#DIV/0!</v>
      </c>
      <c r="X2530" s="197" t="e">
        <f t="shared" si="322"/>
        <v>#DIV/0!</v>
      </c>
    </row>
    <row r="2531" ht="11.4" hidden="1" customHeight="1" spans="1:27">
      <c r="A2531" s="205" t="s">
        <v>1173</v>
      </c>
      <c r="B2531" s="205" t="s">
        <v>113</v>
      </c>
      <c r="C2531" s="205" t="s">
        <v>1101</v>
      </c>
      <c r="D2531" s="206" t="s">
        <v>522</v>
      </c>
      <c r="E2531" s="207" t="s">
        <v>906</v>
      </c>
      <c r="F2531" s="207" t="s">
        <v>907</v>
      </c>
      <c r="G2531" s="207" t="s">
        <v>1102</v>
      </c>
      <c r="H2531" s="207" t="s">
        <v>1174</v>
      </c>
      <c r="I2531" s="208"/>
      <c r="J2531" s="209" t="s">
        <v>3250</v>
      </c>
      <c r="K2531" s="203">
        <v>0</v>
      </c>
      <c r="L2531" s="188">
        <v>0.14</v>
      </c>
      <c r="M2531" s="189" t="s">
        <v>847</v>
      </c>
      <c r="N2531" s="190">
        <v>468.9</v>
      </c>
      <c r="O2531" s="190">
        <f t="shared" si="315"/>
        <v>511.1</v>
      </c>
      <c r="P2531" s="191"/>
      <c r="Q2531" s="191"/>
      <c r="R2531" s="193"/>
      <c r="S2531" s="211"/>
      <c r="T2531" s="195">
        <f t="shared" si="318"/>
        <v>-0.14</v>
      </c>
      <c r="U2531" s="195">
        <f t="shared" si="319"/>
        <v>0</v>
      </c>
      <c r="V2531" s="195">
        <f t="shared" si="320"/>
        <v>0</v>
      </c>
      <c r="W2531" s="196">
        <f t="shared" si="321"/>
        <v>-1</v>
      </c>
      <c r="X2531" s="197">
        <f t="shared" si="322"/>
        <v>1</v>
      </c>
      <c r="Y2531" s="201" t="s">
        <v>3269</v>
      </c>
      <c r="AA2531" s="201"/>
    </row>
    <row r="2532" ht="11.4" hidden="1" customHeight="1" spans="1:27">
      <c r="A2532" s="205"/>
      <c r="B2532" s="205"/>
      <c r="C2532" s="205"/>
      <c r="D2532" s="206"/>
      <c r="E2532" s="207"/>
      <c r="F2532" s="207"/>
      <c r="G2532" s="207"/>
      <c r="H2532" s="207"/>
      <c r="I2532" s="208"/>
      <c r="J2532" s="209"/>
      <c r="K2532" s="188"/>
      <c r="L2532" s="188"/>
      <c r="M2532" s="189"/>
      <c r="N2532" s="190"/>
      <c r="O2532" s="190">
        <f t="shared" si="315"/>
        <v>0</v>
      </c>
      <c r="P2532" s="191"/>
      <c r="Q2532" s="191"/>
      <c r="R2532" s="193"/>
      <c r="S2532" s="211"/>
      <c r="T2532" s="195"/>
      <c r="U2532" s="195"/>
      <c r="V2532" s="195"/>
      <c r="W2532" s="196"/>
      <c r="X2532" s="197"/>
    </row>
    <row r="2533" ht="11.4" hidden="1" customHeight="1" spans="1:27">
      <c r="A2533" s="205"/>
      <c r="B2533" s="205"/>
      <c r="C2533" s="205"/>
      <c r="D2533" s="206"/>
      <c r="E2533" s="207"/>
      <c r="F2533" s="207"/>
      <c r="G2533" s="207"/>
      <c r="H2533" s="207"/>
      <c r="I2533" s="208"/>
      <c r="J2533" s="209"/>
      <c r="K2533" s="188"/>
      <c r="L2533" s="188"/>
      <c r="M2533" s="189"/>
      <c r="N2533" s="190"/>
      <c r="O2533" s="190">
        <f t="shared" si="315"/>
        <v>0</v>
      </c>
      <c r="P2533" s="191"/>
      <c r="Q2533" s="191"/>
      <c r="R2533" s="193"/>
      <c r="S2533" s="211"/>
      <c r="T2533" s="195"/>
      <c r="U2533" s="195"/>
      <c r="V2533" s="195"/>
      <c r="W2533" s="196"/>
      <c r="X2533" s="197"/>
    </row>
    <row r="2534" ht="11.4" hidden="1" customHeight="1" spans="1:27">
      <c r="A2534" s="205"/>
      <c r="B2534" s="205"/>
      <c r="C2534" s="205"/>
      <c r="D2534" s="206"/>
      <c r="E2534" s="207"/>
      <c r="F2534" s="207"/>
      <c r="G2534" s="207"/>
      <c r="H2534" s="207"/>
      <c r="I2534" s="208"/>
      <c r="J2534" s="209"/>
      <c r="K2534" s="188"/>
      <c r="L2534" s="188"/>
      <c r="M2534" s="189"/>
      <c r="N2534" s="190"/>
      <c r="O2534" s="190">
        <f t="shared" si="315"/>
        <v>0</v>
      </c>
      <c r="P2534" s="191"/>
      <c r="Q2534" s="191"/>
      <c r="R2534" s="193"/>
      <c r="S2534" s="211"/>
      <c r="T2534" s="195"/>
      <c r="U2534" s="195"/>
      <c r="V2534" s="195"/>
      <c r="W2534" s="196"/>
      <c r="X2534" s="197"/>
    </row>
    <row r="2535" ht="11.4" hidden="1" customHeight="1" spans="1:27">
      <c r="A2535" s="205"/>
      <c r="B2535" s="205"/>
      <c r="C2535" s="205"/>
      <c r="D2535" s="206"/>
      <c r="E2535" s="207"/>
      <c r="F2535" s="207"/>
      <c r="G2535" s="207"/>
      <c r="H2535" s="207"/>
      <c r="I2535" s="208"/>
      <c r="J2535" s="209"/>
      <c r="K2535" s="188"/>
      <c r="L2535" s="188"/>
      <c r="M2535" s="189"/>
      <c r="N2535" s="190"/>
      <c r="O2535" s="190">
        <f t="shared" si="315"/>
        <v>0</v>
      </c>
      <c r="P2535" s="191"/>
      <c r="Q2535" s="191"/>
      <c r="R2535" s="193"/>
      <c r="S2535" s="211"/>
      <c r="T2535" s="195"/>
      <c r="U2535" s="195"/>
      <c r="V2535" s="195"/>
      <c r="W2535" s="196"/>
      <c r="X2535" s="197"/>
    </row>
    <row r="2536" ht="11.4" hidden="1" customHeight="1" spans="1:27">
      <c r="A2536" s="205"/>
      <c r="B2536" s="205"/>
      <c r="C2536" s="205"/>
      <c r="D2536" s="206"/>
      <c r="E2536" s="207"/>
      <c r="F2536" s="207"/>
      <c r="G2536" s="207"/>
      <c r="H2536" s="207"/>
      <c r="I2536" s="208"/>
      <c r="J2536" s="209"/>
      <c r="K2536" s="188"/>
      <c r="L2536" s="188"/>
      <c r="M2536" s="189"/>
      <c r="N2536" s="190"/>
      <c r="O2536" s="190">
        <f t="shared" si="315"/>
        <v>0</v>
      </c>
      <c r="P2536" s="191"/>
      <c r="Q2536" s="191"/>
      <c r="R2536" s="193"/>
      <c r="S2536" s="211"/>
      <c r="T2536" s="195"/>
      <c r="U2536" s="195"/>
      <c r="V2536" s="195"/>
      <c r="W2536" s="196"/>
      <c r="X2536" s="197"/>
    </row>
    <row r="2537" ht="11.4" hidden="1" customHeight="1" spans="1:27">
      <c r="A2537" s="205"/>
      <c r="B2537" s="205"/>
      <c r="C2537" s="205"/>
      <c r="D2537" s="206"/>
      <c r="E2537" s="207"/>
      <c r="F2537" s="207"/>
      <c r="G2537" s="207"/>
      <c r="H2537" s="207"/>
      <c r="I2537" s="208"/>
      <c r="J2537" s="209"/>
      <c r="K2537" s="188"/>
      <c r="L2537" s="188"/>
      <c r="M2537" s="189"/>
      <c r="N2537" s="190"/>
      <c r="O2537" s="190">
        <f t="shared" si="315"/>
        <v>0</v>
      </c>
      <c r="P2537" s="191"/>
      <c r="Q2537" s="191"/>
      <c r="R2537" s="193"/>
      <c r="S2537" s="211"/>
      <c r="T2537" s="195"/>
      <c r="U2537" s="195"/>
      <c r="V2537" s="195"/>
      <c r="W2537" s="196"/>
      <c r="X2537" s="197"/>
    </row>
    <row r="2538" ht="11.4" hidden="1" customHeight="1" spans="1:27">
      <c r="A2538" s="205"/>
      <c r="B2538" s="205"/>
      <c r="C2538" s="205"/>
      <c r="D2538" s="206"/>
      <c r="E2538" s="207"/>
      <c r="F2538" s="207"/>
      <c r="G2538" s="207"/>
      <c r="H2538" s="207"/>
      <c r="I2538" s="208"/>
      <c r="J2538" s="209"/>
      <c r="K2538" s="188"/>
      <c r="L2538" s="188"/>
      <c r="M2538" s="189"/>
      <c r="N2538" s="190"/>
      <c r="O2538" s="190">
        <f t="shared" si="315"/>
        <v>0</v>
      </c>
      <c r="P2538" s="191"/>
      <c r="Q2538" s="191"/>
      <c r="R2538" s="193"/>
      <c r="S2538" s="211"/>
      <c r="T2538" s="195"/>
      <c r="U2538" s="195"/>
      <c r="V2538" s="195"/>
      <c r="W2538" s="196"/>
      <c r="X2538" s="197"/>
    </row>
    <row r="2539" ht="11.4" hidden="1" customHeight="1" spans="1:27">
      <c r="A2539" s="205"/>
      <c r="B2539" s="205"/>
      <c r="C2539" s="205"/>
      <c r="D2539" s="206"/>
      <c r="E2539" s="207"/>
      <c r="F2539" s="207"/>
      <c r="G2539" s="207"/>
      <c r="H2539" s="207"/>
      <c r="I2539" s="208"/>
      <c r="J2539" s="209"/>
      <c r="K2539" s="188"/>
      <c r="L2539" s="188"/>
      <c r="M2539" s="189"/>
      <c r="N2539" s="190"/>
      <c r="O2539" s="190">
        <f t="shared" si="315"/>
        <v>0</v>
      </c>
      <c r="P2539" s="191"/>
      <c r="Q2539" s="191"/>
      <c r="R2539" s="193"/>
      <c r="S2539" s="211"/>
      <c r="T2539" s="195"/>
      <c r="U2539" s="195"/>
      <c r="V2539" s="195"/>
      <c r="W2539" s="196"/>
      <c r="X2539" s="197"/>
    </row>
    <row r="2540" ht="22.2" hidden="1" customHeight="1" spans="1:27">
      <c r="O2540" s="212" t="s">
        <v>3251</v>
      </c>
      <c r="P2540" s="213">
        <f>SUM(P13:P2529)</f>
        <v>602809.05</v>
      </c>
      <c r="Q2540" s="213">
        <f>SUM(Q13:Q2529)</f>
        <v>593377.83</v>
      </c>
      <c r="R2540" s="214"/>
      <c r="T2540" s="213"/>
      <c r="U2540" s="213"/>
      <c r="V2540" s="213">
        <f>SUM(V13:V2529)</f>
        <v>15685.78</v>
      </c>
      <c r="W2540" s="213"/>
      <c r="X2540" s="213"/>
    </row>
    <row r="2541" ht="22.2" hidden="1" customHeight="1" spans="1:27">
      <c r="O2541" s="215" t="s">
        <v>3252</v>
      </c>
      <c r="P2541" s="215"/>
      <c r="Q2541" s="215"/>
      <c r="R2541" s="216"/>
      <c r="T2541" s="195"/>
      <c r="U2541" s="195"/>
      <c r="V2541" s="195"/>
      <c r="W2541" s="196"/>
      <c r="X2541" s="197"/>
    </row>
    <row r="2542" ht="11.4" customHeight="1"/>
    <row r="2543" ht="11.4" customHeight="1"/>
  </sheetData>
  <sheetProtection autoFilter="0" pivotTables="0"/>
  <autoFilter xmlns:etc="http://www.wps.cn/officeDocument/2017/etCustomData" ref="A12:IP2541" etc:filterBottomFollowUsedRange="0">
    <filterColumn colId="9">
      <filters>
        <filter val="150*150mm墙面粉白砖（冠军,Geometry）"/>
        <filter val="150*150mm墙面粉白砖（琛雄,Geometry）"/>
        <filter val="150*150mm墙面粉白砖（共荣,Geometry）"/>
      </filters>
    </filterColumn>
    <filterColumn colId="10">
      <colorFilter dxfId="2"/>
      <extLst>
        <colorFilter dxfId="0"/>
        <colorFilter dxfId="1"/>
        <colorFilter dxfId="2"/>
        <dxfs count="3">
          <dxf>
            <fill>
              <patternFill patternType="none"/>
            </fill>
          </dxf>
          <dxf>
            <fill>
              <patternFill patternType="solid">
                <fgColor rgb="FFC00000"/>
                <bgColor rgb="FFC00000"/>
              </patternFill>
            </fill>
          </dxf>
          <dxf>
            <fill>
              <patternFill patternType="solid">
                <fgColor rgb="FFFFC000"/>
                <bgColor rgb="FFFFC000"/>
              </patternFill>
            </fill>
          </dxf>
        </dxfs>
      </extLst>
    </filterColumn>
    <extLst/>
  </autoFilter>
  <mergeCells count="11">
    <mergeCell ref="A1:S1"/>
    <mergeCell ref="O2:S2"/>
    <mergeCell ref="P3:S3"/>
    <mergeCell ref="O4:S4"/>
    <mergeCell ref="O5:S5"/>
    <mergeCell ref="O6:S6"/>
    <mergeCell ref="O7:R7"/>
    <mergeCell ref="O8:S8"/>
    <mergeCell ref="O9:S9"/>
    <mergeCell ref="O10:S10"/>
    <mergeCell ref="O2541:R2541"/>
  </mergeCells>
  <conditionalFormatting sqref="R13">
    <cfRule type="cellIs" dxfId="1" priority="1" stopIfTrue="1" operator="between">
      <formula>"Check"</formula>
      <formula>"Check"</formula>
    </cfRule>
  </conditionalFormatting>
  <conditionalFormatting sqref="R14">
    <cfRule type="cellIs" dxfId="1" priority="2" stopIfTrue="1" operator="between">
      <formula>"Check"</formula>
      <formula>"Check"</formula>
    </cfRule>
  </conditionalFormatting>
  <conditionalFormatting sqref="R15">
    <cfRule type="cellIs" dxfId="1" priority="3" stopIfTrue="1" operator="between">
      <formula>"Check"</formula>
      <formula>"Check"</formula>
    </cfRule>
  </conditionalFormatting>
  <conditionalFormatting sqref="R16">
    <cfRule type="cellIs" dxfId="1" priority="4" stopIfTrue="1" operator="between">
      <formula>"Check"</formula>
      <formula>"Check"</formula>
    </cfRule>
  </conditionalFormatting>
  <conditionalFormatting sqref="R17">
    <cfRule type="cellIs" dxfId="1" priority="5" stopIfTrue="1" operator="between">
      <formula>"Check"</formula>
      <formula>"Check"</formula>
    </cfRule>
  </conditionalFormatting>
  <conditionalFormatting sqref="R18">
    <cfRule type="cellIs" dxfId="1" priority="6" stopIfTrue="1" operator="between">
      <formula>"Check"</formula>
      <formula>"Check"</formula>
    </cfRule>
  </conditionalFormatting>
  <conditionalFormatting sqref="R19">
    <cfRule type="cellIs" dxfId="1" priority="7" stopIfTrue="1" operator="between">
      <formula>"Check"</formula>
      <formula>"Check"</formula>
    </cfRule>
  </conditionalFormatting>
  <conditionalFormatting sqref="R20">
    <cfRule type="cellIs" dxfId="1" priority="8" stopIfTrue="1" operator="between">
      <formula>"Check"</formula>
      <formula>"Check"</formula>
    </cfRule>
  </conditionalFormatting>
  <conditionalFormatting sqref="R21">
    <cfRule type="cellIs" dxfId="1" priority="9" stopIfTrue="1" operator="between">
      <formula>"Check"</formula>
      <formula>"Check"</formula>
    </cfRule>
  </conditionalFormatting>
  <conditionalFormatting sqref="R22">
    <cfRule type="cellIs" dxfId="1" priority="10" stopIfTrue="1" operator="between">
      <formula>"Check"</formula>
      <formula>"Check"</formula>
    </cfRule>
  </conditionalFormatting>
  <conditionalFormatting sqref="R23">
    <cfRule type="cellIs" dxfId="1" priority="11" stopIfTrue="1" operator="between">
      <formula>"Check"</formula>
      <formula>"Check"</formula>
    </cfRule>
  </conditionalFormatting>
  <conditionalFormatting sqref="R24">
    <cfRule type="cellIs" dxfId="1" priority="12" stopIfTrue="1" operator="between">
      <formula>"Check"</formula>
      <formula>"Check"</formula>
    </cfRule>
  </conditionalFormatting>
  <conditionalFormatting sqref="R25">
    <cfRule type="cellIs" dxfId="1" priority="13" stopIfTrue="1" operator="between">
      <formula>"Check"</formula>
      <formula>"Check"</formula>
    </cfRule>
  </conditionalFormatting>
  <conditionalFormatting sqref="R26">
    <cfRule type="cellIs" dxfId="1" priority="14" stopIfTrue="1" operator="between">
      <formula>"Check"</formula>
      <formula>"Check"</formula>
    </cfRule>
  </conditionalFormatting>
  <conditionalFormatting sqref="R27">
    <cfRule type="cellIs" dxfId="1" priority="15" stopIfTrue="1" operator="between">
      <formula>"Check"</formula>
      <formula>"Check"</formula>
    </cfRule>
  </conditionalFormatting>
  <conditionalFormatting sqref="R28">
    <cfRule type="cellIs" dxfId="1" priority="16" stopIfTrue="1" operator="between">
      <formula>"Check"</formula>
      <formula>"Check"</formula>
    </cfRule>
  </conditionalFormatting>
  <conditionalFormatting sqref="R29">
    <cfRule type="cellIs" dxfId="1" priority="17" stopIfTrue="1" operator="between">
      <formula>"Check"</formula>
      <formula>"Check"</formula>
    </cfRule>
  </conditionalFormatting>
  <conditionalFormatting sqref="R30">
    <cfRule type="cellIs" dxfId="1" priority="18" stopIfTrue="1" operator="between">
      <formula>"Check"</formula>
      <formula>"Check"</formula>
    </cfRule>
  </conditionalFormatting>
  <conditionalFormatting sqref="R31">
    <cfRule type="cellIs" dxfId="1" priority="19" stopIfTrue="1" operator="between">
      <formula>"Check"</formula>
      <formula>"Check"</formula>
    </cfRule>
  </conditionalFormatting>
  <conditionalFormatting sqref="R32">
    <cfRule type="cellIs" dxfId="1" priority="20" stopIfTrue="1" operator="between">
      <formula>"Check"</formula>
      <formula>"Check"</formula>
    </cfRule>
  </conditionalFormatting>
  <conditionalFormatting sqref="R33">
    <cfRule type="cellIs" dxfId="1" priority="21" stopIfTrue="1" operator="between">
      <formula>"Check"</formula>
      <formula>"Check"</formula>
    </cfRule>
  </conditionalFormatting>
  <conditionalFormatting sqref="R34">
    <cfRule type="cellIs" dxfId="1" priority="22" stopIfTrue="1" operator="between">
      <formula>"Check"</formula>
      <formula>"Check"</formula>
    </cfRule>
  </conditionalFormatting>
  <conditionalFormatting sqref="R35">
    <cfRule type="cellIs" dxfId="1" priority="23" stopIfTrue="1" operator="between">
      <formula>"Check"</formula>
      <formula>"Check"</formula>
    </cfRule>
  </conditionalFormatting>
  <conditionalFormatting sqref="R36">
    <cfRule type="cellIs" dxfId="1" priority="24" stopIfTrue="1" operator="between">
      <formula>"Check"</formula>
      <formula>"Check"</formula>
    </cfRule>
  </conditionalFormatting>
  <conditionalFormatting sqref="R37">
    <cfRule type="cellIs" dxfId="1" priority="25" stopIfTrue="1" operator="between">
      <formula>"Check"</formula>
      <formula>"Check"</formula>
    </cfRule>
  </conditionalFormatting>
  <conditionalFormatting sqref="R38">
    <cfRule type="cellIs" dxfId="1" priority="26" stopIfTrue="1" operator="between">
      <formula>"Check"</formula>
      <formula>"Check"</formula>
    </cfRule>
  </conditionalFormatting>
  <conditionalFormatting sqref="R39">
    <cfRule type="cellIs" dxfId="1" priority="27" stopIfTrue="1" operator="between">
      <formula>"Check"</formula>
      <formula>"Check"</formula>
    </cfRule>
  </conditionalFormatting>
  <conditionalFormatting sqref="R40">
    <cfRule type="cellIs" dxfId="1" priority="28" stopIfTrue="1" operator="between">
      <formula>"Check"</formula>
      <formula>"Check"</formula>
    </cfRule>
  </conditionalFormatting>
  <conditionalFormatting sqref="R41">
    <cfRule type="cellIs" dxfId="1" priority="29" stopIfTrue="1" operator="between">
      <formula>"Check"</formula>
      <formula>"Check"</formula>
    </cfRule>
  </conditionalFormatting>
  <conditionalFormatting sqref="R42">
    <cfRule type="cellIs" dxfId="1" priority="30" stopIfTrue="1" operator="between">
      <formula>"Check"</formula>
      <formula>"Check"</formula>
    </cfRule>
  </conditionalFormatting>
  <conditionalFormatting sqref="R43">
    <cfRule type="cellIs" dxfId="1" priority="31" stopIfTrue="1" operator="between">
      <formula>"Check"</formula>
      <formula>"Check"</formula>
    </cfRule>
  </conditionalFormatting>
  <conditionalFormatting sqref="R44">
    <cfRule type="cellIs" dxfId="1" priority="32" stopIfTrue="1" operator="between">
      <formula>"Check"</formula>
      <formula>"Check"</formula>
    </cfRule>
  </conditionalFormatting>
  <conditionalFormatting sqref="R45">
    <cfRule type="cellIs" dxfId="1" priority="33" stopIfTrue="1" operator="between">
      <formula>"Check"</formula>
      <formula>"Check"</formula>
    </cfRule>
  </conditionalFormatting>
  <conditionalFormatting sqref="R46">
    <cfRule type="cellIs" dxfId="1" priority="34" stopIfTrue="1" operator="between">
      <formula>"Check"</formula>
      <formula>"Check"</formula>
    </cfRule>
  </conditionalFormatting>
  <conditionalFormatting sqref="R47">
    <cfRule type="cellIs" dxfId="1" priority="35" stopIfTrue="1" operator="between">
      <formula>"Check"</formula>
      <formula>"Check"</formula>
    </cfRule>
  </conditionalFormatting>
  <conditionalFormatting sqref="R48">
    <cfRule type="cellIs" dxfId="1" priority="36" stopIfTrue="1" operator="between">
      <formula>"Check"</formula>
      <formula>"Check"</formula>
    </cfRule>
  </conditionalFormatting>
  <conditionalFormatting sqref="R49">
    <cfRule type="cellIs" dxfId="1" priority="37" stopIfTrue="1" operator="between">
      <formula>"Check"</formula>
      <formula>"Check"</formula>
    </cfRule>
  </conditionalFormatting>
  <conditionalFormatting sqref="R50">
    <cfRule type="cellIs" dxfId="1" priority="38" stopIfTrue="1" operator="between">
      <formula>"Check"</formula>
      <formula>"Check"</formula>
    </cfRule>
  </conditionalFormatting>
  <conditionalFormatting sqref="R51">
    <cfRule type="cellIs" dxfId="1" priority="39" stopIfTrue="1" operator="between">
      <formula>"Check"</formula>
      <formula>"Check"</formula>
    </cfRule>
  </conditionalFormatting>
  <conditionalFormatting sqref="R52">
    <cfRule type="cellIs" dxfId="1" priority="40" stopIfTrue="1" operator="between">
      <formula>"Check"</formula>
      <formula>"Check"</formula>
    </cfRule>
  </conditionalFormatting>
  <conditionalFormatting sqref="R53">
    <cfRule type="cellIs" dxfId="1" priority="41" stopIfTrue="1" operator="between">
      <formula>"Check"</formula>
      <formula>"Check"</formula>
    </cfRule>
  </conditionalFormatting>
  <conditionalFormatting sqref="R54">
    <cfRule type="cellIs" dxfId="1" priority="42" stopIfTrue="1" operator="between">
      <formula>"Check"</formula>
      <formula>"Check"</formula>
    </cfRule>
  </conditionalFormatting>
  <conditionalFormatting sqref="R55">
    <cfRule type="cellIs" dxfId="1" priority="43" stopIfTrue="1" operator="between">
      <formula>"Check"</formula>
      <formula>"Check"</formula>
    </cfRule>
  </conditionalFormatting>
  <conditionalFormatting sqref="R56">
    <cfRule type="cellIs" dxfId="1" priority="44" stopIfTrue="1" operator="between">
      <formula>"Check"</formula>
      <formula>"Check"</formula>
    </cfRule>
  </conditionalFormatting>
  <conditionalFormatting sqref="R57">
    <cfRule type="cellIs" dxfId="1" priority="45" stopIfTrue="1" operator="between">
      <formula>"Check"</formula>
      <formula>"Check"</formula>
    </cfRule>
  </conditionalFormatting>
  <conditionalFormatting sqref="R58">
    <cfRule type="cellIs" dxfId="1" priority="46" stopIfTrue="1" operator="between">
      <formula>"Check"</formula>
      <formula>"Check"</formula>
    </cfRule>
  </conditionalFormatting>
  <conditionalFormatting sqref="R59">
    <cfRule type="cellIs" dxfId="1" priority="47" stopIfTrue="1" operator="between">
      <formula>"Check"</formula>
      <formula>"Check"</formula>
    </cfRule>
  </conditionalFormatting>
  <conditionalFormatting sqref="R60">
    <cfRule type="cellIs" dxfId="1" priority="48" stopIfTrue="1" operator="between">
      <formula>"Check"</formula>
      <formula>"Check"</formula>
    </cfRule>
  </conditionalFormatting>
  <conditionalFormatting sqref="R61">
    <cfRule type="cellIs" dxfId="1" priority="49" stopIfTrue="1" operator="between">
      <formula>"Check"</formula>
      <formula>"Check"</formula>
    </cfRule>
  </conditionalFormatting>
  <conditionalFormatting sqref="R62">
    <cfRule type="cellIs" dxfId="1" priority="50" stopIfTrue="1" operator="between">
      <formula>"Check"</formula>
      <formula>"Check"</formula>
    </cfRule>
  </conditionalFormatting>
  <conditionalFormatting sqref="R63">
    <cfRule type="cellIs" dxfId="1" priority="51" stopIfTrue="1" operator="between">
      <formula>"Check"</formula>
      <formula>"Check"</formula>
    </cfRule>
  </conditionalFormatting>
  <conditionalFormatting sqref="R64">
    <cfRule type="cellIs" dxfId="1" priority="52" stopIfTrue="1" operator="between">
      <formula>"Check"</formula>
      <formula>"Check"</formula>
    </cfRule>
  </conditionalFormatting>
  <conditionalFormatting sqref="R65">
    <cfRule type="cellIs" dxfId="1" priority="53" stopIfTrue="1" operator="between">
      <formula>"Check"</formula>
      <formula>"Check"</formula>
    </cfRule>
  </conditionalFormatting>
  <conditionalFormatting sqref="R66">
    <cfRule type="cellIs" dxfId="1" priority="54" stopIfTrue="1" operator="between">
      <formula>"Check"</formula>
      <formula>"Check"</formula>
    </cfRule>
  </conditionalFormatting>
  <conditionalFormatting sqref="R67">
    <cfRule type="cellIs" dxfId="1" priority="55" stopIfTrue="1" operator="between">
      <formula>"Check"</formula>
      <formula>"Check"</formula>
    </cfRule>
  </conditionalFormatting>
  <conditionalFormatting sqref="R68">
    <cfRule type="cellIs" dxfId="1" priority="56" stopIfTrue="1" operator="between">
      <formula>"Check"</formula>
      <formula>"Check"</formula>
    </cfRule>
  </conditionalFormatting>
  <conditionalFormatting sqref="R69">
    <cfRule type="cellIs" dxfId="1" priority="57" stopIfTrue="1" operator="between">
      <formula>"Check"</formula>
      <formula>"Check"</formula>
    </cfRule>
  </conditionalFormatting>
  <conditionalFormatting sqref="R70">
    <cfRule type="cellIs" dxfId="1" priority="58" stopIfTrue="1" operator="between">
      <formula>"Check"</formula>
      <formula>"Check"</formula>
    </cfRule>
  </conditionalFormatting>
  <conditionalFormatting sqref="R71">
    <cfRule type="cellIs" dxfId="1" priority="59" stopIfTrue="1" operator="between">
      <formula>"Check"</formula>
      <formula>"Check"</formula>
    </cfRule>
  </conditionalFormatting>
  <conditionalFormatting sqref="R72">
    <cfRule type="cellIs" dxfId="1" priority="60" stopIfTrue="1" operator="between">
      <formula>"Check"</formula>
      <formula>"Check"</formula>
    </cfRule>
  </conditionalFormatting>
  <conditionalFormatting sqref="R73">
    <cfRule type="cellIs" dxfId="1" priority="61" stopIfTrue="1" operator="between">
      <formula>"Check"</formula>
      <formula>"Check"</formula>
    </cfRule>
  </conditionalFormatting>
  <conditionalFormatting sqref="R74">
    <cfRule type="cellIs" dxfId="1" priority="62" stopIfTrue="1" operator="between">
      <formula>"Check"</formula>
      <formula>"Check"</formula>
    </cfRule>
  </conditionalFormatting>
  <conditionalFormatting sqref="R75">
    <cfRule type="cellIs" dxfId="1" priority="63" stopIfTrue="1" operator="between">
      <formula>"Check"</formula>
      <formula>"Check"</formula>
    </cfRule>
  </conditionalFormatting>
  <conditionalFormatting sqref="R76">
    <cfRule type="cellIs" dxfId="1" priority="64" stopIfTrue="1" operator="between">
      <formula>"Check"</formula>
      <formula>"Check"</formula>
    </cfRule>
  </conditionalFormatting>
  <conditionalFormatting sqref="R77">
    <cfRule type="cellIs" dxfId="1" priority="65" stopIfTrue="1" operator="between">
      <formula>"Check"</formula>
      <formula>"Check"</formula>
    </cfRule>
  </conditionalFormatting>
  <conditionalFormatting sqref="R78">
    <cfRule type="cellIs" dxfId="1" priority="66" stopIfTrue="1" operator="between">
      <formula>"Check"</formula>
      <formula>"Check"</formula>
    </cfRule>
  </conditionalFormatting>
  <conditionalFormatting sqref="R79">
    <cfRule type="cellIs" dxfId="1" priority="67" stopIfTrue="1" operator="between">
      <formula>"Check"</formula>
      <formula>"Check"</formula>
    </cfRule>
  </conditionalFormatting>
  <conditionalFormatting sqref="R80">
    <cfRule type="cellIs" dxfId="1" priority="68" stopIfTrue="1" operator="between">
      <formula>"Check"</formula>
      <formula>"Check"</formula>
    </cfRule>
  </conditionalFormatting>
  <conditionalFormatting sqref="R81">
    <cfRule type="cellIs" dxfId="1" priority="69" stopIfTrue="1" operator="between">
      <formula>"Check"</formula>
      <formula>"Check"</formula>
    </cfRule>
  </conditionalFormatting>
  <conditionalFormatting sqref="R82">
    <cfRule type="cellIs" dxfId="1" priority="70" stopIfTrue="1" operator="between">
      <formula>"Check"</formula>
      <formula>"Check"</formula>
    </cfRule>
  </conditionalFormatting>
  <conditionalFormatting sqref="R83">
    <cfRule type="cellIs" dxfId="1" priority="71" stopIfTrue="1" operator="between">
      <formula>"Check"</formula>
      <formula>"Check"</formula>
    </cfRule>
  </conditionalFormatting>
  <conditionalFormatting sqref="R84">
    <cfRule type="cellIs" dxfId="1" priority="72" stopIfTrue="1" operator="between">
      <formula>"Check"</formula>
      <formula>"Check"</formula>
    </cfRule>
  </conditionalFormatting>
  <conditionalFormatting sqref="R85">
    <cfRule type="cellIs" dxfId="1" priority="73" stopIfTrue="1" operator="between">
      <formula>"Check"</formula>
      <formula>"Check"</formula>
    </cfRule>
  </conditionalFormatting>
  <conditionalFormatting sqref="R86">
    <cfRule type="cellIs" dxfId="1" priority="74" stopIfTrue="1" operator="between">
      <formula>"Check"</formula>
      <formula>"Check"</formula>
    </cfRule>
  </conditionalFormatting>
  <conditionalFormatting sqref="R87">
    <cfRule type="cellIs" dxfId="1" priority="75" stopIfTrue="1" operator="between">
      <formula>"Check"</formula>
      <formula>"Check"</formula>
    </cfRule>
  </conditionalFormatting>
  <conditionalFormatting sqref="R88">
    <cfRule type="cellIs" dxfId="1" priority="76" stopIfTrue="1" operator="between">
      <formula>"Check"</formula>
      <formula>"Check"</formula>
    </cfRule>
  </conditionalFormatting>
  <conditionalFormatting sqref="R89">
    <cfRule type="cellIs" dxfId="1" priority="77" stopIfTrue="1" operator="between">
      <formula>"Check"</formula>
      <formula>"Check"</formula>
    </cfRule>
  </conditionalFormatting>
  <conditionalFormatting sqref="R90">
    <cfRule type="cellIs" dxfId="1" priority="78" stopIfTrue="1" operator="between">
      <formula>"Check"</formula>
      <formula>"Check"</formula>
    </cfRule>
  </conditionalFormatting>
  <conditionalFormatting sqref="R91">
    <cfRule type="cellIs" dxfId="1" priority="79" stopIfTrue="1" operator="between">
      <formula>"Check"</formula>
      <formula>"Check"</formula>
    </cfRule>
  </conditionalFormatting>
  <conditionalFormatting sqref="R92">
    <cfRule type="cellIs" dxfId="1" priority="80" stopIfTrue="1" operator="between">
      <formula>"Check"</formula>
      <formula>"Check"</formula>
    </cfRule>
  </conditionalFormatting>
  <conditionalFormatting sqref="R93">
    <cfRule type="cellIs" dxfId="1" priority="81" stopIfTrue="1" operator="between">
      <formula>"Check"</formula>
      <formula>"Check"</formula>
    </cfRule>
  </conditionalFormatting>
  <conditionalFormatting sqref="R94">
    <cfRule type="cellIs" dxfId="1" priority="82" stopIfTrue="1" operator="between">
      <formula>"Check"</formula>
      <formula>"Check"</formula>
    </cfRule>
  </conditionalFormatting>
  <conditionalFormatting sqref="R95">
    <cfRule type="cellIs" dxfId="1" priority="83" stopIfTrue="1" operator="between">
      <formula>"Check"</formula>
      <formula>"Check"</formula>
    </cfRule>
  </conditionalFormatting>
  <conditionalFormatting sqref="R96">
    <cfRule type="cellIs" dxfId="1" priority="84" stopIfTrue="1" operator="between">
      <formula>"Check"</formula>
      <formula>"Check"</formula>
    </cfRule>
  </conditionalFormatting>
  <conditionalFormatting sqref="R97">
    <cfRule type="cellIs" dxfId="1" priority="85" stopIfTrue="1" operator="between">
      <formula>"Check"</formula>
      <formula>"Check"</formula>
    </cfRule>
  </conditionalFormatting>
  <conditionalFormatting sqref="R98">
    <cfRule type="cellIs" dxfId="1" priority="86" stopIfTrue="1" operator="between">
      <formula>"Check"</formula>
      <formula>"Check"</formula>
    </cfRule>
  </conditionalFormatting>
  <conditionalFormatting sqref="R99">
    <cfRule type="cellIs" dxfId="1" priority="87" stopIfTrue="1" operator="between">
      <formula>"Check"</formula>
      <formula>"Check"</formula>
    </cfRule>
  </conditionalFormatting>
  <conditionalFormatting sqref="R100">
    <cfRule type="cellIs" dxfId="1" priority="88" stopIfTrue="1" operator="between">
      <formula>"Check"</formula>
      <formula>"Check"</formula>
    </cfRule>
  </conditionalFormatting>
  <conditionalFormatting sqref="R101">
    <cfRule type="cellIs" dxfId="1" priority="89" stopIfTrue="1" operator="between">
      <formula>"Check"</formula>
      <formula>"Check"</formula>
    </cfRule>
  </conditionalFormatting>
  <conditionalFormatting sqref="R102">
    <cfRule type="cellIs" dxfId="1" priority="90" stopIfTrue="1" operator="between">
      <formula>"Check"</formula>
      <formula>"Check"</formula>
    </cfRule>
  </conditionalFormatting>
  <conditionalFormatting sqref="R103">
    <cfRule type="cellIs" dxfId="1" priority="91" stopIfTrue="1" operator="between">
      <formula>"Check"</formula>
      <formula>"Check"</formula>
    </cfRule>
  </conditionalFormatting>
  <conditionalFormatting sqref="R104">
    <cfRule type="cellIs" dxfId="1" priority="92" stopIfTrue="1" operator="between">
      <formula>"Check"</formula>
      <formula>"Check"</formula>
    </cfRule>
  </conditionalFormatting>
  <conditionalFormatting sqref="R105">
    <cfRule type="cellIs" dxfId="1" priority="93" stopIfTrue="1" operator="between">
      <formula>"Check"</formula>
      <formula>"Check"</formula>
    </cfRule>
  </conditionalFormatting>
  <conditionalFormatting sqref="R106">
    <cfRule type="cellIs" dxfId="1" priority="94" stopIfTrue="1" operator="between">
      <formula>"Check"</formula>
      <formula>"Check"</formula>
    </cfRule>
  </conditionalFormatting>
  <conditionalFormatting sqref="R107">
    <cfRule type="cellIs" dxfId="1" priority="95" stopIfTrue="1" operator="between">
      <formula>"Check"</formula>
      <formula>"Check"</formula>
    </cfRule>
  </conditionalFormatting>
  <conditionalFormatting sqref="R108">
    <cfRule type="cellIs" dxfId="1" priority="96" stopIfTrue="1" operator="between">
      <formula>"Check"</formula>
      <formula>"Check"</formula>
    </cfRule>
  </conditionalFormatting>
  <conditionalFormatting sqref="R109">
    <cfRule type="cellIs" dxfId="1" priority="97" stopIfTrue="1" operator="between">
      <formula>"Check"</formula>
      <formula>"Check"</formula>
    </cfRule>
  </conditionalFormatting>
  <conditionalFormatting sqref="R110">
    <cfRule type="cellIs" dxfId="1" priority="98" stopIfTrue="1" operator="between">
      <formula>"Check"</formula>
      <formula>"Check"</formula>
    </cfRule>
  </conditionalFormatting>
  <conditionalFormatting sqref="R111">
    <cfRule type="cellIs" dxfId="1" priority="99" stopIfTrue="1" operator="between">
      <formula>"Check"</formula>
      <formula>"Check"</formula>
    </cfRule>
  </conditionalFormatting>
  <conditionalFormatting sqref="R112">
    <cfRule type="cellIs" dxfId="1" priority="100" stopIfTrue="1" operator="between">
      <formula>"Check"</formula>
      <formula>"Check"</formula>
    </cfRule>
  </conditionalFormatting>
  <conditionalFormatting sqref="R113">
    <cfRule type="cellIs" dxfId="1" priority="101" stopIfTrue="1" operator="between">
      <formula>"Check"</formula>
      <formula>"Check"</formula>
    </cfRule>
  </conditionalFormatting>
  <conditionalFormatting sqref="R114">
    <cfRule type="cellIs" dxfId="1" priority="102" stopIfTrue="1" operator="between">
      <formula>"Check"</formula>
      <formula>"Check"</formula>
    </cfRule>
  </conditionalFormatting>
  <conditionalFormatting sqref="R115">
    <cfRule type="cellIs" dxfId="1" priority="103" stopIfTrue="1" operator="between">
      <formula>"Check"</formula>
      <formula>"Check"</formula>
    </cfRule>
  </conditionalFormatting>
  <conditionalFormatting sqref="R116">
    <cfRule type="cellIs" dxfId="1" priority="104" stopIfTrue="1" operator="between">
      <formula>"Check"</formula>
      <formula>"Check"</formula>
    </cfRule>
  </conditionalFormatting>
  <conditionalFormatting sqref="R117">
    <cfRule type="cellIs" dxfId="1" priority="105" stopIfTrue="1" operator="between">
      <formula>"Check"</formula>
      <formula>"Check"</formula>
    </cfRule>
  </conditionalFormatting>
  <conditionalFormatting sqref="R118">
    <cfRule type="cellIs" dxfId="1" priority="106" stopIfTrue="1" operator="between">
      <formula>"Check"</formula>
      <formula>"Check"</formula>
    </cfRule>
  </conditionalFormatting>
  <conditionalFormatting sqref="R119">
    <cfRule type="cellIs" dxfId="1" priority="107" stopIfTrue="1" operator="between">
      <formula>"Check"</formula>
      <formula>"Check"</formula>
    </cfRule>
  </conditionalFormatting>
  <conditionalFormatting sqref="R120">
    <cfRule type="cellIs" dxfId="1" priority="108" stopIfTrue="1" operator="between">
      <formula>"Check"</formula>
      <formula>"Check"</formula>
    </cfRule>
  </conditionalFormatting>
  <conditionalFormatting sqref="R121">
    <cfRule type="cellIs" dxfId="1" priority="109" stopIfTrue="1" operator="between">
      <formula>"Check"</formula>
      <formula>"Check"</formula>
    </cfRule>
  </conditionalFormatting>
  <conditionalFormatting sqref="R122">
    <cfRule type="cellIs" dxfId="1" priority="110" stopIfTrue="1" operator="between">
      <formula>"Check"</formula>
      <formula>"Check"</formula>
    </cfRule>
  </conditionalFormatting>
  <conditionalFormatting sqref="R123">
    <cfRule type="cellIs" dxfId="1" priority="111" stopIfTrue="1" operator="between">
      <formula>"Check"</formula>
      <formula>"Check"</formula>
    </cfRule>
  </conditionalFormatting>
  <conditionalFormatting sqref="R124">
    <cfRule type="cellIs" dxfId="1" priority="112" stopIfTrue="1" operator="between">
      <formula>"Check"</formula>
      <formula>"Check"</formula>
    </cfRule>
  </conditionalFormatting>
  <conditionalFormatting sqref="R125">
    <cfRule type="cellIs" dxfId="1" priority="113" stopIfTrue="1" operator="between">
      <formula>"Check"</formula>
      <formula>"Check"</formula>
    </cfRule>
  </conditionalFormatting>
  <conditionalFormatting sqref="R126">
    <cfRule type="cellIs" dxfId="1" priority="114" stopIfTrue="1" operator="between">
      <formula>"Check"</formula>
      <formula>"Check"</formula>
    </cfRule>
  </conditionalFormatting>
  <conditionalFormatting sqref="R127">
    <cfRule type="cellIs" dxfId="1" priority="115" stopIfTrue="1" operator="between">
      <formula>"Check"</formula>
      <formula>"Check"</formula>
    </cfRule>
  </conditionalFormatting>
  <conditionalFormatting sqref="R128">
    <cfRule type="cellIs" dxfId="1" priority="116" stopIfTrue="1" operator="between">
      <formula>"Check"</formula>
      <formula>"Check"</formula>
    </cfRule>
  </conditionalFormatting>
  <conditionalFormatting sqref="R129">
    <cfRule type="cellIs" dxfId="1" priority="117" stopIfTrue="1" operator="between">
      <formula>"Check"</formula>
      <formula>"Check"</formula>
    </cfRule>
  </conditionalFormatting>
  <conditionalFormatting sqref="R130">
    <cfRule type="cellIs" dxfId="1" priority="118" stopIfTrue="1" operator="between">
      <formula>"Check"</formula>
      <formula>"Check"</formula>
    </cfRule>
  </conditionalFormatting>
  <conditionalFormatting sqref="R131">
    <cfRule type="cellIs" dxfId="1" priority="119" stopIfTrue="1" operator="between">
      <formula>"Check"</formula>
      <formula>"Check"</formula>
    </cfRule>
  </conditionalFormatting>
  <conditionalFormatting sqref="R132">
    <cfRule type="cellIs" dxfId="1" priority="120" stopIfTrue="1" operator="between">
      <formula>"Check"</formula>
      <formula>"Check"</formula>
    </cfRule>
  </conditionalFormatting>
  <conditionalFormatting sqref="R133">
    <cfRule type="cellIs" dxfId="1" priority="121" stopIfTrue="1" operator="between">
      <formula>"Check"</formula>
      <formula>"Check"</formula>
    </cfRule>
  </conditionalFormatting>
  <conditionalFormatting sqref="R134">
    <cfRule type="cellIs" dxfId="1" priority="122" stopIfTrue="1" operator="between">
      <formula>"Check"</formula>
      <formula>"Check"</formula>
    </cfRule>
  </conditionalFormatting>
  <conditionalFormatting sqref="R135">
    <cfRule type="cellIs" dxfId="1" priority="123" stopIfTrue="1" operator="between">
      <formula>"Check"</formula>
      <formula>"Check"</formula>
    </cfRule>
  </conditionalFormatting>
  <conditionalFormatting sqref="R136">
    <cfRule type="cellIs" dxfId="1" priority="124" stopIfTrue="1" operator="between">
      <formula>"Check"</formula>
      <formula>"Check"</formula>
    </cfRule>
  </conditionalFormatting>
  <conditionalFormatting sqref="R137">
    <cfRule type="cellIs" dxfId="1" priority="125" stopIfTrue="1" operator="between">
      <formula>"Check"</formula>
      <formula>"Check"</formula>
    </cfRule>
  </conditionalFormatting>
  <conditionalFormatting sqref="R138">
    <cfRule type="cellIs" dxfId="1" priority="126" stopIfTrue="1" operator="between">
      <formula>"Check"</formula>
      <formula>"Check"</formula>
    </cfRule>
  </conditionalFormatting>
  <conditionalFormatting sqref="R139">
    <cfRule type="cellIs" dxfId="1" priority="127" stopIfTrue="1" operator="between">
      <formula>"Check"</formula>
      <formula>"Check"</formula>
    </cfRule>
  </conditionalFormatting>
  <conditionalFormatting sqref="R140">
    <cfRule type="cellIs" dxfId="1" priority="128" stopIfTrue="1" operator="between">
      <formula>"Check"</formula>
      <formula>"Check"</formula>
    </cfRule>
  </conditionalFormatting>
  <conditionalFormatting sqref="R141">
    <cfRule type="cellIs" dxfId="1" priority="129" stopIfTrue="1" operator="between">
      <formula>"Check"</formula>
      <formula>"Check"</formula>
    </cfRule>
  </conditionalFormatting>
  <conditionalFormatting sqref="R142">
    <cfRule type="cellIs" dxfId="1" priority="130" stopIfTrue="1" operator="between">
      <formula>"Check"</formula>
      <formula>"Check"</formula>
    </cfRule>
  </conditionalFormatting>
  <conditionalFormatting sqref="R143">
    <cfRule type="cellIs" dxfId="1" priority="131" stopIfTrue="1" operator="between">
      <formula>"Check"</formula>
      <formula>"Check"</formula>
    </cfRule>
  </conditionalFormatting>
  <conditionalFormatting sqref="R144">
    <cfRule type="cellIs" dxfId="1" priority="132" stopIfTrue="1" operator="between">
      <formula>"Check"</formula>
      <formula>"Check"</formula>
    </cfRule>
  </conditionalFormatting>
  <conditionalFormatting sqref="R145">
    <cfRule type="cellIs" dxfId="1" priority="133" stopIfTrue="1" operator="between">
      <formula>"Check"</formula>
      <formula>"Check"</formula>
    </cfRule>
  </conditionalFormatting>
  <conditionalFormatting sqref="R146">
    <cfRule type="cellIs" dxfId="1" priority="134" stopIfTrue="1" operator="between">
      <formula>"Check"</formula>
      <formula>"Check"</formula>
    </cfRule>
  </conditionalFormatting>
  <conditionalFormatting sqref="R147">
    <cfRule type="cellIs" dxfId="1" priority="135" stopIfTrue="1" operator="between">
      <formula>"Check"</formula>
      <formula>"Check"</formula>
    </cfRule>
  </conditionalFormatting>
  <conditionalFormatting sqref="R148">
    <cfRule type="cellIs" dxfId="1" priority="136" stopIfTrue="1" operator="between">
      <formula>"Check"</formula>
      <formula>"Check"</formula>
    </cfRule>
  </conditionalFormatting>
  <conditionalFormatting sqref="R149">
    <cfRule type="cellIs" dxfId="1" priority="137" stopIfTrue="1" operator="between">
      <formula>"Check"</formula>
      <formula>"Check"</formula>
    </cfRule>
  </conditionalFormatting>
  <conditionalFormatting sqref="R150">
    <cfRule type="cellIs" dxfId="1" priority="138" stopIfTrue="1" operator="between">
      <formula>"Check"</formula>
      <formula>"Check"</formula>
    </cfRule>
  </conditionalFormatting>
  <conditionalFormatting sqref="R151">
    <cfRule type="cellIs" dxfId="1" priority="139" stopIfTrue="1" operator="between">
      <formula>"Check"</formula>
      <formula>"Check"</formula>
    </cfRule>
  </conditionalFormatting>
  <conditionalFormatting sqref="R152">
    <cfRule type="cellIs" dxfId="1" priority="140" stopIfTrue="1" operator="between">
      <formula>"Check"</formula>
      <formula>"Check"</formula>
    </cfRule>
  </conditionalFormatting>
  <conditionalFormatting sqref="R153">
    <cfRule type="cellIs" dxfId="1" priority="141" stopIfTrue="1" operator="between">
      <formula>"Check"</formula>
      <formula>"Check"</formula>
    </cfRule>
  </conditionalFormatting>
  <conditionalFormatting sqref="R154">
    <cfRule type="cellIs" dxfId="1" priority="142" stopIfTrue="1" operator="between">
      <formula>"Check"</formula>
      <formula>"Check"</formula>
    </cfRule>
  </conditionalFormatting>
  <conditionalFormatting sqref="R155">
    <cfRule type="cellIs" dxfId="1" priority="143" stopIfTrue="1" operator="between">
      <formula>"Check"</formula>
      <formula>"Check"</formula>
    </cfRule>
  </conditionalFormatting>
  <conditionalFormatting sqref="R156">
    <cfRule type="cellIs" dxfId="1" priority="144" stopIfTrue="1" operator="between">
      <formula>"Check"</formula>
      <formula>"Check"</formula>
    </cfRule>
  </conditionalFormatting>
  <conditionalFormatting sqref="R157">
    <cfRule type="cellIs" dxfId="1" priority="145" stopIfTrue="1" operator="between">
      <formula>"Check"</formula>
      <formula>"Check"</formula>
    </cfRule>
  </conditionalFormatting>
  <conditionalFormatting sqref="R158">
    <cfRule type="cellIs" dxfId="1" priority="146" stopIfTrue="1" operator="between">
      <formula>"Check"</formula>
      <formula>"Check"</formula>
    </cfRule>
  </conditionalFormatting>
  <conditionalFormatting sqref="R159">
    <cfRule type="cellIs" dxfId="1" priority="147" stopIfTrue="1" operator="between">
      <formula>"Check"</formula>
      <formula>"Check"</formula>
    </cfRule>
  </conditionalFormatting>
  <conditionalFormatting sqref="R160">
    <cfRule type="cellIs" dxfId="1" priority="148" stopIfTrue="1" operator="between">
      <formula>"Check"</formula>
      <formula>"Check"</formula>
    </cfRule>
  </conditionalFormatting>
  <conditionalFormatting sqref="R161">
    <cfRule type="cellIs" dxfId="1" priority="149" stopIfTrue="1" operator="between">
      <formula>"Check"</formula>
      <formula>"Check"</formula>
    </cfRule>
  </conditionalFormatting>
  <conditionalFormatting sqref="R162">
    <cfRule type="cellIs" dxfId="1" priority="150" stopIfTrue="1" operator="between">
      <formula>"Check"</formula>
      <formula>"Check"</formula>
    </cfRule>
  </conditionalFormatting>
  <conditionalFormatting sqref="R163">
    <cfRule type="cellIs" dxfId="1" priority="151" stopIfTrue="1" operator="between">
      <formula>"Check"</formula>
      <formula>"Check"</formula>
    </cfRule>
  </conditionalFormatting>
  <conditionalFormatting sqref="R164">
    <cfRule type="cellIs" dxfId="1" priority="152" stopIfTrue="1" operator="between">
      <formula>"Check"</formula>
      <formula>"Check"</formula>
    </cfRule>
  </conditionalFormatting>
  <conditionalFormatting sqref="R165">
    <cfRule type="cellIs" dxfId="1" priority="153" stopIfTrue="1" operator="between">
      <formula>"Check"</formula>
      <formula>"Check"</formula>
    </cfRule>
  </conditionalFormatting>
  <conditionalFormatting sqref="R166">
    <cfRule type="cellIs" dxfId="1" priority="154" stopIfTrue="1" operator="between">
      <formula>"Check"</formula>
      <formula>"Check"</formula>
    </cfRule>
  </conditionalFormatting>
  <conditionalFormatting sqref="R167">
    <cfRule type="cellIs" dxfId="1" priority="155" stopIfTrue="1" operator="between">
      <formula>"Check"</formula>
      <formula>"Check"</formula>
    </cfRule>
  </conditionalFormatting>
  <conditionalFormatting sqref="R168">
    <cfRule type="cellIs" dxfId="1" priority="156" stopIfTrue="1" operator="between">
      <formula>"Check"</formula>
      <formula>"Check"</formula>
    </cfRule>
  </conditionalFormatting>
  <conditionalFormatting sqref="R169">
    <cfRule type="cellIs" dxfId="1" priority="157" stopIfTrue="1" operator="between">
      <formula>"Check"</formula>
      <formula>"Check"</formula>
    </cfRule>
  </conditionalFormatting>
  <conditionalFormatting sqref="R170">
    <cfRule type="cellIs" dxfId="1" priority="158" stopIfTrue="1" operator="between">
      <formula>"Check"</formula>
      <formula>"Check"</formula>
    </cfRule>
  </conditionalFormatting>
  <conditionalFormatting sqref="R171">
    <cfRule type="cellIs" dxfId="1" priority="159" stopIfTrue="1" operator="between">
      <formula>"Check"</formula>
      <formula>"Check"</formula>
    </cfRule>
  </conditionalFormatting>
  <conditionalFormatting sqref="R172">
    <cfRule type="cellIs" dxfId="1" priority="160" stopIfTrue="1" operator="between">
      <formula>"Check"</formula>
      <formula>"Check"</formula>
    </cfRule>
  </conditionalFormatting>
  <conditionalFormatting sqref="R173">
    <cfRule type="cellIs" dxfId="1" priority="161" stopIfTrue="1" operator="between">
      <formula>"Check"</formula>
      <formula>"Check"</formula>
    </cfRule>
  </conditionalFormatting>
  <conditionalFormatting sqref="R174">
    <cfRule type="cellIs" dxfId="1" priority="162" stopIfTrue="1" operator="between">
      <formula>"Check"</formula>
      <formula>"Check"</formula>
    </cfRule>
  </conditionalFormatting>
  <conditionalFormatting sqref="R175">
    <cfRule type="cellIs" dxfId="1" priority="163" stopIfTrue="1" operator="between">
      <formula>"Check"</formula>
      <formula>"Check"</formula>
    </cfRule>
  </conditionalFormatting>
  <conditionalFormatting sqref="R176">
    <cfRule type="cellIs" dxfId="1" priority="164" stopIfTrue="1" operator="between">
      <formula>"Check"</formula>
      <formula>"Check"</formula>
    </cfRule>
  </conditionalFormatting>
  <conditionalFormatting sqref="R177">
    <cfRule type="cellIs" dxfId="1" priority="165" stopIfTrue="1" operator="between">
      <formula>"Check"</formula>
      <formula>"Check"</formula>
    </cfRule>
  </conditionalFormatting>
  <conditionalFormatting sqref="R178">
    <cfRule type="cellIs" dxfId="1" priority="166" stopIfTrue="1" operator="between">
      <formula>"Check"</formula>
      <formula>"Check"</formula>
    </cfRule>
  </conditionalFormatting>
  <conditionalFormatting sqref="R179">
    <cfRule type="cellIs" dxfId="1" priority="167" stopIfTrue="1" operator="between">
      <formula>"Check"</formula>
      <formula>"Check"</formula>
    </cfRule>
  </conditionalFormatting>
  <conditionalFormatting sqref="R180">
    <cfRule type="cellIs" dxfId="1" priority="168" stopIfTrue="1" operator="between">
      <formula>"Check"</formula>
      <formula>"Check"</formula>
    </cfRule>
  </conditionalFormatting>
  <conditionalFormatting sqref="R181">
    <cfRule type="cellIs" dxfId="1" priority="169" stopIfTrue="1" operator="between">
      <formula>"Check"</formula>
      <formula>"Check"</formula>
    </cfRule>
  </conditionalFormatting>
  <conditionalFormatting sqref="R182">
    <cfRule type="cellIs" dxfId="1" priority="170" stopIfTrue="1" operator="between">
      <formula>"Check"</formula>
      <formula>"Check"</formula>
    </cfRule>
  </conditionalFormatting>
  <conditionalFormatting sqref="R183">
    <cfRule type="cellIs" dxfId="1" priority="171" stopIfTrue="1" operator="between">
      <formula>"Check"</formula>
      <formula>"Check"</formula>
    </cfRule>
  </conditionalFormatting>
  <conditionalFormatting sqref="R184">
    <cfRule type="cellIs" dxfId="1" priority="172" stopIfTrue="1" operator="between">
      <formula>"Check"</formula>
      <formula>"Check"</formula>
    </cfRule>
  </conditionalFormatting>
  <conditionalFormatting sqref="R185">
    <cfRule type="cellIs" dxfId="1" priority="173" stopIfTrue="1" operator="between">
      <formula>"Check"</formula>
      <formula>"Check"</formula>
    </cfRule>
  </conditionalFormatting>
  <conditionalFormatting sqref="R186">
    <cfRule type="cellIs" dxfId="1" priority="174" stopIfTrue="1" operator="between">
      <formula>"Check"</formula>
      <formula>"Check"</formula>
    </cfRule>
  </conditionalFormatting>
  <conditionalFormatting sqref="R187">
    <cfRule type="cellIs" dxfId="1" priority="175" stopIfTrue="1" operator="between">
      <formula>"Check"</formula>
      <formula>"Check"</formula>
    </cfRule>
  </conditionalFormatting>
  <conditionalFormatting sqref="R188">
    <cfRule type="cellIs" dxfId="1" priority="176" stopIfTrue="1" operator="between">
      <formula>"Check"</formula>
      <formula>"Check"</formula>
    </cfRule>
  </conditionalFormatting>
  <conditionalFormatting sqref="R189">
    <cfRule type="cellIs" dxfId="1" priority="177" stopIfTrue="1" operator="between">
      <formula>"Check"</formula>
      <formula>"Check"</formula>
    </cfRule>
  </conditionalFormatting>
  <conditionalFormatting sqref="R190">
    <cfRule type="cellIs" dxfId="1" priority="178" stopIfTrue="1" operator="between">
      <formula>"Check"</formula>
      <formula>"Check"</formula>
    </cfRule>
  </conditionalFormatting>
  <conditionalFormatting sqref="R191">
    <cfRule type="cellIs" dxfId="1" priority="179" stopIfTrue="1" operator="between">
      <formula>"Check"</formula>
      <formula>"Check"</formula>
    </cfRule>
  </conditionalFormatting>
  <conditionalFormatting sqref="R192">
    <cfRule type="cellIs" dxfId="1" priority="180" stopIfTrue="1" operator="between">
      <formula>"Check"</formula>
      <formula>"Check"</formula>
    </cfRule>
  </conditionalFormatting>
  <conditionalFormatting sqref="R193">
    <cfRule type="cellIs" dxfId="1" priority="181" stopIfTrue="1" operator="between">
      <formula>"Check"</formula>
      <formula>"Check"</formula>
    </cfRule>
  </conditionalFormatting>
  <conditionalFormatting sqref="R194">
    <cfRule type="cellIs" dxfId="1" priority="182" stopIfTrue="1" operator="between">
      <formula>"Check"</formula>
      <formula>"Check"</formula>
    </cfRule>
  </conditionalFormatting>
  <conditionalFormatting sqref="R195">
    <cfRule type="cellIs" dxfId="1" priority="183" stopIfTrue="1" operator="between">
      <formula>"Check"</formula>
      <formula>"Check"</formula>
    </cfRule>
  </conditionalFormatting>
  <conditionalFormatting sqref="R196">
    <cfRule type="cellIs" dxfId="1" priority="184" stopIfTrue="1" operator="between">
      <formula>"Check"</formula>
      <formula>"Check"</formula>
    </cfRule>
  </conditionalFormatting>
  <conditionalFormatting sqref="R197">
    <cfRule type="cellIs" dxfId="1" priority="185" stopIfTrue="1" operator="between">
      <formula>"Check"</formula>
      <formula>"Check"</formula>
    </cfRule>
  </conditionalFormatting>
  <conditionalFormatting sqref="R198">
    <cfRule type="cellIs" dxfId="1" priority="186" stopIfTrue="1" operator="between">
      <formula>"Check"</formula>
      <formula>"Check"</formula>
    </cfRule>
  </conditionalFormatting>
  <conditionalFormatting sqref="R199">
    <cfRule type="cellIs" dxfId="1" priority="187" stopIfTrue="1" operator="between">
      <formula>"Check"</formula>
      <formula>"Check"</formula>
    </cfRule>
  </conditionalFormatting>
  <conditionalFormatting sqref="R200">
    <cfRule type="cellIs" dxfId="1" priority="188" stopIfTrue="1" operator="between">
      <formula>"Check"</formula>
      <formula>"Check"</formula>
    </cfRule>
  </conditionalFormatting>
  <conditionalFormatting sqref="R201">
    <cfRule type="cellIs" dxfId="1" priority="189" stopIfTrue="1" operator="between">
      <formula>"Check"</formula>
      <formula>"Check"</formula>
    </cfRule>
  </conditionalFormatting>
  <conditionalFormatting sqref="R202">
    <cfRule type="cellIs" dxfId="1" priority="190" stopIfTrue="1" operator="between">
      <formula>"Check"</formula>
      <formula>"Check"</formula>
    </cfRule>
  </conditionalFormatting>
  <conditionalFormatting sqref="R203">
    <cfRule type="cellIs" dxfId="1" priority="191" stopIfTrue="1" operator="between">
      <formula>"Check"</formula>
      <formula>"Check"</formula>
    </cfRule>
  </conditionalFormatting>
  <conditionalFormatting sqref="R204">
    <cfRule type="cellIs" dxfId="1" priority="192" stopIfTrue="1" operator="between">
      <formula>"Check"</formula>
      <formula>"Check"</formula>
    </cfRule>
  </conditionalFormatting>
  <conditionalFormatting sqref="R205">
    <cfRule type="cellIs" dxfId="1" priority="193" stopIfTrue="1" operator="between">
      <formula>"Check"</formula>
      <formula>"Check"</formula>
    </cfRule>
  </conditionalFormatting>
  <conditionalFormatting sqref="R206">
    <cfRule type="cellIs" dxfId="1" priority="194" stopIfTrue="1" operator="between">
      <formula>"Check"</formula>
      <formula>"Check"</formula>
    </cfRule>
  </conditionalFormatting>
  <conditionalFormatting sqref="R207">
    <cfRule type="cellIs" dxfId="1" priority="195" stopIfTrue="1" operator="between">
      <formula>"Check"</formula>
      <formula>"Check"</formula>
    </cfRule>
  </conditionalFormatting>
  <conditionalFormatting sqref="R208">
    <cfRule type="cellIs" dxfId="1" priority="196" stopIfTrue="1" operator="between">
      <formula>"Check"</formula>
      <formula>"Check"</formula>
    </cfRule>
  </conditionalFormatting>
  <conditionalFormatting sqref="R209">
    <cfRule type="cellIs" dxfId="1" priority="197" stopIfTrue="1" operator="between">
      <formula>"Check"</formula>
      <formula>"Check"</formula>
    </cfRule>
  </conditionalFormatting>
  <conditionalFormatting sqref="R210">
    <cfRule type="cellIs" dxfId="1" priority="198" stopIfTrue="1" operator="between">
      <formula>"Check"</formula>
      <formula>"Check"</formula>
    </cfRule>
  </conditionalFormatting>
  <conditionalFormatting sqref="R211">
    <cfRule type="cellIs" dxfId="1" priority="199" stopIfTrue="1" operator="between">
      <formula>"Check"</formula>
      <formula>"Check"</formula>
    </cfRule>
  </conditionalFormatting>
  <conditionalFormatting sqref="R212">
    <cfRule type="cellIs" dxfId="1" priority="200" stopIfTrue="1" operator="between">
      <formula>"Check"</formula>
      <formula>"Check"</formula>
    </cfRule>
  </conditionalFormatting>
  <conditionalFormatting sqref="R213">
    <cfRule type="cellIs" dxfId="1" priority="201" stopIfTrue="1" operator="between">
      <formula>"Check"</formula>
      <formula>"Check"</formula>
    </cfRule>
  </conditionalFormatting>
  <conditionalFormatting sqref="R214">
    <cfRule type="cellIs" dxfId="1" priority="202" stopIfTrue="1" operator="between">
      <formula>"Check"</formula>
      <formula>"Check"</formula>
    </cfRule>
  </conditionalFormatting>
  <conditionalFormatting sqref="R215">
    <cfRule type="cellIs" dxfId="1" priority="203" stopIfTrue="1" operator="between">
      <formula>"Check"</formula>
      <formula>"Check"</formula>
    </cfRule>
  </conditionalFormatting>
  <conditionalFormatting sqref="R216">
    <cfRule type="cellIs" dxfId="1" priority="204" stopIfTrue="1" operator="between">
      <formula>"Check"</formula>
      <formula>"Check"</formula>
    </cfRule>
  </conditionalFormatting>
  <conditionalFormatting sqref="R217">
    <cfRule type="cellIs" dxfId="1" priority="205" stopIfTrue="1" operator="between">
      <formula>"Check"</formula>
      <formula>"Check"</formula>
    </cfRule>
  </conditionalFormatting>
  <conditionalFormatting sqref="R218">
    <cfRule type="cellIs" dxfId="1" priority="206" stopIfTrue="1" operator="between">
      <formula>"Check"</formula>
      <formula>"Check"</formula>
    </cfRule>
  </conditionalFormatting>
  <conditionalFormatting sqref="R219">
    <cfRule type="cellIs" dxfId="1" priority="207" stopIfTrue="1" operator="between">
      <formula>"Check"</formula>
      <formula>"Check"</formula>
    </cfRule>
  </conditionalFormatting>
  <conditionalFormatting sqref="R220">
    <cfRule type="cellIs" dxfId="1" priority="208" stopIfTrue="1" operator="between">
      <formula>"Check"</formula>
      <formula>"Check"</formula>
    </cfRule>
  </conditionalFormatting>
  <conditionalFormatting sqref="R221">
    <cfRule type="cellIs" dxfId="1" priority="209" stopIfTrue="1" operator="between">
      <formula>"Check"</formula>
      <formula>"Check"</formula>
    </cfRule>
  </conditionalFormatting>
  <conditionalFormatting sqref="R222">
    <cfRule type="cellIs" dxfId="1" priority="210" stopIfTrue="1" operator="between">
      <formula>"Check"</formula>
      <formula>"Check"</formula>
    </cfRule>
  </conditionalFormatting>
  <conditionalFormatting sqref="R223">
    <cfRule type="cellIs" dxfId="1" priority="211" stopIfTrue="1" operator="between">
      <formula>"Check"</formula>
      <formula>"Check"</formula>
    </cfRule>
  </conditionalFormatting>
  <conditionalFormatting sqref="R224">
    <cfRule type="cellIs" dxfId="1" priority="212" stopIfTrue="1" operator="between">
      <formula>"Check"</formula>
      <formula>"Check"</formula>
    </cfRule>
  </conditionalFormatting>
  <conditionalFormatting sqref="R225">
    <cfRule type="cellIs" dxfId="1" priority="213" stopIfTrue="1" operator="between">
      <formula>"Check"</formula>
      <formula>"Check"</formula>
    </cfRule>
  </conditionalFormatting>
  <conditionalFormatting sqref="R226">
    <cfRule type="cellIs" dxfId="1" priority="214" stopIfTrue="1" operator="between">
      <formula>"Check"</formula>
      <formula>"Check"</formula>
    </cfRule>
  </conditionalFormatting>
  <conditionalFormatting sqref="R227">
    <cfRule type="cellIs" dxfId="1" priority="215" stopIfTrue="1" operator="between">
      <formula>"Check"</formula>
      <formula>"Check"</formula>
    </cfRule>
  </conditionalFormatting>
  <conditionalFormatting sqref="R228">
    <cfRule type="cellIs" dxfId="1" priority="216" stopIfTrue="1" operator="between">
      <formula>"Check"</formula>
      <formula>"Check"</formula>
    </cfRule>
  </conditionalFormatting>
  <conditionalFormatting sqref="R229">
    <cfRule type="cellIs" dxfId="1" priority="217" stopIfTrue="1" operator="between">
      <formula>"Check"</formula>
      <formula>"Check"</formula>
    </cfRule>
  </conditionalFormatting>
  <conditionalFormatting sqref="R230">
    <cfRule type="cellIs" dxfId="1" priority="218" stopIfTrue="1" operator="between">
      <formula>"Check"</formula>
      <formula>"Check"</formula>
    </cfRule>
  </conditionalFormatting>
  <conditionalFormatting sqref="R231">
    <cfRule type="cellIs" dxfId="1" priority="219" stopIfTrue="1" operator="between">
      <formula>"Check"</formula>
      <formula>"Check"</formula>
    </cfRule>
  </conditionalFormatting>
  <conditionalFormatting sqref="R232">
    <cfRule type="cellIs" dxfId="1" priority="220" stopIfTrue="1" operator="between">
      <formula>"Check"</formula>
      <formula>"Check"</formula>
    </cfRule>
  </conditionalFormatting>
  <conditionalFormatting sqref="R233">
    <cfRule type="cellIs" dxfId="1" priority="221" stopIfTrue="1" operator="between">
      <formula>"Check"</formula>
      <formula>"Check"</formula>
    </cfRule>
  </conditionalFormatting>
  <conditionalFormatting sqref="R234">
    <cfRule type="cellIs" dxfId="1" priority="222" stopIfTrue="1" operator="between">
      <formula>"Check"</formula>
      <formula>"Check"</formula>
    </cfRule>
  </conditionalFormatting>
  <conditionalFormatting sqref="R235">
    <cfRule type="cellIs" dxfId="1" priority="223" stopIfTrue="1" operator="between">
      <formula>"Check"</formula>
      <formula>"Check"</formula>
    </cfRule>
  </conditionalFormatting>
  <conditionalFormatting sqref="R236">
    <cfRule type="cellIs" dxfId="1" priority="224" stopIfTrue="1" operator="between">
      <formula>"Check"</formula>
      <formula>"Check"</formula>
    </cfRule>
  </conditionalFormatting>
  <conditionalFormatting sqref="R237">
    <cfRule type="cellIs" dxfId="1" priority="225" stopIfTrue="1" operator="between">
      <formula>"Check"</formula>
      <formula>"Check"</formula>
    </cfRule>
  </conditionalFormatting>
  <conditionalFormatting sqref="R238">
    <cfRule type="cellIs" dxfId="1" priority="226" stopIfTrue="1" operator="between">
      <formula>"Check"</formula>
      <formula>"Check"</formula>
    </cfRule>
  </conditionalFormatting>
  <conditionalFormatting sqref="R239">
    <cfRule type="cellIs" dxfId="1" priority="227" stopIfTrue="1" operator="between">
      <formula>"Check"</formula>
      <formula>"Check"</formula>
    </cfRule>
  </conditionalFormatting>
  <conditionalFormatting sqref="R240">
    <cfRule type="cellIs" dxfId="1" priority="228" stopIfTrue="1" operator="between">
      <formula>"Check"</formula>
      <formula>"Check"</formula>
    </cfRule>
  </conditionalFormatting>
  <conditionalFormatting sqref="R241">
    <cfRule type="cellIs" dxfId="1" priority="229" stopIfTrue="1" operator="between">
      <formula>"Check"</formula>
      <formula>"Check"</formula>
    </cfRule>
  </conditionalFormatting>
  <conditionalFormatting sqref="R242">
    <cfRule type="cellIs" dxfId="1" priority="230" stopIfTrue="1" operator="between">
      <formula>"Check"</formula>
      <formula>"Check"</formula>
    </cfRule>
  </conditionalFormatting>
  <conditionalFormatting sqref="R243">
    <cfRule type="cellIs" dxfId="1" priority="231" stopIfTrue="1" operator="between">
      <formula>"Check"</formula>
      <formula>"Check"</formula>
    </cfRule>
  </conditionalFormatting>
  <conditionalFormatting sqref="R244">
    <cfRule type="cellIs" dxfId="1" priority="232" stopIfTrue="1" operator="between">
      <formula>"Check"</formula>
      <formula>"Check"</formula>
    </cfRule>
  </conditionalFormatting>
  <conditionalFormatting sqref="R245">
    <cfRule type="cellIs" dxfId="1" priority="233" stopIfTrue="1" operator="between">
      <formula>"Check"</formula>
      <formula>"Check"</formula>
    </cfRule>
  </conditionalFormatting>
  <conditionalFormatting sqref="R246">
    <cfRule type="cellIs" dxfId="1" priority="234" stopIfTrue="1" operator="between">
      <formula>"Check"</formula>
      <formula>"Check"</formula>
    </cfRule>
  </conditionalFormatting>
  <conditionalFormatting sqref="R247">
    <cfRule type="cellIs" dxfId="1" priority="235" stopIfTrue="1" operator="between">
      <formula>"Check"</formula>
      <formula>"Check"</formula>
    </cfRule>
  </conditionalFormatting>
  <conditionalFormatting sqref="R248">
    <cfRule type="cellIs" dxfId="1" priority="236" stopIfTrue="1" operator="between">
      <formula>"Check"</formula>
      <formula>"Check"</formula>
    </cfRule>
  </conditionalFormatting>
  <conditionalFormatting sqref="R249">
    <cfRule type="cellIs" dxfId="1" priority="237" stopIfTrue="1" operator="between">
      <formula>"Check"</formula>
      <formula>"Check"</formula>
    </cfRule>
  </conditionalFormatting>
  <conditionalFormatting sqref="R250">
    <cfRule type="cellIs" dxfId="1" priority="238" stopIfTrue="1" operator="between">
      <formula>"Check"</formula>
      <formula>"Check"</formula>
    </cfRule>
  </conditionalFormatting>
  <conditionalFormatting sqref="R251">
    <cfRule type="cellIs" dxfId="1" priority="239" stopIfTrue="1" operator="between">
      <formula>"Check"</formula>
      <formula>"Check"</formula>
    </cfRule>
  </conditionalFormatting>
  <conditionalFormatting sqref="R252">
    <cfRule type="cellIs" dxfId="1" priority="240" stopIfTrue="1" operator="between">
      <formula>"Check"</formula>
      <formula>"Check"</formula>
    </cfRule>
  </conditionalFormatting>
  <conditionalFormatting sqref="R253">
    <cfRule type="cellIs" dxfId="1" priority="241" stopIfTrue="1" operator="between">
      <formula>"Check"</formula>
      <formula>"Check"</formula>
    </cfRule>
  </conditionalFormatting>
  <conditionalFormatting sqref="R254">
    <cfRule type="cellIs" dxfId="1" priority="242" stopIfTrue="1" operator="between">
      <formula>"Check"</formula>
      <formula>"Check"</formula>
    </cfRule>
  </conditionalFormatting>
  <conditionalFormatting sqref="R255">
    <cfRule type="cellIs" dxfId="1" priority="243" stopIfTrue="1" operator="between">
      <formula>"Check"</formula>
      <formula>"Check"</formula>
    </cfRule>
  </conditionalFormatting>
  <conditionalFormatting sqref="R256">
    <cfRule type="cellIs" dxfId="1" priority="244" stopIfTrue="1" operator="between">
      <formula>"Check"</formula>
      <formula>"Check"</formula>
    </cfRule>
  </conditionalFormatting>
  <conditionalFormatting sqref="R257">
    <cfRule type="cellIs" dxfId="1" priority="245" stopIfTrue="1" operator="between">
      <formula>"Check"</formula>
      <formula>"Check"</formula>
    </cfRule>
  </conditionalFormatting>
  <conditionalFormatting sqref="R258">
    <cfRule type="cellIs" dxfId="1" priority="246" stopIfTrue="1" operator="between">
      <formula>"Check"</formula>
      <formula>"Check"</formula>
    </cfRule>
  </conditionalFormatting>
  <conditionalFormatting sqref="R259">
    <cfRule type="cellIs" dxfId="1" priority="247" stopIfTrue="1" operator="between">
      <formula>"Check"</formula>
      <formula>"Check"</formula>
    </cfRule>
  </conditionalFormatting>
  <conditionalFormatting sqref="R260">
    <cfRule type="cellIs" dxfId="1" priority="248" stopIfTrue="1" operator="between">
      <formula>"Check"</formula>
      <formula>"Check"</formula>
    </cfRule>
  </conditionalFormatting>
  <conditionalFormatting sqref="R261">
    <cfRule type="cellIs" dxfId="1" priority="249" stopIfTrue="1" operator="between">
      <formula>"Check"</formula>
      <formula>"Check"</formula>
    </cfRule>
  </conditionalFormatting>
  <conditionalFormatting sqref="R262">
    <cfRule type="cellIs" dxfId="1" priority="250" stopIfTrue="1" operator="between">
      <formula>"Check"</formula>
      <formula>"Check"</formula>
    </cfRule>
  </conditionalFormatting>
  <conditionalFormatting sqref="R263">
    <cfRule type="cellIs" dxfId="1" priority="251" stopIfTrue="1" operator="between">
      <formula>"Check"</formula>
      <formula>"Check"</formula>
    </cfRule>
  </conditionalFormatting>
  <conditionalFormatting sqref="R264">
    <cfRule type="cellIs" dxfId="1" priority="252" stopIfTrue="1" operator="between">
      <formula>"Check"</formula>
      <formula>"Check"</formula>
    </cfRule>
  </conditionalFormatting>
  <conditionalFormatting sqref="R265">
    <cfRule type="cellIs" dxfId="1" priority="253" stopIfTrue="1" operator="between">
      <formula>"Check"</formula>
      <formula>"Check"</formula>
    </cfRule>
  </conditionalFormatting>
  <conditionalFormatting sqref="R266">
    <cfRule type="cellIs" dxfId="1" priority="254" stopIfTrue="1" operator="between">
      <formula>"Check"</formula>
      <formula>"Check"</formula>
    </cfRule>
  </conditionalFormatting>
  <conditionalFormatting sqref="R267">
    <cfRule type="cellIs" dxfId="1" priority="255" stopIfTrue="1" operator="between">
      <formula>"Check"</formula>
      <formula>"Check"</formula>
    </cfRule>
  </conditionalFormatting>
  <conditionalFormatting sqref="R268">
    <cfRule type="cellIs" dxfId="1" priority="256" stopIfTrue="1" operator="between">
      <formula>"Check"</formula>
      <formula>"Check"</formula>
    </cfRule>
  </conditionalFormatting>
  <conditionalFormatting sqref="R269">
    <cfRule type="cellIs" dxfId="1" priority="257" stopIfTrue="1" operator="between">
      <formula>"Check"</formula>
      <formula>"Check"</formula>
    </cfRule>
  </conditionalFormatting>
  <conditionalFormatting sqref="R270">
    <cfRule type="cellIs" dxfId="1" priority="258" stopIfTrue="1" operator="between">
      <formula>"Check"</formula>
      <formula>"Check"</formula>
    </cfRule>
  </conditionalFormatting>
  <conditionalFormatting sqref="R271">
    <cfRule type="cellIs" dxfId="1" priority="259" stopIfTrue="1" operator="between">
      <formula>"Check"</formula>
      <formula>"Check"</formula>
    </cfRule>
  </conditionalFormatting>
  <conditionalFormatting sqref="R272">
    <cfRule type="cellIs" dxfId="1" priority="260" stopIfTrue="1" operator="between">
      <formula>"Check"</formula>
      <formula>"Check"</formula>
    </cfRule>
  </conditionalFormatting>
  <conditionalFormatting sqref="R273">
    <cfRule type="cellIs" dxfId="1" priority="261" stopIfTrue="1" operator="between">
      <formula>"Check"</formula>
      <formula>"Check"</formula>
    </cfRule>
  </conditionalFormatting>
  <conditionalFormatting sqref="R274">
    <cfRule type="cellIs" dxfId="1" priority="262" stopIfTrue="1" operator="between">
      <formula>"Check"</formula>
      <formula>"Check"</formula>
    </cfRule>
  </conditionalFormatting>
  <conditionalFormatting sqref="R275">
    <cfRule type="cellIs" dxfId="1" priority="263" stopIfTrue="1" operator="between">
      <formula>"Check"</formula>
      <formula>"Check"</formula>
    </cfRule>
  </conditionalFormatting>
  <conditionalFormatting sqref="R276">
    <cfRule type="cellIs" dxfId="1" priority="264" stopIfTrue="1" operator="between">
      <formula>"Check"</formula>
      <formula>"Check"</formula>
    </cfRule>
  </conditionalFormatting>
  <conditionalFormatting sqref="R277">
    <cfRule type="cellIs" dxfId="1" priority="265" stopIfTrue="1" operator="between">
      <formula>"Check"</formula>
      <formula>"Check"</formula>
    </cfRule>
  </conditionalFormatting>
  <conditionalFormatting sqref="R278">
    <cfRule type="cellIs" dxfId="1" priority="266" stopIfTrue="1" operator="between">
      <formula>"Check"</formula>
      <formula>"Check"</formula>
    </cfRule>
  </conditionalFormatting>
  <conditionalFormatting sqref="R279">
    <cfRule type="cellIs" dxfId="1" priority="267" stopIfTrue="1" operator="between">
      <formula>"Check"</formula>
      <formula>"Check"</formula>
    </cfRule>
  </conditionalFormatting>
  <conditionalFormatting sqref="R280">
    <cfRule type="cellIs" dxfId="1" priority="268" stopIfTrue="1" operator="between">
      <formula>"Check"</formula>
      <formula>"Check"</formula>
    </cfRule>
  </conditionalFormatting>
  <conditionalFormatting sqref="R281">
    <cfRule type="cellIs" dxfId="1" priority="269" stopIfTrue="1" operator="between">
      <formula>"Check"</formula>
      <formula>"Check"</formula>
    </cfRule>
  </conditionalFormatting>
  <conditionalFormatting sqref="R282">
    <cfRule type="cellIs" dxfId="1" priority="270" stopIfTrue="1" operator="between">
      <formula>"Check"</formula>
      <formula>"Check"</formula>
    </cfRule>
  </conditionalFormatting>
  <conditionalFormatting sqref="R283">
    <cfRule type="cellIs" dxfId="1" priority="271" stopIfTrue="1" operator="between">
      <formula>"Check"</formula>
      <formula>"Check"</formula>
    </cfRule>
  </conditionalFormatting>
  <conditionalFormatting sqref="R284">
    <cfRule type="cellIs" dxfId="1" priority="272" stopIfTrue="1" operator="between">
      <formula>"Check"</formula>
      <formula>"Check"</formula>
    </cfRule>
  </conditionalFormatting>
  <conditionalFormatting sqref="R285">
    <cfRule type="cellIs" dxfId="1" priority="273" stopIfTrue="1" operator="between">
      <formula>"Check"</formula>
      <formula>"Check"</formula>
    </cfRule>
  </conditionalFormatting>
  <conditionalFormatting sqref="R286">
    <cfRule type="cellIs" dxfId="1" priority="274" stopIfTrue="1" operator="between">
      <formula>"Check"</formula>
      <formula>"Check"</formula>
    </cfRule>
  </conditionalFormatting>
  <conditionalFormatting sqref="R287">
    <cfRule type="cellIs" dxfId="1" priority="275" stopIfTrue="1" operator="between">
      <formula>"Check"</formula>
      <formula>"Check"</formula>
    </cfRule>
  </conditionalFormatting>
  <conditionalFormatting sqref="R288">
    <cfRule type="cellIs" dxfId="1" priority="276" stopIfTrue="1" operator="between">
      <formula>"Check"</formula>
      <formula>"Check"</formula>
    </cfRule>
  </conditionalFormatting>
  <conditionalFormatting sqref="R289">
    <cfRule type="cellIs" dxfId="1" priority="277" stopIfTrue="1" operator="between">
      <formula>"Check"</formula>
      <formula>"Check"</formula>
    </cfRule>
  </conditionalFormatting>
  <conditionalFormatting sqref="R290">
    <cfRule type="cellIs" dxfId="1" priority="278" stopIfTrue="1" operator="between">
      <formula>"Check"</formula>
      <formula>"Check"</formula>
    </cfRule>
  </conditionalFormatting>
  <conditionalFormatting sqref="R291">
    <cfRule type="cellIs" dxfId="1" priority="279" stopIfTrue="1" operator="between">
      <formula>"Check"</formula>
      <formula>"Check"</formula>
    </cfRule>
  </conditionalFormatting>
  <conditionalFormatting sqref="R292">
    <cfRule type="cellIs" dxfId="1" priority="280" stopIfTrue="1" operator="between">
      <formula>"Check"</formula>
      <formula>"Check"</formula>
    </cfRule>
  </conditionalFormatting>
  <conditionalFormatting sqref="R293">
    <cfRule type="cellIs" dxfId="1" priority="281" stopIfTrue="1" operator="between">
      <formula>"Check"</formula>
      <formula>"Check"</formula>
    </cfRule>
  </conditionalFormatting>
  <conditionalFormatting sqref="R294">
    <cfRule type="cellIs" dxfId="1" priority="282" stopIfTrue="1" operator="between">
      <formula>"Check"</formula>
      <formula>"Check"</formula>
    </cfRule>
  </conditionalFormatting>
  <conditionalFormatting sqref="R295">
    <cfRule type="cellIs" dxfId="1" priority="283" stopIfTrue="1" operator="between">
      <formula>"Check"</formula>
      <formula>"Check"</formula>
    </cfRule>
  </conditionalFormatting>
  <conditionalFormatting sqref="R296">
    <cfRule type="cellIs" dxfId="1" priority="284" stopIfTrue="1" operator="between">
      <formula>"Check"</formula>
      <formula>"Check"</formula>
    </cfRule>
  </conditionalFormatting>
  <conditionalFormatting sqref="R297">
    <cfRule type="cellIs" dxfId="1" priority="285" stopIfTrue="1" operator="between">
      <formula>"Check"</formula>
      <formula>"Check"</formula>
    </cfRule>
  </conditionalFormatting>
  <conditionalFormatting sqref="R298">
    <cfRule type="cellIs" dxfId="1" priority="286" stopIfTrue="1" operator="between">
      <formula>"Check"</formula>
      <formula>"Check"</formula>
    </cfRule>
  </conditionalFormatting>
  <conditionalFormatting sqref="R299">
    <cfRule type="cellIs" dxfId="1" priority="287" stopIfTrue="1" operator="between">
      <formula>"Check"</formula>
      <formula>"Check"</formula>
    </cfRule>
  </conditionalFormatting>
  <conditionalFormatting sqref="R300">
    <cfRule type="cellIs" dxfId="1" priority="288" stopIfTrue="1" operator="between">
      <formula>"Check"</formula>
      <formula>"Check"</formula>
    </cfRule>
  </conditionalFormatting>
  <conditionalFormatting sqref="R301">
    <cfRule type="cellIs" dxfId="1" priority="289" stopIfTrue="1" operator="between">
      <formula>"Check"</formula>
      <formula>"Check"</formula>
    </cfRule>
  </conditionalFormatting>
  <conditionalFormatting sqref="R302">
    <cfRule type="cellIs" dxfId="1" priority="290" stopIfTrue="1" operator="between">
      <formula>"Check"</formula>
      <formula>"Check"</formula>
    </cfRule>
  </conditionalFormatting>
  <conditionalFormatting sqref="R303">
    <cfRule type="cellIs" dxfId="1" priority="291" stopIfTrue="1" operator="between">
      <formula>"Check"</formula>
      <formula>"Check"</formula>
    </cfRule>
  </conditionalFormatting>
  <conditionalFormatting sqref="R304">
    <cfRule type="cellIs" dxfId="1" priority="292" stopIfTrue="1" operator="between">
      <formula>"Check"</formula>
      <formula>"Check"</formula>
    </cfRule>
  </conditionalFormatting>
  <conditionalFormatting sqref="R305">
    <cfRule type="cellIs" dxfId="1" priority="293" stopIfTrue="1" operator="between">
      <formula>"Check"</formula>
      <formula>"Check"</formula>
    </cfRule>
  </conditionalFormatting>
  <conditionalFormatting sqref="R306">
    <cfRule type="cellIs" dxfId="1" priority="294" stopIfTrue="1" operator="between">
      <formula>"Check"</formula>
      <formula>"Check"</formula>
    </cfRule>
  </conditionalFormatting>
  <conditionalFormatting sqref="R307">
    <cfRule type="cellIs" dxfId="1" priority="295" stopIfTrue="1" operator="between">
      <formula>"Check"</formula>
      <formula>"Check"</formula>
    </cfRule>
  </conditionalFormatting>
  <conditionalFormatting sqref="R308">
    <cfRule type="cellIs" dxfId="1" priority="296" stopIfTrue="1" operator="between">
      <formula>"Check"</formula>
      <formula>"Check"</formula>
    </cfRule>
  </conditionalFormatting>
  <conditionalFormatting sqref="R309">
    <cfRule type="cellIs" dxfId="1" priority="297" stopIfTrue="1" operator="between">
      <formula>"Check"</formula>
      <formula>"Check"</formula>
    </cfRule>
  </conditionalFormatting>
  <conditionalFormatting sqref="R310">
    <cfRule type="cellIs" dxfId="1" priority="298" stopIfTrue="1" operator="between">
      <formula>"Check"</formula>
      <formula>"Check"</formula>
    </cfRule>
  </conditionalFormatting>
  <conditionalFormatting sqref="R311">
    <cfRule type="cellIs" dxfId="1" priority="299" stopIfTrue="1" operator="between">
      <formula>"Check"</formula>
      <formula>"Check"</formula>
    </cfRule>
  </conditionalFormatting>
  <conditionalFormatting sqref="R312">
    <cfRule type="cellIs" dxfId="1" priority="300" stopIfTrue="1" operator="between">
      <formula>"Check"</formula>
      <formula>"Check"</formula>
    </cfRule>
  </conditionalFormatting>
  <conditionalFormatting sqref="R313">
    <cfRule type="cellIs" dxfId="1" priority="301" stopIfTrue="1" operator="between">
      <formula>"Check"</formula>
      <formula>"Check"</formula>
    </cfRule>
  </conditionalFormatting>
  <conditionalFormatting sqref="R314">
    <cfRule type="cellIs" dxfId="1" priority="302" stopIfTrue="1" operator="between">
      <formula>"Check"</formula>
      <formula>"Check"</formula>
    </cfRule>
  </conditionalFormatting>
  <conditionalFormatting sqref="R315">
    <cfRule type="cellIs" dxfId="1" priority="303" stopIfTrue="1" operator="between">
      <formula>"Check"</formula>
      <formula>"Check"</formula>
    </cfRule>
  </conditionalFormatting>
  <conditionalFormatting sqref="R316">
    <cfRule type="cellIs" dxfId="1" priority="304" stopIfTrue="1" operator="between">
      <formula>"Check"</formula>
      <formula>"Check"</formula>
    </cfRule>
  </conditionalFormatting>
  <conditionalFormatting sqref="R317">
    <cfRule type="cellIs" dxfId="1" priority="305" stopIfTrue="1" operator="between">
      <formula>"Check"</formula>
      <formula>"Check"</formula>
    </cfRule>
  </conditionalFormatting>
  <conditionalFormatting sqref="R318">
    <cfRule type="cellIs" dxfId="1" priority="306" stopIfTrue="1" operator="between">
      <formula>"Check"</formula>
      <formula>"Check"</formula>
    </cfRule>
  </conditionalFormatting>
  <conditionalFormatting sqref="R319">
    <cfRule type="cellIs" dxfId="1" priority="307" stopIfTrue="1" operator="between">
      <formula>"Check"</formula>
      <formula>"Check"</formula>
    </cfRule>
  </conditionalFormatting>
  <conditionalFormatting sqref="R320">
    <cfRule type="cellIs" dxfId="1" priority="308" stopIfTrue="1" operator="between">
      <formula>"Check"</formula>
      <formula>"Check"</formula>
    </cfRule>
  </conditionalFormatting>
  <conditionalFormatting sqref="R321">
    <cfRule type="cellIs" dxfId="1" priority="309" stopIfTrue="1" operator="between">
      <formula>"Check"</formula>
      <formula>"Check"</formula>
    </cfRule>
  </conditionalFormatting>
  <conditionalFormatting sqref="R322">
    <cfRule type="cellIs" dxfId="1" priority="310" stopIfTrue="1" operator="between">
      <formula>"Check"</formula>
      <formula>"Check"</formula>
    </cfRule>
  </conditionalFormatting>
  <conditionalFormatting sqref="R323">
    <cfRule type="cellIs" dxfId="1" priority="311" stopIfTrue="1" operator="between">
      <formula>"Check"</formula>
      <formula>"Check"</formula>
    </cfRule>
  </conditionalFormatting>
  <conditionalFormatting sqref="R324">
    <cfRule type="cellIs" dxfId="1" priority="312" stopIfTrue="1" operator="between">
      <formula>"Check"</formula>
      <formula>"Check"</formula>
    </cfRule>
  </conditionalFormatting>
  <conditionalFormatting sqref="R325">
    <cfRule type="cellIs" dxfId="1" priority="313" stopIfTrue="1" operator="between">
      <formula>"Check"</formula>
      <formula>"Check"</formula>
    </cfRule>
  </conditionalFormatting>
  <conditionalFormatting sqref="R326">
    <cfRule type="cellIs" dxfId="1" priority="314" stopIfTrue="1" operator="between">
      <formula>"Check"</formula>
      <formula>"Check"</formula>
    </cfRule>
  </conditionalFormatting>
  <conditionalFormatting sqref="R327">
    <cfRule type="cellIs" dxfId="1" priority="315" stopIfTrue="1" operator="between">
      <formula>"Check"</formula>
      <formula>"Check"</formula>
    </cfRule>
  </conditionalFormatting>
  <conditionalFormatting sqref="R328">
    <cfRule type="cellIs" dxfId="1" priority="316" stopIfTrue="1" operator="between">
      <formula>"Check"</formula>
      <formula>"Check"</formula>
    </cfRule>
  </conditionalFormatting>
  <conditionalFormatting sqref="R329">
    <cfRule type="cellIs" dxfId="1" priority="317" stopIfTrue="1" operator="between">
      <formula>"Check"</formula>
      <formula>"Check"</formula>
    </cfRule>
  </conditionalFormatting>
  <conditionalFormatting sqref="R330">
    <cfRule type="cellIs" dxfId="1" priority="318" stopIfTrue="1" operator="between">
      <formula>"Check"</formula>
      <formula>"Check"</formula>
    </cfRule>
  </conditionalFormatting>
  <conditionalFormatting sqref="R331">
    <cfRule type="cellIs" dxfId="1" priority="319" stopIfTrue="1" operator="between">
      <formula>"Check"</formula>
      <formula>"Check"</formula>
    </cfRule>
  </conditionalFormatting>
  <conditionalFormatting sqref="R332">
    <cfRule type="cellIs" dxfId="1" priority="320" stopIfTrue="1" operator="between">
      <formula>"Check"</formula>
      <formula>"Check"</formula>
    </cfRule>
  </conditionalFormatting>
  <conditionalFormatting sqref="R333">
    <cfRule type="cellIs" dxfId="1" priority="321" stopIfTrue="1" operator="between">
      <formula>"Check"</formula>
      <formula>"Check"</formula>
    </cfRule>
  </conditionalFormatting>
  <conditionalFormatting sqref="R334">
    <cfRule type="cellIs" dxfId="1" priority="322" stopIfTrue="1" operator="between">
      <formula>"Check"</formula>
      <formula>"Check"</formula>
    </cfRule>
  </conditionalFormatting>
  <conditionalFormatting sqref="R335">
    <cfRule type="cellIs" dxfId="1" priority="323" stopIfTrue="1" operator="between">
      <formula>"Check"</formula>
      <formula>"Check"</formula>
    </cfRule>
  </conditionalFormatting>
  <conditionalFormatting sqref="R336">
    <cfRule type="cellIs" dxfId="1" priority="324" stopIfTrue="1" operator="between">
      <formula>"Check"</formula>
      <formula>"Check"</formula>
    </cfRule>
  </conditionalFormatting>
  <conditionalFormatting sqref="R337">
    <cfRule type="cellIs" dxfId="1" priority="325" stopIfTrue="1" operator="between">
      <formula>"Check"</formula>
      <formula>"Check"</formula>
    </cfRule>
  </conditionalFormatting>
  <conditionalFormatting sqref="R338">
    <cfRule type="cellIs" dxfId="1" priority="326" stopIfTrue="1" operator="between">
      <formula>"Check"</formula>
      <formula>"Check"</formula>
    </cfRule>
  </conditionalFormatting>
  <conditionalFormatting sqref="R339">
    <cfRule type="cellIs" dxfId="1" priority="327" stopIfTrue="1" operator="between">
      <formula>"Check"</formula>
      <formula>"Check"</formula>
    </cfRule>
  </conditionalFormatting>
  <conditionalFormatting sqref="R340">
    <cfRule type="cellIs" dxfId="1" priority="328" stopIfTrue="1" operator="between">
      <formula>"Check"</formula>
      <formula>"Check"</formula>
    </cfRule>
  </conditionalFormatting>
  <conditionalFormatting sqref="R341">
    <cfRule type="cellIs" dxfId="1" priority="329" stopIfTrue="1" operator="between">
      <formula>"Check"</formula>
      <formula>"Check"</formula>
    </cfRule>
  </conditionalFormatting>
  <conditionalFormatting sqref="R342">
    <cfRule type="cellIs" dxfId="1" priority="330" stopIfTrue="1" operator="between">
      <formula>"Check"</formula>
      <formula>"Check"</formula>
    </cfRule>
  </conditionalFormatting>
  <conditionalFormatting sqref="R343">
    <cfRule type="cellIs" dxfId="1" priority="331" stopIfTrue="1" operator="between">
      <formula>"Check"</formula>
      <formula>"Check"</formula>
    </cfRule>
  </conditionalFormatting>
  <conditionalFormatting sqref="R344">
    <cfRule type="cellIs" dxfId="1" priority="332" stopIfTrue="1" operator="between">
      <formula>"Check"</formula>
      <formula>"Check"</formula>
    </cfRule>
  </conditionalFormatting>
  <conditionalFormatting sqref="R345">
    <cfRule type="cellIs" dxfId="1" priority="333" stopIfTrue="1" operator="between">
      <formula>"Check"</formula>
      <formula>"Check"</formula>
    </cfRule>
  </conditionalFormatting>
  <conditionalFormatting sqref="R346">
    <cfRule type="cellIs" dxfId="1" priority="334" stopIfTrue="1" operator="between">
      <formula>"Check"</formula>
      <formula>"Check"</formula>
    </cfRule>
  </conditionalFormatting>
  <conditionalFormatting sqref="R347">
    <cfRule type="cellIs" dxfId="1" priority="335" stopIfTrue="1" operator="between">
      <formula>"Check"</formula>
      <formula>"Check"</formula>
    </cfRule>
  </conditionalFormatting>
  <conditionalFormatting sqref="R348">
    <cfRule type="cellIs" dxfId="1" priority="336" stopIfTrue="1" operator="between">
      <formula>"Check"</formula>
      <formula>"Check"</formula>
    </cfRule>
  </conditionalFormatting>
  <conditionalFormatting sqref="R349">
    <cfRule type="cellIs" dxfId="1" priority="337" stopIfTrue="1" operator="between">
      <formula>"Check"</formula>
      <formula>"Check"</formula>
    </cfRule>
  </conditionalFormatting>
  <conditionalFormatting sqref="R350">
    <cfRule type="cellIs" dxfId="1" priority="338" stopIfTrue="1" operator="between">
      <formula>"Check"</formula>
      <formula>"Check"</formula>
    </cfRule>
  </conditionalFormatting>
  <conditionalFormatting sqref="R351">
    <cfRule type="cellIs" dxfId="1" priority="339" stopIfTrue="1" operator="between">
      <formula>"Check"</formula>
      <formula>"Check"</formula>
    </cfRule>
  </conditionalFormatting>
  <conditionalFormatting sqref="R352">
    <cfRule type="cellIs" dxfId="1" priority="340" stopIfTrue="1" operator="between">
      <formula>"Check"</formula>
      <formula>"Check"</formula>
    </cfRule>
  </conditionalFormatting>
  <conditionalFormatting sqref="R353">
    <cfRule type="cellIs" dxfId="1" priority="341" stopIfTrue="1" operator="between">
      <formula>"Check"</formula>
      <formula>"Check"</formula>
    </cfRule>
  </conditionalFormatting>
  <conditionalFormatting sqref="R354">
    <cfRule type="cellIs" dxfId="1" priority="342" stopIfTrue="1" operator="between">
      <formula>"Check"</formula>
      <formula>"Check"</formula>
    </cfRule>
  </conditionalFormatting>
  <conditionalFormatting sqref="R355">
    <cfRule type="cellIs" dxfId="1" priority="343" stopIfTrue="1" operator="between">
      <formula>"Check"</formula>
      <formula>"Check"</formula>
    </cfRule>
  </conditionalFormatting>
  <conditionalFormatting sqref="R356">
    <cfRule type="cellIs" dxfId="1" priority="344" stopIfTrue="1" operator="between">
      <formula>"Check"</formula>
      <formula>"Check"</formula>
    </cfRule>
  </conditionalFormatting>
  <conditionalFormatting sqref="R357">
    <cfRule type="cellIs" dxfId="1" priority="345" stopIfTrue="1" operator="between">
      <formula>"Check"</formula>
      <formula>"Check"</formula>
    </cfRule>
  </conditionalFormatting>
  <conditionalFormatting sqref="R358">
    <cfRule type="cellIs" dxfId="1" priority="346" stopIfTrue="1" operator="between">
      <formula>"Check"</formula>
      <formula>"Check"</formula>
    </cfRule>
  </conditionalFormatting>
  <conditionalFormatting sqref="R359">
    <cfRule type="cellIs" dxfId="1" priority="347" stopIfTrue="1" operator="between">
      <formula>"Check"</formula>
      <formula>"Check"</formula>
    </cfRule>
  </conditionalFormatting>
  <conditionalFormatting sqref="R360">
    <cfRule type="cellIs" dxfId="1" priority="348" stopIfTrue="1" operator="between">
      <formula>"Check"</formula>
      <formula>"Check"</formula>
    </cfRule>
  </conditionalFormatting>
  <conditionalFormatting sqref="R361">
    <cfRule type="cellIs" dxfId="1" priority="349" stopIfTrue="1" operator="between">
      <formula>"Check"</formula>
      <formula>"Check"</formula>
    </cfRule>
  </conditionalFormatting>
  <conditionalFormatting sqref="R362">
    <cfRule type="cellIs" dxfId="1" priority="350" stopIfTrue="1" operator="between">
      <formula>"Check"</formula>
      <formula>"Check"</formula>
    </cfRule>
  </conditionalFormatting>
  <conditionalFormatting sqref="R363">
    <cfRule type="cellIs" dxfId="1" priority="351" stopIfTrue="1" operator="between">
      <formula>"Check"</formula>
      <formula>"Check"</formula>
    </cfRule>
  </conditionalFormatting>
  <conditionalFormatting sqref="R364">
    <cfRule type="cellIs" dxfId="1" priority="352" stopIfTrue="1" operator="between">
      <formula>"Check"</formula>
      <formula>"Check"</formula>
    </cfRule>
  </conditionalFormatting>
  <conditionalFormatting sqref="R365">
    <cfRule type="cellIs" dxfId="1" priority="353" stopIfTrue="1" operator="between">
      <formula>"Check"</formula>
      <formula>"Check"</formula>
    </cfRule>
  </conditionalFormatting>
  <conditionalFormatting sqref="R366">
    <cfRule type="cellIs" dxfId="1" priority="354" stopIfTrue="1" operator="between">
      <formula>"Check"</formula>
      <formula>"Check"</formula>
    </cfRule>
  </conditionalFormatting>
  <conditionalFormatting sqref="R367">
    <cfRule type="cellIs" dxfId="1" priority="355" stopIfTrue="1" operator="between">
      <formula>"Check"</formula>
      <formula>"Check"</formula>
    </cfRule>
  </conditionalFormatting>
  <conditionalFormatting sqref="R368">
    <cfRule type="cellIs" dxfId="1" priority="356" stopIfTrue="1" operator="between">
      <formula>"Check"</formula>
      <formula>"Check"</formula>
    </cfRule>
  </conditionalFormatting>
  <conditionalFormatting sqref="R369">
    <cfRule type="cellIs" dxfId="1" priority="357" stopIfTrue="1" operator="between">
      <formula>"Check"</formula>
      <formula>"Check"</formula>
    </cfRule>
  </conditionalFormatting>
  <conditionalFormatting sqref="R370">
    <cfRule type="cellIs" dxfId="1" priority="358" stopIfTrue="1" operator="between">
      <formula>"Check"</formula>
      <formula>"Check"</formula>
    </cfRule>
  </conditionalFormatting>
  <conditionalFormatting sqref="R371">
    <cfRule type="cellIs" dxfId="1" priority="359" stopIfTrue="1" operator="between">
      <formula>"Check"</formula>
      <formula>"Check"</formula>
    </cfRule>
  </conditionalFormatting>
  <conditionalFormatting sqref="R372">
    <cfRule type="cellIs" dxfId="1" priority="360" stopIfTrue="1" operator="between">
      <formula>"Check"</formula>
      <formula>"Check"</formula>
    </cfRule>
  </conditionalFormatting>
  <conditionalFormatting sqref="R373">
    <cfRule type="cellIs" dxfId="1" priority="361" stopIfTrue="1" operator="between">
      <formula>"Check"</formula>
      <formula>"Check"</formula>
    </cfRule>
  </conditionalFormatting>
  <conditionalFormatting sqref="R374">
    <cfRule type="cellIs" dxfId="1" priority="362" stopIfTrue="1" operator="between">
      <formula>"Check"</formula>
      <formula>"Check"</formula>
    </cfRule>
  </conditionalFormatting>
  <conditionalFormatting sqref="R375">
    <cfRule type="cellIs" dxfId="1" priority="363" stopIfTrue="1" operator="between">
      <formula>"Check"</formula>
      <formula>"Check"</formula>
    </cfRule>
  </conditionalFormatting>
  <conditionalFormatting sqref="R376">
    <cfRule type="cellIs" dxfId="1" priority="364" stopIfTrue="1" operator="between">
      <formula>"Check"</formula>
      <formula>"Check"</formula>
    </cfRule>
  </conditionalFormatting>
  <conditionalFormatting sqref="R377">
    <cfRule type="cellIs" dxfId="1" priority="365" stopIfTrue="1" operator="between">
      <formula>"Check"</formula>
      <formula>"Check"</formula>
    </cfRule>
  </conditionalFormatting>
  <conditionalFormatting sqref="R378">
    <cfRule type="cellIs" dxfId="1" priority="366" stopIfTrue="1" operator="between">
      <formula>"Check"</formula>
      <formula>"Check"</formula>
    </cfRule>
  </conditionalFormatting>
  <conditionalFormatting sqref="R379">
    <cfRule type="cellIs" dxfId="1" priority="367" stopIfTrue="1" operator="between">
      <formula>"Check"</formula>
      <formula>"Check"</formula>
    </cfRule>
  </conditionalFormatting>
  <conditionalFormatting sqref="R380">
    <cfRule type="cellIs" dxfId="1" priority="368" stopIfTrue="1" operator="between">
      <formula>"Check"</formula>
      <formula>"Check"</formula>
    </cfRule>
  </conditionalFormatting>
  <conditionalFormatting sqref="R381">
    <cfRule type="cellIs" dxfId="1" priority="369" stopIfTrue="1" operator="between">
      <formula>"Check"</formula>
      <formula>"Check"</formula>
    </cfRule>
  </conditionalFormatting>
  <conditionalFormatting sqref="R382">
    <cfRule type="cellIs" dxfId="1" priority="370" stopIfTrue="1" operator="between">
      <formula>"Check"</formula>
      <formula>"Check"</formula>
    </cfRule>
  </conditionalFormatting>
  <conditionalFormatting sqref="R383">
    <cfRule type="cellIs" dxfId="1" priority="371" stopIfTrue="1" operator="between">
      <formula>"Check"</formula>
      <formula>"Check"</formula>
    </cfRule>
  </conditionalFormatting>
  <conditionalFormatting sqref="R384">
    <cfRule type="cellIs" dxfId="1" priority="372" stopIfTrue="1" operator="between">
      <formula>"Check"</formula>
      <formula>"Check"</formula>
    </cfRule>
  </conditionalFormatting>
  <conditionalFormatting sqref="R385">
    <cfRule type="cellIs" dxfId="1" priority="373" stopIfTrue="1" operator="between">
      <formula>"Check"</formula>
      <formula>"Check"</formula>
    </cfRule>
  </conditionalFormatting>
  <conditionalFormatting sqref="R386">
    <cfRule type="cellIs" dxfId="1" priority="374" stopIfTrue="1" operator="between">
      <formula>"Check"</formula>
      <formula>"Check"</formula>
    </cfRule>
  </conditionalFormatting>
  <conditionalFormatting sqref="R387">
    <cfRule type="cellIs" dxfId="1" priority="375" stopIfTrue="1" operator="between">
      <formula>"Check"</formula>
      <formula>"Check"</formula>
    </cfRule>
  </conditionalFormatting>
  <conditionalFormatting sqref="R388">
    <cfRule type="cellIs" dxfId="1" priority="376" stopIfTrue="1" operator="between">
      <formula>"Check"</formula>
      <formula>"Check"</formula>
    </cfRule>
  </conditionalFormatting>
  <conditionalFormatting sqref="R389">
    <cfRule type="cellIs" dxfId="1" priority="377" stopIfTrue="1" operator="between">
      <formula>"Check"</formula>
      <formula>"Check"</formula>
    </cfRule>
  </conditionalFormatting>
  <conditionalFormatting sqref="R390">
    <cfRule type="cellIs" dxfId="1" priority="378" stopIfTrue="1" operator="between">
      <formula>"Check"</formula>
      <formula>"Check"</formula>
    </cfRule>
  </conditionalFormatting>
  <conditionalFormatting sqref="R391">
    <cfRule type="cellIs" dxfId="1" priority="379" stopIfTrue="1" operator="between">
      <formula>"Check"</formula>
      <formula>"Check"</formula>
    </cfRule>
  </conditionalFormatting>
  <conditionalFormatting sqref="R392">
    <cfRule type="cellIs" dxfId="1" priority="380" stopIfTrue="1" operator="between">
      <formula>"Check"</formula>
      <formula>"Check"</formula>
    </cfRule>
  </conditionalFormatting>
  <conditionalFormatting sqref="R393">
    <cfRule type="cellIs" dxfId="1" priority="381" stopIfTrue="1" operator="between">
      <formula>"Check"</formula>
      <formula>"Check"</formula>
    </cfRule>
  </conditionalFormatting>
  <conditionalFormatting sqref="R394">
    <cfRule type="cellIs" dxfId="1" priority="382" stopIfTrue="1" operator="between">
      <formula>"Check"</formula>
      <formula>"Check"</formula>
    </cfRule>
  </conditionalFormatting>
  <conditionalFormatting sqref="R395">
    <cfRule type="cellIs" dxfId="1" priority="383" stopIfTrue="1" operator="between">
      <formula>"Check"</formula>
      <formula>"Check"</formula>
    </cfRule>
  </conditionalFormatting>
  <conditionalFormatting sqref="R396">
    <cfRule type="cellIs" dxfId="1" priority="384" stopIfTrue="1" operator="between">
      <formula>"Check"</formula>
      <formula>"Check"</formula>
    </cfRule>
  </conditionalFormatting>
  <conditionalFormatting sqref="R397">
    <cfRule type="cellIs" dxfId="1" priority="385" stopIfTrue="1" operator="between">
      <formula>"Check"</formula>
      <formula>"Check"</formula>
    </cfRule>
  </conditionalFormatting>
  <conditionalFormatting sqref="R398">
    <cfRule type="cellIs" dxfId="1" priority="386" stopIfTrue="1" operator="between">
      <formula>"Check"</formula>
      <formula>"Check"</formula>
    </cfRule>
  </conditionalFormatting>
  <conditionalFormatting sqref="R399">
    <cfRule type="cellIs" dxfId="1" priority="387" stopIfTrue="1" operator="between">
      <formula>"Check"</formula>
      <formula>"Check"</formula>
    </cfRule>
  </conditionalFormatting>
  <conditionalFormatting sqref="R400">
    <cfRule type="cellIs" dxfId="1" priority="388" stopIfTrue="1" operator="between">
      <formula>"Check"</formula>
      <formula>"Check"</formula>
    </cfRule>
  </conditionalFormatting>
  <conditionalFormatting sqref="R401">
    <cfRule type="cellIs" dxfId="1" priority="389" stopIfTrue="1" operator="between">
      <formula>"Check"</formula>
      <formula>"Check"</formula>
    </cfRule>
  </conditionalFormatting>
  <conditionalFormatting sqref="R402">
    <cfRule type="cellIs" dxfId="1" priority="390" stopIfTrue="1" operator="between">
      <formula>"Check"</formula>
      <formula>"Check"</formula>
    </cfRule>
  </conditionalFormatting>
  <conditionalFormatting sqref="R403">
    <cfRule type="cellIs" dxfId="1" priority="391" stopIfTrue="1" operator="between">
      <formula>"Check"</formula>
      <formula>"Check"</formula>
    </cfRule>
  </conditionalFormatting>
  <conditionalFormatting sqref="R404">
    <cfRule type="cellIs" dxfId="1" priority="392" stopIfTrue="1" operator="between">
      <formula>"Check"</formula>
      <formula>"Check"</formula>
    </cfRule>
  </conditionalFormatting>
  <conditionalFormatting sqref="R405">
    <cfRule type="cellIs" dxfId="1" priority="393" stopIfTrue="1" operator="between">
      <formula>"Check"</formula>
      <formula>"Check"</formula>
    </cfRule>
  </conditionalFormatting>
  <conditionalFormatting sqref="R406">
    <cfRule type="cellIs" dxfId="1" priority="394" stopIfTrue="1" operator="between">
      <formula>"Check"</formula>
      <formula>"Check"</formula>
    </cfRule>
  </conditionalFormatting>
  <conditionalFormatting sqref="R407">
    <cfRule type="cellIs" dxfId="1" priority="395" stopIfTrue="1" operator="between">
      <formula>"Check"</formula>
      <formula>"Check"</formula>
    </cfRule>
  </conditionalFormatting>
  <conditionalFormatting sqref="R408">
    <cfRule type="cellIs" dxfId="1" priority="396" stopIfTrue="1" operator="between">
      <formula>"Check"</formula>
      <formula>"Check"</formula>
    </cfRule>
  </conditionalFormatting>
  <conditionalFormatting sqref="R409">
    <cfRule type="cellIs" dxfId="1" priority="397" stopIfTrue="1" operator="between">
      <formula>"Check"</formula>
      <formula>"Check"</formula>
    </cfRule>
  </conditionalFormatting>
  <conditionalFormatting sqref="R410">
    <cfRule type="cellIs" dxfId="1" priority="398" stopIfTrue="1" operator="between">
      <formula>"Check"</formula>
      <formula>"Check"</formula>
    </cfRule>
  </conditionalFormatting>
  <conditionalFormatting sqref="R411">
    <cfRule type="cellIs" dxfId="1" priority="399" stopIfTrue="1" operator="between">
      <formula>"Check"</formula>
      <formula>"Check"</formula>
    </cfRule>
  </conditionalFormatting>
  <conditionalFormatting sqref="R412">
    <cfRule type="cellIs" dxfId="1" priority="400" stopIfTrue="1" operator="between">
      <formula>"Check"</formula>
      <formula>"Check"</formula>
    </cfRule>
  </conditionalFormatting>
  <conditionalFormatting sqref="R413">
    <cfRule type="cellIs" dxfId="1" priority="401" stopIfTrue="1" operator="between">
      <formula>"Check"</formula>
      <formula>"Check"</formula>
    </cfRule>
  </conditionalFormatting>
  <conditionalFormatting sqref="R414">
    <cfRule type="cellIs" dxfId="1" priority="402" stopIfTrue="1" operator="between">
      <formula>"Check"</formula>
      <formula>"Check"</formula>
    </cfRule>
  </conditionalFormatting>
  <conditionalFormatting sqref="R415">
    <cfRule type="cellIs" dxfId="1" priority="403" stopIfTrue="1" operator="between">
      <formula>"Check"</formula>
      <formula>"Check"</formula>
    </cfRule>
  </conditionalFormatting>
  <conditionalFormatting sqref="R416">
    <cfRule type="cellIs" dxfId="1" priority="404" stopIfTrue="1" operator="between">
      <formula>"Check"</formula>
      <formula>"Check"</formula>
    </cfRule>
  </conditionalFormatting>
  <conditionalFormatting sqref="R417">
    <cfRule type="cellIs" dxfId="1" priority="405" stopIfTrue="1" operator="between">
      <formula>"Check"</formula>
      <formula>"Check"</formula>
    </cfRule>
  </conditionalFormatting>
  <conditionalFormatting sqref="R418">
    <cfRule type="cellIs" dxfId="1" priority="406" stopIfTrue="1" operator="between">
      <formula>"Check"</formula>
      <formula>"Check"</formula>
    </cfRule>
  </conditionalFormatting>
  <conditionalFormatting sqref="R419">
    <cfRule type="cellIs" dxfId="1" priority="407" stopIfTrue="1" operator="between">
      <formula>"Check"</formula>
      <formula>"Check"</formula>
    </cfRule>
  </conditionalFormatting>
  <conditionalFormatting sqref="R420">
    <cfRule type="cellIs" dxfId="1" priority="408" stopIfTrue="1" operator="between">
      <formula>"Check"</formula>
      <formula>"Check"</formula>
    </cfRule>
  </conditionalFormatting>
  <conditionalFormatting sqref="R421">
    <cfRule type="cellIs" dxfId="1" priority="409" stopIfTrue="1" operator="between">
      <formula>"Check"</formula>
      <formula>"Check"</formula>
    </cfRule>
  </conditionalFormatting>
  <conditionalFormatting sqref="R422">
    <cfRule type="cellIs" dxfId="1" priority="410" stopIfTrue="1" operator="between">
      <formula>"Check"</formula>
      <formula>"Check"</formula>
    </cfRule>
  </conditionalFormatting>
  <conditionalFormatting sqref="R423">
    <cfRule type="cellIs" dxfId="1" priority="411" stopIfTrue="1" operator="between">
      <formula>"Check"</formula>
      <formula>"Check"</formula>
    </cfRule>
  </conditionalFormatting>
  <conditionalFormatting sqref="R424">
    <cfRule type="cellIs" dxfId="1" priority="412" stopIfTrue="1" operator="between">
      <formula>"Check"</formula>
      <formula>"Check"</formula>
    </cfRule>
  </conditionalFormatting>
  <conditionalFormatting sqref="R425">
    <cfRule type="cellIs" dxfId="1" priority="413" stopIfTrue="1" operator="between">
      <formula>"Check"</formula>
      <formula>"Check"</formula>
    </cfRule>
  </conditionalFormatting>
  <conditionalFormatting sqref="R426">
    <cfRule type="cellIs" dxfId="1" priority="414" stopIfTrue="1" operator="between">
      <formula>"Check"</formula>
      <formula>"Check"</formula>
    </cfRule>
  </conditionalFormatting>
  <conditionalFormatting sqref="R427">
    <cfRule type="cellIs" dxfId="1" priority="415" stopIfTrue="1" operator="between">
      <formula>"Check"</formula>
      <formula>"Check"</formula>
    </cfRule>
  </conditionalFormatting>
  <conditionalFormatting sqref="R428">
    <cfRule type="cellIs" dxfId="1" priority="416" stopIfTrue="1" operator="between">
      <formula>"Check"</formula>
      <formula>"Check"</formula>
    </cfRule>
  </conditionalFormatting>
  <conditionalFormatting sqref="R429">
    <cfRule type="cellIs" dxfId="1" priority="417" stopIfTrue="1" operator="between">
      <formula>"Check"</formula>
      <formula>"Check"</formula>
    </cfRule>
  </conditionalFormatting>
  <conditionalFormatting sqref="R430">
    <cfRule type="cellIs" dxfId="1" priority="418" stopIfTrue="1" operator="between">
      <formula>"Check"</formula>
      <formula>"Check"</formula>
    </cfRule>
  </conditionalFormatting>
  <conditionalFormatting sqref="R431">
    <cfRule type="cellIs" dxfId="1" priority="419" stopIfTrue="1" operator="between">
      <formula>"Check"</formula>
      <formula>"Check"</formula>
    </cfRule>
  </conditionalFormatting>
  <conditionalFormatting sqref="R432">
    <cfRule type="cellIs" dxfId="1" priority="420" stopIfTrue="1" operator="between">
      <formula>"Check"</formula>
      <formula>"Check"</formula>
    </cfRule>
  </conditionalFormatting>
  <conditionalFormatting sqref="R433">
    <cfRule type="cellIs" dxfId="1" priority="421" stopIfTrue="1" operator="between">
      <formula>"Check"</formula>
      <formula>"Check"</formula>
    </cfRule>
  </conditionalFormatting>
  <conditionalFormatting sqref="R434">
    <cfRule type="cellIs" dxfId="1" priority="422" stopIfTrue="1" operator="between">
      <formula>"Check"</formula>
      <formula>"Check"</formula>
    </cfRule>
  </conditionalFormatting>
  <conditionalFormatting sqref="R435">
    <cfRule type="cellIs" dxfId="1" priority="423" stopIfTrue="1" operator="between">
      <formula>"Check"</formula>
      <formula>"Check"</formula>
    </cfRule>
  </conditionalFormatting>
  <conditionalFormatting sqref="R436">
    <cfRule type="cellIs" dxfId="1" priority="424" stopIfTrue="1" operator="between">
      <formula>"Check"</formula>
      <formula>"Check"</formula>
    </cfRule>
  </conditionalFormatting>
  <conditionalFormatting sqref="R437">
    <cfRule type="cellIs" dxfId="1" priority="425" stopIfTrue="1" operator="between">
      <formula>"Check"</formula>
      <formula>"Check"</formula>
    </cfRule>
  </conditionalFormatting>
  <conditionalFormatting sqref="R438">
    <cfRule type="cellIs" dxfId="1" priority="426" stopIfTrue="1" operator="between">
      <formula>"Check"</formula>
      <formula>"Check"</formula>
    </cfRule>
  </conditionalFormatting>
  <conditionalFormatting sqref="R439">
    <cfRule type="cellIs" dxfId="1" priority="427" stopIfTrue="1" operator="between">
      <formula>"Check"</formula>
      <formula>"Check"</formula>
    </cfRule>
  </conditionalFormatting>
  <conditionalFormatting sqref="R440">
    <cfRule type="cellIs" dxfId="1" priority="428" stopIfTrue="1" operator="between">
      <formula>"Check"</formula>
      <formula>"Check"</formula>
    </cfRule>
  </conditionalFormatting>
  <conditionalFormatting sqref="R441">
    <cfRule type="cellIs" dxfId="1" priority="429" stopIfTrue="1" operator="between">
      <formula>"Check"</formula>
      <formula>"Check"</formula>
    </cfRule>
  </conditionalFormatting>
  <conditionalFormatting sqref="R442">
    <cfRule type="cellIs" dxfId="1" priority="430" stopIfTrue="1" operator="between">
      <formula>"Check"</formula>
      <formula>"Check"</formula>
    </cfRule>
  </conditionalFormatting>
  <conditionalFormatting sqref="R443">
    <cfRule type="cellIs" dxfId="1" priority="431" stopIfTrue="1" operator="between">
      <formula>"Check"</formula>
      <formula>"Check"</formula>
    </cfRule>
  </conditionalFormatting>
  <conditionalFormatting sqref="R444">
    <cfRule type="cellIs" dxfId="1" priority="432" stopIfTrue="1" operator="between">
      <formula>"Check"</formula>
      <formula>"Check"</formula>
    </cfRule>
  </conditionalFormatting>
  <conditionalFormatting sqref="R445">
    <cfRule type="cellIs" dxfId="1" priority="433" stopIfTrue="1" operator="between">
      <formula>"Check"</formula>
      <formula>"Check"</formula>
    </cfRule>
  </conditionalFormatting>
  <conditionalFormatting sqref="R446">
    <cfRule type="cellIs" dxfId="1" priority="434" stopIfTrue="1" operator="between">
      <formula>"Check"</formula>
      <formula>"Check"</formula>
    </cfRule>
  </conditionalFormatting>
  <conditionalFormatting sqref="R447">
    <cfRule type="cellIs" dxfId="1" priority="435" stopIfTrue="1" operator="between">
      <formula>"Check"</formula>
      <formula>"Check"</formula>
    </cfRule>
  </conditionalFormatting>
  <conditionalFormatting sqref="R448">
    <cfRule type="cellIs" dxfId="1" priority="436" stopIfTrue="1" operator="between">
      <formula>"Check"</formula>
      <formula>"Check"</formula>
    </cfRule>
  </conditionalFormatting>
  <conditionalFormatting sqref="R449">
    <cfRule type="cellIs" dxfId="1" priority="437" stopIfTrue="1" operator="between">
      <formula>"Check"</formula>
      <formula>"Check"</formula>
    </cfRule>
  </conditionalFormatting>
  <conditionalFormatting sqref="R450">
    <cfRule type="cellIs" dxfId="1" priority="438" stopIfTrue="1" operator="between">
      <formula>"Check"</formula>
      <formula>"Check"</formula>
    </cfRule>
  </conditionalFormatting>
  <conditionalFormatting sqref="R451">
    <cfRule type="cellIs" dxfId="1" priority="439" stopIfTrue="1" operator="between">
      <formula>"Check"</formula>
      <formula>"Check"</formula>
    </cfRule>
  </conditionalFormatting>
  <conditionalFormatting sqref="R452">
    <cfRule type="cellIs" dxfId="1" priority="440" stopIfTrue="1" operator="between">
      <formula>"Check"</formula>
      <formula>"Check"</formula>
    </cfRule>
  </conditionalFormatting>
  <conditionalFormatting sqref="R453">
    <cfRule type="cellIs" dxfId="1" priority="441" stopIfTrue="1" operator="between">
      <formula>"Check"</formula>
      <formula>"Check"</formula>
    </cfRule>
  </conditionalFormatting>
  <conditionalFormatting sqref="R454">
    <cfRule type="cellIs" dxfId="1" priority="442" stopIfTrue="1" operator="between">
      <formula>"Check"</formula>
      <formula>"Check"</formula>
    </cfRule>
  </conditionalFormatting>
  <conditionalFormatting sqref="R455">
    <cfRule type="cellIs" dxfId="1" priority="443" stopIfTrue="1" operator="between">
      <formula>"Check"</formula>
      <formula>"Check"</formula>
    </cfRule>
  </conditionalFormatting>
  <conditionalFormatting sqref="R456">
    <cfRule type="cellIs" dxfId="1" priority="444" stopIfTrue="1" operator="between">
      <formula>"Check"</formula>
      <formula>"Check"</formula>
    </cfRule>
  </conditionalFormatting>
  <conditionalFormatting sqref="R457">
    <cfRule type="cellIs" dxfId="1" priority="445" stopIfTrue="1" operator="between">
      <formula>"Check"</formula>
      <formula>"Check"</formula>
    </cfRule>
  </conditionalFormatting>
  <conditionalFormatting sqref="R458">
    <cfRule type="cellIs" dxfId="1" priority="446" stopIfTrue="1" operator="between">
      <formula>"Check"</formula>
      <formula>"Check"</formula>
    </cfRule>
  </conditionalFormatting>
  <conditionalFormatting sqref="R459">
    <cfRule type="cellIs" dxfId="1" priority="447" stopIfTrue="1" operator="between">
      <formula>"Check"</formula>
      <formula>"Check"</formula>
    </cfRule>
  </conditionalFormatting>
  <conditionalFormatting sqref="R460">
    <cfRule type="cellIs" dxfId="1" priority="448" stopIfTrue="1" operator="between">
      <formula>"Check"</formula>
      <formula>"Check"</formula>
    </cfRule>
  </conditionalFormatting>
  <conditionalFormatting sqref="R461">
    <cfRule type="cellIs" dxfId="1" priority="449" stopIfTrue="1" operator="between">
      <formula>"Check"</formula>
      <formula>"Check"</formula>
    </cfRule>
  </conditionalFormatting>
  <conditionalFormatting sqref="R462">
    <cfRule type="cellIs" dxfId="1" priority="450" stopIfTrue="1" operator="between">
      <formula>"Check"</formula>
      <formula>"Check"</formula>
    </cfRule>
  </conditionalFormatting>
  <conditionalFormatting sqref="R463">
    <cfRule type="cellIs" dxfId="1" priority="451" stopIfTrue="1" operator="between">
      <formula>"Check"</formula>
      <formula>"Check"</formula>
    </cfRule>
  </conditionalFormatting>
  <conditionalFormatting sqref="R464">
    <cfRule type="cellIs" dxfId="1" priority="452" stopIfTrue="1" operator="between">
      <formula>"Check"</formula>
      <formula>"Check"</formula>
    </cfRule>
  </conditionalFormatting>
  <conditionalFormatting sqref="R465">
    <cfRule type="cellIs" dxfId="1" priority="453" stopIfTrue="1" operator="between">
      <formula>"Check"</formula>
      <formula>"Check"</formula>
    </cfRule>
  </conditionalFormatting>
  <conditionalFormatting sqref="R466">
    <cfRule type="cellIs" dxfId="1" priority="454" stopIfTrue="1" operator="between">
      <formula>"Check"</formula>
      <formula>"Check"</formula>
    </cfRule>
  </conditionalFormatting>
  <conditionalFormatting sqref="R467">
    <cfRule type="cellIs" dxfId="1" priority="455" stopIfTrue="1" operator="between">
      <formula>"Check"</formula>
      <formula>"Check"</formula>
    </cfRule>
  </conditionalFormatting>
  <conditionalFormatting sqref="R468">
    <cfRule type="cellIs" dxfId="1" priority="456" stopIfTrue="1" operator="between">
      <formula>"Check"</formula>
      <formula>"Check"</formula>
    </cfRule>
  </conditionalFormatting>
  <conditionalFormatting sqref="R469">
    <cfRule type="cellIs" dxfId="1" priority="457" stopIfTrue="1" operator="between">
      <formula>"Check"</formula>
      <formula>"Check"</formula>
    </cfRule>
  </conditionalFormatting>
  <conditionalFormatting sqref="R470">
    <cfRule type="cellIs" dxfId="1" priority="458" stopIfTrue="1" operator="between">
      <formula>"Check"</formula>
      <formula>"Check"</formula>
    </cfRule>
  </conditionalFormatting>
  <conditionalFormatting sqref="R471">
    <cfRule type="cellIs" dxfId="1" priority="459" stopIfTrue="1" operator="between">
      <formula>"Check"</formula>
      <formula>"Check"</formula>
    </cfRule>
  </conditionalFormatting>
  <conditionalFormatting sqref="R472">
    <cfRule type="cellIs" dxfId="1" priority="460" stopIfTrue="1" operator="between">
      <formula>"Check"</formula>
      <formula>"Check"</formula>
    </cfRule>
  </conditionalFormatting>
  <conditionalFormatting sqref="R473">
    <cfRule type="cellIs" dxfId="1" priority="461" stopIfTrue="1" operator="between">
      <formula>"Check"</formula>
      <formula>"Check"</formula>
    </cfRule>
  </conditionalFormatting>
  <conditionalFormatting sqref="R474">
    <cfRule type="cellIs" dxfId="1" priority="462" stopIfTrue="1" operator="between">
      <formula>"Check"</formula>
      <formula>"Check"</formula>
    </cfRule>
  </conditionalFormatting>
  <conditionalFormatting sqref="R475">
    <cfRule type="cellIs" dxfId="1" priority="463" stopIfTrue="1" operator="between">
      <formula>"Check"</formula>
      <formula>"Check"</formula>
    </cfRule>
  </conditionalFormatting>
  <conditionalFormatting sqref="R476">
    <cfRule type="cellIs" dxfId="1" priority="464" stopIfTrue="1" operator="between">
      <formula>"Check"</formula>
      <formula>"Check"</formula>
    </cfRule>
  </conditionalFormatting>
  <conditionalFormatting sqref="R477">
    <cfRule type="cellIs" dxfId="1" priority="465" stopIfTrue="1" operator="between">
      <formula>"Check"</formula>
      <formula>"Check"</formula>
    </cfRule>
  </conditionalFormatting>
  <conditionalFormatting sqref="R478">
    <cfRule type="cellIs" dxfId="1" priority="466" stopIfTrue="1" operator="between">
      <formula>"Check"</formula>
      <formula>"Check"</formula>
    </cfRule>
  </conditionalFormatting>
  <conditionalFormatting sqref="R479">
    <cfRule type="cellIs" dxfId="1" priority="467" stopIfTrue="1" operator="between">
      <formula>"Check"</formula>
      <formula>"Check"</formula>
    </cfRule>
  </conditionalFormatting>
  <conditionalFormatting sqref="R480">
    <cfRule type="cellIs" dxfId="1" priority="468" stopIfTrue="1" operator="between">
      <formula>"Check"</formula>
      <formula>"Check"</formula>
    </cfRule>
  </conditionalFormatting>
  <conditionalFormatting sqref="R481">
    <cfRule type="cellIs" dxfId="1" priority="469" stopIfTrue="1" operator="between">
      <formula>"Check"</formula>
      <formula>"Check"</formula>
    </cfRule>
  </conditionalFormatting>
  <conditionalFormatting sqref="R482">
    <cfRule type="cellIs" dxfId="1" priority="470" stopIfTrue="1" operator="between">
      <formula>"Check"</formula>
      <formula>"Check"</formula>
    </cfRule>
  </conditionalFormatting>
  <conditionalFormatting sqref="R483">
    <cfRule type="cellIs" dxfId="1" priority="471" stopIfTrue="1" operator="between">
      <formula>"Check"</formula>
      <formula>"Check"</formula>
    </cfRule>
  </conditionalFormatting>
  <conditionalFormatting sqref="R484">
    <cfRule type="cellIs" dxfId="1" priority="472" stopIfTrue="1" operator="between">
      <formula>"Check"</formula>
      <formula>"Check"</formula>
    </cfRule>
  </conditionalFormatting>
  <conditionalFormatting sqref="R485">
    <cfRule type="cellIs" dxfId="1" priority="473" stopIfTrue="1" operator="between">
      <formula>"Check"</formula>
      <formula>"Check"</formula>
    </cfRule>
  </conditionalFormatting>
  <conditionalFormatting sqref="R486">
    <cfRule type="cellIs" dxfId="1" priority="474" stopIfTrue="1" operator="between">
      <formula>"Check"</formula>
      <formula>"Check"</formula>
    </cfRule>
  </conditionalFormatting>
  <conditionalFormatting sqref="R487">
    <cfRule type="cellIs" dxfId="1" priority="475" stopIfTrue="1" operator="between">
      <formula>"Check"</formula>
      <formula>"Check"</formula>
    </cfRule>
  </conditionalFormatting>
  <conditionalFormatting sqref="R488">
    <cfRule type="cellIs" dxfId="1" priority="476" stopIfTrue="1" operator="between">
      <formula>"Check"</formula>
      <formula>"Check"</formula>
    </cfRule>
  </conditionalFormatting>
  <conditionalFormatting sqref="R489">
    <cfRule type="cellIs" dxfId="1" priority="477" stopIfTrue="1" operator="between">
      <formula>"Check"</formula>
      <formula>"Check"</formula>
    </cfRule>
  </conditionalFormatting>
  <conditionalFormatting sqref="R490">
    <cfRule type="cellIs" dxfId="1" priority="478" stopIfTrue="1" operator="between">
      <formula>"Check"</formula>
      <formula>"Check"</formula>
    </cfRule>
  </conditionalFormatting>
  <conditionalFormatting sqref="R491">
    <cfRule type="cellIs" dxfId="1" priority="479" stopIfTrue="1" operator="between">
      <formula>"Check"</formula>
      <formula>"Check"</formula>
    </cfRule>
  </conditionalFormatting>
  <conditionalFormatting sqref="R492">
    <cfRule type="cellIs" dxfId="1" priority="480" stopIfTrue="1" operator="between">
      <formula>"Check"</formula>
      <formula>"Check"</formula>
    </cfRule>
  </conditionalFormatting>
  <conditionalFormatting sqref="R493">
    <cfRule type="cellIs" dxfId="1" priority="481" stopIfTrue="1" operator="between">
      <formula>"Check"</formula>
      <formula>"Check"</formula>
    </cfRule>
  </conditionalFormatting>
  <conditionalFormatting sqref="R494">
    <cfRule type="cellIs" dxfId="1" priority="482" stopIfTrue="1" operator="between">
      <formula>"Check"</formula>
      <formula>"Check"</formula>
    </cfRule>
  </conditionalFormatting>
  <conditionalFormatting sqref="R495">
    <cfRule type="cellIs" dxfId="1" priority="483" stopIfTrue="1" operator="between">
      <formula>"Check"</formula>
      <formula>"Check"</formula>
    </cfRule>
  </conditionalFormatting>
  <conditionalFormatting sqref="R496">
    <cfRule type="cellIs" dxfId="1" priority="484" stopIfTrue="1" operator="between">
      <formula>"Check"</formula>
      <formula>"Check"</formula>
    </cfRule>
  </conditionalFormatting>
  <conditionalFormatting sqref="R497">
    <cfRule type="cellIs" dxfId="1" priority="485" stopIfTrue="1" operator="between">
      <formula>"Check"</formula>
      <formula>"Check"</formula>
    </cfRule>
  </conditionalFormatting>
  <conditionalFormatting sqref="R498">
    <cfRule type="cellIs" dxfId="1" priority="486" stopIfTrue="1" operator="between">
      <formula>"Check"</formula>
      <formula>"Check"</formula>
    </cfRule>
  </conditionalFormatting>
  <conditionalFormatting sqref="R499">
    <cfRule type="cellIs" dxfId="1" priority="487" stopIfTrue="1" operator="between">
      <formula>"Check"</formula>
      <formula>"Check"</formula>
    </cfRule>
  </conditionalFormatting>
  <conditionalFormatting sqref="R500">
    <cfRule type="cellIs" dxfId="1" priority="488" stopIfTrue="1" operator="between">
      <formula>"Check"</formula>
      <formula>"Check"</formula>
    </cfRule>
  </conditionalFormatting>
  <conditionalFormatting sqref="R501">
    <cfRule type="cellIs" dxfId="1" priority="489" stopIfTrue="1" operator="between">
      <formula>"Check"</formula>
      <formula>"Check"</formula>
    </cfRule>
  </conditionalFormatting>
  <conditionalFormatting sqref="R502">
    <cfRule type="cellIs" dxfId="1" priority="490" stopIfTrue="1" operator="between">
      <formula>"Check"</formula>
      <formula>"Check"</formula>
    </cfRule>
  </conditionalFormatting>
  <conditionalFormatting sqref="R503">
    <cfRule type="cellIs" dxfId="1" priority="491" stopIfTrue="1" operator="between">
      <formula>"Check"</formula>
      <formula>"Check"</formula>
    </cfRule>
  </conditionalFormatting>
  <conditionalFormatting sqref="R504">
    <cfRule type="cellIs" dxfId="1" priority="492" stopIfTrue="1" operator="between">
      <formula>"Check"</formula>
      <formula>"Check"</formula>
    </cfRule>
  </conditionalFormatting>
  <conditionalFormatting sqref="R505">
    <cfRule type="cellIs" dxfId="1" priority="493" stopIfTrue="1" operator="between">
      <formula>"Check"</formula>
      <formula>"Check"</formula>
    </cfRule>
  </conditionalFormatting>
  <conditionalFormatting sqref="R506">
    <cfRule type="cellIs" dxfId="1" priority="494" stopIfTrue="1" operator="between">
      <formula>"Check"</formula>
      <formula>"Check"</formula>
    </cfRule>
  </conditionalFormatting>
  <conditionalFormatting sqref="R507">
    <cfRule type="cellIs" dxfId="1" priority="495" stopIfTrue="1" operator="between">
      <formula>"Check"</formula>
      <formula>"Check"</formula>
    </cfRule>
  </conditionalFormatting>
  <conditionalFormatting sqref="R508">
    <cfRule type="cellIs" dxfId="1" priority="496" stopIfTrue="1" operator="between">
      <formula>"Check"</formula>
      <formula>"Check"</formula>
    </cfRule>
  </conditionalFormatting>
  <conditionalFormatting sqref="R509">
    <cfRule type="cellIs" dxfId="1" priority="497" stopIfTrue="1" operator="between">
      <formula>"Check"</formula>
      <formula>"Check"</formula>
    </cfRule>
  </conditionalFormatting>
  <conditionalFormatting sqref="R510">
    <cfRule type="cellIs" dxfId="1" priority="498" stopIfTrue="1" operator="between">
      <formula>"Check"</formula>
      <formula>"Check"</formula>
    </cfRule>
  </conditionalFormatting>
  <conditionalFormatting sqref="R511">
    <cfRule type="cellIs" dxfId="1" priority="499" stopIfTrue="1" operator="between">
      <formula>"Check"</formula>
      <formula>"Check"</formula>
    </cfRule>
  </conditionalFormatting>
  <conditionalFormatting sqref="R512">
    <cfRule type="cellIs" dxfId="1" priority="500" stopIfTrue="1" operator="between">
      <formula>"Check"</formula>
      <formula>"Check"</formula>
    </cfRule>
  </conditionalFormatting>
  <conditionalFormatting sqref="R513">
    <cfRule type="cellIs" dxfId="1" priority="501" stopIfTrue="1" operator="between">
      <formula>"Check"</formula>
      <formula>"Check"</formula>
    </cfRule>
  </conditionalFormatting>
  <conditionalFormatting sqref="R514">
    <cfRule type="cellIs" dxfId="1" priority="502" stopIfTrue="1" operator="between">
      <formula>"Check"</formula>
      <formula>"Check"</formula>
    </cfRule>
  </conditionalFormatting>
  <conditionalFormatting sqref="R515">
    <cfRule type="cellIs" dxfId="1" priority="503" stopIfTrue="1" operator="between">
      <formula>"Check"</formula>
      <formula>"Check"</formula>
    </cfRule>
  </conditionalFormatting>
  <conditionalFormatting sqref="R516">
    <cfRule type="cellIs" dxfId="1" priority="504" stopIfTrue="1" operator="between">
      <formula>"Check"</formula>
      <formula>"Check"</formula>
    </cfRule>
  </conditionalFormatting>
  <conditionalFormatting sqref="R517">
    <cfRule type="cellIs" dxfId="1" priority="505" stopIfTrue="1" operator="between">
      <formula>"Check"</formula>
      <formula>"Check"</formula>
    </cfRule>
  </conditionalFormatting>
  <conditionalFormatting sqref="R518">
    <cfRule type="cellIs" dxfId="1" priority="506" stopIfTrue="1" operator="between">
      <formula>"Check"</formula>
      <formula>"Check"</formula>
    </cfRule>
  </conditionalFormatting>
  <conditionalFormatting sqref="R519">
    <cfRule type="cellIs" dxfId="1" priority="507" stopIfTrue="1" operator="between">
      <formula>"Check"</formula>
      <formula>"Check"</formula>
    </cfRule>
  </conditionalFormatting>
  <conditionalFormatting sqref="R520">
    <cfRule type="cellIs" dxfId="1" priority="508" stopIfTrue="1" operator="between">
      <formula>"Check"</formula>
      <formula>"Check"</formula>
    </cfRule>
  </conditionalFormatting>
  <conditionalFormatting sqref="R521">
    <cfRule type="cellIs" dxfId="1" priority="509" stopIfTrue="1" operator="between">
      <formula>"Check"</formula>
      <formula>"Check"</formula>
    </cfRule>
  </conditionalFormatting>
  <conditionalFormatting sqref="R522">
    <cfRule type="cellIs" dxfId="1" priority="510" stopIfTrue="1" operator="between">
      <formula>"Check"</formula>
      <formula>"Check"</formula>
    </cfRule>
  </conditionalFormatting>
  <conditionalFormatting sqref="R523">
    <cfRule type="cellIs" dxfId="1" priority="511" stopIfTrue="1" operator="between">
      <formula>"Check"</formula>
      <formula>"Check"</formula>
    </cfRule>
  </conditionalFormatting>
  <conditionalFormatting sqref="R524">
    <cfRule type="cellIs" dxfId="1" priority="512" stopIfTrue="1" operator="between">
      <formula>"Check"</formula>
      <formula>"Check"</formula>
    </cfRule>
  </conditionalFormatting>
  <conditionalFormatting sqref="R525">
    <cfRule type="cellIs" dxfId="1" priority="513" stopIfTrue="1" operator="between">
      <formula>"Check"</formula>
      <formula>"Check"</formula>
    </cfRule>
  </conditionalFormatting>
  <conditionalFormatting sqref="R526">
    <cfRule type="cellIs" dxfId="1" priority="514" stopIfTrue="1" operator="between">
      <formula>"Check"</formula>
      <formula>"Check"</formula>
    </cfRule>
  </conditionalFormatting>
  <conditionalFormatting sqref="R527">
    <cfRule type="cellIs" dxfId="1" priority="515" stopIfTrue="1" operator="between">
      <formula>"Check"</formula>
      <formula>"Check"</formula>
    </cfRule>
  </conditionalFormatting>
  <conditionalFormatting sqref="R528">
    <cfRule type="cellIs" dxfId="1" priority="516" stopIfTrue="1" operator="between">
      <formula>"Check"</formula>
      <formula>"Check"</formula>
    </cfRule>
  </conditionalFormatting>
  <conditionalFormatting sqref="R529">
    <cfRule type="cellIs" dxfId="1" priority="517" stopIfTrue="1" operator="between">
      <formula>"Check"</formula>
      <formula>"Check"</formula>
    </cfRule>
  </conditionalFormatting>
  <conditionalFormatting sqref="R530">
    <cfRule type="cellIs" dxfId="1" priority="518" stopIfTrue="1" operator="between">
      <formula>"Check"</formula>
      <formula>"Check"</formula>
    </cfRule>
  </conditionalFormatting>
  <conditionalFormatting sqref="R531">
    <cfRule type="cellIs" dxfId="1" priority="519" stopIfTrue="1" operator="between">
      <formula>"Check"</formula>
      <formula>"Check"</formula>
    </cfRule>
  </conditionalFormatting>
  <conditionalFormatting sqref="R532">
    <cfRule type="cellIs" dxfId="1" priority="520" stopIfTrue="1" operator="between">
      <formula>"Check"</formula>
      <formula>"Check"</formula>
    </cfRule>
  </conditionalFormatting>
  <conditionalFormatting sqref="R533">
    <cfRule type="cellIs" dxfId="1" priority="521" stopIfTrue="1" operator="between">
      <formula>"Check"</formula>
      <formula>"Check"</formula>
    </cfRule>
  </conditionalFormatting>
  <conditionalFormatting sqref="R534">
    <cfRule type="cellIs" dxfId="1" priority="522" stopIfTrue="1" operator="between">
      <formula>"Check"</formula>
      <formula>"Check"</formula>
    </cfRule>
  </conditionalFormatting>
  <conditionalFormatting sqref="R535">
    <cfRule type="cellIs" dxfId="1" priority="523" stopIfTrue="1" operator="between">
      <formula>"Check"</formula>
      <formula>"Check"</formula>
    </cfRule>
  </conditionalFormatting>
  <conditionalFormatting sqref="R536">
    <cfRule type="cellIs" dxfId="1" priority="524" stopIfTrue="1" operator="between">
      <formula>"Check"</formula>
      <formula>"Check"</formula>
    </cfRule>
  </conditionalFormatting>
  <conditionalFormatting sqref="R537">
    <cfRule type="cellIs" dxfId="1" priority="525" stopIfTrue="1" operator="between">
      <formula>"Check"</formula>
      <formula>"Check"</formula>
    </cfRule>
  </conditionalFormatting>
  <conditionalFormatting sqref="R538">
    <cfRule type="cellIs" dxfId="1" priority="526" stopIfTrue="1" operator="between">
      <formula>"Check"</formula>
      <formula>"Check"</formula>
    </cfRule>
  </conditionalFormatting>
  <conditionalFormatting sqref="R539">
    <cfRule type="cellIs" dxfId="1" priority="527" stopIfTrue="1" operator="between">
      <formula>"Check"</formula>
      <formula>"Check"</formula>
    </cfRule>
  </conditionalFormatting>
  <conditionalFormatting sqref="R540">
    <cfRule type="cellIs" dxfId="1" priority="528" stopIfTrue="1" operator="between">
      <formula>"Check"</formula>
      <formula>"Check"</formula>
    </cfRule>
  </conditionalFormatting>
  <conditionalFormatting sqref="R541">
    <cfRule type="cellIs" dxfId="1" priority="529" stopIfTrue="1" operator="between">
      <formula>"Check"</formula>
      <formula>"Check"</formula>
    </cfRule>
  </conditionalFormatting>
  <conditionalFormatting sqref="R542">
    <cfRule type="cellIs" dxfId="1" priority="530" stopIfTrue="1" operator="between">
      <formula>"Check"</formula>
      <formula>"Check"</formula>
    </cfRule>
  </conditionalFormatting>
  <conditionalFormatting sqref="R543">
    <cfRule type="cellIs" dxfId="1" priority="531" stopIfTrue="1" operator="between">
      <formula>"Check"</formula>
      <formula>"Check"</formula>
    </cfRule>
  </conditionalFormatting>
  <conditionalFormatting sqref="R544">
    <cfRule type="cellIs" dxfId="1" priority="532" stopIfTrue="1" operator="between">
      <formula>"Check"</formula>
      <formula>"Check"</formula>
    </cfRule>
  </conditionalFormatting>
  <conditionalFormatting sqref="R545">
    <cfRule type="cellIs" dxfId="1" priority="533" stopIfTrue="1" operator="between">
      <formula>"Check"</formula>
      <formula>"Check"</formula>
    </cfRule>
  </conditionalFormatting>
  <conditionalFormatting sqref="R546">
    <cfRule type="cellIs" dxfId="1" priority="534" stopIfTrue="1" operator="between">
      <formula>"Check"</formula>
      <formula>"Check"</formula>
    </cfRule>
  </conditionalFormatting>
  <conditionalFormatting sqref="R547">
    <cfRule type="cellIs" dxfId="1" priority="535" stopIfTrue="1" operator="between">
      <formula>"Check"</formula>
      <formula>"Check"</formula>
    </cfRule>
  </conditionalFormatting>
  <conditionalFormatting sqref="R548">
    <cfRule type="cellIs" dxfId="1" priority="536" stopIfTrue="1" operator="between">
      <formula>"Check"</formula>
      <formula>"Check"</formula>
    </cfRule>
  </conditionalFormatting>
  <conditionalFormatting sqref="R549">
    <cfRule type="cellIs" dxfId="1" priority="537" stopIfTrue="1" operator="between">
      <formula>"Check"</formula>
      <formula>"Check"</formula>
    </cfRule>
  </conditionalFormatting>
  <conditionalFormatting sqref="R550">
    <cfRule type="cellIs" dxfId="1" priority="538" stopIfTrue="1" operator="between">
      <formula>"Check"</formula>
      <formula>"Check"</formula>
    </cfRule>
  </conditionalFormatting>
  <conditionalFormatting sqref="R551">
    <cfRule type="cellIs" dxfId="1" priority="539" stopIfTrue="1" operator="between">
      <formula>"Check"</formula>
      <formula>"Check"</formula>
    </cfRule>
  </conditionalFormatting>
  <conditionalFormatting sqref="R552">
    <cfRule type="cellIs" dxfId="1" priority="540" stopIfTrue="1" operator="between">
      <formula>"Check"</formula>
      <formula>"Check"</formula>
    </cfRule>
  </conditionalFormatting>
  <conditionalFormatting sqref="R553">
    <cfRule type="cellIs" dxfId="1" priority="541" stopIfTrue="1" operator="between">
      <formula>"Check"</formula>
      <formula>"Check"</formula>
    </cfRule>
  </conditionalFormatting>
  <conditionalFormatting sqref="R554">
    <cfRule type="cellIs" dxfId="1" priority="542" stopIfTrue="1" operator="between">
      <formula>"Check"</formula>
      <formula>"Check"</formula>
    </cfRule>
  </conditionalFormatting>
  <conditionalFormatting sqref="R555">
    <cfRule type="cellIs" dxfId="1" priority="543" stopIfTrue="1" operator="between">
      <formula>"Check"</formula>
      <formula>"Check"</formula>
    </cfRule>
  </conditionalFormatting>
  <conditionalFormatting sqref="R556">
    <cfRule type="cellIs" dxfId="1" priority="544" stopIfTrue="1" operator="between">
      <formula>"Check"</formula>
      <formula>"Check"</formula>
    </cfRule>
  </conditionalFormatting>
  <conditionalFormatting sqref="R557">
    <cfRule type="cellIs" dxfId="1" priority="545" stopIfTrue="1" operator="between">
      <formula>"Check"</formula>
      <formula>"Check"</formula>
    </cfRule>
  </conditionalFormatting>
  <conditionalFormatting sqref="R558">
    <cfRule type="cellIs" dxfId="1" priority="546" stopIfTrue="1" operator="between">
      <formula>"Check"</formula>
      <formula>"Check"</formula>
    </cfRule>
  </conditionalFormatting>
  <conditionalFormatting sqref="R559">
    <cfRule type="cellIs" dxfId="1" priority="547" stopIfTrue="1" operator="between">
      <formula>"Check"</formula>
      <formula>"Check"</formula>
    </cfRule>
  </conditionalFormatting>
  <conditionalFormatting sqref="R560">
    <cfRule type="cellIs" dxfId="1" priority="548" stopIfTrue="1" operator="between">
      <formula>"Check"</formula>
      <formula>"Check"</formula>
    </cfRule>
  </conditionalFormatting>
  <conditionalFormatting sqref="R561">
    <cfRule type="cellIs" dxfId="1" priority="549" stopIfTrue="1" operator="between">
      <formula>"Check"</formula>
      <formula>"Check"</formula>
    </cfRule>
  </conditionalFormatting>
  <conditionalFormatting sqref="R562">
    <cfRule type="cellIs" dxfId="1" priority="550" stopIfTrue="1" operator="between">
      <formula>"Check"</formula>
      <formula>"Check"</formula>
    </cfRule>
  </conditionalFormatting>
  <conditionalFormatting sqref="R563">
    <cfRule type="cellIs" dxfId="1" priority="551" stopIfTrue="1" operator="between">
      <formula>"Check"</formula>
      <formula>"Check"</formula>
    </cfRule>
  </conditionalFormatting>
  <conditionalFormatting sqref="R564">
    <cfRule type="cellIs" dxfId="1" priority="552" stopIfTrue="1" operator="between">
      <formula>"Check"</formula>
      <formula>"Check"</formula>
    </cfRule>
  </conditionalFormatting>
  <conditionalFormatting sqref="R565">
    <cfRule type="cellIs" dxfId="1" priority="553" stopIfTrue="1" operator="between">
      <formula>"Check"</formula>
      <formula>"Check"</formula>
    </cfRule>
  </conditionalFormatting>
  <conditionalFormatting sqref="R566">
    <cfRule type="cellIs" dxfId="1" priority="554" stopIfTrue="1" operator="between">
      <formula>"Check"</formula>
      <formula>"Check"</formula>
    </cfRule>
  </conditionalFormatting>
  <conditionalFormatting sqref="R567">
    <cfRule type="cellIs" dxfId="1" priority="555" stopIfTrue="1" operator="between">
      <formula>"Check"</formula>
      <formula>"Check"</formula>
    </cfRule>
  </conditionalFormatting>
  <conditionalFormatting sqref="R568">
    <cfRule type="cellIs" dxfId="1" priority="556" stopIfTrue="1" operator="between">
      <formula>"Check"</formula>
      <formula>"Check"</formula>
    </cfRule>
  </conditionalFormatting>
  <conditionalFormatting sqref="R569">
    <cfRule type="cellIs" dxfId="1" priority="557" stopIfTrue="1" operator="between">
      <formula>"Check"</formula>
      <formula>"Check"</formula>
    </cfRule>
  </conditionalFormatting>
  <conditionalFormatting sqref="R570">
    <cfRule type="cellIs" dxfId="1" priority="558" stopIfTrue="1" operator="between">
      <formula>"Check"</formula>
      <formula>"Check"</formula>
    </cfRule>
  </conditionalFormatting>
  <conditionalFormatting sqref="R571">
    <cfRule type="cellIs" dxfId="1" priority="559" stopIfTrue="1" operator="between">
      <formula>"Check"</formula>
      <formula>"Check"</formula>
    </cfRule>
  </conditionalFormatting>
  <conditionalFormatting sqref="R572">
    <cfRule type="cellIs" dxfId="1" priority="560" stopIfTrue="1" operator="between">
      <formula>"Check"</formula>
      <formula>"Check"</formula>
    </cfRule>
  </conditionalFormatting>
  <conditionalFormatting sqref="R573">
    <cfRule type="cellIs" dxfId="1" priority="561" stopIfTrue="1" operator="between">
      <formula>"Check"</formula>
      <formula>"Check"</formula>
    </cfRule>
  </conditionalFormatting>
  <conditionalFormatting sqref="R574">
    <cfRule type="cellIs" dxfId="1" priority="562" stopIfTrue="1" operator="between">
      <formula>"Check"</formula>
      <formula>"Check"</formula>
    </cfRule>
  </conditionalFormatting>
  <conditionalFormatting sqref="R575">
    <cfRule type="cellIs" dxfId="1" priority="563" stopIfTrue="1" operator="between">
      <formula>"Check"</formula>
      <formula>"Check"</formula>
    </cfRule>
  </conditionalFormatting>
  <conditionalFormatting sqref="R576">
    <cfRule type="cellIs" dxfId="1" priority="564" stopIfTrue="1" operator="between">
      <formula>"Check"</formula>
      <formula>"Check"</formula>
    </cfRule>
  </conditionalFormatting>
  <conditionalFormatting sqref="R577">
    <cfRule type="cellIs" dxfId="1" priority="565" stopIfTrue="1" operator="between">
      <formula>"Check"</formula>
      <formula>"Check"</formula>
    </cfRule>
  </conditionalFormatting>
  <conditionalFormatting sqref="R578">
    <cfRule type="cellIs" dxfId="1" priority="566" stopIfTrue="1" operator="between">
      <formula>"Check"</formula>
      <formula>"Check"</formula>
    </cfRule>
  </conditionalFormatting>
  <conditionalFormatting sqref="R579">
    <cfRule type="cellIs" dxfId="1" priority="567" stopIfTrue="1" operator="between">
      <formula>"Check"</formula>
      <formula>"Check"</formula>
    </cfRule>
  </conditionalFormatting>
  <conditionalFormatting sqref="R580">
    <cfRule type="cellIs" dxfId="1" priority="568" stopIfTrue="1" operator="between">
      <formula>"Check"</formula>
      <formula>"Check"</formula>
    </cfRule>
  </conditionalFormatting>
  <conditionalFormatting sqref="R581">
    <cfRule type="cellIs" dxfId="1" priority="569" stopIfTrue="1" operator="between">
      <formula>"Check"</formula>
      <formula>"Check"</formula>
    </cfRule>
  </conditionalFormatting>
  <conditionalFormatting sqref="R582">
    <cfRule type="cellIs" dxfId="1" priority="570" stopIfTrue="1" operator="between">
      <formula>"Check"</formula>
      <formula>"Check"</formula>
    </cfRule>
  </conditionalFormatting>
  <conditionalFormatting sqref="R583">
    <cfRule type="cellIs" dxfId="1" priority="571" stopIfTrue="1" operator="between">
      <formula>"Check"</formula>
      <formula>"Check"</formula>
    </cfRule>
  </conditionalFormatting>
  <conditionalFormatting sqref="R584">
    <cfRule type="cellIs" dxfId="1" priority="572" stopIfTrue="1" operator="between">
      <formula>"Check"</formula>
      <formula>"Check"</formula>
    </cfRule>
  </conditionalFormatting>
  <conditionalFormatting sqref="R585">
    <cfRule type="cellIs" dxfId="1" priority="573" stopIfTrue="1" operator="between">
      <formula>"Check"</formula>
      <formula>"Check"</formula>
    </cfRule>
  </conditionalFormatting>
  <conditionalFormatting sqref="R586">
    <cfRule type="cellIs" dxfId="1" priority="574" stopIfTrue="1" operator="between">
      <formula>"Check"</formula>
      <formula>"Check"</formula>
    </cfRule>
  </conditionalFormatting>
  <conditionalFormatting sqref="R587">
    <cfRule type="cellIs" dxfId="1" priority="575" stopIfTrue="1" operator="between">
      <formula>"Check"</formula>
      <formula>"Check"</formula>
    </cfRule>
  </conditionalFormatting>
  <conditionalFormatting sqref="R588">
    <cfRule type="cellIs" dxfId="1" priority="576" stopIfTrue="1" operator="between">
      <formula>"Check"</formula>
      <formula>"Check"</formula>
    </cfRule>
  </conditionalFormatting>
  <conditionalFormatting sqref="R589">
    <cfRule type="cellIs" dxfId="1" priority="577" stopIfTrue="1" operator="between">
      <formula>"Check"</formula>
      <formula>"Check"</formula>
    </cfRule>
  </conditionalFormatting>
  <conditionalFormatting sqref="R590">
    <cfRule type="cellIs" dxfId="1" priority="578" stopIfTrue="1" operator="between">
      <formula>"Check"</formula>
      <formula>"Check"</formula>
    </cfRule>
  </conditionalFormatting>
  <conditionalFormatting sqref="R591">
    <cfRule type="cellIs" dxfId="1" priority="579" stopIfTrue="1" operator="between">
      <formula>"Check"</formula>
      <formula>"Check"</formula>
    </cfRule>
  </conditionalFormatting>
  <conditionalFormatting sqref="R592">
    <cfRule type="cellIs" dxfId="1" priority="580" stopIfTrue="1" operator="between">
      <formula>"Check"</formula>
      <formula>"Check"</formula>
    </cfRule>
  </conditionalFormatting>
  <conditionalFormatting sqref="R593">
    <cfRule type="cellIs" dxfId="1" priority="581" stopIfTrue="1" operator="between">
      <formula>"Check"</formula>
      <formula>"Check"</formula>
    </cfRule>
  </conditionalFormatting>
  <conditionalFormatting sqref="R594">
    <cfRule type="cellIs" dxfId="1" priority="582" stopIfTrue="1" operator="between">
      <formula>"Check"</formula>
      <formula>"Check"</formula>
    </cfRule>
  </conditionalFormatting>
  <conditionalFormatting sqref="R595">
    <cfRule type="cellIs" dxfId="1" priority="583" stopIfTrue="1" operator="between">
      <formula>"Check"</formula>
      <formula>"Check"</formula>
    </cfRule>
  </conditionalFormatting>
  <conditionalFormatting sqref="R596">
    <cfRule type="cellIs" dxfId="1" priority="584" stopIfTrue="1" operator="between">
      <formula>"Check"</formula>
      <formula>"Check"</formula>
    </cfRule>
  </conditionalFormatting>
  <conditionalFormatting sqref="R597">
    <cfRule type="cellIs" dxfId="1" priority="585" stopIfTrue="1" operator="between">
      <formula>"Check"</formula>
      <formula>"Check"</formula>
    </cfRule>
  </conditionalFormatting>
  <conditionalFormatting sqref="R598">
    <cfRule type="cellIs" dxfId="1" priority="586" stopIfTrue="1" operator="between">
      <formula>"Check"</formula>
      <formula>"Check"</formula>
    </cfRule>
  </conditionalFormatting>
  <conditionalFormatting sqref="R599">
    <cfRule type="cellIs" dxfId="1" priority="587" stopIfTrue="1" operator="between">
      <formula>"Check"</formula>
      <formula>"Check"</formula>
    </cfRule>
  </conditionalFormatting>
  <conditionalFormatting sqref="R600">
    <cfRule type="cellIs" dxfId="1" priority="588" stopIfTrue="1" operator="between">
      <formula>"Check"</formula>
      <formula>"Check"</formula>
    </cfRule>
  </conditionalFormatting>
  <conditionalFormatting sqref="R601">
    <cfRule type="cellIs" dxfId="1" priority="589" stopIfTrue="1" operator="between">
      <formula>"Check"</formula>
      <formula>"Check"</formula>
    </cfRule>
  </conditionalFormatting>
  <conditionalFormatting sqref="R602">
    <cfRule type="cellIs" dxfId="1" priority="590" stopIfTrue="1" operator="between">
      <formula>"Check"</formula>
      <formula>"Check"</formula>
    </cfRule>
  </conditionalFormatting>
  <conditionalFormatting sqref="R603">
    <cfRule type="cellIs" dxfId="1" priority="591" stopIfTrue="1" operator="between">
      <formula>"Check"</formula>
      <formula>"Check"</formula>
    </cfRule>
  </conditionalFormatting>
  <conditionalFormatting sqref="R604">
    <cfRule type="cellIs" dxfId="1" priority="592" stopIfTrue="1" operator="between">
      <formula>"Check"</formula>
      <formula>"Check"</formula>
    </cfRule>
  </conditionalFormatting>
  <conditionalFormatting sqref="R605">
    <cfRule type="cellIs" dxfId="1" priority="593" stopIfTrue="1" operator="between">
      <formula>"Check"</formula>
      <formula>"Check"</formula>
    </cfRule>
  </conditionalFormatting>
  <conditionalFormatting sqref="R606">
    <cfRule type="cellIs" dxfId="1" priority="594" stopIfTrue="1" operator="between">
      <formula>"Check"</formula>
      <formula>"Check"</formula>
    </cfRule>
  </conditionalFormatting>
  <conditionalFormatting sqref="R607">
    <cfRule type="cellIs" dxfId="1" priority="595" stopIfTrue="1" operator="between">
      <formula>"Check"</formula>
      <formula>"Check"</formula>
    </cfRule>
  </conditionalFormatting>
  <conditionalFormatting sqref="R608">
    <cfRule type="cellIs" dxfId="1" priority="596" stopIfTrue="1" operator="between">
      <formula>"Check"</formula>
      <formula>"Check"</formula>
    </cfRule>
  </conditionalFormatting>
  <conditionalFormatting sqref="R609">
    <cfRule type="cellIs" dxfId="1" priority="597" stopIfTrue="1" operator="between">
      <formula>"Check"</formula>
      <formula>"Check"</formula>
    </cfRule>
  </conditionalFormatting>
  <conditionalFormatting sqref="R610">
    <cfRule type="cellIs" dxfId="1" priority="598" stopIfTrue="1" operator="between">
      <formula>"Check"</formula>
      <formula>"Check"</formula>
    </cfRule>
  </conditionalFormatting>
  <conditionalFormatting sqref="R611">
    <cfRule type="cellIs" dxfId="1" priority="599" stopIfTrue="1" operator="between">
      <formula>"Check"</formula>
      <formula>"Check"</formula>
    </cfRule>
  </conditionalFormatting>
  <conditionalFormatting sqref="R612">
    <cfRule type="cellIs" dxfId="1" priority="600" stopIfTrue="1" operator="between">
      <formula>"Check"</formula>
      <formula>"Check"</formula>
    </cfRule>
  </conditionalFormatting>
  <conditionalFormatting sqref="R613">
    <cfRule type="cellIs" dxfId="1" priority="601" stopIfTrue="1" operator="between">
      <formula>"Check"</formula>
      <formula>"Check"</formula>
    </cfRule>
  </conditionalFormatting>
  <conditionalFormatting sqref="R614">
    <cfRule type="cellIs" dxfId="1" priority="602" stopIfTrue="1" operator="between">
      <formula>"Check"</formula>
      <formula>"Check"</formula>
    </cfRule>
  </conditionalFormatting>
  <conditionalFormatting sqref="R615">
    <cfRule type="cellIs" dxfId="1" priority="603" stopIfTrue="1" operator="between">
      <formula>"Check"</formula>
      <formula>"Check"</formula>
    </cfRule>
  </conditionalFormatting>
  <conditionalFormatting sqref="R616">
    <cfRule type="cellIs" dxfId="1" priority="604" stopIfTrue="1" operator="between">
      <formula>"Check"</formula>
      <formula>"Check"</formula>
    </cfRule>
  </conditionalFormatting>
  <conditionalFormatting sqref="R617">
    <cfRule type="cellIs" dxfId="1" priority="605" stopIfTrue="1" operator="between">
      <formula>"Check"</formula>
      <formula>"Check"</formula>
    </cfRule>
  </conditionalFormatting>
  <conditionalFormatting sqref="R618">
    <cfRule type="cellIs" dxfId="1" priority="606" stopIfTrue="1" operator="between">
      <formula>"Check"</formula>
      <formula>"Check"</formula>
    </cfRule>
  </conditionalFormatting>
  <conditionalFormatting sqref="R619">
    <cfRule type="cellIs" dxfId="1" priority="607" stopIfTrue="1" operator="between">
      <formula>"Check"</formula>
      <formula>"Check"</formula>
    </cfRule>
  </conditionalFormatting>
  <conditionalFormatting sqref="R620">
    <cfRule type="cellIs" dxfId="1" priority="608" stopIfTrue="1" operator="between">
      <formula>"Check"</formula>
      <formula>"Check"</formula>
    </cfRule>
  </conditionalFormatting>
  <conditionalFormatting sqref="R621">
    <cfRule type="cellIs" dxfId="1" priority="609" stopIfTrue="1" operator="between">
      <formula>"Check"</formula>
      <formula>"Check"</formula>
    </cfRule>
  </conditionalFormatting>
  <conditionalFormatting sqref="R622">
    <cfRule type="cellIs" dxfId="1" priority="610" stopIfTrue="1" operator="between">
      <formula>"Check"</formula>
      <formula>"Check"</formula>
    </cfRule>
  </conditionalFormatting>
  <conditionalFormatting sqref="R623">
    <cfRule type="cellIs" dxfId="1" priority="611" stopIfTrue="1" operator="between">
      <formula>"Check"</formula>
      <formula>"Check"</formula>
    </cfRule>
  </conditionalFormatting>
  <conditionalFormatting sqref="R624">
    <cfRule type="cellIs" dxfId="1" priority="612" stopIfTrue="1" operator="between">
      <formula>"Check"</formula>
      <formula>"Check"</formula>
    </cfRule>
  </conditionalFormatting>
  <conditionalFormatting sqref="R625">
    <cfRule type="cellIs" dxfId="1" priority="613" stopIfTrue="1" operator="between">
      <formula>"Check"</formula>
      <formula>"Check"</formula>
    </cfRule>
  </conditionalFormatting>
  <conditionalFormatting sqref="R626">
    <cfRule type="cellIs" dxfId="1" priority="614" stopIfTrue="1" operator="between">
      <formula>"Check"</formula>
      <formula>"Check"</formula>
    </cfRule>
  </conditionalFormatting>
  <conditionalFormatting sqref="R627">
    <cfRule type="cellIs" dxfId="1" priority="615" stopIfTrue="1" operator="between">
      <formula>"Check"</formula>
      <formula>"Check"</formula>
    </cfRule>
  </conditionalFormatting>
  <conditionalFormatting sqref="R628">
    <cfRule type="cellIs" dxfId="1" priority="616" stopIfTrue="1" operator="between">
      <formula>"Check"</formula>
      <formula>"Check"</formula>
    </cfRule>
  </conditionalFormatting>
  <conditionalFormatting sqref="R629">
    <cfRule type="cellIs" dxfId="1" priority="617" stopIfTrue="1" operator="between">
      <formula>"Check"</formula>
      <formula>"Check"</formula>
    </cfRule>
  </conditionalFormatting>
  <conditionalFormatting sqref="R630">
    <cfRule type="cellIs" dxfId="1" priority="618" stopIfTrue="1" operator="between">
      <formula>"Check"</formula>
      <formula>"Check"</formula>
    </cfRule>
  </conditionalFormatting>
  <conditionalFormatting sqref="R631">
    <cfRule type="cellIs" dxfId="1" priority="619" stopIfTrue="1" operator="between">
      <formula>"Check"</formula>
      <formula>"Check"</formula>
    </cfRule>
  </conditionalFormatting>
  <conditionalFormatting sqref="R632">
    <cfRule type="cellIs" dxfId="1" priority="620" stopIfTrue="1" operator="between">
      <formula>"Check"</formula>
      <formula>"Check"</formula>
    </cfRule>
  </conditionalFormatting>
  <conditionalFormatting sqref="R633">
    <cfRule type="cellIs" dxfId="1" priority="621" stopIfTrue="1" operator="between">
      <formula>"Check"</formula>
      <formula>"Check"</formula>
    </cfRule>
  </conditionalFormatting>
  <conditionalFormatting sqref="R634">
    <cfRule type="cellIs" dxfId="1" priority="622" stopIfTrue="1" operator="between">
      <formula>"Check"</formula>
      <formula>"Check"</formula>
    </cfRule>
  </conditionalFormatting>
  <conditionalFormatting sqref="R635">
    <cfRule type="cellIs" dxfId="1" priority="623" stopIfTrue="1" operator="between">
      <formula>"Check"</formula>
      <formula>"Check"</formula>
    </cfRule>
  </conditionalFormatting>
  <conditionalFormatting sqref="R636">
    <cfRule type="cellIs" dxfId="1" priority="624" stopIfTrue="1" operator="between">
      <formula>"Check"</formula>
      <formula>"Check"</formula>
    </cfRule>
  </conditionalFormatting>
  <conditionalFormatting sqref="R637">
    <cfRule type="cellIs" dxfId="1" priority="625" stopIfTrue="1" operator="between">
      <formula>"Check"</formula>
      <formula>"Check"</formula>
    </cfRule>
  </conditionalFormatting>
  <conditionalFormatting sqref="R638">
    <cfRule type="cellIs" dxfId="1" priority="626" stopIfTrue="1" operator="between">
      <formula>"Check"</formula>
      <formula>"Check"</formula>
    </cfRule>
  </conditionalFormatting>
  <conditionalFormatting sqref="R639">
    <cfRule type="cellIs" dxfId="1" priority="627" stopIfTrue="1" operator="between">
      <formula>"Check"</formula>
      <formula>"Check"</formula>
    </cfRule>
  </conditionalFormatting>
  <conditionalFormatting sqref="R640">
    <cfRule type="cellIs" dxfId="1" priority="628" stopIfTrue="1" operator="between">
      <formula>"Check"</formula>
      <formula>"Check"</formula>
    </cfRule>
  </conditionalFormatting>
  <conditionalFormatting sqref="R641">
    <cfRule type="cellIs" dxfId="1" priority="629" stopIfTrue="1" operator="between">
      <formula>"Check"</formula>
      <formula>"Check"</formula>
    </cfRule>
  </conditionalFormatting>
  <conditionalFormatting sqref="R642">
    <cfRule type="cellIs" dxfId="1" priority="630" stopIfTrue="1" operator="between">
      <formula>"Check"</formula>
      <formula>"Check"</formula>
    </cfRule>
  </conditionalFormatting>
  <conditionalFormatting sqref="R643">
    <cfRule type="cellIs" dxfId="1" priority="631" stopIfTrue="1" operator="between">
      <formula>"Check"</formula>
      <formula>"Check"</formula>
    </cfRule>
  </conditionalFormatting>
  <conditionalFormatting sqref="R644">
    <cfRule type="cellIs" dxfId="1" priority="632" stopIfTrue="1" operator="between">
      <formula>"Check"</formula>
      <formula>"Check"</formula>
    </cfRule>
  </conditionalFormatting>
  <conditionalFormatting sqref="R645">
    <cfRule type="cellIs" dxfId="1" priority="633" stopIfTrue="1" operator="between">
      <formula>"Check"</formula>
      <formula>"Check"</formula>
    </cfRule>
  </conditionalFormatting>
  <conditionalFormatting sqref="R646">
    <cfRule type="cellIs" dxfId="1" priority="634" stopIfTrue="1" operator="between">
      <formula>"Check"</formula>
      <formula>"Check"</formula>
    </cfRule>
  </conditionalFormatting>
  <conditionalFormatting sqref="R647">
    <cfRule type="cellIs" dxfId="1" priority="635" stopIfTrue="1" operator="between">
      <formula>"Check"</formula>
      <formula>"Check"</formula>
    </cfRule>
  </conditionalFormatting>
  <conditionalFormatting sqref="R648">
    <cfRule type="cellIs" dxfId="1" priority="636" stopIfTrue="1" operator="between">
      <formula>"Check"</formula>
      <formula>"Check"</formula>
    </cfRule>
  </conditionalFormatting>
  <conditionalFormatting sqref="R649">
    <cfRule type="cellIs" dxfId="1" priority="637" stopIfTrue="1" operator="between">
      <formula>"Check"</formula>
      <formula>"Check"</formula>
    </cfRule>
  </conditionalFormatting>
  <conditionalFormatting sqref="R650">
    <cfRule type="cellIs" dxfId="1" priority="638" stopIfTrue="1" operator="between">
      <formula>"Check"</formula>
      <formula>"Check"</formula>
    </cfRule>
  </conditionalFormatting>
  <conditionalFormatting sqref="R651">
    <cfRule type="cellIs" dxfId="1" priority="639" stopIfTrue="1" operator="between">
      <formula>"Check"</formula>
      <formula>"Check"</formula>
    </cfRule>
  </conditionalFormatting>
  <conditionalFormatting sqref="R652">
    <cfRule type="cellIs" dxfId="1" priority="640" stopIfTrue="1" operator="between">
      <formula>"Check"</formula>
      <formula>"Check"</formula>
    </cfRule>
  </conditionalFormatting>
  <conditionalFormatting sqref="R653">
    <cfRule type="cellIs" dxfId="1" priority="641" stopIfTrue="1" operator="between">
      <formula>"Check"</formula>
      <formula>"Check"</formula>
    </cfRule>
  </conditionalFormatting>
  <conditionalFormatting sqref="R654">
    <cfRule type="cellIs" dxfId="1" priority="642" stopIfTrue="1" operator="between">
      <formula>"Check"</formula>
      <formula>"Check"</formula>
    </cfRule>
  </conditionalFormatting>
  <conditionalFormatting sqref="R655">
    <cfRule type="cellIs" dxfId="1" priority="643" stopIfTrue="1" operator="between">
      <formula>"Check"</formula>
      <formula>"Check"</formula>
    </cfRule>
  </conditionalFormatting>
  <conditionalFormatting sqref="R656">
    <cfRule type="cellIs" dxfId="1" priority="644" stopIfTrue="1" operator="between">
      <formula>"Check"</formula>
      <formula>"Check"</formula>
    </cfRule>
  </conditionalFormatting>
  <conditionalFormatting sqref="R657">
    <cfRule type="cellIs" dxfId="1" priority="645" stopIfTrue="1" operator="between">
      <formula>"Check"</formula>
      <formula>"Check"</formula>
    </cfRule>
  </conditionalFormatting>
  <conditionalFormatting sqref="R658">
    <cfRule type="cellIs" dxfId="1" priority="646" stopIfTrue="1" operator="between">
      <formula>"Check"</formula>
      <formula>"Check"</formula>
    </cfRule>
  </conditionalFormatting>
  <conditionalFormatting sqref="R659">
    <cfRule type="cellIs" dxfId="1" priority="647" stopIfTrue="1" operator="between">
      <formula>"Check"</formula>
      <formula>"Check"</formula>
    </cfRule>
  </conditionalFormatting>
  <conditionalFormatting sqref="R660">
    <cfRule type="cellIs" dxfId="1" priority="648" stopIfTrue="1" operator="between">
      <formula>"Check"</formula>
      <formula>"Check"</formula>
    </cfRule>
  </conditionalFormatting>
  <conditionalFormatting sqref="R661">
    <cfRule type="cellIs" dxfId="1" priority="649" stopIfTrue="1" operator="between">
      <formula>"Check"</formula>
      <formula>"Check"</formula>
    </cfRule>
  </conditionalFormatting>
  <conditionalFormatting sqref="R662">
    <cfRule type="cellIs" dxfId="1" priority="650" stopIfTrue="1" operator="between">
      <formula>"Check"</formula>
      <formula>"Check"</formula>
    </cfRule>
  </conditionalFormatting>
  <conditionalFormatting sqref="R663">
    <cfRule type="cellIs" dxfId="1" priority="651" stopIfTrue="1" operator="between">
      <formula>"Check"</formula>
      <formula>"Check"</formula>
    </cfRule>
  </conditionalFormatting>
  <conditionalFormatting sqref="R664">
    <cfRule type="cellIs" dxfId="1" priority="652" stopIfTrue="1" operator="between">
      <formula>"Check"</formula>
      <formula>"Check"</formula>
    </cfRule>
  </conditionalFormatting>
  <conditionalFormatting sqref="R665">
    <cfRule type="cellIs" dxfId="1" priority="653" stopIfTrue="1" operator="between">
      <formula>"Check"</formula>
      <formula>"Check"</formula>
    </cfRule>
  </conditionalFormatting>
  <conditionalFormatting sqref="R666">
    <cfRule type="cellIs" dxfId="1" priority="654" stopIfTrue="1" operator="between">
      <formula>"Check"</formula>
      <formula>"Check"</formula>
    </cfRule>
  </conditionalFormatting>
  <conditionalFormatting sqref="R667">
    <cfRule type="cellIs" dxfId="1" priority="655" stopIfTrue="1" operator="between">
      <formula>"Check"</formula>
      <formula>"Check"</formula>
    </cfRule>
  </conditionalFormatting>
  <conditionalFormatting sqref="R668">
    <cfRule type="cellIs" dxfId="1" priority="656" stopIfTrue="1" operator="between">
      <formula>"Check"</formula>
      <formula>"Check"</formula>
    </cfRule>
  </conditionalFormatting>
  <conditionalFormatting sqref="R669">
    <cfRule type="cellIs" dxfId="1" priority="657" stopIfTrue="1" operator="between">
      <formula>"Check"</formula>
      <formula>"Check"</formula>
    </cfRule>
  </conditionalFormatting>
  <conditionalFormatting sqref="R670">
    <cfRule type="cellIs" dxfId="1" priority="658" stopIfTrue="1" operator="between">
      <formula>"Check"</formula>
      <formula>"Check"</formula>
    </cfRule>
  </conditionalFormatting>
  <conditionalFormatting sqref="R671">
    <cfRule type="cellIs" dxfId="1" priority="659" stopIfTrue="1" operator="between">
      <formula>"Check"</formula>
      <formula>"Check"</formula>
    </cfRule>
  </conditionalFormatting>
  <conditionalFormatting sqref="R672">
    <cfRule type="cellIs" dxfId="1" priority="660" stopIfTrue="1" operator="between">
      <formula>"Check"</formula>
      <formula>"Check"</formula>
    </cfRule>
  </conditionalFormatting>
  <conditionalFormatting sqref="R673">
    <cfRule type="cellIs" dxfId="1" priority="661" stopIfTrue="1" operator="between">
      <formula>"Check"</formula>
      <formula>"Check"</formula>
    </cfRule>
  </conditionalFormatting>
  <conditionalFormatting sqref="R674">
    <cfRule type="cellIs" dxfId="1" priority="662" stopIfTrue="1" operator="between">
      <formula>"Check"</formula>
      <formula>"Check"</formula>
    </cfRule>
  </conditionalFormatting>
  <conditionalFormatting sqref="R675">
    <cfRule type="cellIs" dxfId="1" priority="663" stopIfTrue="1" operator="between">
      <formula>"Check"</formula>
      <formula>"Check"</formula>
    </cfRule>
  </conditionalFormatting>
  <conditionalFormatting sqref="R676">
    <cfRule type="cellIs" dxfId="1" priority="664" stopIfTrue="1" operator="between">
      <formula>"Check"</formula>
      <formula>"Check"</formula>
    </cfRule>
  </conditionalFormatting>
  <conditionalFormatting sqref="R677">
    <cfRule type="cellIs" dxfId="1" priority="665" stopIfTrue="1" operator="between">
      <formula>"Check"</formula>
      <formula>"Check"</formula>
    </cfRule>
  </conditionalFormatting>
  <conditionalFormatting sqref="R678">
    <cfRule type="cellIs" dxfId="1" priority="666" stopIfTrue="1" operator="between">
      <formula>"Check"</formula>
      <formula>"Check"</formula>
    </cfRule>
  </conditionalFormatting>
  <conditionalFormatting sqref="R679">
    <cfRule type="cellIs" dxfId="1" priority="667" stopIfTrue="1" operator="between">
      <formula>"Check"</formula>
      <formula>"Check"</formula>
    </cfRule>
  </conditionalFormatting>
  <conditionalFormatting sqref="R680">
    <cfRule type="cellIs" dxfId="1" priority="668" stopIfTrue="1" operator="between">
      <formula>"Check"</formula>
      <formula>"Check"</formula>
    </cfRule>
  </conditionalFormatting>
  <conditionalFormatting sqref="R681">
    <cfRule type="cellIs" dxfId="1" priority="669" stopIfTrue="1" operator="between">
      <formula>"Check"</formula>
      <formula>"Check"</formula>
    </cfRule>
  </conditionalFormatting>
  <conditionalFormatting sqref="R682">
    <cfRule type="cellIs" dxfId="1" priority="670" stopIfTrue="1" operator="between">
      <formula>"Check"</formula>
      <formula>"Check"</formula>
    </cfRule>
  </conditionalFormatting>
  <conditionalFormatting sqref="R683">
    <cfRule type="cellIs" dxfId="1" priority="671" stopIfTrue="1" operator="between">
      <formula>"Check"</formula>
      <formula>"Check"</formula>
    </cfRule>
  </conditionalFormatting>
  <conditionalFormatting sqref="R684">
    <cfRule type="cellIs" dxfId="1" priority="672" stopIfTrue="1" operator="between">
      <formula>"Check"</formula>
      <formula>"Check"</formula>
    </cfRule>
  </conditionalFormatting>
  <conditionalFormatting sqref="R685">
    <cfRule type="cellIs" dxfId="1" priority="673" stopIfTrue="1" operator="between">
      <formula>"Check"</formula>
      <formula>"Check"</formula>
    </cfRule>
  </conditionalFormatting>
  <conditionalFormatting sqref="R686">
    <cfRule type="cellIs" dxfId="1" priority="674" stopIfTrue="1" operator="between">
      <formula>"Check"</formula>
      <formula>"Check"</formula>
    </cfRule>
  </conditionalFormatting>
  <conditionalFormatting sqref="R687">
    <cfRule type="cellIs" dxfId="1" priority="675" stopIfTrue="1" operator="between">
      <formula>"Check"</formula>
      <formula>"Check"</formula>
    </cfRule>
  </conditionalFormatting>
  <conditionalFormatting sqref="R688">
    <cfRule type="cellIs" dxfId="1" priority="676" stopIfTrue="1" operator="between">
      <formula>"Check"</formula>
      <formula>"Check"</formula>
    </cfRule>
  </conditionalFormatting>
  <conditionalFormatting sqref="R689">
    <cfRule type="cellIs" dxfId="1" priority="677" stopIfTrue="1" operator="between">
      <formula>"Check"</formula>
      <formula>"Check"</formula>
    </cfRule>
  </conditionalFormatting>
  <conditionalFormatting sqref="R690">
    <cfRule type="cellIs" dxfId="1" priority="678" stopIfTrue="1" operator="between">
      <formula>"Check"</formula>
      <formula>"Check"</formula>
    </cfRule>
  </conditionalFormatting>
  <conditionalFormatting sqref="R691">
    <cfRule type="cellIs" dxfId="1" priority="679" stopIfTrue="1" operator="between">
      <formula>"Check"</formula>
      <formula>"Check"</formula>
    </cfRule>
  </conditionalFormatting>
  <conditionalFormatting sqref="R692">
    <cfRule type="cellIs" dxfId="1" priority="680" stopIfTrue="1" operator="between">
      <formula>"Check"</formula>
      <formula>"Check"</formula>
    </cfRule>
  </conditionalFormatting>
  <conditionalFormatting sqref="R693">
    <cfRule type="cellIs" dxfId="1" priority="681" stopIfTrue="1" operator="between">
      <formula>"Check"</formula>
      <formula>"Check"</formula>
    </cfRule>
  </conditionalFormatting>
  <conditionalFormatting sqref="R694">
    <cfRule type="cellIs" dxfId="1" priority="682" stopIfTrue="1" operator="between">
      <formula>"Check"</formula>
      <formula>"Check"</formula>
    </cfRule>
  </conditionalFormatting>
  <conditionalFormatting sqref="R695">
    <cfRule type="cellIs" dxfId="1" priority="683" stopIfTrue="1" operator="between">
      <formula>"Check"</formula>
      <formula>"Check"</formula>
    </cfRule>
  </conditionalFormatting>
  <conditionalFormatting sqref="R696">
    <cfRule type="cellIs" dxfId="1" priority="684" stopIfTrue="1" operator="between">
      <formula>"Check"</formula>
      <formula>"Check"</formula>
    </cfRule>
  </conditionalFormatting>
  <conditionalFormatting sqref="R697">
    <cfRule type="cellIs" dxfId="1" priority="685" stopIfTrue="1" operator="between">
      <formula>"Check"</formula>
      <formula>"Check"</formula>
    </cfRule>
  </conditionalFormatting>
  <conditionalFormatting sqref="R698">
    <cfRule type="cellIs" dxfId="1" priority="686" stopIfTrue="1" operator="between">
      <formula>"Check"</formula>
      <formula>"Check"</formula>
    </cfRule>
  </conditionalFormatting>
  <conditionalFormatting sqref="R699">
    <cfRule type="cellIs" dxfId="1" priority="687" stopIfTrue="1" operator="between">
      <formula>"Check"</formula>
      <formula>"Check"</formula>
    </cfRule>
  </conditionalFormatting>
  <conditionalFormatting sqref="R700">
    <cfRule type="cellIs" dxfId="1" priority="688" stopIfTrue="1" operator="between">
      <formula>"Check"</formula>
      <formula>"Check"</formula>
    </cfRule>
  </conditionalFormatting>
  <conditionalFormatting sqref="R701">
    <cfRule type="cellIs" dxfId="1" priority="689" stopIfTrue="1" operator="between">
      <formula>"Check"</formula>
      <formula>"Check"</formula>
    </cfRule>
  </conditionalFormatting>
  <conditionalFormatting sqref="R702">
    <cfRule type="cellIs" dxfId="1" priority="690" stopIfTrue="1" operator="between">
      <formula>"Check"</formula>
      <formula>"Check"</formula>
    </cfRule>
  </conditionalFormatting>
  <conditionalFormatting sqref="R703">
    <cfRule type="cellIs" dxfId="1" priority="691" stopIfTrue="1" operator="between">
      <formula>"Check"</formula>
      <formula>"Check"</formula>
    </cfRule>
  </conditionalFormatting>
  <conditionalFormatting sqref="R704">
    <cfRule type="cellIs" dxfId="1" priority="692" stopIfTrue="1" operator="between">
      <formula>"Check"</formula>
      <formula>"Check"</formula>
    </cfRule>
  </conditionalFormatting>
  <conditionalFormatting sqref="R705">
    <cfRule type="cellIs" dxfId="1" priority="693" stopIfTrue="1" operator="between">
      <formula>"Check"</formula>
      <formula>"Check"</formula>
    </cfRule>
  </conditionalFormatting>
  <conditionalFormatting sqref="R706">
    <cfRule type="cellIs" dxfId="1" priority="694" stopIfTrue="1" operator="between">
      <formula>"Check"</formula>
      <formula>"Check"</formula>
    </cfRule>
  </conditionalFormatting>
  <conditionalFormatting sqref="R707">
    <cfRule type="cellIs" dxfId="1" priority="695" stopIfTrue="1" operator="between">
      <formula>"Check"</formula>
      <formula>"Check"</formula>
    </cfRule>
  </conditionalFormatting>
  <conditionalFormatting sqref="R708">
    <cfRule type="cellIs" dxfId="1" priority="696" stopIfTrue="1" operator="between">
      <formula>"Check"</formula>
      <formula>"Check"</formula>
    </cfRule>
  </conditionalFormatting>
  <conditionalFormatting sqref="R709">
    <cfRule type="cellIs" dxfId="1" priority="697" stopIfTrue="1" operator="between">
      <formula>"Check"</formula>
      <formula>"Check"</formula>
    </cfRule>
  </conditionalFormatting>
  <conditionalFormatting sqref="R710">
    <cfRule type="cellIs" dxfId="1" priority="698" stopIfTrue="1" operator="between">
      <formula>"Check"</formula>
      <formula>"Check"</formula>
    </cfRule>
  </conditionalFormatting>
  <conditionalFormatting sqref="R711">
    <cfRule type="cellIs" dxfId="1" priority="699" stopIfTrue="1" operator="between">
      <formula>"Check"</formula>
      <formula>"Check"</formula>
    </cfRule>
  </conditionalFormatting>
  <conditionalFormatting sqref="R712">
    <cfRule type="cellIs" dxfId="1" priority="700" stopIfTrue="1" operator="between">
      <formula>"Check"</formula>
      <formula>"Check"</formula>
    </cfRule>
  </conditionalFormatting>
  <conditionalFormatting sqref="R713">
    <cfRule type="cellIs" dxfId="1" priority="701" stopIfTrue="1" operator="between">
      <formula>"Check"</formula>
      <formula>"Check"</formula>
    </cfRule>
  </conditionalFormatting>
  <conditionalFormatting sqref="R714">
    <cfRule type="cellIs" dxfId="1" priority="702" stopIfTrue="1" operator="between">
      <formula>"Check"</formula>
      <formula>"Check"</formula>
    </cfRule>
  </conditionalFormatting>
  <conditionalFormatting sqref="R715">
    <cfRule type="cellIs" dxfId="1" priority="703" stopIfTrue="1" operator="between">
      <formula>"Check"</formula>
      <formula>"Check"</formula>
    </cfRule>
  </conditionalFormatting>
  <conditionalFormatting sqref="R716">
    <cfRule type="cellIs" dxfId="1" priority="704" stopIfTrue="1" operator="between">
      <formula>"Check"</formula>
      <formula>"Check"</formula>
    </cfRule>
  </conditionalFormatting>
  <conditionalFormatting sqref="R717">
    <cfRule type="cellIs" dxfId="1" priority="705" stopIfTrue="1" operator="between">
      <formula>"Check"</formula>
      <formula>"Check"</formula>
    </cfRule>
  </conditionalFormatting>
  <conditionalFormatting sqref="R718">
    <cfRule type="cellIs" dxfId="1" priority="706" stopIfTrue="1" operator="between">
      <formula>"Check"</formula>
      <formula>"Check"</formula>
    </cfRule>
  </conditionalFormatting>
  <conditionalFormatting sqref="R719">
    <cfRule type="cellIs" dxfId="1" priority="707" stopIfTrue="1" operator="between">
      <formula>"Check"</formula>
      <formula>"Check"</formula>
    </cfRule>
  </conditionalFormatting>
  <conditionalFormatting sqref="R720">
    <cfRule type="cellIs" dxfId="1" priority="708" stopIfTrue="1" operator="between">
      <formula>"Check"</formula>
      <formula>"Check"</formula>
    </cfRule>
  </conditionalFormatting>
  <conditionalFormatting sqref="R721">
    <cfRule type="cellIs" dxfId="1" priority="709" stopIfTrue="1" operator="between">
      <formula>"Check"</formula>
      <formula>"Check"</formula>
    </cfRule>
  </conditionalFormatting>
  <conditionalFormatting sqref="R722">
    <cfRule type="cellIs" dxfId="1" priority="710" stopIfTrue="1" operator="between">
      <formula>"Check"</formula>
      <formula>"Check"</formula>
    </cfRule>
  </conditionalFormatting>
  <conditionalFormatting sqref="R723">
    <cfRule type="cellIs" dxfId="1" priority="711" stopIfTrue="1" operator="between">
      <formula>"Check"</formula>
      <formula>"Check"</formula>
    </cfRule>
  </conditionalFormatting>
  <conditionalFormatting sqref="R724">
    <cfRule type="cellIs" dxfId="1" priority="712" stopIfTrue="1" operator="between">
      <formula>"Check"</formula>
      <formula>"Check"</formula>
    </cfRule>
  </conditionalFormatting>
  <conditionalFormatting sqref="R725">
    <cfRule type="cellIs" dxfId="1" priority="713" stopIfTrue="1" operator="between">
      <formula>"Check"</formula>
      <formula>"Check"</formula>
    </cfRule>
  </conditionalFormatting>
  <conditionalFormatting sqref="R726">
    <cfRule type="cellIs" dxfId="1" priority="714" stopIfTrue="1" operator="between">
      <formula>"Check"</formula>
      <formula>"Check"</formula>
    </cfRule>
  </conditionalFormatting>
  <conditionalFormatting sqref="R727">
    <cfRule type="cellIs" dxfId="1" priority="715" stopIfTrue="1" operator="between">
      <formula>"Check"</formula>
      <formula>"Check"</formula>
    </cfRule>
  </conditionalFormatting>
  <conditionalFormatting sqref="R728">
    <cfRule type="cellIs" dxfId="1" priority="716" stopIfTrue="1" operator="between">
      <formula>"Check"</formula>
      <formula>"Check"</formula>
    </cfRule>
  </conditionalFormatting>
  <conditionalFormatting sqref="R729">
    <cfRule type="cellIs" dxfId="1" priority="717" stopIfTrue="1" operator="between">
      <formula>"Check"</formula>
      <formula>"Check"</formula>
    </cfRule>
  </conditionalFormatting>
  <conditionalFormatting sqref="R730">
    <cfRule type="cellIs" dxfId="1" priority="718" stopIfTrue="1" operator="between">
      <formula>"Check"</formula>
      <formula>"Check"</formula>
    </cfRule>
  </conditionalFormatting>
  <conditionalFormatting sqref="R731">
    <cfRule type="cellIs" dxfId="1" priority="719" stopIfTrue="1" operator="between">
      <formula>"Check"</formula>
      <formula>"Check"</formula>
    </cfRule>
  </conditionalFormatting>
  <conditionalFormatting sqref="R732">
    <cfRule type="cellIs" dxfId="1" priority="720" stopIfTrue="1" operator="between">
      <formula>"Check"</formula>
      <formula>"Check"</formula>
    </cfRule>
  </conditionalFormatting>
  <conditionalFormatting sqref="R733">
    <cfRule type="cellIs" dxfId="1" priority="721" stopIfTrue="1" operator="between">
      <formula>"Check"</formula>
      <formula>"Check"</formula>
    </cfRule>
  </conditionalFormatting>
  <conditionalFormatting sqref="R734">
    <cfRule type="cellIs" dxfId="1" priority="722" stopIfTrue="1" operator="between">
      <formula>"Check"</formula>
      <formula>"Check"</formula>
    </cfRule>
  </conditionalFormatting>
  <conditionalFormatting sqref="R735">
    <cfRule type="cellIs" dxfId="1" priority="723" stopIfTrue="1" operator="between">
      <formula>"Check"</formula>
      <formula>"Check"</formula>
    </cfRule>
  </conditionalFormatting>
  <conditionalFormatting sqref="R736">
    <cfRule type="cellIs" dxfId="1" priority="724" stopIfTrue="1" operator="between">
      <formula>"Check"</formula>
      <formula>"Check"</formula>
    </cfRule>
  </conditionalFormatting>
  <conditionalFormatting sqref="R737">
    <cfRule type="cellIs" dxfId="1" priority="725" stopIfTrue="1" operator="between">
      <formula>"Check"</formula>
      <formula>"Check"</formula>
    </cfRule>
  </conditionalFormatting>
  <conditionalFormatting sqref="R738">
    <cfRule type="cellIs" dxfId="1" priority="726" stopIfTrue="1" operator="between">
      <formula>"Check"</formula>
      <formula>"Check"</formula>
    </cfRule>
  </conditionalFormatting>
  <conditionalFormatting sqref="R739">
    <cfRule type="cellIs" dxfId="1" priority="727" stopIfTrue="1" operator="between">
      <formula>"Check"</formula>
      <formula>"Check"</formula>
    </cfRule>
  </conditionalFormatting>
  <conditionalFormatting sqref="R740">
    <cfRule type="cellIs" dxfId="1" priority="728" stopIfTrue="1" operator="between">
      <formula>"Check"</formula>
      <formula>"Check"</formula>
    </cfRule>
  </conditionalFormatting>
  <conditionalFormatting sqref="R741">
    <cfRule type="cellIs" dxfId="1" priority="729" stopIfTrue="1" operator="between">
      <formula>"Check"</formula>
      <formula>"Check"</formula>
    </cfRule>
  </conditionalFormatting>
  <conditionalFormatting sqref="R742">
    <cfRule type="cellIs" dxfId="1" priority="730" stopIfTrue="1" operator="between">
      <formula>"Check"</formula>
      <formula>"Check"</formula>
    </cfRule>
  </conditionalFormatting>
  <conditionalFormatting sqref="R743">
    <cfRule type="cellIs" dxfId="1" priority="731" stopIfTrue="1" operator="between">
      <formula>"Check"</formula>
      <formula>"Check"</formula>
    </cfRule>
  </conditionalFormatting>
  <conditionalFormatting sqref="R744">
    <cfRule type="cellIs" dxfId="1" priority="732" stopIfTrue="1" operator="between">
      <formula>"Check"</formula>
      <formula>"Check"</formula>
    </cfRule>
  </conditionalFormatting>
  <conditionalFormatting sqref="R745">
    <cfRule type="cellIs" dxfId="1" priority="733" stopIfTrue="1" operator="between">
      <formula>"Check"</formula>
      <formula>"Check"</formula>
    </cfRule>
  </conditionalFormatting>
  <conditionalFormatting sqref="R746">
    <cfRule type="cellIs" dxfId="1" priority="734" stopIfTrue="1" operator="between">
      <formula>"Check"</formula>
      <formula>"Check"</formula>
    </cfRule>
  </conditionalFormatting>
  <conditionalFormatting sqref="R747">
    <cfRule type="cellIs" dxfId="1" priority="735" stopIfTrue="1" operator="between">
      <formula>"Check"</formula>
      <formula>"Check"</formula>
    </cfRule>
  </conditionalFormatting>
  <conditionalFormatting sqref="R748">
    <cfRule type="cellIs" dxfId="1" priority="736" stopIfTrue="1" operator="between">
      <formula>"Check"</formula>
      <formula>"Check"</formula>
    </cfRule>
  </conditionalFormatting>
  <conditionalFormatting sqref="R749">
    <cfRule type="cellIs" dxfId="1" priority="737" stopIfTrue="1" operator="between">
      <formula>"Check"</formula>
      <formula>"Check"</formula>
    </cfRule>
  </conditionalFormatting>
  <conditionalFormatting sqref="R750">
    <cfRule type="cellIs" dxfId="1" priority="738" stopIfTrue="1" operator="between">
      <formula>"Check"</formula>
      <formula>"Check"</formula>
    </cfRule>
  </conditionalFormatting>
  <conditionalFormatting sqref="R751">
    <cfRule type="cellIs" dxfId="1" priority="739" stopIfTrue="1" operator="between">
      <formula>"Check"</formula>
      <formula>"Check"</formula>
    </cfRule>
  </conditionalFormatting>
  <conditionalFormatting sqref="R752">
    <cfRule type="cellIs" dxfId="1" priority="740" stopIfTrue="1" operator="between">
      <formula>"Check"</formula>
      <formula>"Check"</formula>
    </cfRule>
  </conditionalFormatting>
  <conditionalFormatting sqref="R753">
    <cfRule type="cellIs" dxfId="1" priority="741" stopIfTrue="1" operator="between">
      <formula>"Check"</formula>
      <formula>"Check"</formula>
    </cfRule>
  </conditionalFormatting>
  <conditionalFormatting sqref="R754">
    <cfRule type="cellIs" dxfId="1" priority="742" stopIfTrue="1" operator="between">
      <formula>"Check"</formula>
      <formula>"Check"</formula>
    </cfRule>
  </conditionalFormatting>
  <conditionalFormatting sqref="R755">
    <cfRule type="cellIs" dxfId="1" priority="743" stopIfTrue="1" operator="between">
      <formula>"Check"</formula>
      <formula>"Check"</formula>
    </cfRule>
  </conditionalFormatting>
  <conditionalFormatting sqref="R756">
    <cfRule type="cellIs" dxfId="1" priority="744" stopIfTrue="1" operator="between">
      <formula>"Check"</formula>
      <formula>"Check"</formula>
    </cfRule>
  </conditionalFormatting>
  <conditionalFormatting sqref="R757">
    <cfRule type="cellIs" dxfId="1" priority="745" stopIfTrue="1" operator="between">
      <formula>"Check"</formula>
      <formula>"Check"</formula>
    </cfRule>
  </conditionalFormatting>
  <conditionalFormatting sqref="R758">
    <cfRule type="cellIs" dxfId="1" priority="746" stopIfTrue="1" operator="between">
      <formula>"Check"</formula>
      <formula>"Check"</formula>
    </cfRule>
  </conditionalFormatting>
  <conditionalFormatting sqref="R759">
    <cfRule type="cellIs" dxfId="1" priority="747" stopIfTrue="1" operator="between">
      <formula>"Check"</formula>
      <formula>"Check"</formula>
    </cfRule>
  </conditionalFormatting>
  <conditionalFormatting sqref="R760">
    <cfRule type="cellIs" dxfId="1" priority="748" stopIfTrue="1" operator="between">
      <formula>"Check"</formula>
      <formula>"Check"</formula>
    </cfRule>
  </conditionalFormatting>
  <conditionalFormatting sqref="R761">
    <cfRule type="cellIs" dxfId="1" priority="749" stopIfTrue="1" operator="between">
      <formula>"Check"</formula>
      <formula>"Check"</formula>
    </cfRule>
  </conditionalFormatting>
  <conditionalFormatting sqref="R762">
    <cfRule type="cellIs" dxfId="1" priority="750" stopIfTrue="1" operator="between">
      <formula>"Check"</formula>
      <formula>"Check"</formula>
    </cfRule>
  </conditionalFormatting>
  <conditionalFormatting sqref="R763">
    <cfRule type="cellIs" dxfId="1" priority="751" stopIfTrue="1" operator="between">
      <formula>"Check"</formula>
      <formula>"Check"</formula>
    </cfRule>
  </conditionalFormatting>
  <conditionalFormatting sqref="R764">
    <cfRule type="cellIs" dxfId="1" priority="752" stopIfTrue="1" operator="between">
      <formula>"Check"</formula>
      <formula>"Check"</formula>
    </cfRule>
  </conditionalFormatting>
  <conditionalFormatting sqref="R765">
    <cfRule type="cellIs" dxfId="1" priority="753" stopIfTrue="1" operator="between">
      <formula>"Check"</formula>
      <formula>"Check"</formula>
    </cfRule>
  </conditionalFormatting>
  <conditionalFormatting sqref="R766">
    <cfRule type="cellIs" dxfId="1" priority="754" stopIfTrue="1" operator="between">
      <formula>"Check"</formula>
      <formula>"Check"</formula>
    </cfRule>
  </conditionalFormatting>
  <conditionalFormatting sqref="R767">
    <cfRule type="cellIs" dxfId="1" priority="755" stopIfTrue="1" operator="between">
      <formula>"Check"</formula>
      <formula>"Check"</formula>
    </cfRule>
  </conditionalFormatting>
  <conditionalFormatting sqref="R768">
    <cfRule type="cellIs" dxfId="1" priority="756" stopIfTrue="1" operator="between">
      <formula>"Check"</formula>
      <formula>"Check"</formula>
    </cfRule>
  </conditionalFormatting>
  <conditionalFormatting sqref="R769">
    <cfRule type="cellIs" dxfId="1" priority="757" stopIfTrue="1" operator="between">
      <formula>"Check"</formula>
      <formula>"Check"</formula>
    </cfRule>
  </conditionalFormatting>
  <conditionalFormatting sqref="R770">
    <cfRule type="cellIs" dxfId="1" priority="758" stopIfTrue="1" operator="between">
      <formula>"Check"</formula>
      <formula>"Check"</formula>
    </cfRule>
  </conditionalFormatting>
  <conditionalFormatting sqref="R771">
    <cfRule type="cellIs" dxfId="1" priority="759" stopIfTrue="1" operator="between">
      <formula>"Check"</formula>
      <formula>"Check"</formula>
    </cfRule>
  </conditionalFormatting>
  <conditionalFormatting sqref="R772">
    <cfRule type="cellIs" dxfId="1" priority="760" stopIfTrue="1" operator="between">
      <formula>"Check"</formula>
      <formula>"Check"</formula>
    </cfRule>
  </conditionalFormatting>
  <conditionalFormatting sqref="R773">
    <cfRule type="cellIs" dxfId="1" priority="761" stopIfTrue="1" operator="between">
      <formula>"Check"</formula>
      <formula>"Check"</formula>
    </cfRule>
  </conditionalFormatting>
  <conditionalFormatting sqref="R774">
    <cfRule type="cellIs" dxfId="1" priority="762" stopIfTrue="1" operator="between">
      <formula>"Check"</formula>
      <formula>"Check"</formula>
    </cfRule>
  </conditionalFormatting>
  <conditionalFormatting sqref="R775">
    <cfRule type="cellIs" dxfId="1" priority="763" stopIfTrue="1" operator="between">
      <formula>"Check"</formula>
      <formula>"Check"</formula>
    </cfRule>
  </conditionalFormatting>
  <conditionalFormatting sqref="R776">
    <cfRule type="cellIs" dxfId="1" priority="764" stopIfTrue="1" operator="between">
      <formula>"Check"</formula>
      <formula>"Check"</formula>
    </cfRule>
  </conditionalFormatting>
  <conditionalFormatting sqref="R777">
    <cfRule type="cellIs" dxfId="1" priority="765" stopIfTrue="1" operator="between">
      <formula>"Check"</formula>
      <formula>"Check"</formula>
    </cfRule>
  </conditionalFormatting>
  <conditionalFormatting sqref="R778">
    <cfRule type="cellIs" dxfId="1" priority="766" stopIfTrue="1" operator="between">
      <formula>"Check"</formula>
      <formula>"Check"</formula>
    </cfRule>
  </conditionalFormatting>
  <conditionalFormatting sqref="R779">
    <cfRule type="cellIs" dxfId="1" priority="767" stopIfTrue="1" operator="between">
      <formula>"Check"</formula>
      <formula>"Check"</formula>
    </cfRule>
  </conditionalFormatting>
  <conditionalFormatting sqref="R780">
    <cfRule type="cellIs" dxfId="1" priority="768" stopIfTrue="1" operator="between">
      <formula>"Check"</formula>
      <formula>"Check"</formula>
    </cfRule>
  </conditionalFormatting>
  <conditionalFormatting sqref="R781">
    <cfRule type="cellIs" dxfId="1" priority="769" stopIfTrue="1" operator="between">
      <formula>"Check"</formula>
      <formula>"Check"</formula>
    </cfRule>
  </conditionalFormatting>
  <conditionalFormatting sqref="R782">
    <cfRule type="cellIs" dxfId="1" priority="770" stopIfTrue="1" operator="between">
      <formula>"Check"</formula>
      <formula>"Check"</formula>
    </cfRule>
  </conditionalFormatting>
  <conditionalFormatting sqref="R783">
    <cfRule type="cellIs" dxfId="1" priority="771" stopIfTrue="1" operator="between">
      <formula>"Check"</formula>
      <formula>"Check"</formula>
    </cfRule>
  </conditionalFormatting>
  <conditionalFormatting sqref="R784">
    <cfRule type="cellIs" dxfId="1" priority="772" stopIfTrue="1" operator="between">
      <formula>"Check"</formula>
      <formula>"Check"</formula>
    </cfRule>
  </conditionalFormatting>
  <conditionalFormatting sqref="R785">
    <cfRule type="cellIs" dxfId="1" priority="773" stopIfTrue="1" operator="between">
      <formula>"Check"</formula>
      <formula>"Check"</formula>
    </cfRule>
  </conditionalFormatting>
  <conditionalFormatting sqref="R786">
    <cfRule type="cellIs" dxfId="1" priority="774" stopIfTrue="1" operator="between">
      <formula>"Check"</formula>
      <formula>"Check"</formula>
    </cfRule>
  </conditionalFormatting>
  <conditionalFormatting sqref="R787">
    <cfRule type="cellIs" dxfId="1" priority="775" stopIfTrue="1" operator="between">
      <formula>"Check"</formula>
      <formula>"Check"</formula>
    </cfRule>
  </conditionalFormatting>
  <conditionalFormatting sqref="R788">
    <cfRule type="cellIs" dxfId="1" priority="776" stopIfTrue="1" operator="between">
      <formula>"Check"</formula>
      <formula>"Check"</formula>
    </cfRule>
  </conditionalFormatting>
  <conditionalFormatting sqref="R789">
    <cfRule type="cellIs" dxfId="1" priority="777" stopIfTrue="1" operator="between">
      <formula>"Check"</formula>
      <formula>"Check"</formula>
    </cfRule>
  </conditionalFormatting>
  <conditionalFormatting sqref="R790">
    <cfRule type="cellIs" dxfId="1" priority="778" stopIfTrue="1" operator="between">
      <formula>"Check"</formula>
      <formula>"Check"</formula>
    </cfRule>
  </conditionalFormatting>
  <conditionalFormatting sqref="R791">
    <cfRule type="cellIs" dxfId="1" priority="779" stopIfTrue="1" operator="between">
      <formula>"Check"</formula>
      <formula>"Check"</formula>
    </cfRule>
  </conditionalFormatting>
  <conditionalFormatting sqref="R792">
    <cfRule type="cellIs" dxfId="1" priority="780" stopIfTrue="1" operator="between">
      <formula>"Check"</formula>
      <formula>"Check"</formula>
    </cfRule>
  </conditionalFormatting>
  <conditionalFormatting sqref="R793">
    <cfRule type="cellIs" dxfId="1" priority="781" stopIfTrue="1" operator="between">
      <formula>"Check"</formula>
      <formula>"Check"</formula>
    </cfRule>
  </conditionalFormatting>
  <conditionalFormatting sqref="R794">
    <cfRule type="cellIs" dxfId="1" priority="782" stopIfTrue="1" operator="between">
      <formula>"Check"</formula>
      <formula>"Check"</formula>
    </cfRule>
  </conditionalFormatting>
  <conditionalFormatting sqref="R795">
    <cfRule type="cellIs" dxfId="1" priority="783" stopIfTrue="1" operator="between">
      <formula>"Check"</formula>
      <formula>"Check"</formula>
    </cfRule>
  </conditionalFormatting>
  <conditionalFormatting sqref="R796">
    <cfRule type="cellIs" dxfId="1" priority="784" stopIfTrue="1" operator="between">
      <formula>"Check"</formula>
      <formula>"Check"</formula>
    </cfRule>
  </conditionalFormatting>
  <conditionalFormatting sqref="R797">
    <cfRule type="cellIs" dxfId="1" priority="785" stopIfTrue="1" operator="between">
      <formula>"Check"</formula>
      <formula>"Check"</formula>
    </cfRule>
  </conditionalFormatting>
  <conditionalFormatting sqref="R798">
    <cfRule type="cellIs" dxfId="1" priority="786" stopIfTrue="1" operator="between">
      <formula>"Check"</formula>
      <formula>"Check"</formula>
    </cfRule>
  </conditionalFormatting>
  <conditionalFormatting sqref="R799">
    <cfRule type="cellIs" dxfId="1" priority="787" stopIfTrue="1" operator="between">
      <formula>"Check"</formula>
      <formula>"Check"</formula>
    </cfRule>
  </conditionalFormatting>
  <conditionalFormatting sqref="R800">
    <cfRule type="cellIs" dxfId="1" priority="788" stopIfTrue="1" operator="between">
      <formula>"Check"</formula>
      <formula>"Check"</formula>
    </cfRule>
  </conditionalFormatting>
  <conditionalFormatting sqref="R801">
    <cfRule type="cellIs" dxfId="1" priority="789" stopIfTrue="1" operator="between">
      <formula>"Check"</formula>
      <formula>"Check"</formula>
    </cfRule>
  </conditionalFormatting>
  <conditionalFormatting sqref="R802">
    <cfRule type="cellIs" dxfId="1" priority="790" stopIfTrue="1" operator="between">
      <formula>"Check"</formula>
      <formula>"Check"</formula>
    </cfRule>
  </conditionalFormatting>
  <conditionalFormatting sqref="R803">
    <cfRule type="cellIs" dxfId="1" priority="791" stopIfTrue="1" operator="between">
      <formula>"Check"</formula>
      <formula>"Check"</formula>
    </cfRule>
  </conditionalFormatting>
  <conditionalFormatting sqref="R804">
    <cfRule type="cellIs" dxfId="1" priority="792" stopIfTrue="1" operator="between">
      <formula>"Check"</formula>
      <formula>"Check"</formula>
    </cfRule>
  </conditionalFormatting>
  <conditionalFormatting sqref="R805">
    <cfRule type="cellIs" dxfId="1" priority="793" stopIfTrue="1" operator="between">
      <formula>"Check"</formula>
      <formula>"Check"</formula>
    </cfRule>
  </conditionalFormatting>
  <conditionalFormatting sqref="R806">
    <cfRule type="cellIs" dxfId="1" priority="794" stopIfTrue="1" operator="between">
      <formula>"Check"</formula>
      <formula>"Check"</formula>
    </cfRule>
  </conditionalFormatting>
  <conditionalFormatting sqref="R807">
    <cfRule type="cellIs" dxfId="1" priority="795" stopIfTrue="1" operator="between">
      <formula>"Check"</formula>
      <formula>"Check"</formula>
    </cfRule>
  </conditionalFormatting>
  <conditionalFormatting sqref="R808">
    <cfRule type="cellIs" dxfId="1" priority="796" stopIfTrue="1" operator="between">
      <formula>"Check"</formula>
      <formula>"Check"</formula>
    </cfRule>
  </conditionalFormatting>
  <conditionalFormatting sqref="R809">
    <cfRule type="cellIs" dxfId="1" priority="797" stopIfTrue="1" operator="between">
      <formula>"Check"</formula>
      <formula>"Check"</formula>
    </cfRule>
  </conditionalFormatting>
  <conditionalFormatting sqref="R810">
    <cfRule type="cellIs" dxfId="1" priority="798" stopIfTrue="1" operator="between">
      <formula>"Check"</formula>
      <formula>"Check"</formula>
    </cfRule>
  </conditionalFormatting>
  <conditionalFormatting sqref="R811">
    <cfRule type="cellIs" dxfId="1" priority="799" stopIfTrue="1" operator="between">
      <formula>"Check"</formula>
      <formula>"Check"</formula>
    </cfRule>
  </conditionalFormatting>
  <conditionalFormatting sqref="R812">
    <cfRule type="cellIs" dxfId="1" priority="800" stopIfTrue="1" operator="between">
      <formula>"Check"</formula>
      <formula>"Check"</formula>
    </cfRule>
  </conditionalFormatting>
  <conditionalFormatting sqref="R813">
    <cfRule type="cellIs" dxfId="1" priority="801" stopIfTrue="1" operator="between">
      <formula>"Check"</formula>
      <formula>"Check"</formula>
    </cfRule>
  </conditionalFormatting>
  <conditionalFormatting sqref="R814">
    <cfRule type="cellIs" dxfId="1" priority="802" stopIfTrue="1" operator="between">
      <formula>"Check"</formula>
      <formula>"Check"</formula>
    </cfRule>
  </conditionalFormatting>
  <conditionalFormatting sqref="R815">
    <cfRule type="cellIs" dxfId="1" priority="803" stopIfTrue="1" operator="between">
      <formula>"Check"</formula>
      <formula>"Check"</formula>
    </cfRule>
  </conditionalFormatting>
  <conditionalFormatting sqref="R816">
    <cfRule type="cellIs" dxfId="1" priority="804" stopIfTrue="1" operator="between">
      <formula>"Check"</formula>
      <formula>"Check"</formula>
    </cfRule>
  </conditionalFormatting>
  <conditionalFormatting sqref="R817">
    <cfRule type="cellIs" dxfId="1" priority="805" stopIfTrue="1" operator="between">
      <formula>"Check"</formula>
      <formula>"Check"</formula>
    </cfRule>
  </conditionalFormatting>
  <conditionalFormatting sqref="R818">
    <cfRule type="cellIs" dxfId="1" priority="806" stopIfTrue="1" operator="between">
      <formula>"Check"</formula>
      <formula>"Check"</formula>
    </cfRule>
  </conditionalFormatting>
  <conditionalFormatting sqref="R819">
    <cfRule type="cellIs" dxfId="1" priority="807" stopIfTrue="1" operator="between">
      <formula>"Check"</formula>
      <formula>"Check"</formula>
    </cfRule>
  </conditionalFormatting>
  <conditionalFormatting sqref="R820">
    <cfRule type="cellIs" dxfId="1" priority="808" stopIfTrue="1" operator="between">
      <formula>"Check"</formula>
      <formula>"Check"</formula>
    </cfRule>
  </conditionalFormatting>
  <conditionalFormatting sqref="R821">
    <cfRule type="cellIs" dxfId="1" priority="809" stopIfTrue="1" operator="between">
      <formula>"Check"</formula>
      <formula>"Check"</formula>
    </cfRule>
  </conditionalFormatting>
  <conditionalFormatting sqref="R822">
    <cfRule type="cellIs" dxfId="1" priority="810" stopIfTrue="1" operator="between">
      <formula>"Check"</formula>
      <formula>"Check"</formula>
    </cfRule>
  </conditionalFormatting>
  <conditionalFormatting sqref="R823">
    <cfRule type="cellIs" dxfId="1" priority="811" stopIfTrue="1" operator="between">
      <formula>"Check"</formula>
      <formula>"Check"</formula>
    </cfRule>
  </conditionalFormatting>
  <conditionalFormatting sqref="R824">
    <cfRule type="cellIs" dxfId="1" priority="812" stopIfTrue="1" operator="between">
      <formula>"Check"</formula>
      <formula>"Check"</formula>
    </cfRule>
  </conditionalFormatting>
  <conditionalFormatting sqref="R825">
    <cfRule type="cellIs" dxfId="1" priority="813" stopIfTrue="1" operator="between">
      <formula>"Check"</formula>
      <formula>"Check"</formula>
    </cfRule>
  </conditionalFormatting>
  <conditionalFormatting sqref="R826">
    <cfRule type="cellIs" dxfId="1" priority="814" stopIfTrue="1" operator="between">
      <formula>"Check"</formula>
      <formula>"Check"</formula>
    </cfRule>
  </conditionalFormatting>
  <conditionalFormatting sqref="R827">
    <cfRule type="cellIs" dxfId="1" priority="815" stopIfTrue="1" operator="between">
      <formula>"Check"</formula>
      <formula>"Check"</formula>
    </cfRule>
  </conditionalFormatting>
  <conditionalFormatting sqref="R828">
    <cfRule type="cellIs" dxfId="1" priority="816" stopIfTrue="1" operator="between">
      <formula>"Check"</formula>
      <formula>"Check"</formula>
    </cfRule>
  </conditionalFormatting>
  <conditionalFormatting sqref="R829">
    <cfRule type="cellIs" dxfId="1" priority="817" stopIfTrue="1" operator="between">
      <formula>"Check"</formula>
      <formula>"Check"</formula>
    </cfRule>
  </conditionalFormatting>
  <conditionalFormatting sqref="R830">
    <cfRule type="cellIs" dxfId="1" priority="818" stopIfTrue="1" operator="between">
      <formula>"Check"</formula>
      <formula>"Check"</formula>
    </cfRule>
  </conditionalFormatting>
  <conditionalFormatting sqref="R831">
    <cfRule type="cellIs" dxfId="1" priority="819" stopIfTrue="1" operator="between">
      <formula>"Check"</formula>
      <formula>"Check"</formula>
    </cfRule>
  </conditionalFormatting>
  <conditionalFormatting sqref="R832">
    <cfRule type="cellIs" dxfId="1" priority="820" stopIfTrue="1" operator="between">
      <formula>"Check"</formula>
      <formula>"Check"</formula>
    </cfRule>
  </conditionalFormatting>
  <conditionalFormatting sqref="R833">
    <cfRule type="cellIs" dxfId="1" priority="821" stopIfTrue="1" operator="between">
      <formula>"Check"</formula>
      <formula>"Check"</formula>
    </cfRule>
  </conditionalFormatting>
  <conditionalFormatting sqref="R834">
    <cfRule type="cellIs" dxfId="1" priority="822" stopIfTrue="1" operator="between">
      <formula>"Check"</formula>
      <formula>"Check"</formula>
    </cfRule>
  </conditionalFormatting>
  <conditionalFormatting sqref="R835">
    <cfRule type="cellIs" dxfId="1" priority="823" stopIfTrue="1" operator="between">
      <formula>"Check"</formula>
      <formula>"Check"</formula>
    </cfRule>
  </conditionalFormatting>
  <conditionalFormatting sqref="R836">
    <cfRule type="cellIs" dxfId="1" priority="824" stopIfTrue="1" operator="between">
      <formula>"Check"</formula>
      <formula>"Check"</formula>
    </cfRule>
  </conditionalFormatting>
  <conditionalFormatting sqref="R837">
    <cfRule type="cellIs" dxfId="1" priority="825" stopIfTrue="1" operator="between">
      <formula>"Check"</formula>
      <formula>"Check"</formula>
    </cfRule>
  </conditionalFormatting>
  <conditionalFormatting sqref="R838">
    <cfRule type="cellIs" dxfId="1" priority="826" stopIfTrue="1" operator="between">
      <formula>"Check"</formula>
      <formula>"Check"</formula>
    </cfRule>
  </conditionalFormatting>
  <conditionalFormatting sqref="R839">
    <cfRule type="cellIs" dxfId="1" priority="827" stopIfTrue="1" operator="between">
      <formula>"Check"</formula>
      <formula>"Check"</formula>
    </cfRule>
  </conditionalFormatting>
  <conditionalFormatting sqref="R840">
    <cfRule type="cellIs" dxfId="1" priority="828" stopIfTrue="1" operator="between">
      <formula>"Check"</formula>
      <formula>"Check"</formula>
    </cfRule>
  </conditionalFormatting>
  <conditionalFormatting sqref="R841">
    <cfRule type="cellIs" dxfId="1" priority="829" stopIfTrue="1" operator="between">
      <formula>"Check"</formula>
      <formula>"Check"</formula>
    </cfRule>
  </conditionalFormatting>
  <conditionalFormatting sqref="R842">
    <cfRule type="cellIs" dxfId="1" priority="830" stopIfTrue="1" operator="between">
      <formula>"Check"</formula>
      <formula>"Check"</formula>
    </cfRule>
  </conditionalFormatting>
  <conditionalFormatting sqref="R843">
    <cfRule type="cellIs" dxfId="1" priority="831" stopIfTrue="1" operator="between">
      <formula>"Check"</formula>
      <formula>"Check"</formula>
    </cfRule>
  </conditionalFormatting>
  <conditionalFormatting sqref="R844">
    <cfRule type="cellIs" dxfId="1" priority="832" stopIfTrue="1" operator="between">
      <formula>"Check"</formula>
      <formula>"Check"</formula>
    </cfRule>
  </conditionalFormatting>
  <conditionalFormatting sqref="R845">
    <cfRule type="cellIs" dxfId="1" priority="833" stopIfTrue="1" operator="between">
      <formula>"Check"</formula>
      <formula>"Check"</formula>
    </cfRule>
  </conditionalFormatting>
  <conditionalFormatting sqref="R846">
    <cfRule type="cellIs" dxfId="1" priority="834" stopIfTrue="1" operator="between">
      <formula>"Check"</formula>
      <formula>"Check"</formula>
    </cfRule>
  </conditionalFormatting>
  <conditionalFormatting sqref="R847">
    <cfRule type="cellIs" dxfId="1" priority="835" stopIfTrue="1" operator="between">
      <formula>"Check"</formula>
      <formula>"Check"</formula>
    </cfRule>
  </conditionalFormatting>
  <conditionalFormatting sqref="R848">
    <cfRule type="cellIs" dxfId="1" priority="836" stopIfTrue="1" operator="between">
      <formula>"Check"</formula>
      <formula>"Check"</formula>
    </cfRule>
  </conditionalFormatting>
  <conditionalFormatting sqref="R849">
    <cfRule type="cellIs" dxfId="1" priority="837" stopIfTrue="1" operator="between">
      <formula>"Check"</formula>
      <formula>"Check"</formula>
    </cfRule>
  </conditionalFormatting>
  <conditionalFormatting sqref="R850">
    <cfRule type="cellIs" dxfId="1" priority="838" stopIfTrue="1" operator="between">
      <formula>"Check"</formula>
      <formula>"Check"</formula>
    </cfRule>
  </conditionalFormatting>
  <conditionalFormatting sqref="R851">
    <cfRule type="cellIs" dxfId="1" priority="839" stopIfTrue="1" operator="between">
      <formula>"Check"</formula>
      <formula>"Check"</formula>
    </cfRule>
  </conditionalFormatting>
  <conditionalFormatting sqref="R852">
    <cfRule type="cellIs" dxfId="1" priority="840" stopIfTrue="1" operator="between">
      <formula>"Check"</formula>
      <formula>"Check"</formula>
    </cfRule>
  </conditionalFormatting>
  <conditionalFormatting sqref="R853">
    <cfRule type="cellIs" dxfId="1" priority="841" stopIfTrue="1" operator="between">
      <formula>"Check"</formula>
      <formula>"Check"</formula>
    </cfRule>
  </conditionalFormatting>
  <conditionalFormatting sqref="R854">
    <cfRule type="cellIs" dxfId="1" priority="842" stopIfTrue="1" operator="between">
      <formula>"Check"</formula>
      <formula>"Check"</formula>
    </cfRule>
  </conditionalFormatting>
  <conditionalFormatting sqref="R855">
    <cfRule type="cellIs" dxfId="1" priority="843" stopIfTrue="1" operator="between">
      <formula>"Check"</formula>
      <formula>"Check"</formula>
    </cfRule>
  </conditionalFormatting>
  <conditionalFormatting sqref="R856">
    <cfRule type="cellIs" dxfId="1" priority="844" stopIfTrue="1" operator="between">
      <formula>"Check"</formula>
      <formula>"Check"</formula>
    </cfRule>
  </conditionalFormatting>
  <conditionalFormatting sqref="R857">
    <cfRule type="cellIs" dxfId="1" priority="845" stopIfTrue="1" operator="between">
      <formula>"Check"</formula>
      <formula>"Check"</formula>
    </cfRule>
  </conditionalFormatting>
  <conditionalFormatting sqref="R858">
    <cfRule type="cellIs" dxfId="1" priority="846" stopIfTrue="1" operator="between">
      <formula>"Check"</formula>
      <formula>"Check"</formula>
    </cfRule>
  </conditionalFormatting>
  <conditionalFormatting sqref="R859">
    <cfRule type="cellIs" dxfId="1" priority="847" stopIfTrue="1" operator="between">
      <formula>"Check"</formula>
      <formula>"Check"</formula>
    </cfRule>
  </conditionalFormatting>
  <conditionalFormatting sqref="R860">
    <cfRule type="cellIs" dxfId="1" priority="848" stopIfTrue="1" operator="between">
      <formula>"Check"</formula>
      <formula>"Check"</formula>
    </cfRule>
  </conditionalFormatting>
  <conditionalFormatting sqref="R861">
    <cfRule type="cellIs" dxfId="1" priority="849" stopIfTrue="1" operator="between">
      <formula>"Check"</formula>
      <formula>"Check"</formula>
    </cfRule>
  </conditionalFormatting>
  <conditionalFormatting sqref="R862">
    <cfRule type="cellIs" dxfId="1" priority="850" stopIfTrue="1" operator="between">
      <formula>"Check"</formula>
      <formula>"Check"</formula>
    </cfRule>
  </conditionalFormatting>
  <conditionalFormatting sqref="R863">
    <cfRule type="cellIs" dxfId="1" priority="851" stopIfTrue="1" operator="between">
      <formula>"Check"</formula>
      <formula>"Check"</formula>
    </cfRule>
  </conditionalFormatting>
  <conditionalFormatting sqref="R864">
    <cfRule type="cellIs" dxfId="1" priority="852" stopIfTrue="1" operator="between">
      <formula>"Check"</formula>
      <formula>"Check"</formula>
    </cfRule>
  </conditionalFormatting>
  <conditionalFormatting sqref="R865">
    <cfRule type="cellIs" dxfId="1" priority="853" stopIfTrue="1" operator="between">
      <formula>"Check"</formula>
      <formula>"Check"</formula>
    </cfRule>
  </conditionalFormatting>
  <conditionalFormatting sqref="R866">
    <cfRule type="cellIs" dxfId="1" priority="854" stopIfTrue="1" operator="between">
      <formula>"Check"</formula>
      <formula>"Check"</formula>
    </cfRule>
  </conditionalFormatting>
  <conditionalFormatting sqref="R867">
    <cfRule type="cellIs" dxfId="1" priority="855" stopIfTrue="1" operator="between">
      <formula>"Check"</formula>
      <formula>"Check"</formula>
    </cfRule>
  </conditionalFormatting>
  <conditionalFormatting sqref="R868">
    <cfRule type="cellIs" dxfId="1" priority="856" stopIfTrue="1" operator="between">
      <formula>"Check"</formula>
      <formula>"Check"</formula>
    </cfRule>
  </conditionalFormatting>
  <conditionalFormatting sqref="R869">
    <cfRule type="cellIs" dxfId="1" priority="857" stopIfTrue="1" operator="between">
      <formula>"Check"</formula>
      <formula>"Check"</formula>
    </cfRule>
  </conditionalFormatting>
  <conditionalFormatting sqref="R870">
    <cfRule type="cellIs" dxfId="1" priority="858" stopIfTrue="1" operator="between">
      <formula>"Check"</formula>
      <formula>"Check"</formula>
    </cfRule>
  </conditionalFormatting>
  <conditionalFormatting sqref="R871">
    <cfRule type="cellIs" dxfId="1" priority="859" stopIfTrue="1" operator="between">
      <formula>"Check"</formula>
      <formula>"Check"</formula>
    </cfRule>
  </conditionalFormatting>
  <conditionalFormatting sqref="R872">
    <cfRule type="cellIs" dxfId="1" priority="860" stopIfTrue="1" operator="between">
      <formula>"Check"</formula>
      <formula>"Check"</formula>
    </cfRule>
  </conditionalFormatting>
  <conditionalFormatting sqref="R873">
    <cfRule type="cellIs" dxfId="1" priority="861" stopIfTrue="1" operator="between">
      <formula>"Check"</formula>
      <formula>"Check"</formula>
    </cfRule>
  </conditionalFormatting>
  <conditionalFormatting sqref="R874">
    <cfRule type="cellIs" dxfId="1" priority="862" stopIfTrue="1" operator="between">
      <formula>"Check"</formula>
      <formula>"Check"</formula>
    </cfRule>
  </conditionalFormatting>
  <conditionalFormatting sqref="R875">
    <cfRule type="cellIs" dxfId="1" priority="863" stopIfTrue="1" operator="between">
      <formula>"Check"</formula>
      <formula>"Check"</formula>
    </cfRule>
  </conditionalFormatting>
  <conditionalFormatting sqref="R876">
    <cfRule type="cellIs" dxfId="1" priority="864" stopIfTrue="1" operator="between">
      <formula>"Check"</formula>
      <formula>"Check"</formula>
    </cfRule>
  </conditionalFormatting>
  <conditionalFormatting sqref="R877">
    <cfRule type="cellIs" dxfId="1" priority="865" stopIfTrue="1" operator="between">
      <formula>"Check"</formula>
      <formula>"Check"</formula>
    </cfRule>
  </conditionalFormatting>
  <conditionalFormatting sqref="R878">
    <cfRule type="cellIs" dxfId="1" priority="866" stopIfTrue="1" operator="between">
      <formula>"Check"</formula>
      <formula>"Check"</formula>
    </cfRule>
  </conditionalFormatting>
  <conditionalFormatting sqref="R879">
    <cfRule type="cellIs" dxfId="1" priority="867" stopIfTrue="1" operator="between">
      <formula>"Check"</formula>
      <formula>"Check"</formula>
    </cfRule>
  </conditionalFormatting>
  <conditionalFormatting sqref="R880">
    <cfRule type="cellIs" dxfId="1" priority="868" stopIfTrue="1" operator="between">
      <formula>"Check"</formula>
      <formula>"Check"</formula>
    </cfRule>
  </conditionalFormatting>
  <conditionalFormatting sqref="R881">
    <cfRule type="cellIs" dxfId="1" priority="869" stopIfTrue="1" operator="between">
      <formula>"Check"</formula>
      <formula>"Check"</formula>
    </cfRule>
  </conditionalFormatting>
  <conditionalFormatting sqref="R882">
    <cfRule type="cellIs" dxfId="1" priority="870" stopIfTrue="1" operator="between">
      <formula>"Check"</formula>
      <formula>"Check"</formula>
    </cfRule>
  </conditionalFormatting>
  <conditionalFormatting sqref="R883">
    <cfRule type="cellIs" dxfId="1" priority="871" stopIfTrue="1" operator="between">
      <formula>"Check"</formula>
      <formula>"Check"</formula>
    </cfRule>
  </conditionalFormatting>
  <conditionalFormatting sqref="R884">
    <cfRule type="cellIs" dxfId="1" priority="872" stopIfTrue="1" operator="between">
      <formula>"Check"</formula>
      <formula>"Check"</formula>
    </cfRule>
  </conditionalFormatting>
  <conditionalFormatting sqref="R885">
    <cfRule type="cellIs" dxfId="1" priority="873" stopIfTrue="1" operator="between">
      <formula>"Check"</formula>
      <formula>"Check"</formula>
    </cfRule>
  </conditionalFormatting>
  <conditionalFormatting sqref="R886">
    <cfRule type="cellIs" dxfId="1" priority="874" stopIfTrue="1" operator="between">
      <formula>"Check"</formula>
      <formula>"Check"</formula>
    </cfRule>
  </conditionalFormatting>
  <conditionalFormatting sqref="R887">
    <cfRule type="cellIs" dxfId="1" priority="875" stopIfTrue="1" operator="between">
      <formula>"Check"</formula>
      <formula>"Check"</formula>
    </cfRule>
  </conditionalFormatting>
  <conditionalFormatting sqref="R888">
    <cfRule type="cellIs" dxfId="1" priority="876" stopIfTrue="1" operator="between">
      <formula>"Check"</formula>
      <formula>"Check"</formula>
    </cfRule>
  </conditionalFormatting>
  <conditionalFormatting sqref="R889">
    <cfRule type="cellIs" dxfId="1" priority="877" stopIfTrue="1" operator="between">
      <formula>"Check"</formula>
      <formula>"Check"</formula>
    </cfRule>
  </conditionalFormatting>
  <conditionalFormatting sqref="R890">
    <cfRule type="cellIs" dxfId="1" priority="878" stopIfTrue="1" operator="between">
      <formula>"Check"</formula>
      <formula>"Check"</formula>
    </cfRule>
  </conditionalFormatting>
  <conditionalFormatting sqref="R891">
    <cfRule type="cellIs" dxfId="1" priority="879" stopIfTrue="1" operator="between">
      <formula>"Check"</formula>
      <formula>"Check"</formula>
    </cfRule>
  </conditionalFormatting>
  <conditionalFormatting sqref="R892">
    <cfRule type="cellIs" dxfId="1" priority="880" stopIfTrue="1" operator="between">
      <formula>"Check"</formula>
      <formula>"Check"</formula>
    </cfRule>
  </conditionalFormatting>
  <conditionalFormatting sqref="R893">
    <cfRule type="cellIs" dxfId="1" priority="881" stopIfTrue="1" operator="between">
      <formula>"Check"</formula>
      <formula>"Check"</formula>
    </cfRule>
  </conditionalFormatting>
  <conditionalFormatting sqref="R894">
    <cfRule type="cellIs" dxfId="1" priority="882" stopIfTrue="1" operator="between">
      <formula>"Check"</formula>
      <formula>"Check"</formula>
    </cfRule>
  </conditionalFormatting>
  <conditionalFormatting sqref="R895">
    <cfRule type="cellIs" dxfId="1" priority="883" stopIfTrue="1" operator="between">
      <formula>"Check"</formula>
      <formula>"Check"</formula>
    </cfRule>
  </conditionalFormatting>
  <conditionalFormatting sqref="R896">
    <cfRule type="cellIs" dxfId="1" priority="884" stopIfTrue="1" operator="between">
      <formula>"Check"</formula>
      <formula>"Check"</formula>
    </cfRule>
  </conditionalFormatting>
  <conditionalFormatting sqref="R897">
    <cfRule type="cellIs" dxfId="1" priority="885" stopIfTrue="1" operator="between">
      <formula>"Check"</formula>
      <formula>"Check"</formula>
    </cfRule>
  </conditionalFormatting>
  <conditionalFormatting sqref="R898">
    <cfRule type="cellIs" dxfId="1" priority="886" stopIfTrue="1" operator="between">
      <formula>"Check"</formula>
      <formula>"Check"</formula>
    </cfRule>
  </conditionalFormatting>
  <conditionalFormatting sqref="R899">
    <cfRule type="cellIs" dxfId="1" priority="887" stopIfTrue="1" operator="between">
      <formula>"Check"</formula>
      <formula>"Check"</formula>
    </cfRule>
  </conditionalFormatting>
  <conditionalFormatting sqref="R900">
    <cfRule type="cellIs" dxfId="1" priority="888" stopIfTrue="1" operator="between">
      <formula>"Check"</formula>
      <formula>"Check"</formula>
    </cfRule>
  </conditionalFormatting>
  <conditionalFormatting sqref="R901">
    <cfRule type="cellIs" dxfId="1" priority="889" stopIfTrue="1" operator="between">
      <formula>"Check"</formula>
      <formula>"Check"</formula>
    </cfRule>
  </conditionalFormatting>
  <conditionalFormatting sqref="R902">
    <cfRule type="cellIs" dxfId="1" priority="890" stopIfTrue="1" operator="between">
      <formula>"Check"</formula>
      <formula>"Check"</formula>
    </cfRule>
  </conditionalFormatting>
  <conditionalFormatting sqref="R903">
    <cfRule type="cellIs" dxfId="1" priority="891" stopIfTrue="1" operator="between">
      <formula>"Check"</formula>
      <formula>"Check"</formula>
    </cfRule>
  </conditionalFormatting>
  <conditionalFormatting sqref="R904">
    <cfRule type="cellIs" dxfId="1" priority="892" stopIfTrue="1" operator="between">
      <formula>"Check"</formula>
      <formula>"Check"</formula>
    </cfRule>
  </conditionalFormatting>
  <conditionalFormatting sqref="R905">
    <cfRule type="cellIs" dxfId="1" priority="893" stopIfTrue="1" operator="between">
      <formula>"Check"</formula>
      <formula>"Check"</formula>
    </cfRule>
  </conditionalFormatting>
  <conditionalFormatting sqref="R906">
    <cfRule type="cellIs" dxfId="1" priority="894" stopIfTrue="1" operator="between">
      <formula>"Check"</formula>
      <formula>"Check"</formula>
    </cfRule>
  </conditionalFormatting>
  <conditionalFormatting sqref="R907">
    <cfRule type="cellIs" dxfId="1" priority="895" stopIfTrue="1" operator="between">
      <formula>"Check"</formula>
      <formula>"Check"</formula>
    </cfRule>
  </conditionalFormatting>
  <conditionalFormatting sqref="R908">
    <cfRule type="cellIs" dxfId="1" priority="896" stopIfTrue="1" operator="between">
      <formula>"Check"</formula>
      <formula>"Check"</formula>
    </cfRule>
  </conditionalFormatting>
  <conditionalFormatting sqref="R909">
    <cfRule type="cellIs" dxfId="1" priority="897" stopIfTrue="1" operator="between">
      <formula>"Check"</formula>
      <formula>"Check"</formula>
    </cfRule>
  </conditionalFormatting>
  <conditionalFormatting sqref="R910">
    <cfRule type="cellIs" dxfId="1" priority="898" stopIfTrue="1" operator="between">
      <formula>"Check"</formula>
      <formula>"Check"</formula>
    </cfRule>
  </conditionalFormatting>
  <conditionalFormatting sqref="R911">
    <cfRule type="cellIs" dxfId="1" priority="899" stopIfTrue="1" operator="between">
      <formula>"Check"</formula>
      <formula>"Check"</formula>
    </cfRule>
  </conditionalFormatting>
  <conditionalFormatting sqref="R912">
    <cfRule type="cellIs" dxfId="1" priority="900" stopIfTrue="1" operator="between">
      <formula>"Check"</formula>
      <formula>"Check"</formula>
    </cfRule>
  </conditionalFormatting>
  <conditionalFormatting sqref="R913">
    <cfRule type="cellIs" dxfId="1" priority="901" stopIfTrue="1" operator="between">
      <formula>"Check"</formula>
      <formula>"Check"</formula>
    </cfRule>
  </conditionalFormatting>
  <conditionalFormatting sqref="R914">
    <cfRule type="cellIs" dxfId="1" priority="902" stopIfTrue="1" operator="between">
      <formula>"Check"</formula>
      <formula>"Check"</formula>
    </cfRule>
  </conditionalFormatting>
  <conditionalFormatting sqref="R915">
    <cfRule type="cellIs" dxfId="1" priority="903" stopIfTrue="1" operator="between">
      <formula>"Check"</formula>
      <formula>"Check"</formula>
    </cfRule>
  </conditionalFormatting>
  <conditionalFormatting sqref="R916">
    <cfRule type="cellIs" dxfId="1" priority="904" stopIfTrue="1" operator="between">
      <formula>"Check"</formula>
      <formula>"Check"</formula>
    </cfRule>
  </conditionalFormatting>
  <conditionalFormatting sqref="R917">
    <cfRule type="cellIs" dxfId="1" priority="905" stopIfTrue="1" operator="between">
      <formula>"Check"</formula>
      <formula>"Check"</formula>
    </cfRule>
  </conditionalFormatting>
  <conditionalFormatting sqref="R918">
    <cfRule type="cellIs" dxfId="1" priority="906" stopIfTrue="1" operator="between">
      <formula>"Check"</formula>
      <formula>"Check"</formula>
    </cfRule>
  </conditionalFormatting>
  <conditionalFormatting sqref="R919">
    <cfRule type="cellIs" dxfId="1" priority="907" stopIfTrue="1" operator="between">
      <formula>"Check"</formula>
      <formula>"Check"</formula>
    </cfRule>
  </conditionalFormatting>
  <conditionalFormatting sqref="R920">
    <cfRule type="cellIs" dxfId="1" priority="908" stopIfTrue="1" operator="between">
      <formula>"Check"</formula>
      <formula>"Check"</formula>
    </cfRule>
  </conditionalFormatting>
  <conditionalFormatting sqref="R921">
    <cfRule type="cellIs" dxfId="1" priority="909" stopIfTrue="1" operator="between">
      <formula>"Check"</formula>
      <formula>"Check"</formula>
    </cfRule>
  </conditionalFormatting>
  <conditionalFormatting sqref="R922">
    <cfRule type="cellIs" dxfId="1" priority="910" stopIfTrue="1" operator="between">
      <formula>"Check"</formula>
      <formula>"Check"</formula>
    </cfRule>
  </conditionalFormatting>
  <conditionalFormatting sqref="R923">
    <cfRule type="cellIs" dxfId="1" priority="911" stopIfTrue="1" operator="between">
      <formula>"Check"</formula>
      <formula>"Check"</formula>
    </cfRule>
  </conditionalFormatting>
  <conditionalFormatting sqref="R924">
    <cfRule type="cellIs" dxfId="1" priority="912" stopIfTrue="1" operator="between">
      <formula>"Check"</formula>
      <formula>"Check"</formula>
    </cfRule>
  </conditionalFormatting>
  <conditionalFormatting sqref="R925">
    <cfRule type="cellIs" dxfId="1" priority="913" stopIfTrue="1" operator="between">
      <formula>"Check"</formula>
      <formula>"Check"</formula>
    </cfRule>
  </conditionalFormatting>
  <conditionalFormatting sqref="R926">
    <cfRule type="cellIs" dxfId="1" priority="914" stopIfTrue="1" operator="between">
      <formula>"Check"</formula>
      <formula>"Check"</formula>
    </cfRule>
  </conditionalFormatting>
  <conditionalFormatting sqref="R927">
    <cfRule type="cellIs" dxfId="1" priority="915" stopIfTrue="1" operator="between">
      <formula>"Check"</formula>
      <formula>"Check"</formula>
    </cfRule>
  </conditionalFormatting>
  <conditionalFormatting sqref="R928">
    <cfRule type="cellIs" dxfId="1" priority="916" stopIfTrue="1" operator="between">
      <formula>"Check"</formula>
      <formula>"Check"</formula>
    </cfRule>
  </conditionalFormatting>
  <conditionalFormatting sqref="R929">
    <cfRule type="cellIs" dxfId="1" priority="917" stopIfTrue="1" operator="between">
      <formula>"Check"</formula>
      <formula>"Check"</formula>
    </cfRule>
  </conditionalFormatting>
  <conditionalFormatting sqref="R930">
    <cfRule type="cellIs" dxfId="1" priority="918" stopIfTrue="1" operator="between">
      <formula>"Check"</formula>
      <formula>"Check"</formula>
    </cfRule>
  </conditionalFormatting>
  <conditionalFormatting sqref="R931">
    <cfRule type="cellIs" dxfId="1" priority="919" stopIfTrue="1" operator="between">
      <formula>"Check"</formula>
      <formula>"Check"</formula>
    </cfRule>
  </conditionalFormatting>
  <conditionalFormatting sqref="R932">
    <cfRule type="cellIs" dxfId="1" priority="920" stopIfTrue="1" operator="between">
      <formula>"Check"</formula>
      <formula>"Check"</formula>
    </cfRule>
  </conditionalFormatting>
  <conditionalFormatting sqref="R933">
    <cfRule type="cellIs" dxfId="1" priority="921" stopIfTrue="1" operator="between">
      <formula>"Check"</formula>
      <formula>"Check"</formula>
    </cfRule>
  </conditionalFormatting>
  <conditionalFormatting sqref="R934">
    <cfRule type="cellIs" dxfId="1" priority="922" stopIfTrue="1" operator="between">
      <formula>"Check"</formula>
      <formula>"Check"</formula>
    </cfRule>
  </conditionalFormatting>
  <conditionalFormatting sqref="R935">
    <cfRule type="cellIs" dxfId="1" priority="923" stopIfTrue="1" operator="between">
      <formula>"Check"</formula>
      <formula>"Check"</formula>
    </cfRule>
  </conditionalFormatting>
  <conditionalFormatting sqref="R936">
    <cfRule type="cellIs" dxfId="1" priority="924" stopIfTrue="1" operator="between">
      <formula>"Check"</formula>
      <formula>"Check"</formula>
    </cfRule>
  </conditionalFormatting>
  <conditionalFormatting sqref="R937">
    <cfRule type="cellIs" dxfId="1" priority="925" stopIfTrue="1" operator="between">
      <formula>"Check"</formula>
      <formula>"Check"</formula>
    </cfRule>
  </conditionalFormatting>
  <conditionalFormatting sqref="R938">
    <cfRule type="cellIs" dxfId="1" priority="926" stopIfTrue="1" operator="between">
      <formula>"Check"</formula>
      <formula>"Check"</formula>
    </cfRule>
  </conditionalFormatting>
  <conditionalFormatting sqref="R939">
    <cfRule type="cellIs" dxfId="1" priority="927" stopIfTrue="1" operator="between">
      <formula>"Check"</formula>
      <formula>"Check"</formula>
    </cfRule>
  </conditionalFormatting>
  <conditionalFormatting sqref="R940">
    <cfRule type="cellIs" dxfId="1" priority="928" stopIfTrue="1" operator="between">
      <formula>"Check"</formula>
      <formula>"Check"</formula>
    </cfRule>
  </conditionalFormatting>
  <conditionalFormatting sqref="R941">
    <cfRule type="cellIs" dxfId="1" priority="929" stopIfTrue="1" operator="between">
      <formula>"Check"</formula>
      <formula>"Check"</formula>
    </cfRule>
  </conditionalFormatting>
  <conditionalFormatting sqref="R942">
    <cfRule type="cellIs" dxfId="1" priority="930" stopIfTrue="1" operator="between">
      <formula>"Check"</formula>
      <formula>"Check"</formula>
    </cfRule>
  </conditionalFormatting>
  <conditionalFormatting sqref="R943">
    <cfRule type="cellIs" dxfId="1" priority="931" stopIfTrue="1" operator="between">
      <formula>"Check"</formula>
      <formula>"Check"</formula>
    </cfRule>
  </conditionalFormatting>
  <conditionalFormatting sqref="R944">
    <cfRule type="cellIs" dxfId="1" priority="932" stopIfTrue="1" operator="between">
      <formula>"Check"</formula>
      <formula>"Check"</formula>
    </cfRule>
  </conditionalFormatting>
  <conditionalFormatting sqref="R945">
    <cfRule type="cellIs" dxfId="1" priority="933" stopIfTrue="1" operator="between">
      <formula>"Check"</formula>
      <formula>"Check"</formula>
    </cfRule>
  </conditionalFormatting>
  <conditionalFormatting sqref="R946">
    <cfRule type="cellIs" dxfId="1" priority="934" stopIfTrue="1" operator="between">
      <formula>"Check"</formula>
      <formula>"Check"</formula>
    </cfRule>
  </conditionalFormatting>
  <conditionalFormatting sqref="R947">
    <cfRule type="cellIs" dxfId="1" priority="935" stopIfTrue="1" operator="between">
      <formula>"Check"</formula>
      <formula>"Check"</formula>
    </cfRule>
  </conditionalFormatting>
  <conditionalFormatting sqref="R948">
    <cfRule type="cellIs" dxfId="1" priority="936" stopIfTrue="1" operator="between">
      <formula>"Check"</formula>
      <formula>"Check"</formula>
    </cfRule>
  </conditionalFormatting>
  <conditionalFormatting sqref="R949">
    <cfRule type="cellIs" dxfId="1" priority="937" stopIfTrue="1" operator="between">
      <formula>"Check"</formula>
      <formula>"Check"</formula>
    </cfRule>
  </conditionalFormatting>
  <conditionalFormatting sqref="R950">
    <cfRule type="cellIs" dxfId="1" priority="938" stopIfTrue="1" operator="between">
      <formula>"Check"</formula>
      <formula>"Check"</formula>
    </cfRule>
  </conditionalFormatting>
  <conditionalFormatting sqref="R951">
    <cfRule type="cellIs" dxfId="1" priority="939" stopIfTrue="1" operator="between">
      <formula>"Check"</formula>
      <formula>"Check"</formula>
    </cfRule>
  </conditionalFormatting>
  <conditionalFormatting sqref="R952">
    <cfRule type="cellIs" dxfId="1" priority="940" stopIfTrue="1" operator="between">
      <formula>"Check"</formula>
      <formula>"Check"</formula>
    </cfRule>
  </conditionalFormatting>
  <conditionalFormatting sqref="R953">
    <cfRule type="cellIs" dxfId="1" priority="941" stopIfTrue="1" operator="between">
      <formula>"Check"</formula>
      <formula>"Check"</formula>
    </cfRule>
  </conditionalFormatting>
  <conditionalFormatting sqref="R954">
    <cfRule type="cellIs" dxfId="1" priority="942" stopIfTrue="1" operator="between">
      <formula>"Check"</formula>
      <formula>"Check"</formula>
    </cfRule>
  </conditionalFormatting>
  <conditionalFormatting sqref="R955">
    <cfRule type="cellIs" dxfId="1" priority="943" stopIfTrue="1" operator="between">
      <formula>"Check"</formula>
      <formula>"Check"</formula>
    </cfRule>
  </conditionalFormatting>
  <conditionalFormatting sqref="R956">
    <cfRule type="cellIs" dxfId="1" priority="944" stopIfTrue="1" operator="between">
      <formula>"Check"</formula>
      <formula>"Check"</formula>
    </cfRule>
  </conditionalFormatting>
  <conditionalFormatting sqref="R957">
    <cfRule type="cellIs" dxfId="1" priority="945" stopIfTrue="1" operator="between">
      <formula>"Check"</formula>
      <formula>"Check"</formula>
    </cfRule>
  </conditionalFormatting>
  <conditionalFormatting sqref="R958">
    <cfRule type="cellIs" dxfId="1" priority="946" stopIfTrue="1" operator="between">
      <formula>"Check"</formula>
      <formula>"Check"</formula>
    </cfRule>
  </conditionalFormatting>
  <conditionalFormatting sqref="R959">
    <cfRule type="cellIs" dxfId="1" priority="947" stopIfTrue="1" operator="between">
      <formula>"Check"</formula>
      <formula>"Check"</formula>
    </cfRule>
  </conditionalFormatting>
  <conditionalFormatting sqref="R960">
    <cfRule type="cellIs" dxfId="1" priority="948" stopIfTrue="1" operator="between">
      <formula>"Check"</formula>
      <formula>"Check"</formula>
    </cfRule>
  </conditionalFormatting>
  <conditionalFormatting sqref="R961">
    <cfRule type="cellIs" dxfId="1" priority="949" stopIfTrue="1" operator="between">
      <formula>"Check"</formula>
      <formula>"Check"</formula>
    </cfRule>
  </conditionalFormatting>
  <conditionalFormatting sqref="R962">
    <cfRule type="cellIs" dxfId="1" priority="950" stopIfTrue="1" operator="between">
      <formula>"Check"</formula>
      <formula>"Check"</formula>
    </cfRule>
  </conditionalFormatting>
  <conditionalFormatting sqref="R963">
    <cfRule type="cellIs" dxfId="1" priority="951" stopIfTrue="1" operator="between">
      <formula>"Check"</formula>
      <formula>"Check"</formula>
    </cfRule>
  </conditionalFormatting>
  <conditionalFormatting sqref="R964">
    <cfRule type="cellIs" dxfId="1" priority="952" stopIfTrue="1" operator="between">
      <formula>"Check"</formula>
      <formula>"Check"</formula>
    </cfRule>
  </conditionalFormatting>
  <conditionalFormatting sqref="R965">
    <cfRule type="cellIs" dxfId="1" priority="953" stopIfTrue="1" operator="between">
      <formula>"Check"</formula>
      <formula>"Check"</formula>
    </cfRule>
  </conditionalFormatting>
  <conditionalFormatting sqref="R966">
    <cfRule type="cellIs" dxfId="1" priority="954" stopIfTrue="1" operator="between">
      <formula>"Check"</formula>
      <formula>"Check"</formula>
    </cfRule>
  </conditionalFormatting>
  <conditionalFormatting sqref="R967">
    <cfRule type="cellIs" dxfId="1" priority="955" stopIfTrue="1" operator="between">
      <formula>"Check"</formula>
      <formula>"Check"</formula>
    </cfRule>
  </conditionalFormatting>
  <conditionalFormatting sqref="R968">
    <cfRule type="cellIs" dxfId="1" priority="956" stopIfTrue="1" operator="between">
      <formula>"Check"</formula>
      <formula>"Check"</formula>
    </cfRule>
  </conditionalFormatting>
  <conditionalFormatting sqref="R969">
    <cfRule type="cellIs" dxfId="1" priority="957" stopIfTrue="1" operator="between">
      <formula>"Check"</formula>
      <formula>"Check"</formula>
    </cfRule>
  </conditionalFormatting>
  <conditionalFormatting sqref="R970">
    <cfRule type="cellIs" dxfId="1" priority="958" stopIfTrue="1" operator="between">
      <formula>"Check"</formula>
      <formula>"Check"</formula>
    </cfRule>
  </conditionalFormatting>
  <conditionalFormatting sqref="R971">
    <cfRule type="cellIs" dxfId="1" priority="959" stopIfTrue="1" operator="between">
      <formula>"Check"</formula>
      <formula>"Check"</formula>
    </cfRule>
  </conditionalFormatting>
  <conditionalFormatting sqref="R972">
    <cfRule type="cellIs" dxfId="1" priority="960" stopIfTrue="1" operator="between">
      <formula>"Check"</formula>
      <formula>"Check"</formula>
    </cfRule>
  </conditionalFormatting>
  <conditionalFormatting sqref="R973">
    <cfRule type="cellIs" dxfId="1" priority="961" stopIfTrue="1" operator="between">
      <formula>"Check"</formula>
      <formula>"Check"</formula>
    </cfRule>
  </conditionalFormatting>
  <conditionalFormatting sqref="R974">
    <cfRule type="cellIs" dxfId="1" priority="962" stopIfTrue="1" operator="between">
      <formula>"Check"</formula>
      <formula>"Check"</formula>
    </cfRule>
  </conditionalFormatting>
  <conditionalFormatting sqref="R975">
    <cfRule type="cellIs" dxfId="1" priority="963" stopIfTrue="1" operator="between">
      <formula>"Check"</formula>
      <formula>"Check"</formula>
    </cfRule>
  </conditionalFormatting>
  <conditionalFormatting sqref="R976">
    <cfRule type="cellIs" dxfId="1" priority="964" stopIfTrue="1" operator="between">
      <formula>"Check"</formula>
      <formula>"Check"</formula>
    </cfRule>
  </conditionalFormatting>
  <conditionalFormatting sqref="R977">
    <cfRule type="cellIs" dxfId="1" priority="965" stopIfTrue="1" operator="between">
      <formula>"Check"</formula>
      <formula>"Check"</formula>
    </cfRule>
  </conditionalFormatting>
  <conditionalFormatting sqref="R978">
    <cfRule type="cellIs" dxfId="1" priority="966" stopIfTrue="1" operator="between">
      <formula>"Check"</formula>
      <formula>"Check"</formula>
    </cfRule>
  </conditionalFormatting>
  <conditionalFormatting sqref="R979">
    <cfRule type="cellIs" dxfId="1" priority="967" stopIfTrue="1" operator="between">
      <formula>"Check"</formula>
      <formula>"Check"</formula>
    </cfRule>
  </conditionalFormatting>
  <conditionalFormatting sqref="R980">
    <cfRule type="cellIs" dxfId="1" priority="968" stopIfTrue="1" operator="between">
      <formula>"Check"</formula>
      <formula>"Check"</formula>
    </cfRule>
  </conditionalFormatting>
  <conditionalFormatting sqref="R981">
    <cfRule type="cellIs" dxfId="1" priority="969" stopIfTrue="1" operator="between">
      <formula>"Check"</formula>
      <formula>"Check"</formula>
    </cfRule>
  </conditionalFormatting>
  <conditionalFormatting sqref="R982">
    <cfRule type="cellIs" dxfId="1" priority="970" stopIfTrue="1" operator="between">
      <formula>"Check"</formula>
      <formula>"Check"</formula>
    </cfRule>
  </conditionalFormatting>
  <conditionalFormatting sqref="R983">
    <cfRule type="cellIs" dxfId="1" priority="971" stopIfTrue="1" operator="between">
      <formula>"Check"</formula>
      <formula>"Check"</formula>
    </cfRule>
  </conditionalFormatting>
  <conditionalFormatting sqref="R984">
    <cfRule type="cellIs" dxfId="1" priority="972" stopIfTrue="1" operator="between">
      <formula>"Check"</formula>
      <formula>"Check"</formula>
    </cfRule>
  </conditionalFormatting>
  <conditionalFormatting sqref="R985">
    <cfRule type="cellIs" dxfId="1" priority="973" stopIfTrue="1" operator="between">
      <formula>"Check"</formula>
      <formula>"Check"</formula>
    </cfRule>
  </conditionalFormatting>
  <conditionalFormatting sqref="R986">
    <cfRule type="cellIs" dxfId="1" priority="974" stopIfTrue="1" operator="between">
      <formula>"Check"</formula>
      <formula>"Check"</formula>
    </cfRule>
  </conditionalFormatting>
  <conditionalFormatting sqref="R987">
    <cfRule type="cellIs" dxfId="1" priority="975" stopIfTrue="1" operator="between">
      <formula>"Check"</formula>
      <formula>"Check"</formula>
    </cfRule>
  </conditionalFormatting>
  <conditionalFormatting sqref="R988">
    <cfRule type="cellIs" dxfId="1" priority="976" stopIfTrue="1" operator="between">
      <formula>"Check"</formula>
      <formula>"Check"</formula>
    </cfRule>
  </conditionalFormatting>
  <conditionalFormatting sqref="R989">
    <cfRule type="cellIs" dxfId="1" priority="977" stopIfTrue="1" operator="between">
      <formula>"Check"</formula>
      <formula>"Check"</formula>
    </cfRule>
  </conditionalFormatting>
  <conditionalFormatting sqref="R990">
    <cfRule type="cellIs" dxfId="1" priority="978" stopIfTrue="1" operator="between">
      <formula>"Check"</formula>
      <formula>"Check"</formula>
    </cfRule>
  </conditionalFormatting>
  <conditionalFormatting sqref="R991">
    <cfRule type="cellIs" dxfId="1" priority="979" stopIfTrue="1" operator="between">
      <formula>"Check"</formula>
      <formula>"Check"</formula>
    </cfRule>
  </conditionalFormatting>
  <conditionalFormatting sqref="R992">
    <cfRule type="cellIs" dxfId="1" priority="980" stopIfTrue="1" operator="between">
      <formula>"Check"</formula>
      <formula>"Check"</formula>
    </cfRule>
  </conditionalFormatting>
  <conditionalFormatting sqref="R993">
    <cfRule type="cellIs" dxfId="1" priority="981" stopIfTrue="1" operator="between">
      <formula>"Check"</formula>
      <formula>"Check"</formula>
    </cfRule>
  </conditionalFormatting>
  <conditionalFormatting sqref="R994">
    <cfRule type="cellIs" dxfId="1" priority="982" stopIfTrue="1" operator="between">
      <formula>"Check"</formula>
      <formula>"Check"</formula>
    </cfRule>
  </conditionalFormatting>
  <conditionalFormatting sqref="R995">
    <cfRule type="cellIs" dxfId="1" priority="983" stopIfTrue="1" operator="between">
      <formula>"Check"</formula>
      <formula>"Check"</formula>
    </cfRule>
  </conditionalFormatting>
  <conditionalFormatting sqref="R996">
    <cfRule type="cellIs" dxfId="1" priority="984" stopIfTrue="1" operator="between">
      <formula>"Check"</formula>
      <formula>"Check"</formula>
    </cfRule>
  </conditionalFormatting>
  <conditionalFormatting sqref="R997">
    <cfRule type="cellIs" dxfId="1" priority="985" stopIfTrue="1" operator="between">
      <formula>"Check"</formula>
      <formula>"Check"</formula>
    </cfRule>
  </conditionalFormatting>
  <conditionalFormatting sqref="R998">
    <cfRule type="cellIs" dxfId="1" priority="986" stopIfTrue="1" operator="between">
      <formula>"Check"</formula>
      <formula>"Check"</formula>
    </cfRule>
  </conditionalFormatting>
  <conditionalFormatting sqref="R999">
    <cfRule type="cellIs" dxfId="1" priority="987" stopIfTrue="1" operator="between">
      <formula>"Check"</formula>
      <formula>"Check"</formula>
    </cfRule>
  </conditionalFormatting>
  <conditionalFormatting sqref="R1000">
    <cfRule type="cellIs" dxfId="1" priority="988" stopIfTrue="1" operator="between">
      <formula>"Check"</formula>
      <formula>"Check"</formula>
    </cfRule>
  </conditionalFormatting>
  <conditionalFormatting sqref="R1001">
    <cfRule type="cellIs" dxfId="1" priority="989" stopIfTrue="1" operator="between">
      <formula>"Check"</formula>
      <formula>"Check"</formula>
    </cfRule>
  </conditionalFormatting>
  <conditionalFormatting sqref="R1002">
    <cfRule type="cellIs" dxfId="1" priority="990" stopIfTrue="1" operator="between">
      <formula>"Check"</formula>
      <formula>"Check"</formula>
    </cfRule>
  </conditionalFormatting>
  <conditionalFormatting sqref="R1003">
    <cfRule type="cellIs" dxfId="1" priority="991" stopIfTrue="1" operator="between">
      <formula>"Check"</formula>
      <formula>"Check"</formula>
    </cfRule>
  </conditionalFormatting>
  <conditionalFormatting sqref="R1004">
    <cfRule type="cellIs" dxfId="1" priority="992" stopIfTrue="1" operator="between">
      <formula>"Check"</formula>
      <formula>"Check"</formula>
    </cfRule>
  </conditionalFormatting>
  <conditionalFormatting sqref="R1005">
    <cfRule type="cellIs" dxfId="1" priority="993" stopIfTrue="1" operator="between">
      <formula>"Check"</formula>
      <formula>"Check"</formula>
    </cfRule>
  </conditionalFormatting>
  <conditionalFormatting sqref="R1006">
    <cfRule type="cellIs" dxfId="1" priority="994" stopIfTrue="1" operator="between">
      <formula>"Check"</formula>
      <formula>"Check"</formula>
    </cfRule>
  </conditionalFormatting>
  <conditionalFormatting sqref="R1007">
    <cfRule type="cellIs" dxfId="1" priority="995" stopIfTrue="1" operator="between">
      <formula>"Check"</formula>
      <formula>"Check"</formula>
    </cfRule>
  </conditionalFormatting>
  <conditionalFormatting sqref="R1008">
    <cfRule type="cellIs" dxfId="1" priority="996" stopIfTrue="1" operator="between">
      <formula>"Check"</formula>
      <formula>"Check"</formula>
    </cfRule>
  </conditionalFormatting>
  <conditionalFormatting sqref="R1009">
    <cfRule type="cellIs" dxfId="1" priority="997" stopIfTrue="1" operator="between">
      <formula>"Check"</formula>
      <formula>"Check"</formula>
    </cfRule>
  </conditionalFormatting>
  <conditionalFormatting sqref="R1010">
    <cfRule type="cellIs" dxfId="1" priority="998" stopIfTrue="1" operator="between">
      <formula>"Check"</formula>
      <formula>"Check"</formula>
    </cfRule>
  </conditionalFormatting>
  <conditionalFormatting sqref="R1011">
    <cfRule type="cellIs" dxfId="1" priority="999" stopIfTrue="1" operator="between">
      <formula>"Check"</formula>
      <formula>"Check"</formula>
    </cfRule>
  </conditionalFormatting>
  <conditionalFormatting sqref="R1012">
    <cfRule type="cellIs" dxfId="1" priority="1000" stopIfTrue="1" operator="between">
      <formula>"Check"</formula>
      <formula>"Check"</formula>
    </cfRule>
  </conditionalFormatting>
  <conditionalFormatting sqref="R1013">
    <cfRule type="cellIs" dxfId="1" priority="1001" stopIfTrue="1" operator="between">
      <formula>"Check"</formula>
      <formula>"Check"</formula>
    </cfRule>
  </conditionalFormatting>
  <conditionalFormatting sqref="R1014">
    <cfRule type="cellIs" dxfId="1" priority="1002" stopIfTrue="1" operator="between">
      <formula>"Check"</formula>
      <formula>"Check"</formula>
    </cfRule>
  </conditionalFormatting>
  <conditionalFormatting sqref="R1015">
    <cfRule type="cellIs" dxfId="1" priority="1003" stopIfTrue="1" operator="between">
      <formula>"Check"</formula>
      <formula>"Check"</formula>
    </cfRule>
  </conditionalFormatting>
  <conditionalFormatting sqref="R1016">
    <cfRule type="cellIs" dxfId="1" priority="1004" stopIfTrue="1" operator="between">
      <formula>"Check"</formula>
      <formula>"Check"</formula>
    </cfRule>
  </conditionalFormatting>
  <conditionalFormatting sqref="R1017">
    <cfRule type="cellIs" dxfId="1" priority="1005" stopIfTrue="1" operator="between">
      <formula>"Check"</formula>
      <formula>"Check"</formula>
    </cfRule>
  </conditionalFormatting>
  <conditionalFormatting sqref="R1018">
    <cfRule type="cellIs" dxfId="1" priority="1006" stopIfTrue="1" operator="between">
      <formula>"Check"</formula>
      <formula>"Check"</formula>
    </cfRule>
  </conditionalFormatting>
  <conditionalFormatting sqref="R1019">
    <cfRule type="cellIs" dxfId="1" priority="1007" stopIfTrue="1" operator="between">
      <formula>"Check"</formula>
      <formula>"Check"</formula>
    </cfRule>
  </conditionalFormatting>
  <conditionalFormatting sqref="R1020">
    <cfRule type="cellIs" dxfId="1" priority="1008" stopIfTrue="1" operator="between">
      <formula>"Check"</formula>
      <formula>"Check"</formula>
    </cfRule>
  </conditionalFormatting>
  <conditionalFormatting sqref="R1021">
    <cfRule type="cellIs" dxfId="1" priority="1009" stopIfTrue="1" operator="between">
      <formula>"Check"</formula>
      <formula>"Check"</formula>
    </cfRule>
  </conditionalFormatting>
  <conditionalFormatting sqref="R1022">
    <cfRule type="cellIs" dxfId="1" priority="1010" stopIfTrue="1" operator="between">
      <formula>"Check"</formula>
      <formula>"Check"</formula>
    </cfRule>
  </conditionalFormatting>
  <conditionalFormatting sqref="R1023">
    <cfRule type="cellIs" dxfId="1" priority="1011" stopIfTrue="1" operator="between">
      <formula>"Check"</formula>
      <formula>"Check"</formula>
    </cfRule>
  </conditionalFormatting>
  <conditionalFormatting sqref="R1024">
    <cfRule type="cellIs" dxfId="1" priority="1012" stopIfTrue="1" operator="between">
      <formula>"Check"</formula>
      <formula>"Check"</formula>
    </cfRule>
  </conditionalFormatting>
  <conditionalFormatting sqref="R1025">
    <cfRule type="cellIs" dxfId="1" priority="1013" stopIfTrue="1" operator="between">
      <formula>"Check"</formula>
      <formula>"Check"</formula>
    </cfRule>
  </conditionalFormatting>
  <conditionalFormatting sqref="R1026">
    <cfRule type="cellIs" dxfId="1" priority="1014" stopIfTrue="1" operator="between">
      <formula>"Check"</formula>
      <formula>"Check"</formula>
    </cfRule>
  </conditionalFormatting>
  <conditionalFormatting sqref="R1027">
    <cfRule type="cellIs" dxfId="1" priority="1015" stopIfTrue="1" operator="between">
      <formula>"Check"</formula>
      <formula>"Check"</formula>
    </cfRule>
  </conditionalFormatting>
  <conditionalFormatting sqref="R1028">
    <cfRule type="cellIs" dxfId="1" priority="1016" stopIfTrue="1" operator="between">
      <formula>"Check"</formula>
      <formula>"Check"</formula>
    </cfRule>
  </conditionalFormatting>
  <conditionalFormatting sqref="R1029">
    <cfRule type="cellIs" dxfId="1" priority="1017" stopIfTrue="1" operator="between">
      <formula>"Check"</formula>
      <formula>"Check"</formula>
    </cfRule>
  </conditionalFormatting>
  <conditionalFormatting sqref="R1030">
    <cfRule type="cellIs" dxfId="1" priority="1018" stopIfTrue="1" operator="between">
      <formula>"Check"</formula>
      <formula>"Check"</formula>
    </cfRule>
  </conditionalFormatting>
  <conditionalFormatting sqref="R1031">
    <cfRule type="cellIs" dxfId="1" priority="1019" stopIfTrue="1" operator="between">
      <formula>"Check"</formula>
      <formula>"Check"</formula>
    </cfRule>
  </conditionalFormatting>
  <conditionalFormatting sqref="R1032">
    <cfRule type="cellIs" dxfId="1" priority="1020" stopIfTrue="1" operator="between">
      <formula>"Check"</formula>
      <formula>"Check"</formula>
    </cfRule>
  </conditionalFormatting>
  <conditionalFormatting sqref="R1033">
    <cfRule type="cellIs" dxfId="1" priority="1021" stopIfTrue="1" operator="between">
      <formula>"Check"</formula>
      <formula>"Check"</formula>
    </cfRule>
  </conditionalFormatting>
  <conditionalFormatting sqref="R1034">
    <cfRule type="cellIs" dxfId="1" priority="1022" stopIfTrue="1" operator="between">
      <formula>"Check"</formula>
      <formula>"Check"</formula>
    </cfRule>
  </conditionalFormatting>
  <conditionalFormatting sqref="R1035">
    <cfRule type="cellIs" dxfId="1" priority="1023" stopIfTrue="1" operator="between">
      <formula>"Check"</formula>
      <formula>"Check"</formula>
    </cfRule>
  </conditionalFormatting>
  <conditionalFormatting sqref="R1036">
    <cfRule type="cellIs" dxfId="1" priority="1024" stopIfTrue="1" operator="between">
      <formula>"Check"</formula>
      <formula>"Check"</formula>
    </cfRule>
  </conditionalFormatting>
  <conditionalFormatting sqref="R1037">
    <cfRule type="cellIs" dxfId="1" priority="1025" stopIfTrue="1" operator="between">
      <formula>"Check"</formula>
      <formula>"Check"</formula>
    </cfRule>
  </conditionalFormatting>
  <conditionalFormatting sqref="R1038">
    <cfRule type="cellIs" dxfId="1" priority="1026" stopIfTrue="1" operator="between">
      <formula>"Check"</formula>
      <formula>"Check"</formula>
    </cfRule>
  </conditionalFormatting>
  <conditionalFormatting sqref="R1039">
    <cfRule type="cellIs" dxfId="1" priority="1027" stopIfTrue="1" operator="between">
      <formula>"Check"</formula>
      <formula>"Check"</formula>
    </cfRule>
  </conditionalFormatting>
  <conditionalFormatting sqref="R1040">
    <cfRule type="cellIs" dxfId="1" priority="1028" stopIfTrue="1" operator="between">
      <formula>"Check"</formula>
      <formula>"Check"</formula>
    </cfRule>
  </conditionalFormatting>
  <conditionalFormatting sqref="R1041">
    <cfRule type="cellIs" dxfId="1" priority="1029" stopIfTrue="1" operator="between">
      <formula>"Check"</formula>
      <formula>"Check"</formula>
    </cfRule>
  </conditionalFormatting>
  <conditionalFormatting sqref="R1042">
    <cfRule type="cellIs" dxfId="1" priority="1030" stopIfTrue="1" operator="between">
      <formula>"Check"</formula>
      <formula>"Check"</formula>
    </cfRule>
  </conditionalFormatting>
  <conditionalFormatting sqref="R1043">
    <cfRule type="cellIs" dxfId="1" priority="1031" stopIfTrue="1" operator="between">
      <formula>"Check"</formula>
      <formula>"Check"</formula>
    </cfRule>
  </conditionalFormatting>
  <conditionalFormatting sqref="R1044">
    <cfRule type="cellIs" dxfId="1" priority="1032" stopIfTrue="1" operator="between">
      <formula>"Check"</formula>
      <formula>"Check"</formula>
    </cfRule>
  </conditionalFormatting>
  <conditionalFormatting sqref="R1045">
    <cfRule type="cellIs" dxfId="1" priority="1033" stopIfTrue="1" operator="between">
      <formula>"Check"</formula>
      <formula>"Check"</formula>
    </cfRule>
  </conditionalFormatting>
  <conditionalFormatting sqref="R1046">
    <cfRule type="cellIs" dxfId="1" priority="1034" stopIfTrue="1" operator="between">
      <formula>"Check"</formula>
      <formula>"Check"</formula>
    </cfRule>
  </conditionalFormatting>
  <conditionalFormatting sqref="R1047">
    <cfRule type="cellIs" dxfId="1" priority="1035" stopIfTrue="1" operator="between">
      <formula>"Check"</formula>
      <formula>"Check"</formula>
    </cfRule>
  </conditionalFormatting>
  <conditionalFormatting sqref="R1048">
    <cfRule type="cellIs" dxfId="1" priority="1036" stopIfTrue="1" operator="between">
      <formula>"Check"</formula>
      <formula>"Check"</formula>
    </cfRule>
  </conditionalFormatting>
  <conditionalFormatting sqref="R1049">
    <cfRule type="cellIs" dxfId="1" priority="1037" stopIfTrue="1" operator="between">
      <formula>"Check"</formula>
      <formula>"Check"</formula>
    </cfRule>
  </conditionalFormatting>
  <conditionalFormatting sqref="R1050">
    <cfRule type="cellIs" dxfId="1" priority="1038" stopIfTrue="1" operator="between">
      <formula>"Check"</formula>
      <formula>"Check"</formula>
    </cfRule>
  </conditionalFormatting>
  <conditionalFormatting sqref="R1051">
    <cfRule type="cellIs" dxfId="1" priority="1039" stopIfTrue="1" operator="between">
      <formula>"Check"</formula>
      <formula>"Check"</formula>
    </cfRule>
  </conditionalFormatting>
  <conditionalFormatting sqref="R1052">
    <cfRule type="cellIs" dxfId="1" priority="1040" stopIfTrue="1" operator="between">
      <formula>"Check"</formula>
      <formula>"Check"</formula>
    </cfRule>
  </conditionalFormatting>
  <conditionalFormatting sqref="R1053">
    <cfRule type="cellIs" dxfId="1" priority="1041" stopIfTrue="1" operator="between">
      <formula>"Check"</formula>
      <formula>"Check"</formula>
    </cfRule>
  </conditionalFormatting>
  <conditionalFormatting sqref="R1054">
    <cfRule type="cellIs" dxfId="1" priority="1042" stopIfTrue="1" operator="between">
      <formula>"Check"</formula>
      <formula>"Check"</formula>
    </cfRule>
  </conditionalFormatting>
  <conditionalFormatting sqref="R1055">
    <cfRule type="cellIs" dxfId="1" priority="1043" stopIfTrue="1" operator="between">
      <formula>"Check"</formula>
      <formula>"Check"</formula>
    </cfRule>
  </conditionalFormatting>
  <conditionalFormatting sqref="R1056">
    <cfRule type="cellIs" dxfId="1" priority="1044" stopIfTrue="1" operator="between">
      <formula>"Check"</formula>
      <formula>"Check"</formula>
    </cfRule>
  </conditionalFormatting>
  <conditionalFormatting sqref="R1057">
    <cfRule type="cellIs" dxfId="1" priority="1045" stopIfTrue="1" operator="between">
      <formula>"Check"</formula>
      <formula>"Check"</formula>
    </cfRule>
  </conditionalFormatting>
  <conditionalFormatting sqref="R1058">
    <cfRule type="cellIs" dxfId="1" priority="1046" stopIfTrue="1" operator="between">
      <formula>"Check"</formula>
      <formula>"Check"</formula>
    </cfRule>
  </conditionalFormatting>
  <conditionalFormatting sqref="R1059">
    <cfRule type="cellIs" dxfId="1" priority="1047" stopIfTrue="1" operator="between">
      <formula>"Check"</formula>
      <formula>"Check"</formula>
    </cfRule>
  </conditionalFormatting>
  <conditionalFormatting sqref="R1060">
    <cfRule type="cellIs" dxfId="1" priority="1048" stopIfTrue="1" operator="between">
      <formula>"Check"</formula>
      <formula>"Check"</formula>
    </cfRule>
  </conditionalFormatting>
  <conditionalFormatting sqref="R1061">
    <cfRule type="cellIs" dxfId="1" priority="1049" stopIfTrue="1" operator="between">
      <formula>"Check"</formula>
      <formula>"Check"</formula>
    </cfRule>
  </conditionalFormatting>
  <conditionalFormatting sqref="R1062">
    <cfRule type="cellIs" dxfId="1" priority="1050" stopIfTrue="1" operator="between">
      <formula>"Check"</formula>
      <formula>"Check"</formula>
    </cfRule>
  </conditionalFormatting>
  <conditionalFormatting sqref="R1063">
    <cfRule type="cellIs" dxfId="1" priority="1051" stopIfTrue="1" operator="between">
      <formula>"Check"</formula>
      <formula>"Check"</formula>
    </cfRule>
  </conditionalFormatting>
  <conditionalFormatting sqref="R1064">
    <cfRule type="cellIs" dxfId="1" priority="1052" stopIfTrue="1" operator="between">
      <formula>"Check"</formula>
      <formula>"Check"</formula>
    </cfRule>
  </conditionalFormatting>
  <conditionalFormatting sqref="R1065">
    <cfRule type="cellIs" dxfId="1" priority="1053" stopIfTrue="1" operator="between">
      <formula>"Check"</formula>
      <formula>"Check"</formula>
    </cfRule>
  </conditionalFormatting>
  <conditionalFormatting sqref="R1066">
    <cfRule type="cellIs" dxfId="1" priority="1054" stopIfTrue="1" operator="between">
      <formula>"Check"</formula>
      <formula>"Check"</formula>
    </cfRule>
  </conditionalFormatting>
  <conditionalFormatting sqref="R1067">
    <cfRule type="cellIs" dxfId="1" priority="1055" stopIfTrue="1" operator="between">
      <formula>"Check"</formula>
      <formula>"Check"</formula>
    </cfRule>
  </conditionalFormatting>
  <conditionalFormatting sqref="R1068">
    <cfRule type="cellIs" dxfId="1" priority="1056" stopIfTrue="1" operator="between">
      <formula>"Check"</formula>
      <formula>"Check"</formula>
    </cfRule>
  </conditionalFormatting>
  <conditionalFormatting sqref="R1069">
    <cfRule type="cellIs" dxfId="1" priority="1057" stopIfTrue="1" operator="between">
      <formula>"Check"</formula>
      <formula>"Check"</formula>
    </cfRule>
  </conditionalFormatting>
  <conditionalFormatting sqref="R1070">
    <cfRule type="cellIs" dxfId="1" priority="1058" stopIfTrue="1" operator="between">
      <formula>"Check"</formula>
      <formula>"Check"</formula>
    </cfRule>
  </conditionalFormatting>
  <conditionalFormatting sqref="R1071">
    <cfRule type="cellIs" dxfId="1" priority="1059" stopIfTrue="1" operator="between">
      <formula>"Check"</formula>
      <formula>"Check"</formula>
    </cfRule>
  </conditionalFormatting>
  <conditionalFormatting sqref="R1072">
    <cfRule type="cellIs" dxfId="1" priority="1060" stopIfTrue="1" operator="between">
      <formula>"Check"</formula>
      <formula>"Check"</formula>
    </cfRule>
  </conditionalFormatting>
  <conditionalFormatting sqref="R1073">
    <cfRule type="cellIs" dxfId="1" priority="1061" stopIfTrue="1" operator="between">
      <formula>"Check"</formula>
      <formula>"Check"</formula>
    </cfRule>
  </conditionalFormatting>
  <conditionalFormatting sqref="R1074">
    <cfRule type="cellIs" dxfId="1" priority="1062" stopIfTrue="1" operator="between">
      <formula>"Check"</formula>
      <formula>"Check"</formula>
    </cfRule>
  </conditionalFormatting>
  <conditionalFormatting sqref="R1075">
    <cfRule type="cellIs" dxfId="1" priority="1063" stopIfTrue="1" operator="between">
      <formula>"Check"</formula>
      <formula>"Check"</formula>
    </cfRule>
  </conditionalFormatting>
  <conditionalFormatting sqref="R1076">
    <cfRule type="cellIs" dxfId="1" priority="1064" stopIfTrue="1" operator="between">
      <formula>"Check"</formula>
      <formula>"Check"</formula>
    </cfRule>
  </conditionalFormatting>
  <conditionalFormatting sqref="R1077">
    <cfRule type="cellIs" dxfId="1" priority="1065" stopIfTrue="1" operator="between">
      <formula>"Check"</formula>
      <formula>"Check"</formula>
    </cfRule>
  </conditionalFormatting>
  <conditionalFormatting sqref="R1078">
    <cfRule type="cellIs" dxfId="1" priority="1066" stopIfTrue="1" operator="between">
      <formula>"Check"</formula>
      <formula>"Check"</formula>
    </cfRule>
  </conditionalFormatting>
  <conditionalFormatting sqref="R1079">
    <cfRule type="cellIs" dxfId="1" priority="1067" stopIfTrue="1" operator="between">
      <formula>"Check"</formula>
      <formula>"Check"</formula>
    </cfRule>
  </conditionalFormatting>
  <conditionalFormatting sqref="R1080">
    <cfRule type="cellIs" dxfId="1" priority="1068" stopIfTrue="1" operator="between">
      <formula>"Check"</formula>
      <formula>"Check"</formula>
    </cfRule>
  </conditionalFormatting>
  <conditionalFormatting sqref="R1081">
    <cfRule type="cellIs" dxfId="1" priority="1069" stopIfTrue="1" operator="between">
      <formula>"Check"</formula>
      <formula>"Check"</formula>
    </cfRule>
  </conditionalFormatting>
  <conditionalFormatting sqref="R1082">
    <cfRule type="cellIs" dxfId="1" priority="1070" stopIfTrue="1" operator="between">
      <formula>"Check"</formula>
      <formula>"Check"</formula>
    </cfRule>
  </conditionalFormatting>
  <conditionalFormatting sqref="R1083">
    <cfRule type="cellIs" dxfId="1" priority="1071" stopIfTrue="1" operator="between">
      <formula>"Check"</formula>
      <formula>"Check"</formula>
    </cfRule>
  </conditionalFormatting>
  <conditionalFormatting sqref="R1084">
    <cfRule type="cellIs" dxfId="1" priority="1072" stopIfTrue="1" operator="between">
      <formula>"Check"</formula>
      <formula>"Check"</formula>
    </cfRule>
  </conditionalFormatting>
  <conditionalFormatting sqref="R1085">
    <cfRule type="cellIs" dxfId="1" priority="1073" stopIfTrue="1" operator="between">
      <formula>"Check"</formula>
      <formula>"Check"</formula>
    </cfRule>
  </conditionalFormatting>
  <conditionalFormatting sqref="R1086">
    <cfRule type="cellIs" dxfId="1" priority="1074" stopIfTrue="1" operator="between">
      <formula>"Check"</formula>
      <formula>"Check"</formula>
    </cfRule>
  </conditionalFormatting>
  <conditionalFormatting sqref="R1087">
    <cfRule type="cellIs" dxfId="1" priority="1075" stopIfTrue="1" operator="between">
      <formula>"Check"</formula>
      <formula>"Check"</formula>
    </cfRule>
  </conditionalFormatting>
  <conditionalFormatting sqref="R1088">
    <cfRule type="cellIs" dxfId="1" priority="1076" stopIfTrue="1" operator="between">
      <formula>"Check"</formula>
      <formula>"Check"</formula>
    </cfRule>
  </conditionalFormatting>
  <conditionalFormatting sqref="R1089">
    <cfRule type="cellIs" dxfId="1" priority="1077" stopIfTrue="1" operator="between">
      <formula>"Check"</formula>
      <formula>"Check"</formula>
    </cfRule>
  </conditionalFormatting>
  <conditionalFormatting sqref="R1090">
    <cfRule type="cellIs" dxfId="1" priority="1078" stopIfTrue="1" operator="between">
      <formula>"Check"</formula>
      <formula>"Check"</formula>
    </cfRule>
  </conditionalFormatting>
  <conditionalFormatting sqref="R1091">
    <cfRule type="cellIs" dxfId="1" priority="1079" stopIfTrue="1" operator="between">
      <formula>"Check"</formula>
      <formula>"Check"</formula>
    </cfRule>
  </conditionalFormatting>
  <conditionalFormatting sqref="R1092">
    <cfRule type="cellIs" dxfId="1" priority="1080" stopIfTrue="1" operator="between">
      <formula>"Check"</formula>
      <formula>"Check"</formula>
    </cfRule>
  </conditionalFormatting>
  <conditionalFormatting sqref="R1093">
    <cfRule type="cellIs" dxfId="1" priority="1081" stopIfTrue="1" operator="between">
      <formula>"Check"</formula>
      <formula>"Check"</formula>
    </cfRule>
  </conditionalFormatting>
  <conditionalFormatting sqref="R1094">
    <cfRule type="cellIs" dxfId="1" priority="1082" stopIfTrue="1" operator="between">
      <formula>"Check"</formula>
      <formula>"Check"</formula>
    </cfRule>
  </conditionalFormatting>
  <conditionalFormatting sqref="R1095">
    <cfRule type="cellIs" dxfId="1" priority="1083" stopIfTrue="1" operator="between">
      <formula>"Check"</formula>
      <formula>"Check"</formula>
    </cfRule>
  </conditionalFormatting>
  <conditionalFormatting sqref="R1096">
    <cfRule type="cellIs" dxfId="1" priority="1084" stopIfTrue="1" operator="between">
      <formula>"Check"</formula>
      <formula>"Check"</formula>
    </cfRule>
  </conditionalFormatting>
  <conditionalFormatting sqref="R1097">
    <cfRule type="cellIs" dxfId="1" priority="1085" stopIfTrue="1" operator="between">
      <formula>"Check"</formula>
      <formula>"Check"</formula>
    </cfRule>
  </conditionalFormatting>
  <conditionalFormatting sqref="R1098">
    <cfRule type="cellIs" dxfId="1" priority="1086" stopIfTrue="1" operator="between">
      <formula>"Check"</formula>
      <formula>"Check"</formula>
    </cfRule>
  </conditionalFormatting>
  <conditionalFormatting sqref="R1099">
    <cfRule type="cellIs" dxfId="1" priority="1087" stopIfTrue="1" operator="between">
      <formula>"Check"</formula>
      <formula>"Check"</formula>
    </cfRule>
  </conditionalFormatting>
  <conditionalFormatting sqref="R1100">
    <cfRule type="cellIs" dxfId="1" priority="1088" stopIfTrue="1" operator="between">
      <formula>"Check"</formula>
      <formula>"Check"</formula>
    </cfRule>
  </conditionalFormatting>
  <conditionalFormatting sqref="R1101">
    <cfRule type="cellIs" dxfId="1" priority="1089" stopIfTrue="1" operator="between">
      <formula>"Check"</formula>
      <formula>"Check"</formula>
    </cfRule>
  </conditionalFormatting>
  <conditionalFormatting sqref="R1102">
    <cfRule type="cellIs" dxfId="1" priority="1090" stopIfTrue="1" operator="between">
      <formula>"Check"</formula>
      <formula>"Check"</formula>
    </cfRule>
  </conditionalFormatting>
  <conditionalFormatting sqref="R1103">
    <cfRule type="cellIs" dxfId="1" priority="1091" stopIfTrue="1" operator="between">
      <formula>"Check"</formula>
      <formula>"Check"</formula>
    </cfRule>
  </conditionalFormatting>
  <conditionalFormatting sqref="R1104">
    <cfRule type="cellIs" dxfId="1" priority="1092" stopIfTrue="1" operator="between">
      <formula>"Check"</formula>
      <formula>"Check"</formula>
    </cfRule>
  </conditionalFormatting>
  <conditionalFormatting sqref="R1105">
    <cfRule type="cellIs" dxfId="1" priority="1093" stopIfTrue="1" operator="between">
      <formula>"Check"</formula>
      <formula>"Check"</formula>
    </cfRule>
  </conditionalFormatting>
  <conditionalFormatting sqref="R1106">
    <cfRule type="cellIs" dxfId="1" priority="1094" stopIfTrue="1" operator="between">
      <formula>"Check"</formula>
      <formula>"Check"</formula>
    </cfRule>
  </conditionalFormatting>
  <conditionalFormatting sqref="R1107">
    <cfRule type="cellIs" dxfId="1" priority="1095" stopIfTrue="1" operator="between">
      <formula>"Check"</formula>
      <formula>"Check"</formula>
    </cfRule>
  </conditionalFormatting>
  <conditionalFormatting sqref="R1108">
    <cfRule type="cellIs" dxfId="1" priority="1096" stopIfTrue="1" operator="between">
      <formula>"Check"</formula>
      <formula>"Check"</formula>
    </cfRule>
  </conditionalFormatting>
  <conditionalFormatting sqref="R1109">
    <cfRule type="cellIs" dxfId="1" priority="1097" stopIfTrue="1" operator="between">
      <formula>"Check"</formula>
      <formula>"Check"</formula>
    </cfRule>
  </conditionalFormatting>
  <conditionalFormatting sqref="R1110">
    <cfRule type="cellIs" dxfId="1" priority="1098" stopIfTrue="1" operator="between">
      <formula>"Check"</formula>
      <formula>"Check"</formula>
    </cfRule>
  </conditionalFormatting>
  <conditionalFormatting sqref="R1111">
    <cfRule type="cellIs" dxfId="1" priority="1099" stopIfTrue="1" operator="between">
      <formula>"Check"</formula>
      <formula>"Check"</formula>
    </cfRule>
  </conditionalFormatting>
  <conditionalFormatting sqref="R1112">
    <cfRule type="cellIs" dxfId="1" priority="1100" stopIfTrue="1" operator="between">
      <formula>"Check"</formula>
      <formula>"Check"</formula>
    </cfRule>
  </conditionalFormatting>
  <conditionalFormatting sqref="R1113">
    <cfRule type="cellIs" dxfId="1" priority="1101" stopIfTrue="1" operator="between">
      <formula>"Check"</formula>
      <formula>"Check"</formula>
    </cfRule>
  </conditionalFormatting>
  <conditionalFormatting sqref="R1114">
    <cfRule type="cellIs" dxfId="1" priority="1102" stopIfTrue="1" operator="between">
      <formula>"Check"</formula>
      <formula>"Check"</formula>
    </cfRule>
  </conditionalFormatting>
  <conditionalFormatting sqref="R1115">
    <cfRule type="cellIs" dxfId="1" priority="1103" stopIfTrue="1" operator="between">
      <formula>"Check"</formula>
      <formula>"Check"</formula>
    </cfRule>
  </conditionalFormatting>
  <conditionalFormatting sqref="R1116">
    <cfRule type="cellIs" dxfId="1" priority="1104" stopIfTrue="1" operator="between">
      <formula>"Check"</formula>
      <formula>"Check"</formula>
    </cfRule>
  </conditionalFormatting>
  <conditionalFormatting sqref="R1117">
    <cfRule type="cellIs" dxfId="1" priority="1105" stopIfTrue="1" operator="between">
      <formula>"Check"</formula>
      <formula>"Check"</formula>
    </cfRule>
  </conditionalFormatting>
  <conditionalFormatting sqref="R1118">
    <cfRule type="cellIs" dxfId="1" priority="1106" stopIfTrue="1" operator="between">
      <formula>"Check"</formula>
      <formula>"Check"</formula>
    </cfRule>
  </conditionalFormatting>
  <conditionalFormatting sqref="R1119">
    <cfRule type="cellIs" dxfId="1" priority="1107" stopIfTrue="1" operator="between">
      <formula>"Check"</formula>
      <formula>"Check"</formula>
    </cfRule>
  </conditionalFormatting>
  <conditionalFormatting sqref="R1120">
    <cfRule type="cellIs" dxfId="1" priority="1108" stopIfTrue="1" operator="between">
      <formula>"Check"</formula>
      <formula>"Check"</formula>
    </cfRule>
  </conditionalFormatting>
  <conditionalFormatting sqref="R1121">
    <cfRule type="cellIs" dxfId="1" priority="1109" stopIfTrue="1" operator="between">
      <formula>"Check"</formula>
      <formula>"Check"</formula>
    </cfRule>
  </conditionalFormatting>
  <conditionalFormatting sqref="R1122">
    <cfRule type="cellIs" dxfId="1" priority="1110" stopIfTrue="1" operator="between">
      <formula>"Check"</formula>
      <formula>"Check"</formula>
    </cfRule>
  </conditionalFormatting>
  <conditionalFormatting sqref="R1123">
    <cfRule type="cellIs" dxfId="1" priority="1111" stopIfTrue="1" operator="between">
      <formula>"Check"</formula>
      <formula>"Check"</formula>
    </cfRule>
  </conditionalFormatting>
  <conditionalFormatting sqref="R1124">
    <cfRule type="cellIs" dxfId="1" priority="1112" stopIfTrue="1" operator="between">
      <formula>"Check"</formula>
      <formula>"Check"</formula>
    </cfRule>
  </conditionalFormatting>
  <conditionalFormatting sqref="R1125">
    <cfRule type="cellIs" dxfId="1" priority="1113" stopIfTrue="1" operator="between">
      <formula>"Check"</formula>
      <formula>"Check"</formula>
    </cfRule>
  </conditionalFormatting>
  <conditionalFormatting sqref="R1126">
    <cfRule type="cellIs" dxfId="1" priority="1114" stopIfTrue="1" operator="between">
      <formula>"Check"</formula>
      <formula>"Check"</formula>
    </cfRule>
  </conditionalFormatting>
  <conditionalFormatting sqref="R1127">
    <cfRule type="cellIs" dxfId="1" priority="1115" stopIfTrue="1" operator="between">
      <formula>"Check"</formula>
      <formula>"Check"</formula>
    </cfRule>
  </conditionalFormatting>
  <conditionalFormatting sqref="R1128">
    <cfRule type="cellIs" dxfId="1" priority="1116" stopIfTrue="1" operator="between">
      <formula>"Check"</formula>
      <formula>"Check"</formula>
    </cfRule>
  </conditionalFormatting>
  <conditionalFormatting sqref="R1129">
    <cfRule type="cellIs" dxfId="1" priority="1117" stopIfTrue="1" operator="between">
      <formula>"Check"</formula>
      <formula>"Check"</formula>
    </cfRule>
  </conditionalFormatting>
  <conditionalFormatting sqref="R1130">
    <cfRule type="cellIs" dxfId="1" priority="1118" stopIfTrue="1" operator="between">
      <formula>"Check"</formula>
      <formula>"Check"</formula>
    </cfRule>
  </conditionalFormatting>
  <conditionalFormatting sqref="R1131">
    <cfRule type="cellIs" dxfId="1" priority="1119" stopIfTrue="1" operator="between">
      <formula>"Check"</formula>
      <formula>"Check"</formula>
    </cfRule>
  </conditionalFormatting>
  <conditionalFormatting sqref="R1132">
    <cfRule type="cellIs" dxfId="1" priority="1120" stopIfTrue="1" operator="between">
      <formula>"Check"</formula>
      <formula>"Check"</formula>
    </cfRule>
  </conditionalFormatting>
  <conditionalFormatting sqref="R1133">
    <cfRule type="cellIs" dxfId="1" priority="1121" stopIfTrue="1" operator="between">
      <formula>"Check"</formula>
      <formula>"Check"</formula>
    </cfRule>
  </conditionalFormatting>
  <conditionalFormatting sqref="R1134">
    <cfRule type="cellIs" dxfId="1" priority="1122" stopIfTrue="1" operator="between">
      <formula>"Check"</formula>
      <formula>"Check"</formula>
    </cfRule>
  </conditionalFormatting>
  <conditionalFormatting sqref="R1135">
    <cfRule type="cellIs" dxfId="1" priority="1123" stopIfTrue="1" operator="between">
      <formula>"Check"</formula>
      <formula>"Check"</formula>
    </cfRule>
  </conditionalFormatting>
  <conditionalFormatting sqref="R1136">
    <cfRule type="cellIs" dxfId="1" priority="1124" stopIfTrue="1" operator="between">
      <formula>"Check"</formula>
      <formula>"Check"</formula>
    </cfRule>
  </conditionalFormatting>
  <conditionalFormatting sqref="R1137">
    <cfRule type="cellIs" dxfId="1" priority="1125" stopIfTrue="1" operator="between">
      <formula>"Check"</formula>
      <formula>"Check"</formula>
    </cfRule>
  </conditionalFormatting>
  <conditionalFormatting sqref="R1138">
    <cfRule type="cellIs" dxfId="1" priority="1126" stopIfTrue="1" operator="between">
      <formula>"Check"</formula>
      <formula>"Check"</formula>
    </cfRule>
  </conditionalFormatting>
  <conditionalFormatting sqref="R1139">
    <cfRule type="cellIs" dxfId="1" priority="1127" stopIfTrue="1" operator="between">
      <formula>"Check"</formula>
      <formula>"Check"</formula>
    </cfRule>
  </conditionalFormatting>
  <conditionalFormatting sqref="R1140">
    <cfRule type="cellIs" dxfId="1" priority="1128" stopIfTrue="1" operator="between">
      <formula>"Check"</formula>
      <formula>"Check"</formula>
    </cfRule>
  </conditionalFormatting>
  <conditionalFormatting sqref="R1141">
    <cfRule type="cellIs" dxfId="1" priority="1129" stopIfTrue="1" operator="between">
      <formula>"Check"</formula>
      <formula>"Check"</formula>
    </cfRule>
  </conditionalFormatting>
  <conditionalFormatting sqref="R1142">
    <cfRule type="cellIs" dxfId="1" priority="1130" stopIfTrue="1" operator="between">
      <formula>"Check"</formula>
      <formula>"Check"</formula>
    </cfRule>
  </conditionalFormatting>
  <conditionalFormatting sqref="R1143">
    <cfRule type="cellIs" dxfId="1" priority="1131" stopIfTrue="1" operator="between">
      <formula>"Check"</formula>
      <formula>"Check"</formula>
    </cfRule>
  </conditionalFormatting>
  <conditionalFormatting sqref="R1144">
    <cfRule type="cellIs" dxfId="1" priority="1132" stopIfTrue="1" operator="between">
      <formula>"Check"</formula>
      <formula>"Check"</formula>
    </cfRule>
  </conditionalFormatting>
  <conditionalFormatting sqref="R1145">
    <cfRule type="cellIs" dxfId="1" priority="1133" stopIfTrue="1" operator="between">
      <formula>"Check"</formula>
      <formula>"Check"</formula>
    </cfRule>
  </conditionalFormatting>
  <conditionalFormatting sqref="R1146">
    <cfRule type="cellIs" dxfId="1" priority="1134" stopIfTrue="1" operator="between">
      <formula>"Check"</formula>
      <formula>"Check"</formula>
    </cfRule>
  </conditionalFormatting>
  <conditionalFormatting sqref="R1147">
    <cfRule type="cellIs" dxfId="1" priority="1135" stopIfTrue="1" operator="between">
      <formula>"Check"</formula>
      <formula>"Check"</formula>
    </cfRule>
  </conditionalFormatting>
  <conditionalFormatting sqref="R1148">
    <cfRule type="cellIs" dxfId="1" priority="1136" stopIfTrue="1" operator="between">
      <formula>"Check"</formula>
      <formula>"Check"</formula>
    </cfRule>
  </conditionalFormatting>
  <conditionalFormatting sqref="R1149">
    <cfRule type="cellIs" dxfId="1" priority="1137" stopIfTrue="1" operator="between">
      <formula>"Check"</formula>
      <formula>"Check"</formula>
    </cfRule>
  </conditionalFormatting>
  <conditionalFormatting sqref="R1150">
    <cfRule type="cellIs" dxfId="1" priority="1138" stopIfTrue="1" operator="between">
      <formula>"Check"</formula>
      <formula>"Check"</formula>
    </cfRule>
  </conditionalFormatting>
  <conditionalFormatting sqref="R1151">
    <cfRule type="cellIs" dxfId="1" priority="1139" stopIfTrue="1" operator="between">
      <formula>"Check"</formula>
      <formula>"Check"</formula>
    </cfRule>
  </conditionalFormatting>
  <conditionalFormatting sqref="R1152">
    <cfRule type="cellIs" dxfId="1" priority="1140" stopIfTrue="1" operator="between">
      <formula>"Check"</formula>
      <formula>"Check"</formula>
    </cfRule>
  </conditionalFormatting>
  <conditionalFormatting sqref="R1153">
    <cfRule type="cellIs" dxfId="1" priority="1141" stopIfTrue="1" operator="between">
      <formula>"Check"</formula>
      <formula>"Check"</formula>
    </cfRule>
  </conditionalFormatting>
  <conditionalFormatting sqref="R1154">
    <cfRule type="cellIs" dxfId="1" priority="1142" stopIfTrue="1" operator="between">
      <formula>"Check"</formula>
      <formula>"Check"</formula>
    </cfRule>
  </conditionalFormatting>
  <conditionalFormatting sqref="R1155">
    <cfRule type="cellIs" dxfId="1" priority="1143" stopIfTrue="1" operator="between">
      <formula>"Check"</formula>
      <formula>"Check"</formula>
    </cfRule>
  </conditionalFormatting>
  <conditionalFormatting sqref="R1156">
    <cfRule type="cellIs" dxfId="1" priority="1144" stopIfTrue="1" operator="between">
      <formula>"Check"</formula>
      <formula>"Check"</formula>
    </cfRule>
  </conditionalFormatting>
  <conditionalFormatting sqref="R1157">
    <cfRule type="cellIs" dxfId="1" priority="1145" stopIfTrue="1" operator="between">
      <formula>"Check"</formula>
      <formula>"Check"</formula>
    </cfRule>
  </conditionalFormatting>
  <conditionalFormatting sqref="R1158">
    <cfRule type="cellIs" dxfId="1" priority="1146" stopIfTrue="1" operator="between">
      <formula>"Check"</formula>
      <formula>"Check"</formula>
    </cfRule>
  </conditionalFormatting>
  <conditionalFormatting sqref="R1159">
    <cfRule type="cellIs" dxfId="1" priority="1147" stopIfTrue="1" operator="between">
      <formula>"Check"</formula>
      <formula>"Check"</formula>
    </cfRule>
  </conditionalFormatting>
  <conditionalFormatting sqref="R1160">
    <cfRule type="cellIs" dxfId="1" priority="1148" stopIfTrue="1" operator="between">
      <formula>"Check"</formula>
      <formula>"Check"</formula>
    </cfRule>
  </conditionalFormatting>
  <conditionalFormatting sqref="R1161">
    <cfRule type="cellIs" dxfId="1" priority="1149" stopIfTrue="1" operator="between">
      <formula>"Check"</formula>
      <formula>"Check"</formula>
    </cfRule>
  </conditionalFormatting>
  <conditionalFormatting sqref="R1162">
    <cfRule type="cellIs" dxfId="1" priority="1150" stopIfTrue="1" operator="between">
      <formula>"Check"</formula>
      <formula>"Check"</formula>
    </cfRule>
  </conditionalFormatting>
  <conditionalFormatting sqref="R1163">
    <cfRule type="cellIs" dxfId="1" priority="1151" stopIfTrue="1" operator="between">
      <formula>"Check"</formula>
      <formula>"Check"</formula>
    </cfRule>
  </conditionalFormatting>
  <conditionalFormatting sqref="R1164">
    <cfRule type="cellIs" dxfId="1" priority="1152" stopIfTrue="1" operator="between">
      <formula>"Check"</formula>
      <formula>"Check"</formula>
    </cfRule>
  </conditionalFormatting>
  <conditionalFormatting sqref="R1165">
    <cfRule type="cellIs" dxfId="1" priority="1153" stopIfTrue="1" operator="between">
      <formula>"Check"</formula>
      <formula>"Check"</formula>
    </cfRule>
  </conditionalFormatting>
  <conditionalFormatting sqref="R1166">
    <cfRule type="cellIs" dxfId="1" priority="1154" stopIfTrue="1" operator="between">
      <formula>"Check"</formula>
      <formula>"Check"</formula>
    </cfRule>
  </conditionalFormatting>
  <conditionalFormatting sqref="R1167">
    <cfRule type="cellIs" dxfId="1" priority="1155" stopIfTrue="1" operator="between">
      <formula>"Check"</formula>
      <formula>"Check"</formula>
    </cfRule>
  </conditionalFormatting>
  <conditionalFormatting sqref="R1168">
    <cfRule type="cellIs" dxfId="1" priority="1156" stopIfTrue="1" operator="between">
      <formula>"Check"</formula>
      <formula>"Check"</formula>
    </cfRule>
  </conditionalFormatting>
  <conditionalFormatting sqref="R1169">
    <cfRule type="cellIs" dxfId="1" priority="1157" stopIfTrue="1" operator="between">
      <formula>"Check"</formula>
      <formula>"Check"</formula>
    </cfRule>
  </conditionalFormatting>
  <conditionalFormatting sqref="R1170">
    <cfRule type="cellIs" dxfId="1" priority="1158" stopIfTrue="1" operator="between">
      <formula>"Check"</formula>
      <formula>"Check"</formula>
    </cfRule>
  </conditionalFormatting>
  <conditionalFormatting sqref="R1171">
    <cfRule type="cellIs" dxfId="1" priority="1159" stopIfTrue="1" operator="between">
      <formula>"Check"</formula>
      <formula>"Check"</formula>
    </cfRule>
  </conditionalFormatting>
  <conditionalFormatting sqref="R1172">
    <cfRule type="cellIs" dxfId="1" priority="1160" stopIfTrue="1" operator="between">
      <formula>"Check"</formula>
      <formula>"Check"</formula>
    </cfRule>
  </conditionalFormatting>
  <conditionalFormatting sqref="R1173">
    <cfRule type="cellIs" dxfId="1" priority="1161" stopIfTrue="1" operator="between">
      <formula>"Check"</formula>
      <formula>"Check"</formula>
    </cfRule>
  </conditionalFormatting>
  <conditionalFormatting sqref="R1174">
    <cfRule type="cellIs" dxfId="1" priority="1162" stopIfTrue="1" operator="between">
      <formula>"Check"</formula>
      <formula>"Check"</formula>
    </cfRule>
  </conditionalFormatting>
  <conditionalFormatting sqref="R1175">
    <cfRule type="cellIs" dxfId="1" priority="1163" stopIfTrue="1" operator="between">
      <formula>"Check"</formula>
      <formula>"Check"</formula>
    </cfRule>
  </conditionalFormatting>
  <conditionalFormatting sqref="R1176">
    <cfRule type="cellIs" dxfId="1" priority="1164" stopIfTrue="1" operator="between">
      <formula>"Check"</formula>
      <formula>"Check"</formula>
    </cfRule>
  </conditionalFormatting>
  <conditionalFormatting sqref="R1177">
    <cfRule type="cellIs" dxfId="1" priority="1165" stopIfTrue="1" operator="between">
      <formula>"Check"</formula>
      <formula>"Check"</formula>
    </cfRule>
  </conditionalFormatting>
  <conditionalFormatting sqref="R1178">
    <cfRule type="cellIs" dxfId="1" priority="1166" stopIfTrue="1" operator="between">
      <formula>"Check"</formula>
      <formula>"Check"</formula>
    </cfRule>
  </conditionalFormatting>
  <conditionalFormatting sqref="R1179">
    <cfRule type="cellIs" dxfId="1" priority="1167" stopIfTrue="1" operator="between">
      <formula>"Check"</formula>
      <formula>"Check"</formula>
    </cfRule>
  </conditionalFormatting>
  <conditionalFormatting sqref="R1180">
    <cfRule type="cellIs" dxfId="1" priority="1168" stopIfTrue="1" operator="between">
      <formula>"Check"</formula>
      <formula>"Check"</formula>
    </cfRule>
  </conditionalFormatting>
  <conditionalFormatting sqref="R1181">
    <cfRule type="cellIs" dxfId="1" priority="1169" stopIfTrue="1" operator="between">
      <formula>"Check"</formula>
      <formula>"Check"</formula>
    </cfRule>
  </conditionalFormatting>
  <conditionalFormatting sqref="R1182">
    <cfRule type="cellIs" dxfId="1" priority="1170" stopIfTrue="1" operator="between">
      <formula>"Check"</formula>
      <formula>"Check"</formula>
    </cfRule>
  </conditionalFormatting>
  <conditionalFormatting sqref="R1183">
    <cfRule type="cellIs" dxfId="1" priority="1171" stopIfTrue="1" operator="between">
      <formula>"Check"</formula>
      <formula>"Check"</formula>
    </cfRule>
  </conditionalFormatting>
  <conditionalFormatting sqref="R1184">
    <cfRule type="cellIs" dxfId="1" priority="1172" stopIfTrue="1" operator="between">
      <formula>"Check"</formula>
      <formula>"Check"</formula>
    </cfRule>
  </conditionalFormatting>
  <conditionalFormatting sqref="R1185">
    <cfRule type="cellIs" dxfId="1" priority="1173" stopIfTrue="1" operator="between">
      <formula>"Check"</formula>
      <formula>"Check"</formula>
    </cfRule>
  </conditionalFormatting>
  <conditionalFormatting sqref="R1186">
    <cfRule type="cellIs" dxfId="1" priority="1174" stopIfTrue="1" operator="between">
      <formula>"Check"</formula>
      <formula>"Check"</formula>
    </cfRule>
  </conditionalFormatting>
  <conditionalFormatting sqref="R1187">
    <cfRule type="cellIs" dxfId="1" priority="1175" stopIfTrue="1" operator="between">
      <formula>"Check"</formula>
      <formula>"Check"</formula>
    </cfRule>
  </conditionalFormatting>
  <conditionalFormatting sqref="R1188">
    <cfRule type="cellIs" dxfId="1" priority="1176" stopIfTrue="1" operator="between">
      <formula>"Check"</formula>
      <formula>"Check"</formula>
    </cfRule>
  </conditionalFormatting>
  <conditionalFormatting sqref="R1189">
    <cfRule type="cellIs" dxfId="1" priority="1177" stopIfTrue="1" operator="between">
      <formula>"Check"</formula>
      <formula>"Check"</formula>
    </cfRule>
  </conditionalFormatting>
  <conditionalFormatting sqref="R1190">
    <cfRule type="cellIs" dxfId="1" priority="1178" stopIfTrue="1" operator="between">
      <formula>"Check"</formula>
      <formula>"Check"</formula>
    </cfRule>
  </conditionalFormatting>
  <conditionalFormatting sqref="R1191">
    <cfRule type="cellIs" dxfId="1" priority="1179" stopIfTrue="1" operator="between">
      <formula>"Check"</formula>
      <formula>"Check"</formula>
    </cfRule>
  </conditionalFormatting>
  <conditionalFormatting sqref="R1192">
    <cfRule type="cellIs" dxfId="1" priority="1180" stopIfTrue="1" operator="between">
      <formula>"Check"</formula>
      <formula>"Check"</formula>
    </cfRule>
  </conditionalFormatting>
  <conditionalFormatting sqref="R1193">
    <cfRule type="cellIs" dxfId="1" priority="1181" stopIfTrue="1" operator="between">
      <formula>"Check"</formula>
      <formula>"Check"</formula>
    </cfRule>
  </conditionalFormatting>
  <conditionalFormatting sqref="R1194">
    <cfRule type="cellIs" dxfId="1" priority="1182" stopIfTrue="1" operator="between">
      <formula>"Check"</formula>
      <formula>"Check"</formula>
    </cfRule>
  </conditionalFormatting>
  <conditionalFormatting sqref="R1195">
    <cfRule type="cellIs" dxfId="1" priority="1183" stopIfTrue="1" operator="between">
      <formula>"Check"</formula>
      <formula>"Check"</formula>
    </cfRule>
  </conditionalFormatting>
  <conditionalFormatting sqref="R1196">
    <cfRule type="cellIs" dxfId="1" priority="1184" stopIfTrue="1" operator="between">
      <formula>"Check"</formula>
      <formula>"Check"</formula>
    </cfRule>
  </conditionalFormatting>
  <conditionalFormatting sqref="R1197">
    <cfRule type="cellIs" dxfId="1" priority="1185" stopIfTrue="1" operator="between">
      <formula>"Check"</formula>
      <formula>"Check"</formula>
    </cfRule>
  </conditionalFormatting>
  <conditionalFormatting sqref="R1198">
    <cfRule type="cellIs" dxfId="1" priority="1186" stopIfTrue="1" operator="between">
      <formula>"Check"</formula>
      <formula>"Check"</formula>
    </cfRule>
  </conditionalFormatting>
  <conditionalFormatting sqref="R1199">
    <cfRule type="cellIs" dxfId="1" priority="1187" stopIfTrue="1" operator="between">
      <formula>"Check"</formula>
      <formula>"Check"</formula>
    </cfRule>
  </conditionalFormatting>
  <conditionalFormatting sqref="R1200">
    <cfRule type="cellIs" dxfId="1" priority="1188" stopIfTrue="1" operator="between">
      <formula>"Check"</formula>
      <formula>"Check"</formula>
    </cfRule>
  </conditionalFormatting>
  <conditionalFormatting sqref="R1201">
    <cfRule type="cellIs" dxfId="1" priority="1189" stopIfTrue="1" operator="between">
      <formula>"Check"</formula>
      <formula>"Check"</formula>
    </cfRule>
  </conditionalFormatting>
  <conditionalFormatting sqref="R1202">
    <cfRule type="cellIs" dxfId="1" priority="1190" stopIfTrue="1" operator="between">
      <formula>"Check"</formula>
      <formula>"Check"</formula>
    </cfRule>
  </conditionalFormatting>
  <conditionalFormatting sqref="R1203">
    <cfRule type="cellIs" dxfId="1" priority="1191" stopIfTrue="1" operator="between">
      <formula>"Check"</formula>
      <formula>"Check"</formula>
    </cfRule>
  </conditionalFormatting>
  <conditionalFormatting sqref="R1204">
    <cfRule type="cellIs" dxfId="1" priority="1192" stopIfTrue="1" operator="between">
      <formula>"Check"</formula>
      <formula>"Check"</formula>
    </cfRule>
  </conditionalFormatting>
  <conditionalFormatting sqref="R1205">
    <cfRule type="cellIs" dxfId="1" priority="1193" stopIfTrue="1" operator="between">
      <formula>"Check"</formula>
      <formula>"Check"</formula>
    </cfRule>
  </conditionalFormatting>
  <conditionalFormatting sqref="R1206">
    <cfRule type="cellIs" dxfId="1" priority="1194" stopIfTrue="1" operator="between">
      <formula>"Check"</formula>
      <formula>"Check"</formula>
    </cfRule>
  </conditionalFormatting>
  <conditionalFormatting sqref="R1207">
    <cfRule type="cellIs" dxfId="1" priority="1195" stopIfTrue="1" operator="between">
      <formula>"Check"</formula>
      <formula>"Check"</formula>
    </cfRule>
  </conditionalFormatting>
  <conditionalFormatting sqref="R1208">
    <cfRule type="cellIs" dxfId="1" priority="1196" stopIfTrue="1" operator="between">
      <formula>"Check"</formula>
      <formula>"Check"</formula>
    </cfRule>
  </conditionalFormatting>
  <conditionalFormatting sqref="R1209">
    <cfRule type="cellIs" dxfId="1" priority="1197" stopIfTrue="1" operator="between">
      <formula>"Check"</formula>
      <formula>"Check"</formula>
    </cfRule>
  </conditionalFormatting>
  <conditionalFormatting sqref="R1210">
    <cfRule type="cellIs" dxfId="1" priority="1198" stopIfTrue="1" operator="between">
      <formula>"Check"</formula>
      <formula>"Check"</formula>
    </cfRule>
  </conditionalFormatting>
  <conditionalFormatting sqref="R1211">
    <cfRule type="cellIs" dxfId="1" priority="1199" stopIfTrue="1" operator="between">
      <formula>"Check"</formula>
      <formula>"Check"</formula>
    </cfRule>
  </conditionalFormatting>
  <conditionalFormatting sqref="R1212">
    <cfRule type="cellIs" dxfId="1" priority="1200" stopIfTrue="1" operator="between">
      <formula>"Check"</formula>
      <formula>"Check"</formula>
    </cfRule>
  </conditionalFormatting>
  <conditionalFormatting sqref="R1213">
    <cfRule type="cellIs" dxfId="1" priority="1201" stopIfTrue="1" operator="between">
      <formula>"Check"</formula>
      <formula>"Check"</formula>
    </cfRule>
  </conditionalFormatting>
  <conditionalFormatting sqref="R1214">
    <cfRule type="cellIs" dxfId="1" priority="1202" stopIfTrue="1" operator="between">
      <formula>"Check"</formula>
      <formula>"Check"</formula>
    </cfRule>
  </conditionalFormatting>
  <conditionalFormatting sqref="R1215">
    <cfRule type="cellIs" dxfId="1" priority="1203" stopIfTrue="1" operator="between">
      <formula>"Check"</formula>
      <formula>"Check"</formula>
    </cfRule>
  </conditionalFormatting>
  <conditionalFormatting sqref="R1216">
    <cfRule type="cellIs" dxfId="1" priority="1204" stopIfTrue="1" operator="between">
      <formula>"Check"</formula>
      <formula>"Check"</formula>
    </cfRule>
  </conditionalFormatting>
  <conditionalFormatting sqref="R1217">
    <cfRule type="cellIs" dxfId="1" priority="1205" stopIfTrue="1" operator="between">
      <formula>"Check"</formula>
      <formula>"Check"</formula>
    </cfRule>
  </conditionalFormatting>
  <conditionalFormatting sqref="R1218">
    <cfRule type="cellIs" dxfId="1" priority="1206" stopIfTrue="1" operator="between">
      <formula>"Check"</formula>
      <formula>"Check"</formula>
    </cfRule>
  </conditionalFormatting>
  <conditionalFormatting sqref="R1219">
    <cfRule type="cellIs" dxfId="1" priority="1207" stopIfTrue="1" operator="between">
      <formula>"Check"</formula>
      <formula>"Check"</formula>
    </cfRule>
  </conditionalFormatting>
  <conditionalFormatting sqref="R1220">
    <cfRule type="cellIs" dxfId="1" priority="1208" stopIfTrue="1" operator="between">
      <formula>"Check"</formula>
      <formula>"Check"</formula>
    </cfRule>
  </conditionalFormatting>
  <conditionalFormatting sqref="R1221">
    <cfRule type="cellIs" dxfId="1" priority="1209" stopIfTrue="1" operator="between">
      <formula>"Check"</formula>
      <formula>"Check"</formula>
    </cfRule>
  </conditionalFormatting>
  <conditionalFormatting sqref="R1222">
    <cfRule type="cellIs" dxfId="1" priority="1210" stopIfTrue="1" operator="between">
      <formula>"Check"</formula>
      <formula>"Check"</formula>
    </cfRule>
  </conditionalFormatting>
  <conditionalFormatting sqref="R1223">
    <cfRule type="cellIs" dxfId="1" priority="1211" stopIfTrue="1" operator="between">
      <formula>"Check"</formula>
      <formula>"Check"</formula>
    </cfRule>
  </conditionalFormatting>
  <conditionalFormatting sqref="R1224">
    <cfRule type="cellIs" dxfId="1" priority="1212" stopIfTrue="1" operator="between">
      <formula>"Check"</formula>
      <formula>"Check"</formula>
    </cfRule>
  </conditionalFormatting>
  <conditionalFormatting sqref="R1225">
    <cfRule type="cellIs" dxfId="1" priority="1213" stopIfTrue="1" operator="between">
      <formula>"Check"</formula>
      <formula>"Check"</formula>
    </cfRule>
  </conditionalFormatting>
  <conditionalFormatting sqref="R1226">
    <cfRule type="cellIs" dxfId="1" priority="1214" stopIfTrue="1" operator="between">
      <formula>"Check"</formula>
      <formula>"Check"</formula>
    </cfRule>
  </conditionalFormatting>
  <conditionalFormatting sqref="R1227">
    <cfRule type="cellIs" dxfId="1" priority="1215" stopIfTrue="1" operator="between">
      <formula>"Check"</formula>
      <formula>"Check"</formula>
    </cfRule>
  </conditionalFormatting>
  <conditionalFormatting sqref="R1228">
    <cfRule type="cellIs" dxfId="1" priority="1216" stopIfTrue="1" operator="between">
      <formula>"Check"</formula>
      <formula>"Check"</formula>
    </cfRule>
  </conditionalFormatting>
  <conditionalFormatting sqref="R1229">
    <cfRule type="cellIs" dxfId="1" priority="1217" stopIfTrue="1" operator="between">
      <formula>"Check"</formula>
      <formula>"Check"</formula>
    </cfRule>
  </conditionalFormatting>
  <conditionalFormatting sqref="R1230">
    <cfRule type="cellIs" dxfId="1" priority="1218" stopIfTrue="1" operator="between">
      <formula>"Check"</formula>
      <formula>"Check"</formula>
    </cfRule>
  </conditionalFormatting>
  <conditionalFormatting sqref="R1231">
    <cfRule type="cellIs" dxfId="1" priority="1219" stopIfTrue="1" operator="between">
      <formula>"Check"</formula>
      <formula>"Check"</formula>
    </cfRule>
  </conditionalFormatting>
  <conditionalFormatting sqref="R1232">
    <cfRule type="cellIs" dxfId="1" priority="1220" stopIfTrue="1" operator="between">
      <formula>"Check"</formula>
      <formula>"Check"</formula>
    </cfRule>
  </conditionalFormatting>
  <conditionalFormatting sqref="R1233">
    <cfRule type="cellIs" dxfId="1" priority="1221" stopIfTrue="1" operator="between">
      <formula>"Check"</formula>
      <formula>"Check"</formula>
    </cfRule>
  </conditionalFormatting>
  <conditionalFormatting sqref="R1234">
    <cfRule type="cellIs" dxfId="1" priority="1222" stopIfTrue="1" operator="between">
      <formula>"Check"</formula>
      <formula>"Check"</formula>
    </cfRule>
  </conditionalFormatting>
  <conditionalFormatting sqref="R1235">
    <cfRule type="cellIs" dxfId="1" priority="1223" stopIfTrue="1" operator="between">
      <formula>"Check"</formula>
      <formula>"Check"</formula>
    </cfRule>
  </conditionalFormatting>
  <conditionalFormatting sqref="R1236">
    <cfRule type="cellIs" dxfId="1" priority="1224" stopIfTrue="1" operator="between">
      <formula>"Check"</formula>
      <formula>"Check"</formula>
    </cfRule>
  </conditionalFormatting>
  <conditionalFormatting sqref="R1237">
    <cfRule type="cellIs" dxfId="1" priority="1225" stopIfTrue="1" operator="between">
      <formula>"Check"</formula>
      <formula>"Check"</formula>
    </cfRule>
  </conditionalFormatting>
  <conditionalFormatting sqref="R1238">
    <cfRule type="cellIs" dxfId="1" priority="1226" stopIfTrue="1" operator="between">
      <formula>"Check"</formula>
      <formula>"Check"</formula>
    </cfRule>
  </conditionalFormatting>
  <conditionalFormatting sqref="R1239">
    <cfRule type="cellIs" dxfId="1" priority="1227" stopIfTrue="1" operator="between">
      <formula>"Check"</formula>
      <formula>"Check"</formula>
    </cfRule>
  </conditionalFormatting>
  <conditionalFormatting sqref="R1240">
    <cfRule type="cellIs" dxfId="1" priority="1228" stopIfTrue="1" operator="between">
      <formula>"Check"</formula>
      <formula>"Check"</formula>
    </cfRule>
  </conditionalFormatting>
  <conditionalFormatting sqref="R1241">
    <cfRule type="cellIs" dxfId="1" priority="1229" stopIfTrue="1" operator="between">
      <formula>"Check"</formula>
      <formula>"Check"</formula>
    </cfRule>
  </conditionalFormatting>
  <conditionalFormatting sqref="R1242">
    <cfRule type="cellIs" dxfId="1" priority="1230" stopIfTrue="1" operator="between">
      <formula>"Check"</formula>
      <formula>"Check"</formula>
    </cfRule>
  </conditionalFormatting>
  <conditionalFormatting sqref="R1243">
    <cfRule type="cellIs" dxfId="1" priority="1231" stopIfTrue="1" operator="between">
      <formula>"Check"</formula>
      <formula>"Check"</formula>
    </cfRule>
  </conditionalFormatting>
  <conditionalFormatting sqref="R1244">
    <cfRule type="cellIs" dxfId="1" priority="1232" stopIfTrue="1" operator="between">
      <formula>"Check"</formula>
      <formula>"Check"</formula>
    </cfRule>
  </conditionalFormatting>
  <conditionalFormatting sqref="R1245">
    <cfRule type="cellIs" dxfId="1" priority="1233" stopIfTrue="1" operator="between">
      <formula>"Check"</formula>
      <formula>"Check"</formula>
    </cfRule>
  </conditionalFormatting>
  <conditionalFormatting sqref="R1246">
    <cfRule type="cellIs" dxfId="1" priority="1234" stopIfTrue="1" operator="between">
      <formula>"Check"</formula>
      <formula>"Check"</formula>
    </cfRule>
  </conditionalFormatting>
  <conditionalFormatting sqref="R1247">
    <cfRule type="cellIs" dxfId="1" priority="1235" stopIfTrue="1" operator="between">
      <formula>"Check"</formula>
      <formula>"Check"</formula>
    </cfRule>
  </conditionalFormatting>
  <conditionalFormatting sqref="R1248">
    <cfRule type="cellIs" dxfId="1" priority="1236" stopIfTrue="1" operator="between">
      <formula>"Check"</formula>
      <formula>"Check"</formula>
    </cfRule>
  </conditionalFormatting>
  <conditionalFormatting sqref="R1249">
    <cfRule type="cellIs" dxfId="1" priority="1237" stopIfTrue="1" operator="between">
      <formula>"Check"</formula>
      <formula>"Check"</formula>
    </cfRule>
  </conditionalFormatting>
  <conditionalFormatting sqref="R1250">
    <cfRule type="cellIs" dxfId="1" priority="1238" stopIfTrue="1" operator="between">
      <formula>"Check"</formula>
      <formula>"Check"</formula>
    </cfRule>
  </conditionalFormatting>
  <conditionalFormatting sqref="R1251">
    <cfRule type="cellIs" dxfId="1" priority="1239" stopIfTrue="1" operator="between">
      <formula>"Check"</formula>
      <formula>"Check"</formula>
    </cfRule>
  </conditionalFormatting>
  <conditionalFormatting sqref="R1252">
    <cfRule type="cellIs" dxfId="1" priority="1240" stopIfTrue="1" operator="between">
      <formula>"Check"</formula>
      <formula>"Check"</formula>
    </cfRule>
  </conditionalFormatting>
  <conditionalFormatting sqref="R1253">
    <cfRule type="cellIs" dxfId="1" priority="1241" stopIfTrue="1" operator="between">
      <formula>"Check"</formula>
      <formula>"Check"</formula>
    </cfRule>
  </conditionalFormatting>
  <conditionalFormatting sqref="R1254">
    <cfRule type="cellIs" dxfId="1" priority="1242" stopIfTrue="1" operator="between">
      <formula>"Check"</formula>
      <formula>"Check"</formula>
    </cfRule>
  </conditionalFormatting>
  <conditionalFormatting sqref="R1255">
    <cfRule type="cellIs" dxfId="1" priority="1243" stopIfTrue="1" operator="between">
      <formula>"Check"</formula>
      <formula>"Check"</formula>
    </cfRule>
  </conditionalFormatting>
  <conditionalFormatting sqref="R1256">
    <cfRule type="cellIs" dxfId="1" priority="1244" stopIfTrue="1" operator="between">
      <formula>"Check"</formula>
      <formula>"Check"</formula>
    </cfRule>
  </conditionalFormatting>
  <conditionalFormatting sqref="R1257">
    <cfRule type="cellIs" dxfId="1" priority="1245" stopIfTrue="1" operator="between">
      <formula>"Check"</formula>
      <formula>"Check"</formula>
    </cfRule>
  </conditionalFormatting>
  <conditionalFormatting sqref="R1258">
    <cfRule type="cellIs" dxfId="1" priority="1246" stopIfTrue="1" operator="between">
      <formula>"Check"</formula>
      <formula>"Check"</formula>
    </cfRule>
  </conditionalFormatting>
  <conditionalFormatting sqref="R1259">
    <cfRule type="cellIs" dxfId="1" priority="1247" stopIfTrue="1" operator="between">
      <formula>"Check"</formula>
      <formula>"Check"</formula>
    </cfRule>
  </conditionalFormatting>
  <conditionalFormatting sqref="R1260">
    <cfRule type="cellIs" dxfId="1" priority="1248" stopIfTrue="1" operator="between">
      <formula>"Check"</formula>
      <formula>"Check"</formula>
    </cfRule>
  </conditionalFormatting>
  <conditionalFormatting sqref="R1261">
    <cfRule type="cellIs" dxfId="1" priority="1249" stopIfTrue="1" operator="between">
      <formula>"Check"</formula>
      <formula>"Check"</formula>
    </cfRule>
  </conditionalFormatting>
  <conditionalFormatting sqref="R1262">
    <cfRule type="cellIs" dxfId="1" priority="1250" stopIfTrue="1" operator="between">
      <formula>"Check"</formula>
      <formula>"Check"</formula>
    </cfRule>
  </conditionalFormatting>
  <conditionalFormatting sqref="R1263">
    <cfRule type="cellIs" dxfId="1" priority="1251" stopIfTrue="1" operator="between">
      <formula>"Check"</formula>
      <formula>"Check"</formula>
    </cfRule>
  </conditionalFormatting>
  <conditionalFormatting sqref="R1264">
    <cfRule type="cellIs" dxfId="1" priority="1252" stopIfTrue="1" operator="between">
      <formula>"Check"</formula>
      <formula>"Check"</formula>
    </cfRule>
  </conditionalFormatting>
  <conditionalFormatting sqref="R1265">
    <cfRule type="cellIs" dxfId="1" priority="1253" stopIfTrue="1" operator="between">
      <formula>"Check"</formula>
      <formula>"Check"</formula>
    </cfRule>
  </conditionalFormatting>
  <conditionalFormatting sqref="R1266">
    <cfRule type="cellIs" dxfId="1" priority="1254" stopIfTrue="1" operator="between">
      <formula>"Check"</formula>
      <formula>"Check"</formula>
    </cfRule>
  </conditionalFormatting>
  <conditionalFormatting sqref="R1267">
    <cfRule type="cellIs" dxfId="1" priority="1255" stopIfTrue="1" operator="between">
      <formula>"Check"</formula>
      <formula>"Check"</formula>
    </cfRule>
  </conditionalFormatting>
  <conditionalFormatting sqref="R1268">
    <cfRule type="cellIs" dxfId="1" priority="1256" stopIfTrue="1" operator="between">
      <formula>"Check"</formula>
      <formula>"Check"</formula>
    </cfRule>
  </conditionalFormatting>
  <conditionalFormatting sqref="R1269">
    <cfRule type="cellIs" dxfId="1" priority="1257" stopIfTrue="1" operator="between">
      <formula>"Check"</formula>
      <formula>"Check"</formula>
    </cfRule>
  </conditionalFormatting>
  <conditionalFormatting sqref="R1270">
    <cfRule type="cellIs" dxfId="1" priority="1258" stopIfTrue="1" operator="between">
      <formula>"Check"</formula>
      <formula>"Check"</formula>
    </cfRule>
  </conditionalFormatting>
  <conditionalFormatting sqref="R1271">
    <cfRule type="cellIs" dxfId="1" priority="1259" stopIfTrue="1" operator="between">
      <formula>"Check"</formula>
      <formula>"Check"</formula>
    </cfRule>
  </conditionalFormatting>
  <conditionalFormatting sqref="R1272">
    <cfRule type="cellIs" dxfId="1" priority="1260" stopIfTrue="1" operator="between">
      <formula>"Check"</formula>
      <formula>"Check"</formula>
    </cfRule>
  </conditionalFormatting>
  <conditionalFormatting sqref="R1273">
    <cfRule type="cellIs" dxfId="1" priority="1261" stopIfTrue="1" operator="between">
      <formula>"Check"</formula>
      <formula>"Check"</formula>
    </cfRule>
  </conditionalFormatting>
  <conditionalFormatting sqref="R1274">
    <cfRule type="cellIs" dxfId="1" priority="1262" stopIfTrue="1" operator="between">
      <formula>"Check"</formula>
      <formula>"Check"</formula>
    </cfRule>
  </conditionalFormatting>
  <conditionalFormatting sqref="R1275">
    <cfRule type="cellIs" dxfId="1" priority="1263" stopIfTrue="1" operator="between">
      <formula>"Check"</formula>
      <formula>"Check"</formula>
    </cfRule>
  </conditionalFormatting>
  <conditionalFormatting sqref="R1276">
    <cfRule type="cellIs" dxfId="1" priority="1264" stopIfTrue="1" operator="between">
      <formula>"Check"</formula>
      <formula>"Check"</formula>
    </cfRule>
  </conditionalFormatting>
  <conditionalFormatting sqref="R1277">
    <cfRule type="cellIs" dxfId="1" priority="1265" stopIfTrue="1" operator="between">
      <formula>"Check"</formula>
      <formula>"Check"</formula>
    </cfRule>
  </conditionalFormatting>
  <conditionalFormatting sqref="R1278">
    <cfRule type="cellIs" dxfId="1" priority="1266" stopIfTrue="1" operator="between">
      <formula>"Check"</formula>
      <formula>"Check"</formula>
    </cfRule>
  </conditionalFormatting>
  <conditionalFormatting sqref="R1279">
    <cfRule type="cellIs" dxfId="1" priority="1267" stopIfTrue="1" operator="between">
      <formula>"Check"</formula>
      <formula>"Check"</formula>
    </cfRule>
  </conditionalFormatting>
  <conditionalFormatting sqref="R1280">
    <cfRule type="cellIs" dxfId="1" priority="1268" stopIfTrue="1" operator="between">
      <formula>"Check"</formula>
      <formula>"Check"</formula>
    </cfRule>
  </conditionalFormatting>
  <conditionalFormatting sqref="R1281">
    <cfRule type="cellIs" dxfId="1" priority="1269" stopIfTrue="1" operator="between">
      <formula>"Check"</formula>
      <formula>"Check"</formula>
    </cfRule>
  </conditionalFormatting>
  <conditionalFormatting sqref="R1282">
    <cfRule type="cellIs" dxfId="1" priority="1270" stopIfTrue="1" operator="between">
      <formula>"Check"</formula>
      <formula>"Check"</formula>
    </cfRule>
  </conditionalFormatting>
  <conditionalFormatting sqref="R1283">
    <cfRule type="cellIs" dxfId="1" priority="1271" stopIfTrue="1" operator="between">
      <formula>"Check"</formula>
      <formula>"Check"</formula>
    </cfRule>
  </conditionalFormatting>
  <conditionalFormatting sqref="R1284">
    <cfRule type="cellIs" dxfId="1" priority="1272" stopIfTrue="1" operator="between">
      <formula>"Check"</formula>
      <formula>"Check"</formula>
    </cfRule>
  </conditionalFormatting>
  <conditionalFormatting sqref="R1285">
    <cfRule type="cellIs" dxfId="1" priority="1273" stopIfTrue="1" operator="between">
      <formula>"Check"</formula>
      <formula>"Check"</formula>
    </cfRule>
  </conditionalFormatting>
  <conditionalFormatting sqref="R1286">
    <cfRule type="cellIs" dxfId="1" priority="1274" stopIfTrue="1" operator="between">
      <formula>"Check"</formula>
      <formula>"Check"</formula>
    </cfRule>
  </conditionalFormatting>
  <conditionalFormatting sqref="R1287">
    <cfRule type="cellIs" dxfId="1" priority="1275" stopIfTrue="1" operator="between">
      <formula>"Check"</formula>
      <formula>"Check"</formula>
    </cfRule>
  </conditionalFormatting>
  <conditionalFormatting sqref="R1288">
    <cfRule type="cellIs" dxfId="1" priority="1276" stopIfTrue="1" operator="between">
      <formula>"Check"</formula>
      <formula>"Check"</formula>
    </cfRule>
  </conditionalFormatting>
  <conditionalFormatting sqref="R1289">
    <cfRule type="cellIs" dxfId="1" priority="1277" stopIfTrue="1" operator="between">
      <formula>"Check"</formula>
      <formula>"Check"</formula>
    </cfRule>
  </conditionalFormatting>
  <conditionalFormatting sqref="R1290">
    <cfRule type="cellIs" dxfId="1" priority="1278" stopIfTrue="1" operator="between">
      <formula>"Check"</formula>
      <formula>"Check"</formula>
    </cfRule>
  </conditionalFormatting>
  <conditionalFormatting sqref="R1291">
    <cfRule type="cellIs" dxfId="1" priority="1279" stopIfTrue="1" operator="between">
      <formula>"Check"</formula>
      <formula>"Check"</formula>
    </cfRule>
  </conditionalFormatting>
  <conditionalFormatting sqref="R1292">
    <cfRule type="cellIs" dxfId="1" priority="1280" stopIfTrue="1" operator="between">
      <formula>"Check"</formula>
      <formula>"Check"</formula>
    </cfRule>
  </conditionalFormatting>
  <conditionalFormatting sqref="R1293">
    <cfRule type="cellIs" dxfId="1" priority="1281" stopIfTrue="1" operator="between">
      <formula>"Check"</formula>
      <formula>"Check"</formula>
    </cfRule>
  </conditionalFormatting>
  <conditionalFormatting sqref="R1294">
    <cfRule type="cellIs" dxfId="1" priority="1282" stopIfTrue="1" operator="between">
      <formula>"Check"</formula>
      <formula>"Check"</formula>
    </cfRule>
  </conditionalFormatting>
  <conditionalFormatting sqref="R1295">
    <cfRule type="cellIs" dxfId="1" priority="1283" stopIfTrue="1" operator="between">
      <formula>"Check"</formula>
      <formula>"Check"</formula>
    </cfRule>
  </conditionalFormatting>
  <conditionalFormatting sqref="R1296">
    <cfRule type="cellIs" dxfId="1" priority="1284" stopIfTrue="1" operator="between">
      <formula>"Check"</formula>
      <formula>"Check"</formula>
    </cfRule>
  </conditionalFormatting>
  <conditionalFormatting sqref="R1297">
    <cfRule type="cellIs" dxfId="1" priority="1285" stopIfTrue="1" operator="between">
      <formula>"Check"</formula>
      <formula>"Check"</formula>
    </cfRule>
  </conditionalFormatting>
  <conditionalFormatting sqref="R1298">
    <cfRule type="cellIs" dxfId="1" priority="1286" stopIfTrue="1" operator="between">
      <formula>"Check"</formula>
      <formula>"Check"</formula>
    </cfRule>
  </conditionalFormatting>
  <conditionalFormatting sqref="R1299">
    <cfRule type="cellIs" dxfId="1" priority="1287" stopIfTrue="1" operator="between">
      <formula>"Check"</formula>
      <formula>"Check"</formula>
    </cfRule>
  </conditionalFormatting>
  <conditionalFormatting sqref="R1300">
    <cfRule type="cellIs" dxfId="1" priority="1288" stopIfTrue="1" operator="between">
      <formula>"Check"</formula>
      <formula>"Check"</formula>
    </cfRule>
  </conditionalFormatting>
  <conditionalFormatting sqref="R1301">
    <cfRule type="cellIs" dxfId="1" priority="1289" stopIfTrue="1" operator="between">
      <formula>"Check"</formula>
      <formula>"Check"</formula>
    </cfRule>
  </conditionalFormatting>
  <conditionalFormatting sqref="R1302">
    <cfRule type="cellIs" dxfId="1" priority="1290" stopIfTrue="1" operator="between">
      <formula>"Check"</formula>
      <formula>"Check"</formula>
    </cfRule>
  </conditionalFormatting>
  <conditionalFormatting sqref="R1303">
    <cfRule type="cellIs" dxfId="1" priority="1291" stopIfTrue="1" operator="between">
      <formula>"Check"</formula>
      <formula>"Check"</formula>
    </cfRule>
  </conditionalFormatting>
  <conditionalFormatting sqref="R1304">
    <cfRule type="cellIs" dxfId="1" priority="1292" stopIfTrue="1" operator="between">
      <formula>"Check"</formula>
      <formula>"Check"</formula>
    </cfRule>
  </conditionalFormatting>
  <conditionalFormatting sqref="R1305">
    <cfRule type="cellIs" dxfId="1" priority="1293" stopIfTrue="1" operator="between">
      <formula>"Check"</formula>
      <formula>"Check"</formula>
    </cfRule>
  </conditionalFormatting>
  <conditionalFormatting sqref="R1306">
    <cfRule type="cellIs" dxfId="1" priority="1294" stopIfTrue="1" operator="between">
      <formula>"Check"</formula>
      <formula>"Check"</formula>
    </cfRule>
  </conditionalFormatting>
  <conditionalFormatting sqref="R1307">
    <cfRule type="cellIs" dxfId="1" priority="1295" stopIfTrue="1" operator="between">
      <formula>"Check"</formula>
      <formula>"Check"</formula>
    </cfRule>
  </conditionalFormatting>
  <conditionalFormatting sqref="R1308">
    <cfRule type="cellIs" dxfId="1" priority="1296" stopIfTrue="1" operator="between">
      <formula>"Check"</formula>
      <formula>"Check"</formula>
    </cfRule>
  </conditionalFormatting>
  <conditionalFormatting sqref="R1309">
    <cfRule type="cellIs" dxfId="1" priority="1297" stopIfTrue="1" operator="between">
      <formula>"Check"</formula>
      <formula>"Check"</formula>
    </cfRule>
  </conditionalFormatting>
  <conditionalFormatting sqref="R1310">
    <cfRule type="cellIs" dxfId="1" priority="1298" stopIfTrue="1" operator="between">
      <formula>"Check"</formula>
      <formula>"Check"</formula>
    </cfRule>
  </conditionalFormatting>
  <conditionalFormatting sqref="R1311">
    <cfRule type="cellIs" dxfId="1" priority="1299" stopIfTrue="1" operator="between">
      <formula>"Check"</formula>
      <formula>"Check"</formula>
    </cfRule>
  </conditionalFormatting>
  <conditionalFormatting sqref="R1312">
    <cfRule type="cellIs" dxfId="1" priority="1300" stopIfTrue="1" operator="between">
      <formula>"Check"</formula>
      <formula>"Check"</formula>
    </cfRule>
  </conditionalFormatting>
  <conditionalFormatting sqref="R1313">
    <cfRule type="cellIs" dxfId="1" priority="1301" stopIfTrue="1" operator="between">
      <formula>"Check"</formula>
      <formula>"Check"</formula>
    </cfRule>
  </conditionalFormatting>
  <conditionalFormatting sqref="R1314">
    <cfRule type="cellIs" dxfId="1" priority="1302" stopIfTrue="1" operator="between">
      <formula>"Check"</formula>
      <formula>"Check"</formula>
    </cfRule>
  </conditionalFormatting>
  <conditionalFormatting sqref="R1315">
    <cfRule type="cellIs" dxfId="1" priority="1303" stopIfTrue="1" operator="between">
      <formula>"Check"</formula>
      <formula>"Check"</formula>
    </cfRule>
  </conditionalFormatting>
  <conditionalFormatting sqref="R1316">
    <cfRule type="cellIs" dxfId="1" priority="1304" stopIfTrue="1" operator="between">
      <formula>"Check"</formula>
      <formula>"Check"</formula>
    </cfRule>
  </conditionalFormatting>
  <conditionalFormatting sqref="R1317">
    <cfRule type="cellIs" dxfId="1" priority="1305" stopIfTrue="1" operator="between">
      <formula>"Check"</formula>
      <formula>"Check"</formula>
    </cfRule>
  </conditionalFormatting>
  <conditionalFormatting sqref="R1318">
    <cfRule type="cellIs" dxfId="1" priority="1306" stopIfTrue="1" operator="between">
      <formula>"Check"</formula>
      <formula>"Check"</formula>
    </cfRule>
  </conditionalFormatting>
  <conditionalFormatting sqref="R1319">
    <cfRule type="cellIs" dxfId="1" priority="1307" stopIfTrue="1" operator="between">
      <formula>"Check"</formula>
      <formula>"Check"</formula>
    </cfRule>
  </conditionalFormatting>
  <conditionalFormatting sqref="R1320">
    <cfRule type="cellIs" dxfId="1" priority="1308" stopIfTrue="1" operator="between">
      <formula>"Check"</formula>
      <formula>"Check"</formula>
    </cfRule>
  </conditionalFormatting>
  <conditionalFormatting sqref="R1321">
    <cfRule type="cellIs" dxfId="1" priority="1309" stopIfTrue="1" operator="between">
      <formula>"Check"</formula>
      <formula>"Check"</formula>
    </cfRule>
  </conditionalFormatting>
  <conditionalFormatting sqref="R1322">
    <cfRule type="cellIs" dxfId="1" priority="1310" stopIfTrue="1" operator="between">
      <formula>"Check"</formula>
      <formula>"Check"</formula>
    </cfRule>
  </conditionalFormatting>
  <conditionalFormatting sqref="R1323">
    <cfRule type="cellIs" dxfId="1" priority="1311" stopIfTrue="1" operator="between">
      <formula>"Check"</formula>
      <formula>"Check"</formula>
    </cfRule>
  </conditionalFormatting>
  <conditionalFormatting sqref="R1324">
    <cfRule type="cellIs" dxfId="1" priority="1312" stopIfTrue="1" operator="between">
      <formula>"Check"</formula>
      <formula>"Check"</formula>
    </cfRule>
  </conditionalFormatting>
  <conditionalFormatting sqref="R1325">
    <cfRule type="cellIs" dxfId="1" priority="1313" stopIfTrue="1" operator="between">
      <formula>"Check"</formula>
      <formula>"Check"</formula>
    </cfRule>
  </conditionalFormatting>
  <conditionalFormatting sqref="R1326">
    <cfRule type="cellIs" dxfId="1" priority="1314" stopIfTrue="1" operator="between">
      <formula>"Check"</formula>
      <formula>"Check"</formula>
    </cfRule>
  </conditionalFormatting>
  <conditionalFormatting sqref="R1327">
    <cfRule type="cellIs" dxfId="1" priority="1315" stopIfTrue="1" operator="between">
      <formula>"Check"</formula>
      <formula>"Check"</formula>
    </cfRule>
  </conditionalFormatting>
  <conditionalFormatting sqref="R1328">
    <cfRule type="cellIs" dxfId="1" priority="1316" stopIfTrue="1" operator="between">
      <formula>"Check"</formula>
      <formula>"Check"</formula>
    </cfRule>
  </conditionalFormatting>
  <conditionalFormatting sqref="R1329">
    <cfRule type="cellIs" dxfId="1" priority="1317" stopIfTrue="1" operator="between">
      <formula>"Check"</formula>
      <formula>"Check"</formula>
    </cfRule>
  </conditionalFormatting>
  <conditionalFormatting sqref="R1330">
    <cfRule type="cellIs" dxfId="1" priority="1318" stopIfTrue="1" operator="between">
      <formula>"Check"</formula>
      <formula>"Check"</formula>
    </cfRule>
  </conditionalFormatting>
  <conditionalFormatting sqref="R1331">
    <cfRule type="cellIs" dxfId="1" priority="1319" stopIfTrue="1" operator="between">
      <formula>"Check"</formula>
      <formula>"Check"</formula>
    </cfRule>
  </conditionalFormatting>
  <conditionalFormatting sqref="R1332">
    <cfRule type="cellIs" dxfId="1" priority="1320" stopIfTrue="1" operator="between">
      <formula>"Check"</formula>
      <formula>"Check"</formula>
    </cfRule>
  </conditionalFormatting>
  <conditionalFormatting sqref="R1333">
    <cfRule type="cellIs" dxfId="1" priority="1321" stopIfTrue="1" operator="between">
      <formula>"Check"</formula>
      <formula>"Check"</formula>
    </cfRule>
  </conditionalFormatting>
  <conditionalFormatting sqref="R1334">
    <cfRule type="cellIs" dxfId="1" priority="1322" stopIfTrue="1" operator="between">
      <formula>"Check"</formula>
      <formula>"Check"</formula>
    </cfRule>
  </conditionalFormatting>
  <conditionalFormatting sqref="R1335">
    <cfRule type="cellIs" dxfId="1" priority="1323" stopIfTrue="1" operator="between">
      <formula>"Check"</formula>
      <formula>"Check"</formula>
    </cfRule>
  </conditionalFormatting>
  <conditionalFormatting sqref="R1336">
    <cfRule type="cellIs" dxfId="1" priority="1324" stopIfTrue="1" operator="between">
      <formula>"Check"</formula>
      <formula>"Check"</formula>
    </cfRule>
  </conditionalFormatting>
  <conditionalFormatting sqref="R1337">
    <cfRule type="cellIs" dxfId="1" priority="1325" stopIfTrue="1" operator="between">
      <formula>"Check"</formula>
      <formula>"Check"</formula>
    </cfRule>
  </conditionalFormatting>
  <conditionalFormatting sqref="R1338">
    <cfRule type="cellIs" dxfId="1" priority="1326" stopIfTrue="1" operator="between">
      <formula>"Check"</formula>
      <formula>"Check"</formula>
    </cfRule>
  </conditionalFormatting>
  <conditionalFormatting sqref="R1339">
    <cfRule type="cellIs" dxfId="1" priority="1327" stopIfTrue="1" operator="between">
      <formula>"Check"</formula>
      <formula>"Check"</formula>
    </cfRule>
  </conditionalFormatting>
  <conditionalFormatting sqref="R1340">
    <cfRule type="cellIs" dxfId="1" priority="1328" stopIfTrue="1" operator="between">
      <formula>"Check"</formula>
      <formula>"Check"</formula>
    </cfRule>
  </conditionalFormatting>
  <conditionalFormatting sqref="R1341">
    <cfRule type="cellIs" dxfId="1" priority="1329" stopIfTrue="1" operator="between">
      <formula>"Check"</formula>
      <formula>"Check"</formula>
    </cfRule>
  </conditionalFormatting>
  <conditionalFormatting sqref="R1342">
    <cfRule type="cellIs" dxfId="1" priority="1330" stopIfTrue="1" operator="between">
      <formula>"Check"</formula>
      <formula>"Check"</formula>
    </cfRule>
  </conditionalFormatting>
  <conditionalFormatting sqref="R1343">
    <cfRule type="cellIs" dxfId="1" priority="1331" stopIfTrue="1" operator="between">
      <formula>"Check"</formula>
      <formula>"Check"</formula>
    </cfRule>
  </conditionalFormatting>
  <conditionalFormatting sqref="R1344">
    <cfRule type="cellIs" dxfId="1" priority="1332" stopIfTrue="1" operator="between">
      <formula>"Check"</formula>
      <formula>"Check"</formula>
    </cfRule>
  </conditionalFormatting>
  <conditionalFormatting sqref="R1345">
    <cfRule type="cellIs" dxfId="1" priority="1333" stopIfTrue="1" operator="between">
      <formula>"Check"</formula>
      <formula>"Check"</formula>
    </cfRule>
  </conditionalFormatting>
  <conditionalFormatting sqref="R1346">
    <cfRule type="cellIs" dxfId="1" priority="1334" stopIfTrue="1" operator="between">
      <formula>"Check"</formula>
      <formula>"Check"</formula>
    </cfRule>
  </conditionalFormatting>
  <conditionalFormatting sqref="R1347">
    <cfRule type="cellIs" dxfId="1" priority="1335" stopIfTrue="1" operator="between">
      <formula>"Check"</formula>
      <formula>"Check"</formula>
    </cfRule>
  </conditionalFormatting>
  <conditionalFormatting sqref="R1348">
    <cfRule type="cellIs" dxfId="1" priority="1336" stopIfTrue="1" operator="between">
      <formula>"Check"</formula>
      <formula>"Check"</formula>
    </cfRule>
  </conditionalFormatting>
  <conditionalFormatting sqref="R1349">
    <cfRule type="cellIs" dxfId="1" priority="1337" stopIfTrue="1" operator="between">
      <formula>"Check"</formula>
      <formula>"Check"</formula>
    </cfRule>
  </conditionalFormatting>
  <conditionalFormatting sqref="R1350">
    <cfRule type="cellIs" dxfId="1" priority="1338" stopIfTrue="1" operator="between">
      <formula>"Check"</formula>
      <formula>"Check"</formula>
    </cfRule>
  </conditionalFormatting>
  <conditionalFormatting sqref="R1351">
    <cfRule type="cellIs" dxfId="1" priority="1339" stopIfTrue="1" operator="between">
      <formula>"Check"</formula>
      <formula>"Check"</formula>
    </cfRule>
  </conditionalFormatting>
  <conditionalFormatting sqref="R1352">
    <cfRule type="cellIs" dxfId="1" priority="1340" stopIfTrue="1" operator="between">
      <formula>"Check"</formula>
      <formula>"Check"</formula>
    </cfRule>
  </conditionalFormatting>
  <conditionalFormatting sqref="R1353">
    <cfRule type="cellIs" dxfId="1" priority="1341" stopIfTrue="1" operator="between">
      <formula>"Check"</formula>
      <formula>"Check"</formula>
    </cfRule>
  </conditionalFormatting>
  <conditionalFormatting sqref="R1354">
    <cfRule type="cellIs" dxfId="1" priority="1342" stopIfTrue="1" operator="between">
      <formula>"Check"</formula>
      <formula>"Check"</formula>
    </cfRule>
  </conditionalFormatting>
  <conditionalFormatting sqref="R1355">
    <cfRule type="cellIs" dxfId="1" priority="1343" stopIfTrue="1" operator="between">
      <formula>"Check"</formula>
      <formula>"Check"</formula>
    </cfRule>
  </conditionalFormatting>
  <conditionalFormatting sqref="R1356">
    <cfRule type="cellIs" dxfId="1" priority="1344" stopIfTrue="1" operator="between">
      <formula>"Check"</formula>
      <formula>"Check"</formula>
    </cfRule>
  </conditionalFormatting>
  <conditionalFormatting sqref="R1357">
    <cfRule type="cellIs" dxfId="1" priority="1345" stopIfTrue="1" operator="between">
      <formula>"Check"</formula>
      <formula>"Check"</formula>
    </cfRule>
  </conditionalFormatting>
  <conditionalFormatting sqref="R1358">
    <cfRule type="cellIs" dxfId="1" priority="1346" stopIfTrue="1" operator="between">
      <formula>"Check"</formula>
      <formula>"Check"</formula>
    </cfRule>
  </conditionalFormatting>
  <conditionalFormatting sqref="R1359">
    <cfRule type="cellIs" dxfId="1" priority="1347" stopIfTrue="1" operator="between">
      <formula>"Check"</formula>
      <formula>"Check"</formula>
    </cfRule>
  </conditionalFormatting>
  <conditionalFormatting sqref="R1360">
    <cfRule type="cellIs" dxfId="1" priority="1348" stopIfTrue="1" operator="between">
      <formula>"Check"</formula>
      <formula>"Check"</formula>
    </cfRule>
  </conditionalFormatting>
  <conditionalFormatting sqref="R1361">
    <cfRule type="cellIs" dxfId="1" priority="1349" stopIfTrue="1" operator="between">
      <formula>"Check"</formula>
      <formula>"Check"</formula>
    </cfRule>
  </conditionalFormatting>
  <conditionalFormatting sqref="R1362">
    <cfRule type="cellIs" dxfId="1" priority="1350" stopIfTrue="1" operator="between">
      <formula>"Check"</formula>
      <formula>"Check"</formula>
    </cfRule>
  </conditionalFormatting>
  <conditionalFormatting sqref="R1363">
    <cfRule type="cellIs" dxfId="1" priority="1351" stopIfTrue="1" operator="between">
      <formula>"Check"</formula>
      <formula>"Check"</formula>
    </cfRule>
  </conditionalFormatting>
  <conditionalFormatting sqref="R1364">
    <cfRule type="cellIs" dxfId="1" priority="1352" stopIfTrue="1" operator="between">
      <formula>"Check"</formula>
      <formula>"Check"</formula>
    </cfRule>
  </conditionalFormatting>
  <conditionalFormatting sqref="R1365">
    <cfRule type="cellIs" dxfId="1" priority="1353" stopIfTrue="1" operator="between">
      <formula>"Check"</formula>
      <formula>"Check"</formula>
    </cfRule>
  </conditionalFormatting>
  <conditionalFormatting sqref="R1366">
    <cfRule type="cellIs" dxfId="1" priority="1354" stopIfTrue="1" operator="between">
      <formula>"Check"</formula>
      <formula>"Check"</formula>
    </cfRule>
  </conditionalFormatting>
  <conditionalFormatting sqref="R1367">
    <cfRule type="cellIs" dxfId="1" priority="1355" stopIfTrue="1" operator="between">
      <formula>"Check"</formula>
      <formula>"Check"</formula>
    </cfRule>
  </conditionalFormatting>
  <conditionalFormatting sqref="R1368">
    <cfRule type="cellIs" dxfId="1" priority="1356" stopIfTrue="1" operator="between">
      <formula>"Check"</formula>
      <formula>"Check"</formula>
    </cfRule>
  </conditionalFormatting>
  <conditionalFormatting sqref="R1369">
    <cfRule type="cellIs" dxfId="1" priority="1357" stopIfTrue="1" operator="between">
      <formula>"Check"</formula>
      <formula>"Check"</formula>
    </cfRule>
  </conditionalFormatting>
  <conditionalFormatting sqref="R1370">
    <cfRule type="cellIs" dxfId="1" priority="1358" stopIfTrue="1" operator="between">
      <formula>"Check"</formula>
      <formula>"Check"</formula>
    </cfRule>
  </conditionalFormatting>
  <conditionalFormatting sqref="R1371">
    <cfRule type="cellIs" dxfId="1" priority="1359" stopIfTrue="1" operator="between">
      <formula>"Check"</formula>
      <formula>"Check"</formula>
    </cfRule>
  </conditionalFormatting>
  <conditionalFormatting sqref="R1372">
    <cfRule type="cellIs" dxfId="1" priority="1360" stopIfTrue="1" operator="between">
      <formula>"Check"</formula>
      <formula>"Check"</formula>
    </cfRule>
  </conditionalFormatting>
  <conditionalFormatting sqref="R1373">
    <cfRule type="cellIs" dxfId="1" priority="1361" stopIfTrue="1" operator="between">
      <formula>"Check"</formula>
      <formula>"Check"</formula>
    </cfRule>
  </conditionalFormatting>
  <conditionalFormatting sqref="R1374">
    <cfRule type="cellIs" dxfId="1" priority="1362" stopIfTrue="1" operator="between">
      <formula>"Check"</formula>
      <formula>"Check"</formula>
    </cfRule>
  </conditionalFormatting>
  <conditionalFormatting sqref="R1375">
    <cfRule type="cellIs" dxfId="1" priority="1363" stopIfTrue="1" operator="between">
      <formula>"Check"</formula>
      <formula>"Check"</formula>
    </cfRule>
  </conditionalFormatting>
  <conditionalFormatting sqref="R1376">
    <cfRule type="cellIs" dxfId="1" priority="1364" stopIfTrue="1" operator="between">
      <formula>"Check"</formula>
      <formula>"Check"</formula>
    </cfRule>
  </conditionalFormatting>
  <conditionalFormatting sqref="R1377">
    <cfRule type="cellIs" dxfId="1" priority="1365" stopIfTrue="1" operator="between">
      <formula>"Check"</formula>
      <formula>"Check"</formula>
    </cfRule>
  </conditionalFormatting>
  <conditionalFormatting sqref="R1378">
    <cfRule type="cellIs" dxfId="1" priority="1366" stopIfTrue="1" operator="between">
      <formula>"Check"</formula>
      <formula>"Check"</formula>
    </cfRule>
  </conditionalFormatting>
  <conditionalFormatting sqref="R1379">
    <cfRule type="cellIs" dxfId="1" priority="1367" stopIfTrue="1" operator="between">
      <formula>"Check"</formula>
      <formula>"Check"</formula>
    </cfRule>
  </conditionalFormatting>
  <conditionalFormatting sqref="R1380">
    <cfRule type="cellIs" dxfId="1" priority="1368" stopIfTrue="1" operator="between">
      <formula>"Check"</formula>
      <formula>"Check"</formula>
    </cfRule>
  </conditionalFormatting>
  <conditionalFormatting sqref="R1381">
    <cfRule type="cellIs" dxfId="1" priority="1369" stopIfTrue="1" operator="between">
      <formula>"Check"</formula>
      <formula>"Check"</formula>
    </cfRule>
  </conditionalFormatting>
  <conditionalFormatting sqref="R1382">
    <cfRule type="cellIs" dxfId="1" priority="1370" stopIfTrue="1" operator="between">
      <formula>"Check"</formula>
      <formula>"Check"</formula>
    </cfRule>
  </conditionalFormatting>
  <conditionalFormatting sqref="R1383">
    <cfRule type="cellIs" dxfId="1" priority="1371" stopIfTrue="1" operator="between">
      <formula>"Check"</formula>
      <formula>"Check"</formula>
    </cfRule>
  </conditionalFormatting>
  <conditionalFormatting sqref="R1384">
    <cfRule type="cellIs" dxfId="1" priority="1372" stopIfTrue="1" operator="between">
      <formula>"Check"</formula>
      <formula>"Check"</formula>
    </cfRule>
  </conditionalFormatting>
  <conditionalFormatting sqref="R1385">
    <cfRule type="cellIs" dxfId="1" priority="1373" stopIfTrue="1" operator="between">
      <formula>"Check"</formula>
      <formula>"Check"</formula>
    </cfRule>
  </conditionalFormatting>
  <conditionalFormatting sqref="R1386">
    <cfRule type="cellIs" dxfId="1" priority="1374" stopIfTrue="1" operator="between">
      <formula>"Check"</formula>
      <formula>"Check"</formula>
    </cfRule>
  </conditionalFormatting>
  <conditionalFormatting sqref="R1387">
    <cfRule type="cellIs" dxfId="1" priority="1375" stopIfTrue="1" operator="between">
      <formula>"Check"</formula>
      <formula>"Check"</formula>
    </cfRule>
  </conditionalFormatting>
  <conditionalFormatting sqref="R1388">
    <cfRule type="cellIs" dxfId="1" priority="1376" stopIfTrue="1" operator="between">
      <formula>"Check"</formula>
      <formula>"Check"</formula>
    </cfRule>
  </conditionalFormatting>
  <conditionalFormatting sqref="R1389">
    <cfRule type="cellIs" dxfId="1" priority="1377" stopIfTrue="1" operator="between">
      <formula>"Check"</formula>
      <formula>"Check"</formula>
    </cfRule>
  </conditionalFormatting>
  <conditionalFormatting sqref="R1390">
    <cfRule type="cellIs" dxfId="1" priority="1378" stopIfTrue="1" operator="between">
      <formula>"Check"</formula>
      <formula>"Check"</formula>
    </cfRule>
  </conditionalFormatting>
  <conditionalFormatting sqref="R1391">
    <cfRule type="cellIs" dxfId="1" priority="1379" stopIfTrue="1" operator="between">
      <formula>"Check"</formula>
      <formula>"Check"</formula>
    </cfRule>
  </conditionalFormatting>
  <conditionalFormatting sqref="R1392">
    <cfRule type="cellIs" dxfId="1" priority="1380" stopIfTrue="1" operator="between">
      <formula>"Check"</formula>
      <formula>"Check"</formula>
    </cfRule>
  </conditionalFormatting>
  <conditionalFormatting sqref="R1393">
    <cfRule type="cellIs" dxfId="1" priority="1381" stopIfTrue="1" operator="between">
      <formula>"Check"</formula>
      <formula>"Check"</formula>
    </cfRule>
  </conditionalFormatting>
  <conditionalFormatting sqref="R1394">
    <cfRule type="cellIs" dxfId="1" priority="1382" stopIfTrue="1" operator="between">
      <formula>"Check"</formula>
      <formula>"Check"</formula>
    </cfRule>
  </conditionalFormatting>
  <conditionalFormatting sqref="R1395">
    <cfRule type="cellIs" dxfId="1" priority="1383" stopIfTrue="1" operator="between">
      <formula>"Check"</formula>
      <formula>"Check"</formula>
    </cfRule>
  </conditionalFormatting>
  <conditionalFormatting sqref="R1396">
    <cfRule type="cellIs" dxfId="1" priority="1384" stopIfTrue="1" operator="between">
      <formula>"Check"</formula>
      <formula>"Check"</formula>
    </cfRule>
  </conditionalFormatting>
  <conditionalFormatting sqref="R1397">
    <cfRule type="cellIs" dxfId="1" priority="1385" stopIfTrue="1" operator="between">
      <formula>"Check"</formula>
      <formula>"Check"</formula>
    </cfRule>
  </conditionalFormatting>
  <conditionalFormatting sqref="R1398">
    <cfRule type="cellIs" dxfId="1" priority="1386" stopIfTrue="1" operator="between">
      <formula>"Check"</formula>
      <formula>"Check"</formula>
    </cfRule>
  </conditionalFormatting>
  <conditionalFormatting sqref="R1399">
    <cfRule type="cellIs" dxfId="1" priority="1387" stopIfTrue="1" operator="between">
      <formula>"Check"</formula>
      <formula>"Check"</formula>
    </cfRule>
  </conditionalFormatting>
  <conditionalFormatting sqref="R1400">
    <cfRule type="cellIs" dxfId="1" priority="1388" stopIfTrue="1" operator="between">
      <formula>"Check"</formula>
      <formula>"Check"</formula>
    </cfRule>
  </conditionalFormatting>
  <conditionalFormatting sqref="R1401">
    <cfRule type="cellIs" dxfId="1" priority="1389" stopIfTrue="1" operator="between">
      <formula>"Check"</formula>
      <formula>"Check"</formula>
    </cfRule>
  </conditionalFormatting>
  <conditionalFormatting sqref="R1402">
    <cfRule type="cellIs" dxfId="1" priority="1390" stopIfTrue="1" operator="between">
      <formula>"Check"</formula>
      <formula>"Check"</formula>
    </cfRule>
  </conditionalFormatting>
  <conditionalFormatting sqref="R1403">
    <cfRule type="cellIs" dxfId="1" priority="1391" stopIfTrue="1" operator="between">
      <formula>"Check"</formula>
      <formula>"Check"</formula>
    </cfRule>
  </conditionalFormatting>
  <conditionalFormatting sqref="R1404">
    <cfRule type="cellIs" dxfId="1" priority="1392" stopIfTrue="1" operator="between">
      <formula>"Check"</formula>
      <formula>"Check"</formula>
    </cfRule>
  </conditionalFormatting>
  <conditionalFormatting sqref="R1405">
    <cfRule type="cellIs" dxfId="1" priority="1393" stopIfTrue="1" operator="between">
      <formula>"Check"</formula>
      <formula>"Check"</formula>
    </cfRule>
  </conditionalFormatting>
  <conditionalFormatting sqref="R1406">
    <cfRule type="cellIs" dxfId="1" priority="1394" stopIfTrue="1" operator="between">
      <formula>"Check"</formula>
      <formula>"Check"</formula>
    </cfRule>
  </conditionalFormatting>
  <conditionalFormatting sqref="R1407">
    <cfRule type="cellIs" dxfId="1" priority="1395" stopIfTrue="1" operator="between">
      <formula>"Check"</formula>
      <formula>"Check"</formula>
    </cfRule>
  </conditionalFormatting>
  <conditionalFormatting sqref="R1408">
    <cfRule type="cellIs" dxfId="1" priority="1396" stopIfTrue="1" operator="between">
      <formula>"Check"</formula>
      <formula>"Check"</formula>
    </cfRule>
  </conditionalFormatting>
  <conditionalFormatting sqref="R1409">
    <cfRule type="cellIs" dxfId="1" priority="1397" stopIfTrue="1" operator="between">
      <formula>"Check"</formula>
      <formula>"Check"</formula>
    </cfRule>
  </conditionalFormatting>
  <conditionalFormatting sqref="R1410">
    <cfRule type="cellIs" dxfId="1" priority="1398" stopIfTrue="1" operator="between">
      <formula>"Check"</formula>
      <formula>"Check"</formula>
    </cfRule>
  </conditionalFormatting>
  <conditionalFormatting sqref="R1411">
    <cfRule type="cellIs" dxfId="1" priority="1399" stopIfTrue="1" operator="between">
      <formula>"Check"</formula>
      <formula>"Check"</formula>
    </cfRule>
  </conditionalFormatting>
  <conditionalFormatting sqref="R1412">
    <cfRule type="cellIs" dxfId="1" priority="1400" stopIfTrue="1" operator="between">
      <formula>"Check"</formula>
      <formula>"Check"</formula>
    </cfRule>
  </conditionalFormatting>
  <conditionalFormatting sqref="R1413">
    <cfRule type="cellIs" dxfId="1" priority="1401" stopIfTrue="1" operator="between">
      <formula>"Check"</formula>
      <formula>"Check"</formula>
    </cfRule>
  </conditionalFormatting>
  <conditionalFormatting sqref="R1414">
    <cfRule type="cellIs" dxfId="1" priority="1402" stopIfTrue="1" operator="between">
      <formula>"Check"</formula>
      <formula>"Check"</formula>
    </cfRule>
  </conditionalFormatting>
  <conditionalFormatting sqref="R1415">
    <cfRule type="cellIs" dxfId="1" priority="1403" stopIfTrue="1" operator="between">
      <formula>"Check"</formula>
      <formula>"Check"</formula>
    </cfRule>
  </conditionalFormatting>
  <conditionalFormatting sqref="R1416">
    <cfRule type="cellIs" dxfId="1" priority="1404" stopIfTrue="1" operator="between">
      <formula>"Check"</formula>
      <formula>"Check"</formula>
    </cfRule>
  </conditionalFormatting>
  <conditionalFormatting sqref="R1417">
    <cfRule type="cellIs" dxfId="1" priority="1405" stopIfTrue="1" operator="between">
      <formula>"Check"</formula>
      <formula>"Check"</formula>
    </cfRule>
  </conditionalFormatting>
  <conditionalFormatting sqref="R1418">
    <cfRule type="cellIs" dxfId="1" priority="1406" stopIfTrue="1" operator="between">
      <formula>"Check"</formula>
      <formula>"Check"</formula>
    </cfRule>
  </conditionalFormatting>
  <conditionalFormatting sqref="R1419">
    <cfRule type="cellIs" dxfId="1" priority="1407" stopIfTrue="1" operator="between">
      <formula>"Check"</formula>
      <formula>"Check"</formula>
    </cfRule>
  </conditionalFormatting>
  <conditionalFormatting sqref="R1420">
    <cfRule type="cellIs" dxfId="1" priority="1408" stopIfTrue="1" operator="between">
      <formula>"Check"</formula>
      <formula>"Check"</formula>
    </cfRule>
  </conditionalFormatting>
  <conditionalFormatting sqref="R1421">
    <cfRule type="cellIs" dxfId="1" priority="1409" stopIfTrue="1" operator="between">
      <formula>"Check"</formula>
      <formula>"Check"</formula>
    </cfRule>
  </conditionalFormatting>
  <conditionalFormatting sqref="R1422">
    <cfRule type="cellIs" dxfId="1" priority="1410" stopIfTrue="1" operator="between">
      <formula>"Check"</formula>
      <formula>"Check"</formula>
    </cfRule>
  </conditionalFormatting>
  <conditionalFormatting sqref="R1423">
    <cfRule type="cellIs" dxfId="1" priority="1411" stopIfTrue="1" operator="between">
      <formula>"Check"</formula>
      <formula>"Check"</formula>
    </cfRule>
  </conditionalFormatting>
  <conditionalFormatting sqref="R1424">
    <cfRule type="cellIs" dxfId="1" priority="1412" stopIfTrue="1" operator="between">
      <formula>"Check"</formula>
      <formula>"Check"</formula>
    </cfRule>
  </conditionalFormatting>
  <conditionalFormatting sqref="R1425">
    <cfRule type="cellIs" dxfId="1" priority="1413" stopIfTrue="1" operator="between">
      <formula>"Check"</formula>
      <formula>"Check"</formula>
    </cfRule>
  </conditionalFormatting>
  <conditionalFormatting sqref="R1426">
    <cfRule type="cellIs" dxfId="1" priority="1414" stopIfTrue="1" operator="between">
      <formula>"Check"</formula>
      <formula>"Check"</formula>
    </cfRule>
  </conditionalFormatting>
  <conditionalFormatting sqref="R1427">
    <cfRule type="cellIs" dxfId="1" priority="1415" stopIfTrue="1" operator="between">
      <formula>"Check"</formula>
      <formula>"Check"</formula>
    </cfRule>
  </conditionalFormatting>
  <conditionalFormatting sqref="R1428">
    <cfRule type="cellIs" dxfId="1" priority="1416" stopIfTrue="1" operator="between">
      <formula>"Check"</formula>
      <formula>"Check"</formula>
    </cfRule>
  </conditionalFormatting>
  <conditionalFormatting sqref="R1429">
    <cfRule type="cellIs" dxfId="1" priority="1417" stopIfTrue="1" operator="between">
      <formula>"Check"</formula>
      <formula>"Check"</formula>
    </cfRule>
  </conditionalFormatting>
  <conditionalFormatting sqref="R1430">
    <cfRule type="cellIs" dxfId="1" priority="1418" stopIfTrue="1" operator="between">
      <formula>"Check"</formula>
      <formula>"Check"</formula>
    </cfRule>
  </conditionalFormatting>
  <conditionalFormatting sqref="R1431">
    <cfRule type="cellIs" dxfId="1" priority="1419" stopIfTrue="1" operator="between">
      <formula>"Check"</formula>
      <formula>"Check"</formula>
    </cfRule>
  </conditionalFormatting>
  <conditionalFormatting sqref="R1432">
    <cfRule type="cellIs" dxfId="1" priority="1420" stopIfTrue="1" operator="between">
      <formula>"Check"</formula>
      <formula>"Check"</formula>
    </cfRule>
  </conditionalFormatting>
  <conditionalFormatting sqref="R1433">
    <cfRule type="cellIs" dxfId="1" priority="1421" stopIfTrue="1" operator="between">
      <formula>"Check"</formula>
      <formula>"Check"</formula>
    </cfRule>
  </conditionalFormatting>
  <conditionalFormatting sqref="R1434">
    <cfRule type="cellIs" dxfId="1" priority="1422" stopIfTrue="1" operator="between">
      <formula>"Check"</formula>
      <formula>"Check"</formula>
    </cfRule>
  </conditionalFormatting>
  <conditionalFormatting sqref="R1435">
    <cfRule type="cellIs" dxfId="1" priority="1423" stopIfTrue="1" operator="between">
      <formula>"Check"</formula>
      <formula>"Check"</formula>
    </cfRule>
  </conditionalFormatting>
  <conditionalFormatting sqref="R1436">
    <cfRule type="cellIs" dxfId="1" priority="1424" stopIfTrue="1" operator="between">
      <formula>"Check"</formula>
      <formula>"Check"</formula>
    </cfRule>
  </conditionalFormatting>
  <conditionalFormatting sqref="R1437">
    <cfRule type="cellIs" dxfId="1" priority="1425" stopIfTrue="1" operator="between">
      <formula>"Check"</formula>
      <formula>"Check"</formula>
    </cfRule>
  </conditionalFormatting>
  <conditionalFormatting sqref="R1438">
    <cfRule type="cellIs" dxfId="1" priority="1426" stopIfTrue="1" operator="between">
      <formula>"Check"</formula>
      <formula>"Check"</formula>
    </cfRule>
  </conditionalFormatting>
  <conditionalFormatting sqref="R1439">
    <cfRule type="cellIs" dxfId="1" priority="1427" stopIfTrue="1" operator="between">
      <formula>"Check"</formula>
      <formula>"Check"</formula>
    </cfRule>
  </conditionalFormatting>
  <conditionalFormatting sqref="R1440">
    <cfRule type="cellIs" dxfId="1" priority="1428" stopIfTrue="1" operator="between">
      <formula>"Check"</formula>
      <formula>"Check"</formula>
    </cfRule>
  </conditionalFormatting>
  <conditionalFormatting sqref="R1441">
    <cfRule type="cellIs" dxfId="1" priority="1429" stopIfTrue="1" operator="between">
      <formula>"Check"</formula>
      <formula>"Check"</formula>
    </cfRule>
  </conditionalFormatting>
  <conditionalFormatting sqref="R1442">
    <cfRule type="cellIs" dxfId="1" priority="1430" stopIfTrue="1" operator="between">
      <formula>"Check"</formula>
      <formula>"Check"</formula>
    </cfRule>
  </conditionalFormatting>
  <conditionalFormatting sqref="R1443">
    <cfRule type="cellIs" dxfId="1" priority="1431" stopIfTrue="1" operator="between">
      <formula>"Check"</formula>
      <formula>"Check"</formula>
    </cfRule>
  </conditionalFormatting>
  <conditionalFormatting sqref="R1444">
    <cfRule type="cellIs" dxfId="1" priority="1432" stopIfTrue="1" operator="between">
      <formula>"Check"</formula>
      <formula>"Check"</formula>
    </cfRule>
  </conditionalFormatting>
  <conditionalFormatting sqref="R1445">
    <cfRule type="cellIs" dxfId="1" priority="1433" stopIfTrue="1" operator="between">
      <formula>"Check"</formula>
      <formula>"Check"</formula>
    </cfRule>
  </conditionalFormatting>
  <conditionalFormatting sqref="R1446">
    <cfRule type="cellIs" dxfId="1" priority="1434" stopIfTrue="1" operator="between">
      <formula>"Check"</formula>
      <formula>"Check"</formula>
    </cfRule>
  </conditionalFormatting>
  <conditionalFormatting sqref="R1447">
    <cfRule type="cellIs" dxfId="1" priority="1435" stopIfTrue="1" operator="between">
      <formula>"Check"</formula>
      <formula>"Check"</formula>
    </cfRule>
  </conditionalFormatting>
  <conditionalFormatting sqref="R1448">
    <cfRule type="cellIs" dxfId="1" priority="1436" stopIfTrue="1" operator="between">
      <formula>"Check"</formula>
      <formula>"Check"</formula>
    </cfRule>
  </conditionalFormatting>
  <conditionalFormatting sqref="R1449">
    <cfRule type="cellIs" dxfId="1" priority="1437" stopIfTrue="1" operator="between">
      <formula>"Check"</formula>
      <formula>"Check"</formula>
    </cfRule>
  </conditionalFormatting>
  <conditionalFormatting sqref="R1450">
    <cfRule type="cellIs" dxfId="1" priority="1438" stopIfTrue="1" operator="between">
      <formula>"Check"</formula>
      <formula>"Check"</formula>
    </cfRule>
  </conditionalFormatting>
  <conditionalFormatting sqref="R1451">
    <cfRule type="cellIs" dxfId="1" priority="1439" stopIfTrue="1" operator="between">
      <formula>"Check"</formula>
      <formula>"Check"</formula>
    </cfRule>
  </conditionalFormatting>
  <conditionalFormatting sqref="R1452">
    <cfRule type="cellIs" dxfId="1" priority="1440" stopIfTrue="1" operator="between">
      <formula>"Check"</formula>
      <formula>"Check"</formula>
    </cfRule>
  </conditionalFormatting>
  <conditionalFormatting sqref="R1453">
    <cfRule type="cellIs" dxfId="1" priority="1441" stopIfTrue="1" operator="between">
      <formula>"Check"</formula>
      <formula>"Check"</formula>
    </cfRule>
  </conditionalFormatting>
  <conditionalFormatting sqref="R1454">
    <cfRule type="cellIs" dxfId="1" priority="1442" stopIfTrue="1" operator="between">
      <formula>"Check"</formula>
      <formula>"Check"</formula>
    </cfRule>
  </conditionalFormatting>
  <conditionalFormatting sqref="R1455">
    <cfRule type="cellIs" dxfId="1" priority="1443" stopIfTrue="1" operator="between">
      <formula>"Check"</formula>
      <formula>"Check"</formula>
    </cfRule>
  </conditionalFormatting>
  <conditionalFormatting sqref="R1456">
    <cfRule type="cellIs" dxfId="1" priority="1444" stopIfTrue="1" operator="between">
      <formula>"Check"</formula>
      <formula>"Check"</formula>
    </cfRule>
  </conditionalFormatting>
  <conditionalFormatting sqref="R1457">
    <cfRule type="cellIs" dxfId="1" priority="1445" stopIfTrue="1" operator="between">
      <formula>"Check"</formula>
      <formula>"Check"</formula>
    </cfRule>
  </conditionalFormatting>
  <conditionalFormatting sqref="R1458">
    <cfRule type="cellIs" dxfId="1" priority="1446" stopIfTrue="1" operator="between">
      <formula>"Check"</formula>
      <formula>"Check"</formula>
    </cfRule>
  </conditionalFormatting>
  <conditionalFormatting sqref="R1459">
    <cfRule type="cellIs" dxfId="1" priority="1447" stopIfTrue="1" operator="between">
      <formula>"Check"</formula>
      <formula>"Check"</formula>
    </cfRule>
  </conditionalFormatting>
  <conditionalFormatting sqref="R1460">
    <cfRule type="cellIs" dxfId="1" priority="1448" stopIfTrue="1" operator="between">
      <formula>"Check"</formula>
      <formula>"Check"</formula>
    </cfRule>
  </conditionalFormatting>
  <conditionalFormatting sqref="R1461">
    <cfRule type="cellIs" dxfId="1" priority="1449" stopIfTrue="1" operator="between">
      <formula>"Check"</formula>
      <formula>"Check"</formula>
    </cfRule>
  </conditionalFormatting>
  <conditionalFormatting sqref="R1462">
    <cfRule type="cellIs" dxfId="1" priority="1450" stopIfTrue="1" operator="between">
      <formula>"Check"</formula>
      <formula>"Check"</formula>
    </cfRule>
  </conditionalFormatting>
  <conditionalFormatting sqref="R1463">
    <cfRule type="cellIs" dxfId="1" priority="1451" stopIfTrue="1" operator="between">
      <formula>"Check"</formula>
      <formula>"Check"</formula>
    </cfRule>
  </conditionalFormatting>
  <conditionalFormatting sqref="R1464">
    <cfRule type="cellIs" dxfId="1" priority="1452" stopIfTrue="1" operator="between">
      <formula>"Check"</formula>
      <formula>"Check"</formula>
    </cfRule>
  </conditionalFormatting>
  <conditionalFormatting sqref="R1465">
    <cfRule type="cellIs" dxfId="1" priority="1453" stopIfTrue="1" operator="between">
      <formula>"Check"</formula>
      <formula>"Check"</formula>
    </cfRule>
  </conditionalFormatting>
  <conditionalFormatting sqref="R1466">
    <cfRule type="cellIs" dxfId="1" priority="1454" stopIfTrue="1" operator="between">
      <formula>"Check"</formula>
      <formula>"Check"</formula>
    </cfRule>
  </conditionalFormatting>
  <conditionalFormatting sqref="R1467">
    <cfRule type="cellIs" dxfId="1" priority="1455" stopIfTrue="1" operator="between">
      <formula>"Check"</formula>
      <formula>"Check"</formula>
    </cfRule>
  </conditionalFormatting>
  <conditionalFormatting sqref="R1468">
    <cfRule type="cellIs" dxfId="1" priority="1456" stopIfTrue="1" operator="between">
      <formula>"Check"</formula>
      <formula>"Check"</formula>
    </cfRule>
  </conditionalFormatting>
  <conditionalFormatting sqref="R1469">
    <cfRule type="cellIs" dxfId="1" priority="1457" stopIfTrue="1" operator="between">
      <formula>"Check"</formula>
      <formula>"Check"</formula>
    </cfRule>
  </conditionalFormatting>
  <conditionalFormatting sqref="R1470">
    <cfRule type="cellIs" dxfId="1" priority="1458" stopIfTrue="1" operator="between">
      <formula>"Check"</formula>
      <formula>"Check"</formula>
    </cfRule>
  </conditionalFormatting>
  <conditionalFormatting sqref="R1471">
    <cfRule type="cellIs" dxfId="1" priority="1459" stopIfTrue="1" operator="between">
      <formula>"Check"</formula>
      <formula>"Check"</formula>
    </cfRule>
  </conditionalFormatting>
  <conditionalFormatting sqref="R1472">
    <cfRule type="cellIs" dxfId="1" priority="1460" stopIfTrue="1" operator="between">
      <formula>"Check"</formula>
      <formula>"Check"</formula>
    </cfRule>
  </conditionalFormatting>
  <conditionalFormatting sqref="R1473">
    <cfRule type="cellIs" dxfId="1" priority="1461" stopIfTrue="1" operator="between">
      <formula>"Check"</formula>
      <formula>"Check"</formula>
    </cfRule>
  </conditionalFormatting>
  <conditionalFormatting sqref="R1474">
    <cfRule type="cellIs" dxfId="1" priority="1462" stopIfTrue="1" operator="between">
      <formula>"Check"</formula>
      <formula>"Check"</formula>
    </cfRule>
  </conditionalFormatting>
  <conditionalFormatting sqref="R1475">
    <cfRule type="cellIs" dxfId="1" priority="1463" stopIfTrue="1" operator="between">
      <formula>"Check"</formula>
      <formula>"Check"</formula>
    </cfRule>
  </conditionalFormatting>
  <conditionalFormatting sqref="R1476">
    <cfRule type="cellIs" dxfId="1" priority="1464" stopIfTrue="1" operator="between">
      <formula>"Check"</formula>
      <formula>"Check"</formula>
    </cfRule>
  </conditionalFormatting>
  <conditionalFormatting sqref="R1477">
    <cfRule type="cellIs" dxfId="1" priority="1465" stopIfTrue="1" operator="between">
      <formula>"Check"</formula>
      <formula>"Check"</formula>
    </cfRule>
  </conditionalFormatting>
  <conditionalFormatting sqref="R1478">
    <cfRule type="cellIs" dxfId="1" priority="1466" stopIfTrue="1" operator="between">
      <formula>"Check"</formula>
      <formula>"Check"</formula>
    </cfRule>
  </conditionalFormatting>
  <conditionalFormatting sqref="R1479">
    <cfRule type="cellIs" dxfId="1" priority="1467" stopIfTrue="1" operator="between">
      <formula>"Check"</formula>
      <formula>"Check"</formula>
    </cfRule>
  </conditionalFormatting>
  <conditionalFormatting sqref="R1480">
    <cfRule type="cellIs" dxfId="1" priority="1468" stopIfTrue="1" operator="between">
      <formula>"Check"</formula>
      <formula>"Check"</formula>
    </cfRule>
  </conditionalFormatting>
  <conditionalFormatting sqref="R1481">
    <cfRule type="cellIs" dxfId="1" priority="1469" stopIfTrue="1" operator="between">
      <formula>"Check"</formula>
      <formula>"Check"</formula>
    </cfRule>
  </conditionalFormatting>
  <conditionalFormatting sqref="R1482">
    <cfRule type="cellIs" dxfId="1" priority="1470" stopIfTrue="1" operator="between">
      <formula>"Check"</formula>
      <formula>"Check"</formula>
    </cfRule>
  </conditionalFormatting>
  <conditionalFormatting sqref="R1483">
    <cfRule type="cellIs" dxfId="1" priority="1471" stopIfTrue="1" operator="between">
      <formula>"Check"</formula>
      <formula>"Check"</formula>
    </cfRule>
  </conditionalFormatting>
  <conditionalFormatting sqref="R1484">
    <cfRule type="cellIs" dxfId="1" priority="1472" stopIfTrue="1" operator="between">
      <formula>"Check"</formula>
      <formula>"Check"</formula>
    </cfRule>
  </conditionalFormatting>
  <conditionalFormatting sqref="R1485">
    <cfRule type="cellIs" dxfId="1" priority="1473" stopIfTrue="1" operator="between">
      <formula>"Check"</formula>
      <formula>"Check"</formula>
    </cfRule>
  </conditionalFormatting>
  <conditionalFormatting sqref="R1486">
    <cfRule type="cellIs" dxfId="1" priority="1474" stopIfTrue="1" operator="between">
      <formula>"Check"</formula>
      <formula>"Check"</formula>
    </cfRule>
  </conditionalFormatting>
  <conditionalFormatting sqref="R1487">
    <cfRule type="cellIs" dxfId="1" priority="1475" stopIfTrue="1" operator="between">
      <formula>"Check"</formula>
      <formula>"Check"</formula>
    </cfRule>
  </conditionalFormatting>
  <conditionalFormatting sqref="R1488">
    <cfRule type="cellIs" dxfId="1" priority="1476" stopIfTrue="1" operator="between">
      <formula>"Check"</formula>
      <formula>"Check"</formula>
    </cfRule>
  </conditionalFormatting>
  <conditionalFormatting sqref="R1489">
    <cfRule type="cellIs" dxfId="1" priority="1477" stopIfTrue="1" operator="between">
      <formula>"Check"</formula>
      <formula>"Check"</formula>
    </cfRule>
  </conditionalFormatting>
  <conditionalFormatting sqref="R1490">
    <cfRule type="cellIs" dxfId="1" priority="1478" stopIfTrue="1" operator="between">
      <formula>"Check"</formula>
      <formula>"Check"</formula>
    </cfRule>
  </conditionalFormatting>
  <conditionalFormatting sqref="R1491">
    <cfRule type="cellIs" dxfId="1" priority="1479" stopIfTrue="1" operator="between">
      <formula>"Check"</formula>
      <formula>"Check"</formula>
    </cfRule>
  </conditionalFormatting>
  <conditionalFormatting sqref="R1492">
    <cfRule type="cellIs" dxfId="1" priority="1480" stopIfTrue="1" operator="between">
      <formula>"Check"</formula>
      <formula>"Check"</formula>
    </cfRule>
  </conditionalFormatting>
  <conditionalFormatting sqref="R1493">
    <cfRule type="cellIs" dxfId="1" priority="1481" stopIfTrue="1" operator="between">
      <formula>"Check"</formula>
      <formula>"Check"</formula>
    </cfRule>
  </conditionalFormatting>
  <conditionalFormatting sqref="R1494">
    <cfRule type="cellIs" dxfId="1" priority="1482" stopIfTrue="1" operator="between">
      <formula>"Check"</formula>
      <formula>"Check"</formula>
    </cfRule>
  </conditionalFormatting>
  <conditionalFormatting sqref="R1495">
    <cfRule type="cellIs" dxfId="1" priority="1483" stopIfTrue="1" operator="between">
      <formula>"Check"</formula>
      <formula>"Check"</formula>
    </cfRule>
  </conditionalFormatting>
  <conditionalFormatting sqref="R1496">
    <cfRule type="cellIs" dxfId="1" priority="1484" stopIfTrue="1" operator="between">
      <formula>"Check"</formula>
      <formula>"Check"</formula>
    </cfRule>
  </conditionalFormatting>
  <conditionalFormatting sqref="R1497">
    <cfRule type="cellIs" dxfId="1" priority="1485" stopIfTrue="1" operator="between">
      <formula>"Check"</formula>
      <formula>"Check"</formula>
    </cfRule>
  </conditionalFormatting>
  <conditionalFormatting sqref="R1498">
    <cfRule type="cellIs" dxfId="1" priority="1486" stopIfTrue="1" operator="between">
      <formula>"Check"</formula>
      <formula>"Check"</formula>
    </cfRule>
  </conditionalFormatting>
  <conditionalFormatting sqref="R1499">
    <cfRule type="cellIs" dxfId="1" priority="1487" stopIfTrue="1" operator="between">
      <formula>"Check"</formula>
      <formula>"Check"</formula>
    </cfRule>
  </conditionalFormatting>
  <conditionalFormatting sqref="R1500">
    <cfRule type="cellIs" dxfId="1" priority="1488" stopIfTrue="1" operator="between">
      <formula>"Check"</formula>
      <formula>"Check"</formula>
    </cfRule>
  </conditionalFormatting>
  <conditionalFormatting sqref="R1501">
    <cfRule type="cellIs" dxfId="1" priority="1489" stopIfTrue="1" operator="between">
      <formula>"Check"</formula>
      <formula>"Check"</formula>
    </cfRule>
  </conditionalFormatting>
  <conditionalFormatting sqref="R1502">
    <cfRule type="cellIs" dxfId="1" priority="1490" stopIfTrue="1" operator="between">
      <formula>"Check"</formula>
      <formula>"Check"</formula>
    </cfRule>
  </conditionalFormatting>
  <conditionalFormatting sqref="R1503">
    <cfRule type="cellIs" dxfId="1" priority="1491" stopIfTrue="1" operator="between">
      <formula>"Check"</formula>
      <formula>"Check"</formula>
    </cfRule>
  </conditionalFormatting>
  <conditionalFormatting sqref="R1504">
    <cfRule type="cellIs" dxfId="1" priority="1492" stopIfTrue="1" operator="between">
      <formula>"Check"</formula>
      <formula>"Check"</formula>
    </cfRule>
  </conditionalFormatting>
  <conditionalFormatting sqref="R1505">
    <cfRule type="cellIs" dxfId="1" priority="1493" stopIfTrue="1" operator="between">
      <formula>"Check"</formula>
      <formula>"Check"</formula>
    </cfRule>
  </conditionalFormatting>
  <conditionalFormatting sqref="R1506">
    <cfRule type="cellIs" dxfId="1" priority="1494" stopIfTrue="1" operator="between">
      <formula>"Check"</formula>
      <formula>"Check"</formula>
    </cfRule>
  </conditionalFormatting>
  <conditionalFormatting sqref="R1507">
    <cfRule type="cellIs" dxfId="1" priority="1495" stopIfTrue="1" operator="between">
      <formula>"Check"</formula>
      <formula>"Check"</formula>
    </cfRule>
  </conditionalFormatting>
  <conditionalFormatting sqref="R1508">
    <cfRule type="cellIs" dxfId="1" priority="1496" stopIfTrue="1" operator="between">
      <formula>"Check"</formula>
      <formula>"Check"</formula>
    </cfRule>
  </conditionalFormatting>
  <conditionalFormatting sqref="R1509">
    <cfRule type="cellIs" dxfId="1" priority="1497" stopIfTrue="1" operator="between">
      <formula>"Check"</formula>
      <formula>"Check"</formula>
    </cfRule>
  </conditionalFormatting>
  <conditionalFormatting sqref="R1510">
    <cfRule type="cellIs" dxfId="1" priority="1498" stopIfTrue="1" operator="between">
      <formula>"Check"</formula>
      <formula>"Check"</formula>
    </cfRule>
  </conditionalFormatting>
  <conditionalFormatting sqref="R1511">
    <cfRule type="cellIs" dxfId="1" priority="1499" stopIfTrue="1" operator="between">
      <formula>"Check"</formula>
      <formula>"Check"</formula>
    </cfRule>
  </conditionalFormatting>
  <conditionalFormatting sqref="R1512">
    <cfRule type="cellIs" dxfId="1" priority="1500" stopIfTrue="1" operator="between">
      <formula>"Check"</formula>
      <formula>"Check"</formula>
    </cfRule>
  </conditionalFormatting>
  <conditionalFormatting sqref="R1513">
    <cfRule type="cellIs" dxfId="1" priority="1501" stopIfTrue="1" operator="between">
      <formula>"Check"</formula>
      <formula>"Check"</formula>
    </cfRule>
  </conditionalFormatting>
  <conditionalFormatting sqref="R1514">
    <cfRule type="cellIs" dxfId="1" priority="1502" stopIfTrue="1" operator="between">
      <formula>"Check"</formula>
      <formula>"Check"</formula>
    </cfRule>
  </conditionalFormatting>
  <conditionalFormatting sqref="R1515">
    <cfRule type="cellIs" dxfId="1" priority="1503" stopIfTrue="1" operator="between">
      <formula>"Check"</formula>
      <formula>"Check"</formula>
    </cfRule>
  </conditionalFormatting>
  <conditionalFormatting sqref="R1516">
    <cfRule type="cellIs" dxfId="1" priority="1504" stopIfTrue="1" operator="between">
      <formula>"Check"</formula>
      <formula>"Check"</formula>
    </cfRule>
  </conditionalFormatting>
  <conditionalFormatting sqref="R1517">
    <cfRule type="cellIs" dxfId="1" priority="1505" stopIfTrue="1" operator="between">
      <formula>"Check"</formula>
      <formula>"Check"</formula>
    </cfRule>
  </conditionalFormatting>
  <conditionalFormatting sqref="R1518">
    <cfRule type="cellIs" dxfId="1" priority="1506" stopIfTrue="1" operator="between">
      <formula>"Check"</formula>
      <formula>"Check"</formula>
    </cfRule>
  </conditionalFormatting>
  <conditionalFormatting sqref="R1519">
    <cfRule type="cellIs" dxfId="1" priority="1507" stopIfTrue="1" operator="between">
      <formula>"Check"</formula>
      <formula>"Check"</formula>
    </cfRule>
  </conditionalFormatting>
  <conditionalFormatting sqref="R1520">
    <cfRule type="cellIs" dxfId="1" priority="1508" stopIfTrue="1" operator="between">
      <formula>"Check"</formula>
      <formula>"Check"</formula>
    </cfRule>
  </conditionalFormatting>
  <conditionalFormatting sqref="R1521">
    <cfRule type="cellIs" dxfId="1" priority="1509" stopIfTrue="1" operator="between">
      <formula>"Check"</formula>
      <formula>"Check"</formula>
    </cfRule>
  </conditionalFormatting>
  <conditionalFormatting sqref="R1522">
    <cfRule type="cellIs" dxfId="1" priority="1510" stopIfTrue="1" operator="between">
      <formula>"Check"</formula>
      <formula>"Check"</formula>
    </cfRule>
  </conditionalFormatting>
  <conditionalFormatting sqref="R1523">
    <cfRule type="cellIs" dxfId="1" priority="1511" stopIfTrue="1" operator="between">
      <formula>"Check"</formula>
      <formula>"Check"</formula>
    </cfRule>
  </conditionalFormatting>
  <conditionalFormatting sqref="R1524">
    <cfRule type="cellIs" dxfId="1" priority="1512" stopIfTrue="1" operator="between">
      <formula>"Check"</formula>
      <formula>"Check"</formula>
    </cfRule>
  </conditionalFormatting>
  <conditionalFormatting sqref="R1525">
    <cfRule type="cellIs" dxfId="1" priority="1513" stopIfTrue="1" operator="between">
      <formula>"Check"</formula>
      <formula>"Check"</formula>
    </cfRule>
  </conditionalFormatting>
  <conditionalFormatting sqref="R1526">
    <cfRule type="cellIs" dxfId="1" priority="1514" stopIfTrue="1" operator="between">
      <formula>"Check"</formula>
      <formula>"Check"</formula>
    </cfRule>
  </conditionalFormatting>
  <conditionalFormatting sqref="R1527">
    <cfRule type="cellIs" dxfId="1" priority="1515" stopIfTrue="1" operator="between">
      <formula>"Check"</formula>
      <formula>"Check"</formula>
    </cfRule>
  </conditionalFormatting>
  <conditionalFormatting sqref="R1528">
    <cfRule type="cellIs" dxfId="1" priority="1516" stopIfTrue="1" operator="between">
      <formula>"Check"</formula>
      <formula>"Check"</formula>
    </cfRule>
  </conditionalFormatting>
  <conditionalFormatting sqref="R1529">
    <cfRule type="cellIs" dxfId="1" priority="1517" stopIfTrue="1" operator="between">
      <formula>"Check"</formula>
      <formula>"Check"</formula>
    </cfRule>
  </conditionalFormatting>
  <conditionalFormatting sqref="R1530">
    <cfRule type="cellIs" dxfId="1" priority="1518" stopIfTrue="1" operator="between">
      <formula>"Check"</formula>
      <formula>"Check"</formula>
    </cfRule>
  </conditionalFormatting>
  <conditionalFormatting sqref="R1531">
    <cfRule type="cellIs" dxfId="1" priority="1519" stopIfTrue="1" operator="between">
      <formula>"Check"</formula>
      <formula>"Check"</formula>
    </cfRule>
  </conditionalFormatting>
  <conditionalFormatting sqref="R1532">
    <cfRule type="cellIs" dxfId="1" priority="1520" stopIfTrue="1" operator="between">
      <formula>"Check"</formula>
      <formula>"Check"</formula>
    </cfRule>
  </conditionalFormatting>
  <conditionalFormatting sqref="R1533">
    <cfRule type="cellIs" dxfId="1" priority="1521" stopIfTrue="1" operator="between">
      <formula>"Check"</formula>
      <formula>"Check"</formula>
    </cfRule>
  </conditionalFormatting>
  <conditionalFormatting sqref="R1534">
    <cfRule type="cellIs" dxfId="1" priority="1522" stopIfTrue="1" operator="between">
      <formula>"Check"</formula>
      <formula>"Check"</formula>
    </cfRule>
  </conditionalFormatting>
  <conditionalFormatting sqref="R1535">
    <cfRule type="cellIs" dxfId="1" priority="1523" stopIfTrue="1" operator="between">
      <formula>"Check"</formula>
      <formula>"Check"</formula>
    </cfRule>
  </conditionalFormatting>
  <conditionalFormatting sqref="R1536">
    <cfRule type="cellIs" dxfId="1" priority="1524" stopIfTrue="1" operator="between">
      <formula>"Check"</formula>
      <formula>"Check"</formula>
    </cfRule>
  </conditionalFormatting>
  <conditionalFormatting sqref="R1537">
    <cfRule type="cellIs" dxfId="1" priority="1525" stopIfTrue="1" operator="between">
      <formula>"Check"</formula>
      <formula>"Check"</formula>
    </cfRule>
  </conditionalFormatting>
  <conditionalFormatting sqref="R1538">
    <cfRule type="cellIs" dxfId="1" priority="1526" stopIfTrue="1" operator="between">
      <formula>"Check"</formula>
      <formula>"Check"</formula>
    </cfRule>
  </conditionalFormatting>
  <conditionalFormatting sqref="R1539">
    <cfRule type="cellIs" dxfId="1" priority="1527" stopIfTrue="1" operator="between">
      <formula>"Check"</formula>
      <formula>"Check"</formula>
    </cfRule>
  </conditionalFormatting>
  <conditionalFormatting sqref="R1540">
    <cfRule type="cellIs" dxfId="1" priority="1528" stopIfTrue="1" operator="between">
      <formula>"Check"</formula>
      <formula>"Check"</formula>
    </cfRule>
  </conditionalFormatting>
  <conditionalFormatting sqref="R1541">
    <cfRule type="cellIs" dxfId="1" priority="1529" stopIfTrue="1" operator="between">
      <formula>"Check"</formula>
      <formula>"Check"</formula>
    </cfRule>
  </conditionalFormatting>
  <conditionalFormatting sqref="R1542">
    <cfRule type="cellIs" dxfId="1" priority="1530" stopIfTrue="1" operator="between">
      <formula>"Check"</formula>
      <formula>"Check"</formula>
    </cfRule>
  </conditionalFormatting>
  <conditionalFormatting sqref="R1543">
    <cfRule type="cellIs" dxfId="1" priority="1531" stopIfTrue="1" operator="between">
      <formula>"Check"</formula>
      <formula>"Check"</formula>
    </cfRule>
  </conditionalFormatting>
  <conditionalFormatting sqref="R1544">
    <cfRule type="cellIs" dxfId="1" priority="1532" stopIfTrue="1" operator="between">
      <formula>"Check"</formula>
      <formula>"Check"</formula>
    </cfRule>
  </conditionalFormatting>
  <conditionalFormatting sqref="R1545">
    <cfRule type="cellIs" dxfId="1" priority="1533" stopIfTrue="1" operator="between">
      <formula>"Check"</formula>
      <formula>"Check"</formula>
    </cfRule>
  </conditionalFormatting>
  <conditionalFormatting sqref="R1546">
    <cfRule type="cellIs" dxfId="1" priority="1534" stopIfTrue="1" operator="between">
      <formula>"Check"</formula>
      <formula>"Check"</formula>
    </cfRule>
  </conditionalFormatting>
  <conditionalFormatting sqref="R1547">
    <cfRule type="cellIs" dxfId="1" priority="1535" stopIfTrue="1" operator="between">
      <formula>"Check"</formula>
      <formula>"Check"</formula>
    </cfRule>
  </conditionalFormatting>
  <conditionalFormatting sqref="R1548">
    <cfRule type="cellIs" dxfId="1" priority="1536" stopIfTrue="1" operator="between">
      <formula>"Check"</formula>
      <formula>"Check"</formula>
    </cfRule>
  </conditionalFormatting>
  <conditionalFormatting sqref="R1549">
    <cfRule type="cellIs" dxfId="1" priority="1537" stopIfTrue="1" operator="between">
      <formula>"Check"</formula>
      <formula>"Check"</formula>
    </cfRule>
  </conditionalFormatting>
  <conditionalFormatting sqref="R1550">
    <cfRule type="cellIs" dxfId="1" priority="1538" stopIfTrue="1" operator="between">
      <formula>"Check"</formula>
      <formula>"Check"</formula>
    </cfRule>
  </conditionalFormatting>
  <conditionalFormatting sqref="R1551">
    <cfRule type="cellIs" dxfId="1" priority="1539" stopIfTrue="1" operator="between">
      <formula>"Check"</formula>
      <formula>"Check"</formula>
    </cfRule>
  </conditionalFormatting>
  <conditionalFormatting sqref="R1552">
    <cfRule type="cellIs" dxfId="1" priority="1540" stopIfTrue="1" operator="between">
      <formula>"Check"</formula>
      <formula>"Check"</formula>
    </cfRule>
  </conditionalFormatting>
  <conditionalFormatting sqref="R1553">
    <cfRule type="cellIs" dxfId="1" priority="1541" stopIfTrue="1" operator="between">
      <formula>"Check"</formula>
      <formula>"Check"</formula>
    </cfRule>
  </conditionalFormatting>
  <conditionalFormatting sqref="R1554">
    <cfRule type="cellIs" dxfId="1" priority="1542" stopIfTrue="1" operator="between">
      <formula>"Check"</formula>
      <formula>"Check"</formula>
    </cfRule>
  </conditionalFormatting>
  <conditionalFormatting sqref="R1555">
    <cfRule type="cellIs" dxfId="1" priority="1543" stopIfTrue="1" operator="between">
      <formula>"Check"</formula>
      <formula>"Check"</formula>
    </cfRule>
  </conditionalFormatting>
  <conditionalFormatting sqref="R1556">
    <cfRule type="cellIs" dxfId="1" priority="1544" stopIfTrue="1" operator="between">
      <formula>"Check"</formula>
      <formula>"Check"</formula>
    </cfRule>
  </conditionalFormatting>
  <conditionalFormatting sqref="R1557">
    <cfRule type="cellIs" dxfId="1" priority="1545" stopIfTrue="1" operator="between">
      <formula>"Check"</formula>
      <formula>"Check"</formula>
    </cfRule>
  </conditionalFormatting>
  <conditionalFormatting sqref="R1558">
    <cfRule type="cellIs" dxfId="1" priority="1546" stopIfTrue="1" operator="between">
      <formula>"Check"</formula>
      <formula>"Check"</formula>
    </cfRule>
  </conditionalFormatting>
  <conditionalFormatting sqref="R1559">
    <cfRule type="cellIs" dxfId="1" priority="1547" stopIfTrue="1" operator="between">
      <formula>"Check"</formula>
      <formula>"Check"</formula>
    </cfRule>
  </conditionalFormatting>
  <conditionalFormatting sqref="R1560">
    <cfRule type="cellIs" dxfId="1" priority="1548" stopIfTrue="1" operator="between">
      <formula>"Check"</formula>
      <formula>"Check"</formula>
    </cfRule>
  </conditionalFormatting>
  <conditionalFormatting sqref="R1561">
    <cfRule type="cellIs" dxfId="1" priority="1549" stopIfTrue="1" operator="between">
      <formula>"Check"</formula>
      <formula>"Check"</formula>
    </cfRule>
  </conditionalFormatting>
  <conditionalFormatting sqref="R1562">
    <cfRule type="cellIs" dxfId="1" priority="1550" stopIfTrue="1" operator="between">
      <formula>"Check"</formula>
      <formula>"Check"</formula>
    </cfRule>
  </conditionalFormatting>
  <conditionalFormatting sqref="R1563">
    <cfRule type="cellIs" dxfId="1" priority="1551" stopIfTrue="1" operator="between">
      <formula>"Check"</formula>
      <formula>"Check"</formula>
    </cfRule>
  </conditionalFormatting>
  <conditionalFormatting sqref="R1564">
    <cfRule type="cellIs" dxfId="1" priority="1552" stopIfTrue="1" operator="between">
      <formula>"Check"</formula>
      <formula>"Check"</formula>
    </cfRule>
  </conditionalFormatting>
  <conditionalFormatting sqref="R1565">
    <cfRule type="cellIs" dxfId="1" priority="1553" stopIfTrue="1" operator="between">
      <formula>"Check"</formula>
      <formula>"Check"</formula>
    </cfRule>
  </conditionalFormatting>
  <conditionalFormatting sqref="R1566">
    <cfRule type="cellIs" dxfId="1" priority="1554" stopIfTrue="1" operator="between">
      <formula>"Check"</formula>
      <formula>"Check"</formula>
    </cfRule>
  </conditionalFormatting>
  <conditionalFormatting sqref="R1567">
    <cfRule type="cellIs" dxfId="1" priority="1555" stopIfTrue="1" operator="between">
      <formula>"Check"</formula>
      <formula>"Check"</formula>
    </cfRule>
  </conditionalFormatting>
  <conditionalFormatting sqref="R1568">
    <cfRule type="cellIs" dxfId="1" priority="1556" stopIfTrue="1" operator="between">
      <formula>"Check"</formula>
      <formula>"Check"</formula>
    </cfRule>
  </conditionalFormatting>
  <conditionalFormatting sqref="R1569">
    <cfRule type="cellIs" dxfId="1" priority="1557" stopIfTrue="1" operator="between">
      <formula>"Check"</formula>
      <formula>"Check"</formula>
    </cfRule>
  </conditionalFormatting>
  <conditionalFormatting sqref="R1570">
    <cfRule type="cellIs" dxfId="1" priority="1558" stopIfTrue="1" operator="between">
      <formula>"Check"</formula>
      <formula>"Check"</formula>
    </cfRule>
  </conditionalFormatting>
  <conditionalFormatting sqref="R1571">
    <cfRule type="cellIs" dxfId="1" priority="1559" stopIfTrue="1" operator="between">
      <formula>"Check"</formula>
      <formula>"Check"</formula>
    </cfRule>
  </conditionalFormatting>
  <conditionalFormatting sqref="R1572">
    <cfRule type="cellIs" dxfId="1" priority="1560" stopIfTrue="1" operator="between">
      <formula>"Check"</formula>
      <formula>"Check"</formula>
    </cfRule>
  </conditionalFormatting>
  <conditionalFormatting sqref="R1573">
    <cfRule type="cellIs" dxfId="1" priority="1561" stopIfTrue="1" operator="between">
      <formula>"Check"</formula>
      <formula>"Check"</formula>
    </cfRule>
  </conditionalFormatting>
  <conditionalFormatting sqref="R1574">
    <cfRule type="cellIs" dxfId="1" priority="1562" stopIfTrue="1" operator="between">
      <formula>"Check"</formula>
      <formula>"Check"</formula>
    </cfRule>
  </conditionalFormatting>
  <conditionalFormatting sqref="R1575">
    <cfRule type="cellIs" dxfId="1" priority="1563" stopIfTrue="1" operator="between">
      <formula>"Check"</formula>
      <formula>"Check"</formula>
    </cfRule>
  </conditionalFormatting>
  <conditionalFormatting sqref="R1576">
    <cfRule type="cellIs" dxfId="1" priority="1564" stopIfTrue="1" operator="between">
      <formula>"Check"</formula>
      <formula>"Check"</formula>
    </cfRule>
  </conditionalFormatting>
  <conditionalFormatting sqref="R1577">
    <cfRule type="cellIs" dxfId="1" priority="1565" stopIfTrue="1" operator="between">
      <formula>"Check"</formula>
      <formula>"Check"</formula>
    </cfRule>
  </conditionalFormatting>
  <conditionalFormatting sqref="R1578">
    <cfRule type="cellIs" dxfId="1" priority="1566" stopIfTrue="1" operator="between">
      <formula>"Check"</formula>
      <formula>"Check"</formula>
    </cfRule>
  </conditionalFormatting>
  <conditionalFormatting sqref="R1579">
    <cfRule type="cellIs" dxfId="1" priority="1567" stopIfTrue="1" operator="between">
      <formula>"Check"</formula>
      <formula>"Check"</formula>
    </cfRule>
  </conditionalFormatting>
  <conditionalFormatting sqref="R1580">
    <cfRule type="cellIs" dxfId="1" priority="1568" stopIfTrue="1" operator="between">
      <formula>"Check"</formula>
      <formula>"Check"</formula>
    </cfRule>
  </conditionalFormatting>
  <conditionalFormatting sqref="R1581">
    <cfRule type="cellIs" dxfId="1" priority="1569" stopIfTrue="1" operator="between">
      <formula>"Check"</formula>
      <formula>"Check"</formula>
    </cfRule>
  </conditionalFormatting>
  <conditionalFormatting sqref="R1582">
    <cfRule type="cellIs" dxfId="1" priority="1570" stopIfTrue="1" operator="between">
      <formula>"Check"</formula>
      <formula>"Check"</formula>
    </cfRule>
  </conditionalFormatting>
  <conditionalFormatting sqref="R1583">
    <cfRule type="cellIs" dxfId="1" priority="1571" stopIfTrue="1" operator="between">
      <formula>"Check"</formula>
      <formula>"Check"</formula>
    </cfRule>
  </conditionalFormatting>
  <conditionalFormatting sqref="R1584">
    <cfRule type="cellIs" dxfId="1" priority="1572" stopIfTrue="1" operator="between">
      <formula>"Check"</formula>
      <formula>"Check"</formula>
    </cfRule>
  </conditionalFormatting>
  <conditionalFormatting sqref="R1585">
    <cfRule type="cellIs" dxfId="1" priority="1573" stopIfTrue="1" operator="between">
      <formula>"Check"</formula>
      <formula>"Check"</formula>
    </cfRule>
  </conditionalFormatting>
  <conditionalFormatting sqref="R1586">
    <cfRule type="cellIs" dxfId="1" priority="1574" stopIfTrue="1" operator="between">
      <formula>"Check"</formula>
      <formula>"Check"</formula>
    </cfRule>
  </conditionalFormatting>
  <conditionalFormatting sqref="R1587">
    <cfRule type="cellIs" dxfId="1" priority="1575" stopIfTrue="1" operator="between">
      <formula>"Check"</formula>
      <formula>"Check"</formula>
    </cfRule>
  </conditionalFormatting>
  <conditionalFormatting sqref="R1588">
    <cfRule type="cellIs" dxfId="1" priority="1576" stopIfTrue="1" operator="between">
      <formula>"Check"</formula>
      <formula>"Check"</formula>
    </cfRule>
  </conditionalFormatting>
  <conditionalFormatting sqref="R1589">
    <cfRule type="cellIs" dxfId="1" priority="1577" stopIfTrue="1" operator="between">
      <formula>"Check"</formula>
      <formula>"Check"</formula>
    </cfRule>
  </conditionalFormatting>
  <conditionalFormatting sqref="R1590">
    <cfRule type="cellIs" dxfId="1" priority="1578" stopIfTrue="1" operator="between">
      <formula>"Check"</formula>
      <formula>"Check"</formula>
    </cfRule>
  </conditionalFormatting>
  <conditionalFormatting sqref="R1591">
    <cfRule type="cellIs" dxfId="1" priority="1579" stopIfTrue="1" operator="between">
      <formula>"Check"</formula>
      <formula>"Check"</formula>
    </cfRule>
  </conditionalFormatting>
  <conditionalFormatting sqref="R1592">
    <cfRule type="cellIs" dxfId="1" priority="1580" stopIfTrue="1" operator="between">
      <formula>"Check"</formula>
      <formula>"Check"</formula>
    </cfRule>
  </conditionalFormatting>
  <conditionalFormatting sqref="R1593">
    <cfRule type="cellIs" dxfId="1" priority="1581" stopIfTrue="1" operator="between">
      <formula>"Check"</formula>
      <formula>"Check"</formula>
    </cfRule>
  </conditionalFormatting>
  <conditionalFormatting sqref="R1594">
    <cfRule type="cellIs" dxfId="1" priority="1582" stopIfTrue="1" operator="between">
      <formula>"Check"</formula>
      <formula>"Check"</formula>
    </cfRule>
  </conditionalFormatting>
  <conditionalFormatting sqref="R1595">
    <cfRule type="cellIs" dxfId="1" priority="1583" stopIfTrue="1" operator="between">
      <formula>"Check"</formula>
      <formula>"Check"</formula>
    </cfRule>
  </conditionalFormatting>
  <conditionalFormatting sqref="R1596">
    <cfRule type="cellIs" dxfId="1" priority="1584" stopIfTrue="1" operator="between">
      <formula>"Check"</formula>
      <formula>"Check"</formula>
    </cfRule>
  </conditionalFormatting>
  <conditionalFormatting sqref="R1597">
    <cfRule type="cellIs" dxfId="1" priority="1585" stopIfTrue="1" operator="between">
      <formula>"Check"</formula>
      <formula>"Check"</formula>
    </cfRule>
  </conditionalFormatting>
  <conditionalFormatting sqref="R1598">
    <cfRule type="cellIs" dxfId="1" priority="1586" stopIfTrue="1" operator="between">
      <formula>"Check"</formula>
      <formula>"Check"</formula>
    </cfRule>
  </conditionalFormatting>
  <conditionalFormatting sqref="R1599">
    <cfRule type="cellIs" dxfId="1" priority="1587" stopIfTrue="1" operator="between">
      <formula>"Check"</formula>
      <formula>"Check"</formula>
    </cfRule>
  </conditionalFormatting>
  <conditionalFormatting sqref="R1600">
    <cfRule type="cellIs" dxfId="1" priority="1588" stopIfTrue="1" operator="between">
      <formula>"Check"</formula>
      <formula>"Check"</formula>
    </cfRule>
  </conditionalFormatting>
  <conditionalFormatting sqref="R1601">
    <cfRule type="cellIs" dxfId="1" priority="1589" stopIfTrue="1" operator="between">
      <formula>"Check"</formula>
      <formula>"Check"</formula>
    </cfRule>
  </conditionalFormatting>
  <conditionalFormatting sqref="R1602">
    <cfRule type="cellIs" dxfId="1" priority="1590" stopIfTrue="1" operator="between">
      <formula>"Check"</formula>
      <formula>"Check"</formula>
    </cfRule>
  </conditionalFormatting>
  <conditionalFormatting sqref="R1603">
    <cfRule type="cellIs" dxfId="1" priority="1591" stopIfTrue="1" operator="between">
      <formula>"Check"</formula>
      <formula>"Check"</formula>
    </cfRule>
  </conditionalFormatting>
  <conditionalFormatting sqref="R1604">
    <cfRule type="cellIs" dxfId="1" priority="1592" stopIfTrue="1" operator="between">
      <formula>"Check"</formula>
      <formula>"Check"</formula>
    </cfRule>
  </conditionalFormatting>
  <conditionalFormatting sqref="R1605">
    <cfRule type="cellIs" dxfId="1" priority="1593" stopIfTrue="1" operator="between">
      <formula>"Check"</formula>
      <formula>"Check"</formula>
    </cfRule>
  </conditionalFormatting>
  <conditionalFormatting sqref="R1606">
    <cfRule type="cellIs" dxfId="1" priority="1594" stopIfTrue="1" operator="between">
      <formula>"Check"</formula>
      <formula>"Check"</formula>
    </cfRule>
  </conditionalFormatting>
  <conditionalFormatting sqref="R1607">
    <cfRule type="cellIs" dxfId="1" priority="1595" stopIfTrue="1" operator="between">
      <formula>"Check"</formula>
      <formula>"Check"</formula>
    </cfRule>
  </conditionalFormatting>
  <conditionalFormatting sqref="R1608">
    <cfRule type="cellIs" dxfId="1" priority="1596" stopIfTrue="1" operator="between">
      <formula>"Check"</formula>
      <formula>"Check"</formula>
    </cfRule>
  </conditionalFormatting>
  <conditionalFormatting sqref="R1609">
    <cfRule type="cellIs" dxfId="1" priority="1597" stopIfTrue="1" operator="between">
      <formula>"Check"</formula>
      <formula>"Check"</formula>
    </cfRule>
  </conditionalFormatting>
  <conditionalFormatting sqref="R1610">
    <cfRule type="cellIs" dxfId="1" priority="1598" stopIfTrue="1" operator="between">
      <formula>"Check"</formula>
      <formula>"Check"</formula>
    </cfRule>
  </conditionalFormatting>
  <conditionalFormatting sqref="R1611">
    <cfRule type="cellIs" dxfId="1" priority="1599" stopIfTrue="1" operator="between">
      <formula>"Check"</formula>
      <formula>"Check"</formula>
    </cfRule>
  </conditionalFormatting>
  <conditionalFormatting sqref="R1612">
    <cfRule type="cellIs" dxfId="1" priority="1600" stopIfTrue="1" operator="between">
      <formula>"Check"</formula>
      <formula>"Check"</formula>
    </cfRule>
  </conditionalFormatting>
  <conditionalFormatting sqref="R1613">
    <cfRule type="cellIs" dxfId="1" priority="1601" stopIfTrue="1" operator="between">
      <formula>"Check"</formula>
      <formula>"Check"</formula>
    </cfRule>
  </conditionalFormatting>
  <conditionalFormatting sqref="R1614">
    <cfRule type="cellIs" dxfId="1" priority="1602" stopIfTrue="1" operator="between">
      <formula>"Check"</formula>
      <formula>"Check"</formula>
    </cfRule>
  </conditionalFormatting>
  <conditionalFormatting sqref="R1615">
    <cfRule type="cellIs" dxfId="1" priority="1603" stopIfTrue="1" operator="between">
      <formula>"Check"</formula>
      <formula>"Check"</formula>
    </cfRule>
  </conditionalFormatting>
  <conditionalFormatting sqref="R1616">
    <cfRule type="cellIs" dxfId="1" priority="1604" stopIfTrue="1" operator="between">
      <formula>"Check"</formula>
      <formula>"Check"</formula>
    </cfRule>
  </conditionalFormatting>
  <conditionalFormatting sqref="R1617">
    <cfRule type="cellIs" dxfId="1" priority="1605" stopIfTrue="1" operator="between">
      <formula>"Check"</formula>
      <formula>"Check"</formula>
    </cfRule>
  </conditionalFormatting>
  <conditionalFormatting sqref="R1618">
    <cfRule type="cellIs" dxfId="1" priority="1606" stopIfTrue="1" operator="between">
      <formula>"Check"</formula>
      <formula>"Check"</formula>
    </cfRule>
  </conditionalFormatting>
  <conditionalFormatting sqref="R1619">
    <cfRule type="cellIs" dxfId="1" priority="1607" stopIfTrue="1" operator="between">
      <formula>"Check"</formula>
      <formula>"Check"</formula>
    </cfRule>
  </conditionalFormatting>
  <conditionalFormatting sqref="R1620">
    <cfRule type="cellIs" dxfId="1" priority="1608" stopIfTrue="1" operator="between">
      <formula>"Check"</formula>
      <formula>"Check"</formula>
    </cfRule>
  </conditionalFormatting>
  <conditionalFormatting sqref="R1621">
    <cfRule type="cellIs" dxfId="1" priority="1609" stopIfTrue="1" operator="between">
      <formula>"Check"</formula>
      <formula>"Check"</formula>
    </cfRule>
  </conditionalFormatting>
  <conditionalFormatting sqref="R1622">
    <cfRule type="cellIs" dxfId="1" priority="1610" stopIfTrue="1" operator="between">
      <formula>"Check"</formula>
      <formula>"Check"</formula>
    </cfRule>
  </conditionalFormatting>
  <conditionalFormatting sqref="R1623">
    <cfRule type="cellIs" dxfId="1" priority="1611" stopIfTrue="1" operator="between">
      <formula>"Check"</formula>
      <formula>"Check"</formula>
    </cfRule>
  </conditionalFormatting>
  <conditionalFormatting sqref="R1624">
    <cfRule type="cellIs" dxfId="1" priority="1612" stopIfTrue="1" operator="between">
      <formula>"Check"</formula>
      <formula>"Check"</formula>
    </cfRule>
  </conditionalFormatting>
  <conditionalFormatting sqref="R1625">
    <cfRule type="cellIs" dxfId="1" priority="1613" stopIfTrue="1" operator="between">
      <formula>"Check"</formula>
      <formula>"Check"</formula>
    </cfRule>
  </conditionalFormatting>
  <conditionalFormatting sqref="R1626">
    <cfRule type="cellIs" dxfId="1" priority="1614" stopIfTrue="1" operator="between">
      <formula>"Check"</formula>
      <formula>"Check"</formula>
    </cfRule>
  </conditionalFormatting>
  <conditionalFormatting sqref="R1627">
    <cfRule type="cellIs" dxfId="1" priority="1615" stopIfTrue="1" operator="between">
      <formula>"Check"</formula>
      <formula>"Check"</formula>
    </cfRule>
  </conditionalFormatting>
  <conditionalFormatting sqref="R1628">
    <cfRule type="cellIs" dxfId="1" priority="1616" stopIfTrue="1" operator="between">
      <formula>"Check"</formula>
      <formula>"Check"</formula>
    </cfRule>
  </conditionalFormatting>
  <conditionalFormatting sqref="R1629">
    <cfRule type="cellIs" dxfId="1" priority="1617" stopIfTrue="1" operator="between">
      <formula>"Check"</formula>
      <formula>"Check"</formula>
    </cfRule>
  </conditionalFormatting>
  <conditionalFormatting sqref="R1630">
    <cfRule type="cellIs" dxfId="1" priority="1618" stopIfTrue="1" operator="between">
      <formula>"Check"</formula>
      <formula>"Check"</formula>
    </cfRule>
  </conditionalFormatting>
  <conditionalFormatting sqref="R1631">
    <cfRule type="cellIs" dxfId="1" priority="1619" stopIfTrue="1" operator="between">
      <formula>"Check"</formula>
      <formula>"Check"</formula>
    </cfRule>
  </conditionalFormatting>
  <conditionalFormatting sqref="R1632">
    <cfRule type="cellIs" dxfId="1" priority="1620" stopIfTrue="1" operator="between">
      <formula>"Check"</formula>
      <formula>"Check"</formula>
    </cfRule>
  </conditionalFormatting>
  <conditionalFormatting sqref="R1633">
    <cfRule type="cellIs" dxfId="1" priority="1621" stopIfTrue="1" operator="between">
      <formula>"Check"</formula>
      <formula>"Check"</formula>
    </cfRule>
  </conditionalFormatting>
  <conditionalFormatting sqref="R1634">
    <cfRule type="cellIs" dxfId="1" priority="1622" stopIfTrue="1" operator="between">
      <formula>"Check"</formula>
      <formula>"Check"</formula>
    </cfRule>
  </conditionalFormatting>
  <conditionalFormatting sqref="R1635">
    <cfRule type="cellIs" dxfId="1" priority="1623" stopIfTrue="1" operator="between">
      <formula>"Check"</formula>
      <formula>"Check"</formula>
    </cfRule>
  </conditionalFormatting>
  <conditionalFormatting sqref="R1636">
    <cfRule type="cellIs" dxfId="1" priority="1624" stopIfTrue="1" operator="between">
      <formula>"Check"</formula>
      <formula>"Check"</formula>
    </cfRule>
  </conditionalFormatting>
  <conditionalFormatting sqref="R1637">
    <cfRule type="cellIs" dxfId="1" priority="1625" stopIfTrue="1" operator="between">
      <formula>"Check"</formula>
      <formula>"Check"</formula>
    </cfRule>
  </conditionalFormatting>
  <conditionalFormatting sqref="R1638">
    <cfRule type="cellIs" dxfId="1" priority="1626" stopIfTrue="1" operator="between">
      <formula>"Check"</formula>
      <formula>"Check"</formula>
    </cfRule>
  </conditionalFormatting>
  <conditionalFormatting sqref="R1639">
    <cfRule type="cellIs" dxfId="1" priority="1627" stopIfTrue="1" operator="between">
      <formula>"Check"</formula>
      <formula>"Check"</formula>
    </cfRule>
  </conditionalFormatting>
  <conditionalFormatting sqref="R1640">
    <cfRule type="cellIs" dxfId="1" priority="1628" stopIfTrue="1" operator="between">
      <formula>"Check"</formula>
      <formula>"Check"</formula>
    </cfRule>
  </conditionalFormatting>
  <conditionalFormatting sqref="R1641">
    <cfRule type="cellIs" dxfId="1" priority="1629" stopIfTrue="1" operator="between">
      <formula>"Check"</formula>
      <formula>"Check"</formula>
    </cfRule>
  </conditionalFormatting>
  <conditionalFormatting sqref="R1642">
    <cfRule type="cellIs" dxfId="1" priority="1630" stopIfTrue="1" operator="between">
      <formula>"Check"</formula>
      <formula>"Check"</formula>
    </cfRule>
  </conditionalFormatting>
  <conditionalFormatting sqref="R1643">
    <cfRule type="cellIs" dxfId="1" priority="1631" stopIfTrue="1" operator="between">
      <formula>"Check"</formula>
      <formula>"Check"</formula>
    </cfRule>
  </conditionalFormatting>
  <conditionalFormatting sqref="R1644">
    <cfRule type="cellIs" dxfId="1" priority="1632" stopIfTrue="1" operator="between">
      <formula>"Check"</formula>
      <formula>"Check"</formula>
    </cfRule>
  </conditionalFormatting>
  <conditionalFormatting sqref="R1645">
    <cfRule type="cellIs" dxfId="1" priority="1633" stopIfTrue="1" operator="between">
      <formula>"Check"</formula>
      <formula>"Check"</formula>
    </cfRule>
  </conditionalFormatting>
  <conditionalFormatting sqref="R1646">
    <cfRule type="cellIs" dxfId="1" priority="1634" stopIfTrue="1" operator="between">
      <formula>"Check"</formula>
      <formula>"Check"</formula>
    </cfRule>
  </conditionalFormatting>
  <conditionalFormatting sqref="R1647">
    <cfRule type="cellIs" dxfId="1" priority="1635" stopIfTrue="1" operator="between">
      <formula>"Check"</formula>
      <formula>"Check"</formula>
    </cfRule>
  </conditionalFormatting>
  <conditionalFormatting sqref="R1648">
    <cfRule type="cellIs" dxfId="1" priority="1636" stopIfTrue="1" operator="between">
      <formula>"Check"</formula>
      <formula>"Check"</formula>
    </cfRule>
  </conditionalFormatting>
  <conditionalFormatting sqref="R1649">
    <cfRule type="cellIs" dxfId="1" priority="1637" stopIfTrue="1" operator="between">
      <formula>"Check"</formula>
      <formula>"Check"</formula>
    </cfRule>
  </conditionalFormatting>
  <conditionalFormatting sqref="R1650">
    <cfRule type="cellIs" dxfId="1" priority="1638" stopIfTrue="1" operator="between">
      <formula>"Check"</formula>
      <formula>"Check"</formula>
    </cfRule>
  </conditionalFormatting>
  <conditionalFormatting sqref="R1651">
    <cfRule type="cellIs" dxfId="1" priority="1639" stopIfTrue="1" operator="between">
      <formula>"Check"</formula>
      <formula>"Check"</formula>
    </cfRule>
  </conditionalFormatting>
  <conditionalFormatting sqref="R1652">
    <cfRule type="cellIs" dxfId="1" priority="1640" stopIfTrue="1" operator="between">
      <formula>"Check"</formula>
      <formula>"Check"</formula>
    </cfRule>
  </conditionalFormatting>
  <conditionalFormatting sqref="R1653">
    <cfRule type="cellIs" dxfId="1" priority="1641" stopIfTrue="1" operator="between">
      <formula>"Check"</formula>
      <formula>"Check"</formula>
    </cfRule>
  </conditionalFormatting>
  <conditionalFormatting sqref="R1654">
    <cfRule type="cellIs" dxfId="1" priority="1642" stopIfTrue="1" operator="between">
      <formula>"Check"</formula>
      <formula>"Check"</formula>
    </cfRule>
  </conditionalFormatting>
  <conditionalFormatting sqref="R1655">
    <cfRule type="cellIs" dxfId="1" priority="1643" stopIfTrue="1" operator="between">
      <formula>"Check"</formula>
      <formula>"Check"</formula>
    </cfRule>
  </conditionalFormatting>
  <conditionalFormatting sqref="R1656">
    <cfRule type="cellIs" dxfId="1" priority="1644" stopIfTrue="1" operator="between">
      <formula>"Check"</formula>
      <formula>"Check"</formula>
    </cfRule>
  </conditionalFormatting>
  <conditionalFormatting sqref="R1657">
    <cfRule type="cellIs" dxfId="1" priority="1645" stopIfTrue="1" operator="between">
      <formula>"Check"</formula>
      <formula>"Check"</formula>
    </cfRule>
  </conditionalFormatting>
  <conditionalFormatting sqref="R1658">
    <cfRule type="cellIs" dxfId="1" priority="1646" stopIfTrue="1" operator="between">
      <formula>"Check"</formula>
      <formula>"Check"</formula>
    </cfRule>
  </conditionalFormatting>
  <conditionalFormatting sqref="R1659">
    <cfRule type="cellIs" dxfId="1" priority="1647" stopIfTrue="1" operator="between">
      <formula>"Check"</formula>
      <formula>"Check"</formula>
    </cfRule>
  </conditionalFormatting>
  <conditionalFormatting sqref="R1660">
    <cfRule type="cellIs" dxfId="1" priority="1648" stopIfTrue="1" operator="between">
      <formula>"Check"</formula>
      <formula>"Check"</formula>
    </cfRule>
  </conditionalFormatting>
  <conditionalFormatting sqref="R1661">
    <cfRule type="cellIs" dxfId="1" priority="1649" stopIfTrue="1" operator="between">
      <formula>"Check"</formula>
      <formula>"Check"</formula>
    </cfRule>
  </conditionalFormatting>
  <conditionalFormatting sqref="R1662">
    <cfRule type="cellIs" dxfId="1" priority="1650" stopIfTrue="1" operator="between">
      <formula>"Check"</formula>
      <formula>"Check"</formula>
    </cfRule>
  </conditionalFormatting>
  <conditionalFormatting sqref="R1663">
    <cfRule type="cellIs" dxfId="1" priority="1651" stopIfTrue="1" operator="between">
      <formula>"Check"</formula>
      <formula>"Check"</formula>
    </cfRule>
  </conditionalFormatting>
  <conditionalFormatting sqref="R1664">
    <cfRule type="cellIs" dxfId="1" priority="1652" stopIfTrue="1" operator="between">
      <formula>"Check"</formula>
      <formula>"Check"</formula>
    </cfRule>
  </conditionalFormatting>
  <conditionalFormatting sqref="R1665">
    <cfRule type="cellIs" dxfId="1" priority="1653" stopIfTrue="1" operator="between">
      <formula>"Check"</formula>
      <formula>"Check"</formula>
    </cfRule>
  </conditionalFormatting>
  <conditionalFormatting sqref="R1666">
    <cfRule type="cellIs" dxfId="1" priority="1654" stopIfTrue="1" operator="between">
      <formula>"Check"</formula>
      <formula>"Check"</formula>
    </cfRule>
  </conditionalFormatting>
  <conditionalFormatting sqref="R1667">
    <cfRule type="cellIs" dxfId="1" priority="1655" stopIfTrue="1" operator="between">
      <formula>"Check"</formula>
      <formula>"Check"</formula>
    </cfRule>
  </conditionalFormatting>
  <conditionalFormatting sqref="R1668">
    <cfRule type="cellIs" dxfId="1" priority="1656" stopIfTrue="1" operator="between">
      <formula>"Check"</formula>
      <formula>"Check"</formula>
    </cfRule>
  </conditionalFormatting>
  <conditionalFormatting sqref="R1669">
    <cfRule type="cellIs" dxfId="1" priority="1657" stopIfTrue="1" operator="between">
      <formula>"Check"</formula>
      <formula>"Check"</formula>
    </cfRule>
  </conditionalFormatting>
  <conditionalFormatting sqref="R1670">
    <cfRule type="cellIs" dxfId="1" priority="1658" stopIfTrue="1" operator="between">
      <formula>"Check"</formula>
      <formula>"Check"</formula>
    </cfRule>
  </conditionalFormatting>
  <conditionalFormatting sqref="R1671">
    <cfRule type="cellIs" dxfId="1" priority="1659" stopIfTrue="1" operator="between">
      <formula>"Check"</formula>
      <formula>"Check"</formula>
    </cfRule>
  </conditionalFormatting>
  <conditionalFormatting sqref="R1672">
    <cfRule type="cellIs" dxfId="1" priority="1660" stopIfTrue="1" operator="between">
      <formula>"Check"</formula>
      <formula>"Check"</formula>
    </cfRule>
  </conditionalFormatting>
  <conditionalFormatting sqref="R1673">
    <cfRule type="cellIs" dxfId="1" priority="1661" stopIfTrue="1" operator="between">
      <formula>"Check"</formula>
      <formula>"Check"</formula>
    </cfRule>
  </conditionalFormatting>
  <conditionalFormatting sqref="R1674">
    <cfRule type="cellIs" dxfId="1" priority="1662" stopIfTrue="1" operator="between">
      <formula>"Check"</formula>
      <formula>"Check"</formula>
    </cfRule>
  </conditionalFormatting>
  <conditionalFormatting sqref="R1675">
    <cfRule type="cellIs" dxfId="1" priority="1663" stopIfTrue="1" operator="between">
      <formula>"Check"</formula>
      <formula>"Check"</formula>
    </cfRule>
  </conditionalFormatting>
  <conditionalFormatting sqref="R1676">
    <cfRule type="cellIs" dxfId="1" priority="1664" stopIfTrue="1" operator="between">
      <formula>"Check"</formula>
      <formula>"Check"</formula>
    </cfRule>
  </conditionalFormatting>
  <conditionalFormatting sqref="R1677">
    <cfRule type="cellIs" dxfId="1" priority="1665" stopIfTrue="1" operator="between">
      <formula>"Check"</formula>
      <formula>"Check"</formula>
    </cfRule>
  </conditionalFormatting>
  <conditionalFormatting sqref="R1678">
    <cfRule type="cellIs" dxfId="1" priority="1666" stopIfTrue="1" operator="between">
      <formula>"Check"</formula>
      <formula>"Check"</formula>
    </cfRule>
  </conditionalFormatting>
  <conditionalFormatting sqref="R1679">
    <cfRule type="cellIs" dxfId="1" priority="1667" stopIfTrue="1" operator="between">
      <formula>"Check"</formula>
      <formula>"Check"</formula>
    </cfRule>
  </conditionalFormatting>
  <conditionalFormatting sqref="R1680">
    <cfRule type="cellIs" dxfId="1" priority="1668" stopIfTrue="1" operator="between">
      <formula>"Check"</formula>
      <formula>"Check"</formula>
    </cfRule>
  </conditionalFormatting>
  <conditionalFormatting sqref="R1681">
    <cfRule type="cellIs" dxfId="1" priority="1669" stopIfTrue="1" operator="between">
      <formula>"Check"</formula>
      <formula>"Check"</formula>
    </cfRule>
  </conditionalFormatting>
  <conditionalFormatting sqref="R1682">
    <cfRule type="cellIs" dxfId="1" priority="1670" stopIfTrue="1" operator="between">
      <formula>"Check"</formula>
      <formula>"Check"</formula>
    </cfRule>
  </conditionalFormatting>
  <conditionalFormatting sqref="R1683">
    <cfRule type="cellIs" dxfId="1" priority="1671" stopIfTrue="1" operator="between">
      <formula>"Check"</formula>
      <formula>"Check"</formula>
    </cfRule>
  </conditionalFormatting>
  <conditionalFormatting sqref="R1684">
    <cfRule type="cellIs" dxfId="1" priority="1672" stopIfTrue="1" operator="between">
      <formula>"Check"</formula>
      <formula>"Check"</formula>
    </cfRule>
  </conditionalFormatting>
  <conditionalFormatting sqref="R1685">
    <cfRule type="cellIs" dxfId="1" priority="1673" stopIfTrue="1" operator="between">
      <formula>"Check"</formula>
      <formula>"Check"</formula>
    </cfRule>
  </conditionalFormatting>
  <conditionalFormatting sqref="R1686">
    <cfRule type="cellIs" dxfId="1" priority="1674" stopIfTrue="1" operator="between">
      <formula>"Check"</formula>
      <formula>"Check"</formula>
    </cfRule>
  </conditionalFormatting>
  <conditionalFormatting sqref="R1687">
    <cfRule type="cellIs" dxfId="1" priority="1675" stopIfTrue="1" operator="between">
      <formula>"Check"</formula>
      <formula>"Check"</formula>
    </cfRule>
  </conditionalFormatting>
  <conditionalFormatting sqref="R1688">
    <cfRule type="cellIs" dxfId="1" priority="1676" stopIfTrue="1" operator="between">
      <formula>"Check"</formula>
      <formula>"Check"</formula>
    </cfRule>
  </conditionalFormatting>
  <conditionalFormatting sqref="R1689">
    <cfRule type="cellIs" dxfId="1" priority="1677" stopIfTrue="1" operator="between">
      <formula>"Check"</formula>
      <formula>"Check"</formula>
    </cfRule>
  </conditionalFormatting>
  <conditionalFormatting sqref="R1690">
    <cfRule type="cellIs" dxfId="1" priority="1678" stopIfTrue="1" operator="between">
      <formula>"Check"</formula>
      <formula>"Check"</formula>
    </cfRule>
  </conditionalFormatting>
  <conditionalFormatting sqref="R1691">
    <cfRule type="cellIs" dxfId="1" priority="1679" stopIfTrue="1" operator="between">
      <formula>"Check"</formula>
      <formula>"Check"</formula>
    </cfRule>
  </conditionalFormatting>
  <conditionalFormatting sqref="R1692">
    <cfRule type="cellIs" dxfId="1" priority="1680" stopIfTrue="1" operator="between">
      <formula>"Check"</formula>
      <formula>"Check"</formula>
    </cfRule>
  </conditionalFormatting>
  <conditionalFormatting sqref="R1693">
    <cfRule type="cellIs" dxfId="1" priority="1681" stopIfTrue="1" operator="between">
      <formula>"Check"</formula>
      <formula>"Check"</formula>
    </cfRule>
  </conditionalFormatting>
  <conditionalFormatting sqref="R1694">
    <cfRule type="cellIs" dxfId="1" priority="1682" stopIfTrue="1" operator="between">
      <formula>"Check"</formula>
      <formula>"Check"</formula>
    </cfRule>
  </conditionalFormatting>
  <conditionalFormatting sqref="R1695">
    <cfRule type="cellIs" dxfId="1" priority="1683" stopIfTrue="1" operator="between">
      <formula>"Check"</formula>
      <formula>"Check"</formula>
    </cfRule>
  </conditionalFormatting>
  <conditionalFormatting sqref="R1696">
    <cfRule type="cellIs" dxfId="1" priority="1684" stopIfTrue="1" operator="between">
      <formula>"Check"</formula>
      <formula>"Check"</formula>
    </cfRule>
  </conditionalFormatting>
  <conditionalFormatting sqref="R1697">
    <cfRule type="cellIs" dxfId="1" priority="1685" stopIfTrue="1" operator="between">
      <formula>"Check"</formula>
      <formula>"Check"</formula>
    </cfRule>
  </conditionalFormatting>
  <conditionalFormatting sqref="R1698">
    <cfRule type="cellIs" dxfId="1" priority="1686" stopIfTrue="1" operator="between">
      <formula>"Check"</formula>
      <formula>"Check"</formula>
    </cfRule>
  </conditionalFormatting>
  <conditionalFormatting sqref="R1699">
    <cfRule type="cellIs" dxfId="1" priority="1687" stopIfTrue="1" operator="between">
      <formula>"Check"</formula>
      <formula>"Check"</formula>
    </cfRule>
  </conditionalFormatting>
  <conditionalFormatting sqref="R1700">
    <cfRule type="cellIs" dxfId="1" priority="1688" stopIfTrue="1" operator="between">
      <formula>"Check"</formula>
      <formula>"Check"</formula>
    </cfRule>
  </conditionalFormatting>
  <conditionalFormatting sqref="R1701">
    <cfRule type="cellIs" dxfId="1" priority="1689" stopIfTrue="1" operator="between">
      <formula>"Check"</formula>
      <formula>"Check"</formula>
    </cfRule>
  </conditionalFormatting>
  <conditionalFormatting sqref="R1702">
    <cfRule type="cellIs" dxfId="1" priority="1690" stopIfTrue="1" operator="between">
      <formula>"Check"</formula>
      <formula>"Check"</formula>
    </cfRule>
  </conditionalFormatting>
  <conditionalFormatting sqref="R1703">
    <cfRule type="cellIs" dxfId="1" priority="1691" stopIfTrue="1" operator="between">
      <formula>"Check"</formula>
      <formula>"Check"</formula>
    </cfRule>
  </conditionalFormatting>
  <conditionalFormatting sqref="R1704">
    <cfRule type="cellIs" dxfId="1" priority="1692" stopIfTrue="1" operator="between">
      <formula>"Check"</formula>
      <formula>"Check"</formula>
    </cfRule>
  </conditionalFormatting>
  <conditionalFormatting sqref="R1705">
    <cfRule type="cellIs" dxfId="1" priority="1693" stopIfTrue="1" operator="between">
      <formula>"Check"</formula>
      <formula>"Check"</formula>
    </cfRule>
  </conditionalFormatting>
  <conditionalFormatting sqref="R1706">
    <cfRule type="cellIs" dxfId="1" priority="1694" stopIfTrue="1" operator="between">
      <formula>"Check"</formula>
      <formula>"Check"</formula>
    </cfRule>
  </conditionalFormatting>
  <conditionalFormatting sqref="R1707">
    <cfRule type="cellIs" dxfId="1" priority="1695" stopIfTrue="1" operator="between">
      <formula>"Check"</formula>
      <formula>"Check"</formula>
    </cfRule>
  </conditionalFormatting>
  <conditionalFormatting sqref="R1708">
    <cfRule type="cellIs" dxfId="1" priority="1696" stopIfTrue="1" operator="between">
      <formula>"Check"</formula>
      <formula>"Check"</formula>
    </cfRule>
  </conditionalFormatting>
  <conditionalFormatting sqref="R1709">
    <cfRule type="cellIs" dxfId="1" priority="1697" stopIfTrue="1" operator="between">
      <formula>"Check"</formula>
      <formula>"Check"</formula>
    </cfRule>
  </conditionalFormatting>
  <conditionalFormatting sqref="R1710">
    <cfRule type="cellIs" dxfId="1" priority="1698" stopIfTrue="1" operator="between">
      <formula>"Check"</formula>
      <formula>"Check"</formula>
    </cfRule>
  </conditionalFormatting>
  <conditionalFormatting sqref="R1711">
    <cfRule type="cellIs" dxfId="1" priority="1699" stopIfTrue="1" operator="between">
      <formula>"Check"</formula>
      <formula>"Check"</formula>
    </cfRule>
  </conditionalFormatting>
  <conditionalFormatting sqref="R1712">
    <cfRule type="cellIs" dxfId="1" priority="1700" stopIfTrue="1" operator="between">
      <formula>"Check"</formula>
      <formula>"Check"</formula>
    </cfRule>
  </conditionalFormatting>
  <conditionalFormatting sqref="R1713">
    <cfRule type="cellIs" dxfId="1" priority="1701" stopIfTrue="1" operator="between">
      <formula>"Check"</formula>
      <formula>"Check"</formula>
    </cfRule>
  </conditionalFormatting>
  <conditionalFormatting sqref="R1714">
    <cfRule type="cellIs" dxfId="1" priority="1702" stopIfTrue="1" operator="between">
      <formula>"Check"</formula>
      <formula>"Check"</formula>
    </cfRule>
  </conditionalFormatting>
  <conditionalFormatting sqref="R1715">
    <cfRule type="cellIs" dxfId="1" priority="1703" stopIfTrue="1" operator="between">
      <formula>"Check"</formula>
      <formula>"Check"</formula>
    </cfRule>
  </conditionalFormatting>
  <conditionalFormatting sqref="R1716">
    <cfRule type="cellIs" dxfId="1" priority="1704" stopIfTrue="1" operator="between">
      <formula>"Check"</formula>
      <formula>"Check"</formula>
    </cfRule>
  </conditionalFormatting>
  <conditionalFormatting sqref="R1717">
    <cfRule type="cellIs" dxfId="1" priority="1705" stopIfTrue="1" operator="between">
      <formula>"Check"</formula>
      <formula>"Check"</formula>
    </cfRule>
  </conditionalFormatting>
  <conditionalFormatting sqref="R1718">
    <cfRule type="cellIs" dxfId="1" priority="1706" stopIfTrue="1" operator="between">
      <formula>"Check"</formula>
      <formula>"Check"</formula>
    </cfRule>
  </conditionalFormatting>
  <conditionalFormatting sqref="R1719">
    <cfRule type="cellIs" dxfId="1" priority="1707" stopIfTrue="1" operator="between">
      <formula>"Check"</formula>
      <formula>"Check"</formula>
    </cfRule>
  </conditionalFormatting>
  <conditionalFormatting sqref="R1720">
    <cfRule type="cellIs" dxfId="1" priority="1708" stopIfTrue="1" operator="between">
      <formula>"Check"</formula>
      <formula>"Check"</formula>
    </cfRule>
  </conditionalFormatting>
  <conditionalFormatting sqref="R1721">
    <cfRule type="cellIs" dxfId="1" priority="1709" stopIfTrue="1" operator="between">
      <formula>"Check"</formula>
      <formula>"Check"</formula>
    </cfRule>
  </conditionalFormatting>
  <conditionalFormatting sqref="R1722">
    <cfRule type="cellIs" dxfId="1" priority="1710" stopIfTrue="1" operator="between">
      <formula>"Check"</formula>
      <formula>"Check"</formula>
    </cfRule>
  </conditionalFormatting>
  <conditionalFormatting sqref="R1723">
    <cfRule type="cellIs" dxfId="1" priority="1711" stopIfTrue="1" operator="between">
      <formula>"Check"</formula>
      <formula>"Check"</formula>
    </cfRule>
  </conditionalFormatting>
  <conditionalFormatting sqref="R1724">
    <cfRule type="cellIs" dxfId="1" priority="1712" stopIfTrue="1" operator="between">
      <formula>"Check"</formula>
      <formula>"Check"</formula>
    </cfRule>
  </conditionalFormatting>
  <conditionalFormatting sqref="R1725">
    <cfRule type="cellIs" dxfId="1" priority="1713" stopIfTrue="1" operator="between">
      <formula>"Check"</formula>
      <formula>"Check"</formula>
    </cfRule>
  </conditionalFormatting>
  <conditionalFormatting sqref="R1726">
    <cfRule type="cellIs" dxfId="1" priority="1714" stopIfTrue="1" operator="between">
      <formula>"Check"</formula>
      <formula>"Check"</formula>
    </cfRule>
  </conditionalFormatting>
  <conditionalFormatting sqref="R1727">
    <cfRule type="cellIs" dxfId="1" priority="1715" stopIfTrue="1" operator="between">
      <formula>"Check"</formula>
      <formula>"Check"</formula>
    </cfRule>
  </conditionalFormatting>
  <conditionalFormatting sqref="R1728">
    <cfRule type="cellIs" dxfId="1" priority="1716" stopIfTrue="1" operator="between">
      <formula>"Check"</formula>
      <formula>"Check"</formula>
    </cfRule>
  </conditionalFormatting>
  <conditionalFormatting sqref="R1729">
    <cfRule type="cellIs" dxfId="1" priority="1717" stopIfTrue="1" operator="between">
      <formula>"Check"</formula>
      <formula>"Check"</formula>
    </cfRule>
  </conditionalFormatting>
  <conditionalFormatting sqref="R1730">
    <cfRule type="cellIs" dxfId="1" priority="1718" stopIfTrue="1" operator="between">
      <formula>"Check"</formula>
      <formula>"Check"</formula>
    </cfRule>
  </conditionalFormatting>
  <conditionalFormatting sqref="R1731">
    <cfRule type="cellIs" dxfId="1" priority="1719" stopIfTrue="1" operator="between">
      <formula>"Check"</formula>
      <formula>"Check"</formula>
    </cfRule>
  </conditionalFormatting>
  <conditionalFormatting sqref="R1732">
    <cfRule type="cellIs" dxfId="1" priority="1720" stopIfTrue="1" operator="between">
      <formula>"Check"</formula>
      <formula>"Check"</formula>
    </cfRule>
  </conditionalFormatting>
  <conditionalFormatting sqref="R1733">
    <cfRule type="cellIs" dxfId="1" priority="1721" stopIfTrue="1" operator="between">
      <formula>"Check"</formula>
      <formula>"Check"</formula>
    </cfRule>
  </conditionalFormatting>
  <conditionalFormatting sqref="R1734">
    <cfRule type="cellIs" dxfId="1" priority="1722" stopIfTrue="1" operator="between">
      <formula>"Check"</formula>
      <formula>"Check"</formula>
    </cfRule>
  </conditionalFormatting>
  <conditionalFormatting sqref="R1735">
    <cfRule type="cellIs" dxfId="1" priority="1723" stopIfTrue="1" operator="between">
      <formula>"Check"</formula>
      <formula>"Check"</formula>
    </cfRule>
  </conditionalFormatting>
  <conditionalFormatting sqref="R1736">
    <cfRule type="cellIs" dxfId="1" priority="1724" stopIfTrue="1" operator="between">
      <formula>"Check"</formula>
      <formula>"Check"</formula>
    </cfRule>
  </conditionalFormatting>
  <conditionalFormatting sqref="R1737">
    <cfRule type="cellIs" dxfId="1" priority="1725" stopIfTrue="1" operator="between">
      <formula>"Check"</formula>
      <formula>"Check"</formula>
    </cfRule>
  </conditionalFormatting>
  <conditionalFormatting sqref="R1738">
    <cfRule type="cellIs" dxfId="1" priority="1726" stopIfTrue="1" operator="between">
      <formula>"Check"</formula>
      <formula>"Check"</formula>
    </cfRule>
  </conditionalFormatting>
  <conditionalFormatting sqref="R1739">
    <cfRule type="cellIs" dxfId="1" priority="1727" stopIfTrue="1" operator="between">
      <formula>"Check"</formula>
      <formula>"Check"</formula>
    </cfRule>
  </conditionalFormatting>
  <conditionalFormatting sqref="R1740">
    <cfRule type="cellIs" dxfId="1" priority="1728" stopIfTrue="1" operator="between">
      <formula>"Check"</formula>
      <formula>"Check"</formula>
    </cfRule>
  </conditionalFormatting>
  <conditionalFormatting sqref="R1741">
    <cfRule type="cellIs" dxfId="1" priority="1729" stopIfTrue="1" operator="between">
      <formula>"Check"</formula>
      <formula>"Check"</formula>
    </cfRule>
  </conditionalFormatting>
  <conditionalFormatting sqref="R1742">
    <cfRule type="cellIs" dxfId="1" priority="1730" stopIfTrue="1" operator="between">
      <formula>"Check"</formula>
      <formula>"Check"</formula>
    </cfRule>
  </conditionalFormatting>
  <conditionalFormatting sqref="R1743">
    <cfRule type="cellIs" dxfId="1" priority="1731" stopIfTrue="1" operator="between">
      <formula>"Check"</formula>
      <formula>"Check"</formula>
    </cfRule>
  </conditionalFormatting>
  <conditionalFormatting sqref="R1744">
    <cfRule type="cellIs" dxfId="1" priority="1732" stopIfTrue="1" operator="between">
      <formula>"Check"</formula>
      <formula>"Check"</formula>
    </cfRule>
  </conditionalFormatting>
  <conditionalFormatting sqref="R1745">
    <cfRule type="cellIs" dxfId="1" priority="1733" stopIfTrue="1" operator="between">
      <formula>"Check"</formula>
      <formula>"Check"</formula>
    </cfRule>
  </conditionalFormatting>
  <conditionalFormatting sqref="R1746">
    <cfRule type="cellIs" dxfId="1" priority="1734" stopIfTrue="1" operator="between">
      <formula>"Check"</formula>
      <formula>"Check"</formula>
    </cfRule>
  </conditionalFormatting>
  <conditionalFormatting sqref="R1747">
    <cfRule type="cellIs" dxfId="1" priority="1735" stopIfTrue="1" operator="between">
      <formula>"Check"</formula>
      <formula>"Check"</formula>
    </cfRule>
  </conditionalFormatting>
  <conditionalFormatting sqref="R1748">
    <cfRule type="cellIs" dxfId="1" priority="1736" stopIfTrue="1" operator="between">
      <formula>"Check"</formula>
      <formula>"Check"</formula>
    </cfRule>
  </conditionalFormatting>
  <conditionalFormatting sqref="R1749">
    <cfRule type="cellIs" dxfId="1" priority="1737" stopIfTrue="1" operator="between">
      <formula>"Check"</formula>
      <formula>"Check"</formula>
    </cfRule>
  </conditionalFormatting>
  <conditionalFormatting sqref="R1750">
    <cfRule type="cellIs" dxfId="1" priority="1738" stopIfTrue="1" operator="between">
      <formula>"Check"</formula>
      <formula>"Check"</formula>
    </cfRule>
  </conditionalFormatting>
  <conditionalFormatting sqref="R1751">
    <cfRule type="cellIs" dxfId="1" priority="1739" stopIfTrue="1" operator="between">
      <formula>"Check"</formula>
      <formula>"Check"</formula>
    </cfRule>
  </conditionalFormatting>
  <conditionalFormatting sqref="R1752">
    <cfRule type="cellIs" dxfId="1" priority="1740" stopIfTrue="1" operator="between">
      <formula>"Check"</formula>
      <formula>"Check"</formula>
    </cfRule>
  </conditionalFormatting>
  <conditionalFormatting sqref="R1753">
    <cfRule type="cellIs" dxfId="1" priority="1741" stopIfTrue="1" operator="between">
      <formula>"Check"</formula>
      <formula>"Check"</formula>
    </cfRule>
  </conditionalFormatting>
  <conditionalFormatting sqref="R1754">
    <cfRule type="cellIs" dxfId="1" priority="1742" stopIfTrue="1" operator="between">
      <formula>"Check"</formula>
      <formula>"Check"</formula>
    </cfRule>
  </conditionalFormatting>
  <conditionalFormatting sqref="R1755">
    <cfRule type="cellIs" dxfId="1" priority="1743" stopIfTrue="1" operator="between">
      <formula>"Check"</formula>
      <formula>"Check"</formula>
    </cfRule>
  </conditionalFormatting>
  <conditionalFormatting sqref="R1756">
    <cfRule type="cellIs" dxfId="1" priority="1744" stopIfTrue="1" operator="between">
      <formula>"Check"</formula>
      <formula>"Check"</formula>
    </cfRule>
  </conditionalFormatting>
  <conditionalFormatting sqref="R1757">
    <cfRule type="cellIs" dxfId="1" priority="1745" stopIfTrue="1" operator="between">
      <formula>"Check"</formula>
      <formula>"Check"</formula>
    </cfRule>
  </conditionalFormatting>
  <conditionalFormatting sqref="R1758">
    <cfRule type="cellIs" dxfId="1" priority="1746" stopIfTrue="1" operator="between">
      <formula>"Check"</formula>
      <formula>"Check"</formula>
    </cfRule>
  </conditionalFormatting>
  <conditionalFormatting sqref="R1759">
    <cfRule type="cellIs" dxfId="1" priority="1747" stopIfTrue="1" operator="between">
      <formula>"Check"</formula>
      <formula>"Check"</formula>
    </cfRule>
  </conditionalFormatting>
  <conditionalFormatting sqref="R1760">
    <cfRule type="cellIs" dxfId="1" priority="1748" stopIfTrue="1" operator="between">
      <formula>"Check"</formula>
      <formula>"Check"</formula>
    </cfRule>
  </conditionalFormatting>
  <conditionalFormatting sqref="R1761">
    <cfRule type="cellIs" dxfId="1" priority="1749" stopIfTrue="1" operator="between">
      <formula>"Check"</formula>
      <formula>"Check"</formula>
    </cfRule>
  </conditionalFormatting>
  <conditionalFormatting sqref="R1762">
    <cfRule type="cellIs" dxfId="1" priority="1750" stopIfTrue="1" operator="between">
      <formula>"Check"</formula>
      <formula>"Check"</formula>
    </cfRule>
  </conditionalFormatting>
  <conditionalFormatting sqref="R1763">
    <cfRule type="cellIs" dxfId="1" priority="1751" stopIfTrue="1" operator="between">
      <formula>"Check"</formula>
      <formula>"Check"</formula>
    </cfRule>
  </conditionalFormatting>
  <conditionalFormatting sqref="R1764">
    <cfRule type="cellIs" dxfId="1" priority="1752" stopIfTrue="1" operator="between">
      <formula>"Check"</formula>
      <formula>"Check"</formula>
    </cfRule>
  </conditionalFormatting>
  <conditionalFormatting sqref="R1765">
    <cfRule type="cellIs" dxfId="1" priority="1753" stopIfTrue="1" operator="between">
      <formula>"Check"</formula>
      <formula>"Check"</formula>
    </cfRule>
  </conditionalFormatting>
  <conditionalFormatting sqref="R1766">
    <cfRule type="cellIs" dxfId="1" priority="1754" stopIfTrue="1" operator="between">
      <formula>"Check"</formula>
      <formula>"Check"</formula>
    </cfRule>
  </conditionalFormatting>
  <conditionalFormatting sqref="R1767">
    <cfRule type="cellIs" dxfId="1" priority="1755" stopIfTrue="1" operator="between">
      <formula>"Check"</formula>
      <formula>"Check"</formula>
    </cfRule>
  </conditionalFormatting>
  <conditionalFormatting sqref="R1768">
    <cfRule type="cellIs" dxfId="1" priority="1756" stopIfTrue="1" operator="between">
      <formula>"Check"</formula>
      <formula>"Check"</formula>
    </cfRule>
  </conditionalFormatting>
  <conditionalFormatting sqref="R1769">
    <cfRule type="cellIs" dxfId="1" priority="1757" stopIfTrue="1" operator="between">
      <formula>"Check"</formula>
      <formula>"Check"</formula>
    </cfRule>
  </conditionalFormatting>
  <conditionalFormatting sqref="R1770">
    <cfRule type="cellIs" dxfId="1" priority="1758" stopIfTrue="1" operator="between">
      <formula>"Check"</formula>
      <formula>"Check"</formula>
    </cfRule>
  </conditionalFormatting>
  <conditionalFormatting sqref="R1771">
    <cfRule type="cellIs" dxfId="1" priority="1759" stopIfTrue="1" operator="between">
      <formula>"Check"</formula>
      <formula>"Check"</formula>
    </cfRule>
  </conditionalFormatting>
  <conditionalFormatting sqref="R1772">
    <cfRule type="cellIs" dxfId="1" priority="1760" stopIfTrue="1" operator="between">
      <formula>"Check"</formula>
      <formula>"Check"</formula>
    </cfRule>
  </conditionalFormatting>
  <conditionalFormatting sqref="R1773">
    <cfRule type="cellIs" dxfId="1" priority="1761" stopIfTrue="1" operator="between">
      <formula>"Check"</formula>
      <formula>"Check"</formula>
    </cfRule>
  </conditionalFormatting>
  <conditionalFormatting sqref="R1774">
    <cfRule type="cellIs" dxfId="1" priority="1762" stopIfTrue="1" operator="between">
      <formula>"Check"</formula>
      <formula>"Check"</formula>
    </cfRule>
  </conditionalFormatting>
  <conditionalFormatting sqref="R1775">
    <cfRule type="cellIs" dxfId="1" priority="1763" stopIfTrue="1" operator="between">
      <formula>"Check"</formula>
      <formula>"Check"</formula>
    </cfRule>
  </conditionalFormatting>
  <conditionalFormatting sqref="R1776">
    <cfRule type="cellIs" dxfId="1" priority="1764" stopIfTrue="1" operator="between">
      <formula>"Check"</formula>
      <formula>"Check"</formula>
    </cfRule>
  </conditionalFormatting>
  <conditionalFormatting sqref="R1777">
    <cfRule type="cellIs" dxfId="1" priority="1765" stopIfTrue="1" operator="between">
      <formula>"Check"</formula>
      <formula>"Check"</formula>
    </cfRule>
  </conditionalFormatting>
  <conditionalFormatting sqref="R1778">
    <cfRule type="cellIs" dxfId="1" priority="1766" stopIfTrue="1" operator="between">
      <formula>"Check"</formula>
      <formula>"Check"</formula>
    </cfRule>
  </conditionalFormatting>
  <conditionalFormatting sqref="R1779">
    <cfRule type="cellIs" dxfId="1" priority="1767" stopIfTrue="1" operator="between">
      <formula>"Check"</formula>
      <formula>"Check"</formula>
    </cfRule>
  </conditionalFormatting>
  <conditionalFormatting sqref="R1780">
    <cfRule type="cellIs" dxfId="1" priority="1768" stopIfTrue="1" operator="between">
      <formula>"Check"</formula>
      <formula>"Check"</formula>
    </cfRule>
  </conditionalFormatting>
  <conditionalFormatting sqref="R1781">
    <cfRule type="cellIs" dxfId="1" priority="1769" stopIfTrue="1" operator="between">
      <formula>"Check"</formula>
      <formula>"Check"</formula>
    </cfRule>
  </conditionalFormatting>
  <conditionalFormatting sqref="R1782">
    <cfRule type="cellIs" dxfId="1" priority="1770" stopIfTrue="1" operator="between">
      <formula>"Check"</formula>
      <formula>"Check"</formula>
    </cfRule>
  </conditionalFormatting>
  <conditionalFormatting sqref="R1783">
    <cfRule type="cellIs" dxfId="1" priority="1771" stopIfTrue="1" operator="between">
      <formula>"Check"</formula>
      <formula>"Check"</formula>
    </cfRule>
  </conditionalFormatting>
  <conditionalFormatting sqref="R1784">
    <cfRule type="cellIs" dxfId="1" priority="1772" stopIfTrue="1" operator="between">
      <formula>"Check"</formula>
      <formula>"Check"</formula>
    </cfRule>
  </conditionalFormatting>
  <conditionalFormatting sqref="R1785">
    <cfRule type="cellIs" dxfId="1" priority="1773" stopIfTrue="1" operator="between">
      <formula>"Check"</formula>
      <formula>"Check"</formula>
    </cfRule>
  </conditionalFormatting>
  <conditionalFormatting sqref="R1786">
    <cfRule type="cellIs" dxfId="1" priority="1774" stopIfTrue="1" operator="between">
      <formula>"Check"</formula>
      <formula>"Check"</formula>
    </cfRule>
  </conditionalFormatting>
  <conditionalFormatting sqref="R1787">
    <cfRule type="cellIs" dxfId="1" priority="1775" stopIfTrue="1" operator="between">
      <formula>"Check"</formula>
      <formula>"Check"</formula>
    </cfRule>
  </conditionalFormatting>
  <conditionalFormatting sqref="R1788">
    <cfRule type="cellIs" dxfId="1" priority="1776" stopIfTrue="1" operator="between">
      <formula>"Check"</formula>
      <formula>"Check"</formula>
    </cfRule>
  </conditionalFormatting>
  <conditionalFormatting sqref="R1789">
    <cfRule type="cellIs" dxfId="1" priority="1777" stopIfTrue="1" operator="between">
      <formula>"Check"</formula>
      <formula>"Check"</formula>
    </cfRule>
  </conditionalFormatting>
  <conditionalFormatting sqref="R1790">
    <cfRule type="cellIs" dxfId="1" priority="1778" stopIfTrue="1" operator="between">
      <formula>"Check"</formula>
      <formula>"Check"</formula>
    </cfRule>
  </conditionalFormatting>
  <conditionalFormatting sqref="R1791">
    <cfRule type="cellIs" dxfId="1" priority="1779" stopIfTrue="1" operator="between">
      <formula>"Check"</formula>
      <formula>"Check"</formula>
    </cfRule>
  </conditionalFormatting>
  <conditionalFormatting sqref="R1792">
    <cfRule type="cellIs" dxfId="1" priority="1780" stopIfTrue="1" operator="between">
      <formula>"Check"</formula>
      <formula>"Check"</formula>
    </cfRule>
  </conditionalFormatting>
  <conditionalFormatting sqref="R1793">
    <cfRule type="cellIs" dxfId="1" priority="1781" stopIfTrue="1" operator="between">
      <formula>"Check"</formula>
      <formula>"Check"</formula>
    </cfRule>
  </conditionalFormatting>
  <conditionalFormatting sqref="R1794">
    <cfRule type="cellIs" dxfId="1" priority="1782" stopIfTrue="1" operator="between">
      <formula>"Check"</formula>
      <formula>"Check"</formula>
    </cfRule>
  </conditionalFormatting>
  <conditionalFormatting sqref="R1795">
    <cfRule type="cellIs" dxfId="1" priority="1783" stopIfTrue="1" operator="between">
      <formula>"Check"</formula>
      <formula>"Check"</formula>
    </cfRule>
  </conditionalFormatting>
  <conditionalFormatting sqref="R1796">
    <cfRule type="cellIs" dxfId="1" priority="1784" stopIfTrue="1" operator="between">
      <formula>"Check"</formula>
      <formula>"Check"</formula>
    </cfRule>
  </conditionalFormatting>
  <conditionalFormatting sqref="R1797">
    <cfRule type="cellIs" dxfId="1" priority="1785" stopIfTrue="1" operator="between">
      <formula>"Check"</formula>
      <formula>"Check"</formula>
    </cfRule>
  </conditionalFormatting>
  <conditionalFormatting sqref="R1798">
    <cfRule type="cellIs" dxfId="1" priority="1786" stopIfTrue="1" operator="between">
      <formula>"Check"</formula>
      <formula>"Check"</formula>
    </cfRule>
  </conditionalFormatting>
  <conditionalFormatting sqref="R1799">
    <cfRule type="cellIs" dxfId="1" priority="1787" stopIfTrue="1" operator="between">
      <formula>"Check"</formula>
      <formula>"Check"</formula>
    </cfRule>
  </conditionalFormatting>
  <conditionalFormatting sqref="R1800">
    <cfRule type="cellIs" dxfId="1" priority="1788" stopIfTrue="1" operator="between">
      <formula>"Check"</formula>
      <formula>"Check"</formula>
    </cfRule>
  </conditionalFormatting>
  <conditionalFormatting sqref="R1801">
    <cfRule type="cellIs" dxfId="1" priority="1789" stopIfTrue="1" operator="between">
      <formula>"Check"</formula>
      <formula>"Check"</formula>
    </cfRule>
  </conditionalFormatting>
  <conditionalFormatting sqref="R1802">
    <cfRule type="cellIs" dxfId="1" priority="1790" stopIfTrue="1" operator="between">
      <formula>"Check"</formula>
      <formula>"Check"</formula>
    </cfRule>
  </conditionalFormatting>
  <conditionalFormatting sqref="R1803">
    <cfRule type="cellIs" dxfId="1" priority="1791" stopIfTrue="1" operator="between">
      <formula>"Check"</formula>
      <formula>"Check"</formula>
    </cfRule>
  </conditionalFormatting>
  <conditionalFormatting sqref="R1804">
    <cfRule type="cellIs" dxfId="1" priority="1792" stopIfTrue="1" operator="between">
      <formula>"Check"</formula>
      <formula>"Check"</formula>
    </cfRule>
  </conditionalFormatting>
  <conditionalFormatting sqref="R1805">
    <cfRule type="cellIs" dxfId="1" priority="1793" stopIfTrue="1" operator="between">
      <formula>"Check"</formula>
      <formula>"Check"</formula>
    </cfRule>
  </conditionalFormatting>
  <conditionalFormatting sqref="R1806">
    <cfRule type="cellIs" dxfId="1" priority="1794" stopIfTrue="1" operator="between">
      <formula>"Check"</formula>
      <formula>"Check"</formula>
    </cfRule>
  </conditionalFormatting>
  <conditionalFormatting sqref="R1807">
    <cfRule type="cellIs" dxfId="1" priority="1795" stopIfTrue="1" operator="between">
      <formula>"Check"</formula>
      <formula>"Check"</formula>
    </cfRule>
  </conditionalFormatting>
  <conditionalFormatting sqref="R1808">
    <cfRule type="cellIs" dxfId="1" priority="1796" stopIfTrue="1" operator="between">
      <formula>"Check"</formula>
      <formula>"Check"</formula>
    </cfRule>
  </conditionalFormatting>
  <conditionalFormatting sqref="R1809">
    <cfRule type="cellIs" dxfId="1" priority="1797" stopIfTrue="1" operator="between">
      <formula>"Check"</formula>
      <formula>"Check"</formula>
    </cfRule>
  </conditionalFormatting>
  <conditionalFormatting sqref="R1810">
    <cfRule type="cellIs" dxfId="1" priority="1798" stopIfTrue="1" operator="between">
      <formula>"Check"</formula>
      <formula>"Check"</formula>
    </cfRule>
  </conditionalFormatting>
  <conditionalFormatting sqref="R1811">
    <cfRule type="cellIs" dxfId="1" priority="1799" stopIfTrue="1" operator="between">
      <formula>"Check"</formula>
      <formula>"Check"</formula>
    </cfRule>
  </conditionalFormatting>
  <conditionalFormatting sqref="R1812">
    <cfRule type="cellIs" dxfId="1" priority="1800" stopIfTrue="1" operator="between">
      <formula>"Check"</formula>
      <formula>"Check"</formula>
    </cfRule>
  </conditionalFormatting>
  <conditionalFormatting sqref="R1813">
    <cfRule type="cellIs" dxfId="1" priority="1801" stopIfTrue="1" operator="between">
      <formula>"Check"</formula>
      <formula>"Check"</formula>
    </cfRule>
  </conditionalFormatting>
  <conditionalFormatting sqref="R1814">
    <cfRule type="cellIs" dxfId="1" priority="1802" stopIfTrue="1" operator="between">
      <formula>"Check"</formula>
      <formula>"Check"</formula>
    </cfRule>
  </conditionalFormatting>
  <conditionalFormatting sqref="R1815">
    <cfRule type="cellIs" dxfId="1" priority="1803" stopIfTrue="1" operator="between">
      <formula>"Check"</formula>
      <formula>"Check"</formula>
    </cfRule>
  </conditionalFormatting>
  <conditionalFormatting sqref="R1816">
    <cfRule type="cellIs" dxfId="1" priority="1804" stopIfTrue="1" operator="between">
      <formula>"Check"</formula>
      <formula>"Check"</formula>
    </cfRule>
  </conditionalFormatting>
  <conditionalFormatting sqref="R1817">
    <cfRule type="cellIs" dxfId="1" priority="1805" stopIfTrue="1" operator="between">
      <formula>"Check"</formula>
      <formula>"Check"</formula>
    </cfRule>
  </conditionalFormatting>
  <conditionalFormatting sqref="R1818">
    <cfRule type="cellIs" dxfId="1" priority="1806" stopIfTrue="1" operator="between">
      <formula>"Check"</formula>
      <formula>"Check"</formula>
    </cfRule>
  </conditionalFormatting>
  <conditionalFormatting sqref="R1819">
    <cfRule type="cellIs" dxfId="1" priority="1807" stopIfTrue="1" operator="between">
      <formula>"Check"</formula>
      <formula>"Check"</formula>
    </cfRule>
  </conditionalFormatting>
  <conditionalFormatting sqref="R1820">
    <cfRule type="cellIs" dxfId="1" priority="1808" stopIfTrue="1" operator="between">
      <formula>"Check"</formula>
      <formula>"Check"</formula>
    </cfRule>
  </conditionalFormatting>
  <conditionalFormatting sqref="R1821">
    <cfRule type="cellIs" dxfId="1" priority="1809" stopIfTrue="1" operator="between">
      <formula>"Check"</formula>
      <formula>"Check"</formula>
    </cfRule>
  </conditionalFormatting>
  <conditionalFormatting sqref="R1822">
    <cfRule type="cellIs" dxfId="1" priority="1810" stopIfTrue="1" operator="between">
      <formula>"Check"</formula>
      <formula>"Check"</formula>
    </cfRule>
  </conditionalFormatting>
  <conditionalFormatting sqref="R1823">
    <cfRule type="cellIs" dxfId="1" priority="1811" stopIfTrue="1" operator="between">
      <formula>"Check"</formula>
      <formula>"Check"</formula>
    </cfRule>
  </conditionalFormatting>
  <conditionalFormatting sqref="R1824">
    <cfRule type="cellIs" dxfId="1" priority="1812" stopIfTrue="1" operator="between">
      <formula>"Check"</formula>
      <formula>"Check"</formula>
    </cfRule>
  </conditionalFormatting>
  <conditionalFormatting sqref="R1825">
    <cfRule type="cellIs" dxfId="1" priority="1813" stopIfTrue="1" operator="between">
      <formula>"Check"</formula>
      <formula>"Check"</formula>
    </cfRule>
  </conditionalFormatting>
  <conditionalFormatting sqref="R1826">
    <cfRule type="cellIs" dxfId="1" priority="1814" stopIfTrue="1" operator="between">
      <formula>"Check"</formula>
      <formula>"Check"</formula>
    </cfRule>
  </conditionalFormatting>
  <conditionalFormatting sqref="R1827">
    <cfRule type="cellIs" dxfId="1" priority="1815" stopIfTrue="1" operator="between">
      <formula>"Check"</formula>
      <formula>"Check"</formula>
    </cfRule>
  </conditionalFormatting>
  <conditionalFormatting sqref="R1828">
    <cfRule type="cellIs" dxfId="1" priority="1816" stopIfTrue="1" operator="between">
      <formula>"Check"</formula>
      <formula>"Check"</formula>
    </cfRule>
  </conditionalFormatting>
  <conditionalFormatting sqref="R1829">
    <cfRule type="cellIs" dxfId="1" priority="1817" stopIfTrue="1" operator="between">
      <formula>"Check"</formula>
      <formula>"Check"</formula>
    </cfRule>
  </conditionalFormatting>
  <conditionalFormatting sqref="R1830">
    <cfRule type="cellIs" dxfId="1" priority="1818" stopIfTrue="1" operator="between">
      <formula>"Check"</formula>
      <formula>"Check"</formula>
    </cfRule>
  </conditionalFormatting>
  <conditionalFormatting sqref="R1831">
    <cfRule type="cellIs" dxfId="1" priority="1819" stopIfTrue="1" operator="between">
      <formula>"Check"</formula>
      <formula>"Check"</formula>
    </cfRule>
  </conditionalFormatting>
  <conditionalFormatting sqref="R1832">
    <cfRule type="cellIs" dxfId="1" priority="1820" stopIfTrue="1" operator="between">
      <formula>"Check"</formula>
      <formula>"Check"</formula>
    </cfRule>
  </conditionalFormatting>
  <conditionalFormatting sqref="R1833">
    <cfRule type="cellIs" dxfId="1" priority="1821" stopIfTrue="1" operator="between">
      <formula>"Check"</formula>
      <formula>"Check"</formula>
    </cfRule>
  </conditionalFormatting>
  <conditionalFormatting sqref="R1834">
    <cfRule type="cellIs" dxfId="1" priority="1822" stopIfTrue="1" operator="between">
      <formula>"Check"</formula>
      <formula>"Check"</formula>
    </cfRule>
  </conditionalFormatting>
  <conditionalFormatting sqref="R1835">
    <cfRule type="cellIs" dxfId="1" priority="1823" stopIfTrue="1" operator="between">
      <formula>"Check"</formula>
      <formula>"Check"</formula>
    </cfRule>
  </conditionalFormatting>
  <conditionalFormatting sqref="R1836">
    <cfRule type="cellIs" dxfId="1" priority="1824" stopIfTrue="1" operator="between">
      <formula>"Check"</formula>
      <formula>"Check"</formula>
    </cfRule>
  </conditionalFormatting>
  <conditionalFormatting sqref="R1837">
    <cfRule type="cellIs" dxfId="1" priority="1825" stopIfTrue="1" operator="between">
      <formula>"Check"</formula>
      <formula>"Check"</formula>
    </cfRule>
  </conditionalFormatting>
  <conditionalFormatting sqref="R1838">
    <cfRule type="cellIs" dxfId="1" priority="1826" stopIfTrue="1" operator="between">
      <formula>"Check"</formula>
      <formula>"Check"</formula>
    </cfRule>
  </conditionalFormatting>
  <conditionalFormatting sqref="R1839">
    <cfRule type="cellIs" dxfId="1" priority="1827" stopIfTrue="1" operator="between">
      <formula>"Check"</formula>
      <formula>"Check"</formula>
    </cfRule>
  </conditionalFormatting>
  <conditionalFormatting sqref="R1840">
    <cfRule type="cellIs" dxfId="1" priority="1828" stopIfTrue="1" operator="between">
      <formula>"Check"</formula>
      <formula>"Check"</formula>
    </cfRule>
  </conditionalFormatting>
  <conditionalFormatting sqref="R1841">
    <cfRule type="cellIs" dxfId="1" priority="1829" stopIfTrue="1" operator="between">
      <formula>"Check"</formula>
      <formula>"Check"</formula>
    </cfRule>
  </conditionalFormatting>
  <conditionalFormatting sqref="R1842">
    <cfRule type="cellIs" dxfId="1" priority="1830" stopIfTrue="1" operator="between">
      <formula>"Check"</formula>
      <formula>"Check"</formula>
    </cfRule>
  </conditionalFormatting>
  <conditionalFormatting sqref="R1843">
    <cfRule type="cellIs" dxfId="1" priority="1831" stopIfTrue="1" operator="between">
      <formula>"Check"</formula>
      <formula>"Check"</formula>
    </cfRule>
  </conditionalFormatting>
  <conditionalFormatting sqref="R1844">
    <cfRule type="cellIs" dxfId="1" priority="1832" stopIfTrue="1" operator="between">
      <formula>"Check"</formula>
      <formula>"Check"</formula>
    </cfRule>
  </conditionalFormatting>
  <conditionalFormatting sqref="R1845">
    <cfRule type="cellIs" dxfId="1" priority="1833" stopIfTrue="1" operator="between">
      <formula>"Check"</formula>
      <formula>"Check"</formula>
    </cfRule>
  </conditionalFormatting>
  <conditionalFormatting sqref="R1846">
    <cfRule type="cellIs" dxfId="1" priority="1834" stopIfTrue="1" operator="between">
      <formula>"Check"</formula>
      <formula>"Check"</formula>
    </cfRule>
  </conditionalFormatting>
  <conditionalFormatting sqref="R1847">
    <cfRule type="cellIs" dxfId="1" priority="1835" stopIfTrue="1" operator="between">
      <formula>"Check"</formula>
      <formula>"Check"</formula>
    </cfRule>
  </conditionalFormatting>
  <conditionalFormatting sqref="R1848">
    <cfRule type="cellIs" dxfId="1" priority="1836" stopIfTrue="1" operator="between">
      <formula>"Check"</formula>
      <formula>"Check"</formula>
    </cfRule>
  </conditionalFormatting>
  <conditionalFormatting sqref="R1849">
    <cfRule type="cellIs" dxfId="1" priority="1837" stopIfTrue="1" operator="between">
      <formula>"Check"</formula>
      <formula>"Check"</formula>
    </cfRule>
  </conditionalFormatting>
  <conditionalFormatting sqref="R1850">
    <cfRule type="cellIs" dxfId="1" priority="1838" stopIfTrue="1" operator="between">
      <formula>"Check"</formula>
      <formula>"Check"</formula>
    </cfRule>
  </conditionalFormatting>
  <conditionalFormatting sqref="R1851">
    <cfRule type="cellIs" dxfId="1" priority="1839" stopIfTrue="1" operator="between">
      <formula>"Check"</formula>
      <formula>"Check"</formula>
    </cfRule>
  </conditionalFormatting>
  <conditionalFormatting sqref="R1852">
    <cfRule type="cellIs" dxfId="1" priority="1840" stopIfTrue="1" operator="between">
      <formula>"Check"</formula>
      <formula>"Check"</formula>
    </cfRule>
  </conditionalFormatting>
  <conditionalFormatting sqref="R1853">
    <cfRule type="cellIs" dxfId="1" priority="1841" stopIfTrue="1" operator="between">
      <formula>"Check"</formula>
      <formula>"Check"</formula>
    </cfRule>
  </conditionalFormatting>
  <conditionalFormatting sqref="R1854">
    <cfRule type="cellIs" dxfId="1" priority="1842" stopIfTrue="1" operator="between">
      <formula>"Check"</formula>
      <formula>"Check"</formula>
    </cfRule>
  </conditionalFormatting>
  <conditionalFormatting sqref="R1855">
    <cfRule type="cellIs" dxfId="1" priority="1843" stopIfTrue="1" operator="between">
      <formula>"Check"</formula>
      <formula>"Check"</formula>
    </cfRule>
  </conditionalFormatting>
  <conditionalFormatting sqref="R1856">
    <cfRule type="cellIs" dxfId="1" priority="1844" stopIfTrue="1" operator="between">
      <formula>"Check"</formula>
      <formula>"Check"</formula>
    </cfRule>
  </conditionalFormatting>
  <conditionalFormatting sqref="R1857">
    <cfRule type="cellIs" dxfId="1" priority="1845" stopIfTrue="1" operator="between">
      <formula>"Check"</formula>
      <formula>"Check"</formula>
    </cfRule>
  </conditionalFormatting>
  <conditionalFormatting sqref="R1858">
    <cfRule type="cellIs" dxfId="1" priority="1846" stopIfTrue="1" operator="between">
      <formula>"Check"</formula>
      <formula>"Check"</formula>
    </cfRule>
  </conditionalFormatting>
  <conditionalFormatting sqref="R1859">
    <cfRule type="cellIs" dxfId="1" priority="1847" stopIfTrue="1" operator="between">
      <formula>"Check"</formula>
      <formula>"Check"</formula>
    </cfRule>
  </conditionalFormatting>
  <conditionalFormatting sqref="R1860">
    <cfRule type="cellIs" dxfId="1" priority="1848" stopIfTrue="1" operator="between">
      <formula>"Check"</formula>
      <formula>"Check"</formula>
    </cfRule>
  </conditionalFormatting>
  <conditionalFormatting sqref="R1861">
    <cfRule type="cellIs" dxfId="1" priority="1849" stopIfTrue="1" operator="between">
      <formula>"Check"</formula>
      <formula>"Check"</formula>
    </cfRule>
  </conditionalFormatting>
  <conditionalFormatting sqref="R1862">
    <cfRule type="cellIs" dxfId="1" priority="1850" stopIfTrue="1" operator="between">
      <formula>"Check"</formula>
      <formula>"Check"</formula>
    </cfRule>
  </conditionalFormatting>
  <conditionalFormatting sqref="R1863">
    <cfRule type="cellIs" dxfId="1" priority="1851" stopIfTrue="1" operator="between">
      <formula>"Check"</formula>
      <formula>"Check"</formula>
    </cfRule>
  </conditionalFormatting>
  <conditionalFormatting sqref="R1864">
    <cfRule type="cellIs" dxfId="1" priority="1852" stopIfTrue="1" operator="between">
      <formula>"Check"</formula>
      <formula>"Check"</formula>
    </cfRule>
  </conditionalFormatting>
  <conditionalFormatting sqref="R1865">
    <cfRule type="cellIs" dxfId="1" priority="1853" stopIfTrue="1" operator="between">
      <formula>"Check"</formula>
      <formula>"Check"</formula>
    </cfRule>
  </conditionalFormatting>
  <conditionalFormatting sqref="R1866">
    <cfRule type="cellIs" dxfId="1" priority="1854" stopIfTrue="1" operator="between">
      <formula>"Check"</formula>
      <formula>"Check"</formula>
    </cfRule>
  </conditionalFormatting>
  <conditionalFormatting sqref="R1867">
    <cfRule type="cellIs" dxfId="1" priority="1855" stopIfTrue="1" operator="between">
      <formula>"Check"</formula>
      <formula>"Check"</formula>
    </cfRule>
  </conditionalFormatting>
  <conditionalFormatting sqref="R1868">
    <cfRule type="cellIs" dxfId="1" priority="1856" stopIfTrue="1" operator="between">
      <formula>"Check"</formula>
      <formula>"Check"</formula>
    </cfRule>
  </conditionalFormatting>
  <conditionalFormatting sqref="R1869">
    <cfRule type="cellIs" dxfId="1" priority="1857" stopIfTrue="1" operator="between">
      <formula>"Check"</formula>
      <formula>"Check"</formula>
    </cfRule>
  </conditionalFormatting>
  <conditionalFormatting sqref="R1870">
    <cfRule type="cellIs" dxfId="1" priority="1858" stopIfTrue="1" operator="between">
      <formula>"Check"</formula>
      <formula>"Check"</formula>
    </cfRule>
  </conditionalFormatting>
  <conditionalFormatting sqref="R1871">
    <cfRule type="cellIs" dxfId="1" priority="1859" stopIfTrue="1" operator="between">
      <formula>"Check"</formula>
      <formula>"Check"</formula>
    </cfRule>
  </conditionalFormatting>
  <conditionalFormatting sqref="R1872">
    <cfRule type="cellIs" dxfId="1" priority="1860" stopIfTrue="1" operator="between">
      <formula>"Check"</formula>
      <formula>"Check"</formula>
    </cfRule>
  </conditionalFormatting>
  <conditionalFormatting sqref="R1873">
    <cfRule type="cellIs" dxfId="1" priority="1861" stopIfTrue="1" operator="between">
      <formula>"Check"</formula>
      <formula>"Check"</formula>
    </cfRule>
  </conditionalFormatting>
  <conditionalFormatting sqref="R1874">
    <cfRule type="cellIs" dxfId="1" priority="1862" stopIfTrue="1" operator="between">
      <formula>"Check"</formula>
      <formula>"Check"</formula>
    </cfRule>
  </conditionalFormatting>
  <conditionalFormatting sqref="R1875">
    <cfRule type="cellIs" dxfId="1" priority="1863" stopIfTrue="1" operator="between">
      <formula>"Check"</formula>
      <formula>"Check"</formula>
    </cfRule>
  </conditionalFormatting>
  <conditionalFormatting sqref="R1876">
    <cfRule type="cellIs" dxfId="1" priority="1864" stopIfTrue="1" operator="between">
      <formula>"Check"</formula>
      <formula>"Check"</formula>
    </cfRule>
  </conditionalFormatting>
  <conditionalFormatting sqref="R1877">
    <cfRule type="cellIs" dxfId="1" priority="1865" stopIfTrue="1" operator="between">
      <formula>"Check"</formula>
      <formula>"Check"</formula>
    </cfRule>
  </conditionalFormatting>
  <conditionalFormatting sqref="R1878">
    <cfRule type="cellIs" dxfId="1" priority="1866" stopIfTrue="1" operator="between">
      <formula>"Check"</formula>
      <formula>"Check"</formula>
    </cfRule>
  </conditionalFormatting>
  <conditionalFormatting sqref="R1879">
    <cfRule type="cellIs" dxfId="1" priority="1867" stopIfTrue="1" operator="between">
      <formula>"Check"</formula>
      <formula>"Check"</formula>
    </cfRule>
  </conditionalFormatting>
  <conditionalFormatting sqref="R1880">
    <cfRule type="cellIs" dxfId="1" priority="1868" stopIfTrue="1" operator="between">
      <formula>"Check"</formula>
      <formula>"Check"</formula>
    </cfRule>
  </conditionalFormatting>
  <conditionalFormatting sqref="R1881">
    <cfRule type="cellIs" dxfId="1" priority="1869" stopIfTrue="1" operator="between">
      <formula>"Check"</formula>
      <formula>"Check"</formula>
    </cfRule>
  </conditionalFormatting>
  <conditionalFormatting sqref="R1882">
    <cfRule type="cellIs" dxfId="1" priority="1870" stopIfTrue="1" operator="between">
      <formula>"Check"</formula>
      <formula>"Check"</formula>
    </cfRule>
  </conditionalFormatting>
  <conditionalFormatting sqref="R1883">
    <cfRule type="cellIs" dxfId="1" priority="1871" stopIfTrue="1" operator="between">
      <formula>"Check"</formula>
      <formula>"Check"</formula>
    </cfRule>
  </conditionalFormatting>
  <conditionalFormatting sqref="R1884">
    <cfRule type="cellIs" dxfId="1" priority="1872" stopIfTrue="1" operator="between">
      <formula>"Check"</formula>
      <formula>"Check"</formula>
    </cfRule>
  </conditionalFormatting>
  <conditionalFormatting sqref="R1885">
    <cfRule type="cellIs" dxfId="1" priority="1873" stopIfTrue="1" operator="between">
      <formula>"Check"</formula>
      <formula>"Check"</formula>
    </cfRule>
  </conditionalFormatting>
  <conditionalFormatting sqref="R1886">
    <cfRule type="cellIs" dxfId="1" priority="1874" stopIfTrue="1" operator="between">
      <formula>"Check"</formula>
      <formula>"Check"</formula>
    </cfRule>
  </conditionalFormatting>
  <conditionalFormatting sqref="R1887">
    <cfRule type="cellIs" dxfId="1" priority="1875" stopIfTrue="1" operator="between">
      <formula>"Check"</formula>
      <formula>"Check"</formula>
    </cfRule>
  </conditionalFormatting>
  <conditionalFormatting sqref="R1888">
    <cfRule type="cellIs" dxfId="1" priority="1876" stopIfTrue="1" operator="between">
      <formula>"Check"</formula>
      <formula>"Check"</formula>
    </cfRule>
  </conditionalFormatting>
  <conditionalFormatting sqref="R1889">
    <cfRule type="cellIs" dxfId="1" priority="1877" stopIfTrue="1" operator="between">
      <formula>"Check"</formula>
      <formula>"Check"</formula>
    </cfRule>
  </conditionalFormatting>
  <conditionalFormatting sqref="R1890">
    <cfRule type="cellIs" dxfId="1" priority="1878" stopIfTrue="1" operator="between">
      <formula>"Check"</formula>
      <formula>"Check"</formula>
    </cfRule>
  </conditionalFormatting>
  <conditionalFormatting sqref="R1891">
    <cfRule type="cellIs" dxfId="1" priority="1879" stopIfTrue="1" operator="between">
      <formula>"Check"</formula>
      <formula>"Check"</formula>
    </cfRule>
  </conditionalFormatting>
  <conditionalFormatting sqref="R1892">
    <cfRule type="cellIs" dxfId="1" priority="1880" stopIfTrue="1" operator="between">
      <formula>"Check"</formula>
      <formula>"Check"</formula>
    </cfRule>
  </conditionalFormatting>
  <conditionalFormatting sqref="R1893">
    <cfRule type="cellIs" dxfId="1" priority="1881" stopIfTrue="1" operator="between">
      <formula>"Check"</formula>
      <formula>"Check"</formula>
    </cfRule>
  </conditionalFormatting>
  <conditionalFormatting sqref="R1894">
    <cfRule type="cellIs" dxfId="1" priority="1882" stopIfTrue="1" operator="between">
      <formula>"Check"</formula>
      <formula>"Check"</formula>
    </cfRule>
  </conditionalFormatting>
  <conditionalFormatting sqref="R1895">
    <cfRule type="cellIs" dxfId="1" priority="1883" stopIfTrue="1" operator="between">
      <formula>"Check"</formula>
      <formula>"Check"</formula>
    </cfRule>
  </conditionalFormatting>
  <conditionalFormatting sqref="R1896">
    <cfRule type="cellIs" dxfId="1" priority="1884" stopIfTrue="1" operator="between">
      <formula>"Check"</formula>
      <formula>"Check"</formula>
    </cfRule>
  </conditionalFormatting>
  <conditionalFormatting sqref="R1897">
    <cfRule type="cellIs" dxfId="1" priority="1885" stopIfTrue="1" operator="between">
      <formula>"Check"</formula>
      <formula>"Check"</formula>
    </cfRule>
  </conditionalFormatting>
  <conditionalFormatting sqref="R1898">
    <cfRule type="cellIs" dxfId="1" priority="1886" stopIfTrue="1" operator="between">
      <formula>"Check"</formula>
      <formula>"Check"</formula>
    </cfRule>
  </conditionalFormatting>
  <conditionalFormatting sqref="R1899">
    <cfRule type="cellIs" dxfId="1" priority="1887" stopIfTrue="1" operator="between">
      <formula>"Check"</formula>
      <formula>"Check"</formula>
    </cfRule>
  </conditionalFormatting>
  <conditionalFormatting sqref="R1900">
    <cfRule type="cellIs" dxfId="1" priority="1888" stopIfTrue="1" operator="between">
      <formula>"Check"</formula>
      <formula>"Check"</formula>
    </cfRule>
  </conditionalFormatting>
  <conditionalFormatting sqref="R1901">
    <cfRule type="cellIs" dxfId="1" priority="1889" stopIfTrue="1" operator="between">
      <formula>"Check"</formula>
      <formula>"Check"</formula>
    </cfRule>
  </conditionalFormatting>
  <conditionalFormatting sqref="R1902">
    <cfRule type="cellIs" dxfId="1" priority="1890" stopIfTrue="1" operator="between">
      <formula>"Check"</formula>
      <formula>"Check"</formula>
    </cfRule>
  </conditionalFormatting>
  <conditionalFormatting sqref="R1903">
    <cfRule type="cellIs" dxfId="1" priority="1891" stopIfTrue="1" operator="between">
      <formula>"Check"</formula>
      <formula>"Check"</formula>
    </cfRule>
  </conditionalFormatting>
  <conditionalFormatting sqref="R1904">
    <cfRule type="cellIs" dxfId="1" priority="1892" stopIfTrue="1" operator="between">
      <formula>"Check"</formula>
      <formula>"Check"</formula>
    </cfRule>
  </conditionalFormatting>
  <conditionalFormatting sqref="R1905">
    <cfRule type="cellIs" dxfId="1" priority="1893" stopIfTrue="1" operator="between">
      <formula>"Check"</formula>
      <formula>"Check"</formula>
    </cfRule>
  </conditionalFormatting>
  <conditionalFormatting sqref="R1906">
    <cfRule type="cellIs" dxfId="1" priority="1894" stopIfTrue="1" operator="between">
      <formula>"Check"</formula>
      <formula>"Check"</formula>
    </cfRule>
  </conditionalFormatting>
  <conditionalFormatting sqref="R1907">
    <cfRule type="cellIs" dxfId="1" priority="1895" stopIfTrue="1" operator="between">
      <formula>"Check"</formula>
      <formula>"Check"</formula>
    </cfRule>
  </conditionalFormatting>
  <conditionalFormatting sqref="R1908">
    <cfRule type="cellIs" dxfId="1" priority="1896" stopIfTrue="1" operator="between">
      <formula>"Check"</formula>
      <formula>"Check"</formula>
    </cfRule>
  </conditionalFormatting>
  <conditionalFormatting sqref="R1909">
    <cfRule type="cellIs" dxfId="1" priority="1897" stopIfTrue="1" operator="between">
      <formula>"Check"</formula>
      <formula>"Check"</formula>
    </cfRule>
  </conditionalFormatting>
  <conditionalFormatting sqref="R1910">
    <cfRule type="cellIs" dxfId="1" priority="1898" stopIfTrue="1" operator="between">
      <formula>"Check"</formula>
      <formula>"Check"</formula>
    </cfRule>
  </conditionalFormatting>
  <conditionalFormatting sqref="R1911">
    <cfRule type="cellIs" dxfId="1" priority="1899" stopIfTrue="1" operator="between">
      <formula>"Check"</formula>
      <formula>"Check"</formula>
    </cfRule>
  </conditionalFormatting>
  <conditionalFormatting sqref="R1912">
    <cfRule type="cellIs" dxfId="1" priority="1900" stopIfTrue="1" operator="between">
      <formula>"Check"</formula>
      <formula>"Check"</formula>
    </cfRule>
  </conditionalFormatting>
  <conditionalFormatting sqref="R1913">
    <cfRule type="cellIs" dxfId="1" priority="1901" stopIfTrue="1" operator="between">
      <formula>"Check"</formula>
      <formula>"Check"</formula>
    </cfRule>
  </conditionalFormatting>
  <conditionalFormatting sqref="R1914">
    <cfRule type="cellIs" dxfId="1" priority="1902" stopIfTrue="1" operator="between">
      <formula>"Check"</formula>
      <formula>"Check"</formula>
    </cfRule>
  </conditionalFormatting>
  <conditionalFormatting sqref="R1915">
    <cfRule type="cellIs" dxfId="1" priority="1903" stopIfTrue="1" operator="between">
      <formula>"Check"</formula>
      <formula>"Check"</formula>
    </cfRule>
  </conditionalFormatting>
  <conditionalFormatting sqref="R1916">
    <cfRule type="cellIs" dxfId="1" priority="1904" stopIfTrue="1" operator="between">
      <formula>"Check"</formula>
      <formula>"Check"</formula>
    </cfRule>
  </conditionalFormatting>
  <conditionalFormatting sqref="R1917">
    <cfRule type="cellIs" dxfId="1" priority="1905" stopIfTrue="1" operator="between">
      <formula>"Check"</formula>
      <formula>"Check"</formula>
    </cfRule>
  </conditionalFormatting>
  <conditionalFormatting sqref="R1918">
    <cfRule type="cellIs" dxfId="1" priority="1906" stopIfTrue="1" operator="between">
      <formula>"Check"</formula>
      <formula>"Check"</formula>
    </cfRule>
  </conditionalFormatting>
  <conditionalFormatting sqref="R1919">
    <cfRule type="cellIs" dxfId="1" priority="1907" stopIfTrue="1" operator="between">
      <formula>"Check"</formula>
      <formula>"Check"</formula>
    </cfRule>
  </conditionalFormatting>
  <conditionalFormatting sqref="R1920">
    <cfRule type="cellIs" dxfId="1" priority="1908" stopIfTrue="1" operator="between">
      <formula>"Check"</formula>
      <formula>"Check"</formula>
    </cfRule>
  </conditionalFormatting>
  <conditionalFormatting sqref="R1921">
    <cfRule type="cellIs" dxfId="1" priority="1909" stopIfTrue="1" operator="between">
      <formula>"Check"</formula>
      <formula>"Check"</formula>
    </cfRule>
  </conditionalFormatting>
  <conditionalFormatting sqref="R1922">
    <cfRule type="cellIs" dxfId="1" priority="1910" stopIfTrue="1" operator="between">
      <formula>"Check"</formula>
      <formula>"Check"</formula>
    </cfRule>
  </conditionalFormatting>
  <conditionalFormatting sqref="R1923">
    <cfRule type="cellIs" dxfId="1" priority="1911" stopIfTrue="1" operator="between">
      <formula>"Check"</formula>
      <formula>"Check"</formula>
    </cfRule>
  </conditionalFormatting>
  <conditionalFormatting sqref="R1924">
    <cfRule type="cellIs" dxfId="1" priority="1912" stopIfTrue="1" operator="between">
      <formula>"Check"</formula>
      <formula>"Check"</formula>
    </cfRule>
  </conditionalFormatting>
  <conditionalFormatting sqref="R1925">
    <cfRule type="cellIs" dxfId="1" priority="1913" stopIfTrue="1" operator="between">
      <formula>"Check"</formula>
      <formula>"Check"</formula>
    </cfRule>
  </conditionalFormatting>
  <conditionalFormatting sqref="R1926">
    <cfRule type="cellIs" dxfId="1" priority="1914" stopIfTrue="1" operator="between">
      <formula>"Check"</formula>
      <formula>"Check"</formula>
    </cfRule>
  </conditionalFormatting>
  <conditionalFormatting sqref="R1927">
    <cfRule type="cellIs" dxfId="1" priority="1915" stopIfTrue="1" operator="between">
      <formula>"Check"</formula>
      <formula>"Check"</formula>
    </cfRule>
  </conditionalFormatting>
  <conditionalFormatting sqref="R1928">
    <cfRule type="cellIs" dxfId="1" priority="1916" stopIfTrue="1" operator="between">
      <formula>"Check"</formula>
      <formula>"Check"</formula>
    </cfRule>
  </conditionalFormatting>
  <conditionalFormatting sqref="R1929">
    <cfRule type="cellIs" dxfId="1" priority="1917" stopIfTrue="1" operator="between">
      <formula>"Check"</formula>
      <formula>"Check"</formula>
    </cfRule>
  </conditionalFormatting>
  <conditionalFormatting sqref="R1930">
    <cfRule type="cellIs" dxfId="1" priority="1918" stopIfTrue="1" operator="between">
      <formula>"Check"</formula>
      <formula>"Check"</formula>
    </cfRule>
  </conditionalFormatting>
  <conditionalFormatting sqref="R1931">
    <cfRule type="cellIs" dxfId="1" priority="1919" stopIfTrue="1" operator="between">
      <formula>"Check"</formula>
      <formula>"Check"</formula>
    </cfRule>
  </conditionalFormatting>
  <conditionalFormatting sqref="R1932">
    <cfRule type="cellIs" dxfId="1" priority="1920" stopIfTrue="1" operator="between">
      <formula>"Check"</formula>
      <formula>"Check"</formula>
    </cfRule>
  </conditionalFormatting>
  <conditionalFormatting sqref="R1933">
    <cfRule type="cellIs" dxfId="1" priority="1921" stopIfTrue="1" operator="between">
      <formula>"Check"</formula>
      <formula>"Check"</formula>
    </cfRule>
  </conditionalFormatting>
  <conditionalFormatting sqref="R1934">
    <cfRule type="cellIs" dxfId="1" priority="1922" stopIfTrue="1" operator="between">
      <formula>"Check"</formula>
      <formula>"Check"</formula>
    </cfRule>
  </conditionalFormatting>
  <conditionalFormatting sqref="R1935">
    <cfRule type="cellIs" dxfId="1" priority="1923" stopIfTrue="1" operator="between">
      <formula>"Check"</formula>
      <formula>"Check"</formula>
    </cfRule>
  </conditionalFormatting>
  <conditionalFormatting sqref="R1936">
    <cfRule type="cellIs" dxfId="1" priority="1924" stopIfTrue="1" operator="between">
      <formula>"Check"</formula>
      <formula>"Check"</formula>
    </cfRule>
  </conditionalFormatting>
  <conditionalFormatting sqref="R1937">
    <cfRule type="cellIs" dxfId="1" priority="1925" stopIfTrue="1" operator="between">
      <formula>"Check"</formula>
      <formula>"Check"</formula>
    </cfRule>
  </conditionalFormatting>
  <conditionalFormatting sqref="R1938">
    <cfRule type="cellIs" dxfId="1" priority="1926" stopIfTrue="1" operator="between">
      <formula>"Check"</formula>
      <formula>"Check"</formula>
    </cfRule>
  </conditionalFormatting>
  <conditionalFormatting sqref="R1939">
    <cfRule type="cellIs" dxfId="1" priority="1927" stopIfTrue="1" operator="between">
      <formula>"Check"</formula>
      <formula>"Check"</formula>
    </cfRule>
  </conditionalFormatting>
  <conditionalFormatting sqref="R1940">
    <cfRule type="cellIs" dxfId="1" priority="1928" stopIfTrue="1" operator="between">
      <formula>"Check"</formula>
      <formula>"Check"</formula>
    </cfRule>
  </conditionalFormatting>
  <conditionalFormatting sqref="R1941">
    <cfRule type="cellIs" dxfId="1" priority="1929" stopIfTrue="1" operator="between">
      <formula>"Check"</formula>
      <formula>"Check"</formula>
    </cfRule>
  </conditionalFormatting>
  <conditionalFormatting sqref="R1942">
    <cfRule type="cellIs" dxfId="1" priority="1930" stopIfTrue="1" operator="between">
      <formula>"Check"</formula>
      <formula>"Check"</formula>
    </cfRule>
  </conditionalFormatting>
  <conditionalFormatting sqref="R1943">
    <cfRule type="cellIs" dxfId="1" priority="1931" stopIfTrue="1" operator="between">
      <formula>"Check"</formula>
      <formula>"Check"</formula>
    </cfRule>
  </conditionalFormatting>
  <conditionalFormatting sqref="R1944">
    <cfRule type="cellIs" dxfId="1" priority="1932" stopIfTrue="1" operator="between">
      <formula>"Check"</formula>
      <formula>"Check"</formula>
    </cfRule>
  </conditionalFormatting>
  <conditionalFormatting sqref="R1945">
    <cfRule type="cellIs" dxfId="1" priority="1933" stopIfTrue="1" operator="between">
      <formula>"Check"</formula>
      <formula>"Check"</formula>
    </cfRule>
  </conditionalFormatting>
  <conditionalFormatting sqref="R1946">
    <cfRule type="cellIs" dxfId="1" priority="1934" stopIfTrue="1" operator="between">
      <formula>"Check"</formula>
      <formula>"Check"</formula>
    </cfRule>
  </conditionalFormatting>
  <conditionalFormatting sqref="R1947">
    <cfRule type="cellIs" dxfId="1" priority="1935" stopIfTrue="1" operator="between">
      <formula>"Check"</formula>
      <formula>"Check"</formula>
    </cfRule>
  </conditionalFormatting>
  <conditionalFormatting sqref="R1948">
    <cfRule type="cellIs" dxfId="1" priority="1936" stopIfTrue="1" operator="between">
      <formula>"Check"</formula>
      <formula>"Check"</formula>
    </cfRule>
  </conditionalFormatting>
  <conditionalFormatting sqref="R1949">
    <cfRule type="cellIs" dxfId="1" priority="1937" stopIfTrue="1" operator="between">
      <formula>"Check"</formula>
      <formula>"Check"</formula>
    </cfRule>
  </conditionalFormatting>
  <conditionalFormatting sqref="R1950">
    <cfRule type="cellIs" dxfId="1" priority="1938" stopIfTrue="1" operator="between">
      <formula>"Check"</formula>
      <formula>"Check"</formula>
    </cfRule>
  </conditionalFormatting>
  <conditionalFormatting sqref="R1951">
    <cfRule type="cellIs" dxfId="1" priority="1939" stopIfTrue="1" operator="between">
      <formula>"Check"</formula>
      <formula>"Check"</formula>
    </cfRule>
  </conditionalFormatting>
  <conditionalFormatting sqref="R1952">
    <cfRule type="cellIs" dxfId="1" priority="1940" stopIfTrue="1" operator="between">
      <formula>"Check"</formula>
      <formula>"Check"</formula>
    </cfRule>
  </conditionalFormatting>
  <conditionalFormatting sqref="R1953">
    <cfRule type="cellIs" dxfId="1" priority="1941" stopIfTrue="1" operator="between">
      <formula>"Check"</formula>
      <formula>"Check"</formula>
    </cfRule>
  </conditionalFormatting>
  <conditionalFormatting sqref="R1954">
    <cfRule type="cellIs" dxfId="1" priority="1942" stopIfTrue="1" operator="between">
      <formula>"Check"</formula>
      <formula>"Check"</formula>
    </cfRule>
  </conditionalFormatting>
  <conditionalFormatting sqref="R1955">
    <cfRule type="cellIs" dxfId="1" priority="1943" stopIfTrue="1" operator="between">
      <formula>"Check"</formula>
      <formula>"Check"</formula>
    </cfRule>
  </conditionalFormatting>
  <conditionalFormatting sqref="R1956">
    <cfRule type="cellIs" dxfId="1" priority="1944" stopIfTrue="1" operator="between">
      <formula>"Check"</formula>
      <formula>"Check"</formula>
    </cfRule>
  </conditionalFormatting>
  <conditionalFormatting sqref="R1957">
    <cfRule type="cellIs" dxfId="1" priority="1945" stopIfTrue="1" operator="between">
      <formula>"Check"</formula>
      <formula>"Check"</formula>
    </cfRule>
  </conditionalFormatting>
  <conditionalFormatting sqref="R1958">
    <cfRule type="cellIs" dxfId="1" priority="1946" stopIfTrue="1" operator="between">
      <formula>"Check"</formula>
      <formula>"Check"</formula>
    </cfRule>
  </conditionalFormatting>
  <conditionalFormatting sqref="R1959">
    <cfRule type="cellIs" dxfId="1" priority="1947" stopIfTrue="1" operator="between">
      <formula>"Check"</formula>
      <formula>"Check"</formula>
    </cfRule>
  </conditionalFormatting>
  <conditionalFormatting sqref="R1960">
    <cfRule type="cellIs" dxfId="1" priority="1948" stopIfTrue="1" operator="between">
      <formula>"Check"</formula>
      <formula>"Check"</formula>
    </cfRule>
  </conditionalFormatting>
  <conditionalFormatting sqref="R1961">
    <cfRule type="cellIs" dxfId="1" priority="1949" stopIfTrue="1" operator="between">
      <formula>"Check"</formula>
      <formula>"Check"</formula>
    </cfRule>
  </conditionalFormatting>
  <conditionalFormatting sqref="R1962">
    <cfRule type="cellIs" dxfId="1" priority="1950" stopIfTrue="1" operator="between">
      <formula>"Check"</formula>
      <formula>"Check"</formula>
    </cfRule>
  </conditionalFormatting>
  <conditionalFormatting sqref="R1963">
    <cfRule type="cellIs" dxfId="1" priority="1951" stopIfTrue="1" operator="between">
      <formula>"Check"</formula>
      <formula>"Check"</formula>
    </cfRule>
  </conditionalFormatting>
  <conditionalFormatting sqref="R1964">
    <cfRule type="cellIs" dxfId="1" priority="1952" stopIfTrue="1" operator="between">
      <formula>"Check"</formula>
      <formula>"Check"</formula>
    </cfRule>
  </conditionalFormatting>
  <conditionalFormatting sqref="R1965">
    <cfRule type="cellIs" dxfId="1" priority="1953" stopIfTrue="1" operator="between">
      <formula>"Check"</formula>
      <formula>"Check"</formula>
    </cfRule>
  </conditionalFormatting>
  <conditionalFormatting sqref="R1966">
    <cfRule type="cellIs" dxfId="1" priority="1954" stopIfTrue="1" operator="between">
      <formula>"Check"</formula>
      <formula>"Check"</formula>
    </cfRule>
  </conditionalFormatting>
  <conditionalFormatting sqref="R1967">
    <cfRule type="cellIs" dxfId="1" priority="1955" stopIfTrue="1" operator="between">
      <formula>"Check"</formula>
      <formula>"Check"</formula>
    </cfRule>
  </conditionalFormatting>
  <conditionalFormatting sqref="R1968">
    <cfRule type="cellIs" dxfId="1" priority="1956" stopIfTrue="1" operator="between">
      <formula>"Check"</formula>
      <formula>"Check"</formula>
    </cfRule>
  </conditionalFormatting>
  <conditionalFormatting sqref="R1969">
    <cfRule type="cellIs" dxfId="1" priority="1957" stopIfTrue="1" operator="between">
      <formula>"Check"</formula>
      <formula>"Check"</formula>
    </cfRule>
  </conditionalFormatting>
  <conditionalFormatting sqref="R1970">
    <cfRule type="cellIs" dxfId="1" priority="1958" stopIfTrue="1" operator="between">
      <formula>"Check"</formula>
      <formula>"Check"</formula>
    </cfRule>
  </conditionalFormatting>
  <conditionalFormatting sqref="R1971">
    <cfRule type="cellIs" dxfId="1" priority="1959" stopIfTrue="1" operator="between">
      <formula>"Check"</formula>
      <formula>"Check"</formula>
    </cfRule>
  </conditionalFormatting>
  <conditionalFormatting sqref="R1972">
    <cfRule type="cellIs" dxfId="1" priority="1960" stopIfTrue="1" operator="between">
      <formula>"Check"</formula>
      <formula>"Check"</formula>
    </cfRule>
  </conditionalFormatting>
  <conditionalFormatting sqref="R1973">
    <cfRule type="cellIs" dxfId="1" priority="1961" stopIfTrue="1" operator="between">
      <formula>"Check"</formula>
      <formula>"Check"</formula>
    </cfRule>
  </conditionalFormatting>
  <conditionalFormatting sqref="R1974">
    <cfRule type="cellIs" dxfId="1" priority="1962" stopIfTrue="1" operator="between">
      <formula>"Check"</formula>
      <formula>"Check"</formula>
    </cfRule>
  </conditionalFormatting>
  <conditionalFormatting sqref="R1975">
    <cfRule type="cellIs" dxfId="1" priority="1963" stopIfTrue="1" operator="between">
      <formula>"Check"</formula>
      <formula>"Check"</formula>
    </cfRule>
  </conditionalFormatting>
  <conditionalFormatting sqref="R1976">
    <cfRule type="cellIs" dxfId="1" priority="1964" stopIfTrue="1" operator="between">
      <formula>"Check"</formula>
      <formula>"Check"</formula>
    </cfRule>
  </conditionalFormatting>
  <conditionalFormatting sqref="R1977">
    <cfRule type="cellIs" dxfId="1" priority="1965" stopIfTrue="1" operator="between">
      <formula>"Check"</formula>
      <formula>"Check"</formula>
    </cfRule>
  </conditionalFormatting>
  <conditionalFormatting sqref="R1978">
    <cfRule type="cellIs" dxfId="1" priority="1966" stopIfTrue="1" operator="between">
      <formula>"Check"</formula>
      <formula>"Check"</formula>
    </cfRule>
  </conditionalFormatting>
  <conditionalFormatting sqref="R1979">
    <cfRule type="cellIs" dxfId="1" priority="1967" stopIfTrue="1" operator="between">
      <formula>"Check"</formula>
      <formula>"Check"</formula>
    </cfRule>
  </conditionalFormatting>
  <conditionalFormatting sqref="R1980">
    <cfRule type="cellIs" dxfId="1" priority="1968" stopIfTrue="1" operator="between">
      <formula>"Check"</formula>
      <formula>"Check"</formula>
    </cfRule>
  </conditionalFormatting>
  <conditionalFormatting sqref="R1981">
    <cfRule type="cellIs" dxfId="1" priority="1969" stopIfTrue="1" operator="between">
      <formula>"Check"</formula>
      <formula>"Check"</formula>
    </cfRule>
  </conditionalFormatting>
  <conditionalFormatting sqref="R1982">
    <cfRule type="cellIs" dxfId="1" priority="1970" stopIfTrue="1" operator="between">
      <formula>"Check"</formula>
      <formula>"Check"</formula>
    </cfRule>
  </conditionalFormatting>
  <conditionalFormatting sqref="R1983">
    <cfRule type="cellIs" dxfId="1" priority="1971" stopIfTrue="1" operator="between">
      <formula>"Check"</formula>
      <formula>"Check"</formula>
    </cfRule>
  </conditionalFormatting>
  <conditionalFormatting sqref="R1984">
    <cfRule type="cellIs" dxfId="1" priority="1972" stopIfTrue="1" operator="between">
      <formula>"Check"</formula>
      <formula>"Check"</formula>
    </cfRule>
  </conditionalFormatting>
  <conditionalFormatting sqref="R1985">
    <cfRule type="cellIs" dxfId="1" priority="1973" stopIfTrue="1" operator="between">
      <formula>"Check"</formula>
      <formula>"Check"</formula>
    </cfRule>
  </conditionalFormatting>
  <conditionalFormatting sqref="R1986">
    <cfRule type="cellIs" dxfId="1" priority="1974" stopIfTrue="1" operator="between">
      <formula>"Check"</formula>
      <formula>"Check"</formula>
    </cfRule>
  </conditionalFormatting>
  <conditionalFormatting sqref="R1987">
    <cfRule type="cellIs" dxfId="1" priority="1975" stopIfTrue="1" operator="between">
      <formula>"Check"</formula>
      <formula>"Check"</formula>
    </cfRule>
  </conditionalFormatting>
  <conditionalFormatting sqref="R1988">
    <cfRule type="cellIs" dxfId="1" priority="1976" stopIfTrue="1" operator="between">
      <formula>"Check"</formula>
      <formula>"Check"</formula>
    </cfRule>
  </conditionalFormatting>
  <conditionalFormatting sqref="R1989">
    <cfRule type="cellIs" dxfId="1" priority="1977" stopIfTrue="1" operator="between">
      <formula>"Check"</formula>
      <formula>"Check"</formula>
    </cfRule>
  </conditionalFormatting>
  <conditionalFormatting sqref="R1990">
    <cfRule type="cellIs" dxfId="1" priority="1978" stopIfTrue="1" operator="between">
      <formula>"Check"</formula>
      <formula>"Check"</formula>
    </cfRule>
  </conditionalFormatting>
  <conditionalFormatting sqref="R1991">
    <cfRule type="cellIs" dxfId="1" priority="1979" stopIfTrue="1" operator="between">
      <formula>"Check"</formula>
      <formula>"Check"</formula>
    </cfRule>
  </conditionalFormatting>
  <conditionalFormatting sqref="R1992">
    <cfRule type="cellIs" dxfId="1" priority="1980" stopIfTrue="1" operator="between">
      <formula>"Check"</formula>
      <formula>"Check"</formula>
    </cfRule>
  </conditionalFormatting>
  <conditionalFormatting sqref="R1993">
    <cfRule type="cellIs" dxfId="1" priority="1981" stopIfTrue="1" operator="between">
      <formula>"Check"</formula>
      <formula>"Check"</formula>
    </cfRule>
  </conditionalFormatting>
  <conditionalFormatting sqref="R1994">
    <cfRule type="cellIs" dxfId="1" priority="1982" stopIfTrue="1" operator="between">
      <formula>"Check"</formula>
      <formula>"Check"</formula>
    </cfRule>
  </conditionalFormatting>
  <conditionalFormatting sqref="R1995">
    <cfRule type="cellIs" dxfId="1" priority="1983" stopIfTrue="1" operator="between">
      <formula>"Check"</formula>
      <formula>"Check"</formula>
    </cfRule>
  </conditionalFormatting>
  <conditionalFormatting sqref="R1996">
    <cfRule type="cellIs" dxfId="1" priority="1984" stopIfTrue="1" operator="between">
      <formula>"Check"</formula>
      <formula>"Check"</formula>
    </cfRule>
  </conditionalFormatting>
  <conditionalFormatting sqref="R1997">
    <cfRule type="cellIs" dxfId="1" priority="1985" stopIfTrue="1" operator="between">
      <formula>"Check"</formula>
      <formula>"Check"</formula>
    </cfRule>
  </conditionalFormatting>
  <conditionalFormatting sqref="R1998">
    <cfRule type="cellIs" dxfId="1" priority="1986" stopIfTrue="1" operator="between">
      <formula>"Check"</formula>
      <formula>"Check"</formula>
    </cfRule>
  </conditionalFormatting>
  <conditionalFormatting sqref="R1999">
    <cfRule type="cellIs" dxfId="1" priority="1987" stopIfTrue="1" operator="between">
      <formula>"Check"</formula>
      <formula>"Check"</formula>
    </cfRule>
  </conditionalFormatting>
  <conditionalFormatting sqref="R2000">
    <cfRule type="cellIs" dxfId="1" priority="1988" stopIfTrue="1" operator="between">
      <formula>"Check"</formula>
      <formula>"Check"</formula>
    </cfRule>
  </conditionalFormatting>
  <conditionalFormatting sqref="R2001">
    <cfRule type="cellIs" dxfId="1" priority="1989" stopIfTrue="1" operator="between">
      <formula>"Check"</formula>
      <formula>"Check"</formula>
    </cfRule>
  </conditionalFormatting>
  <conditionalFormatting sqref="R2002">
    <cfRule type="cellIs" dxfId="1" priority="1990" stopIfTrue="1" operator="between">
      <formula>"Check"</formula>
      <formula>"Check"</formula>
    </cfRule>
  </conditionalFormatting>
  <conditionalFormatting sqref="R2003">
    <cfRule type="cellIs" dxfId="1" priority="1991" stopIfTrue="1" operator="between">
      <formula>"Check"</formula>
      <formula>"Check"</formula>
    </cfRule>
  </conditionalFormatting>
  <conditionalFormatting sqref="R2004">
    <cfRule type="cellIs" dxfId="1" priority="1992" stopIfTrue="1" operator="between">
      <formula>"Check"</formula>
      <formula>"Check"</formula>
    </cfRule>
  </conditionalFormatting>
  <conditionalFormatting sqref="R2005">
    <cfRule type="cellIs" dxfId="1" priority="1993" stopIfTrue="1" operator="between">
      <formula>"Check"</formula>
      <formula>"Check"</formula>
    </cfRule>
  </conditionalFormatting>
  <conditionalFormatting sqref="R2006">
    <cfRule type="cellIs" dxfId="1" priority="1994" stopIfTrue="1" operator="between">
      <formula>"Check"</formula>
      <formula>"Check"</formula>
    </cfRule>
  </conditionalFormatting>
  <conditionalFormatting sqref="R2007">
    <cfRule type="cellIs" dxfId="1" priority="1995" stopIfTrue="1" operator="between">
      <formula>"Check"</formula>
      <formula>"Check"</formula>
    </cfRule>
  </conditionalFormatting>
  <conditionalFormatting sqref="R2008">
    <cfRule type="cellIs" dxfId="1" priority="1996" stopIfTrue="1" operator="between">
      <formula>"Check"</formula>
      <formula>"Check"</formula>
    </cfRule>
  </conditionalFormatting>
  <conditionalFormatting sqref="R2009">
    <cfRule type="cellIs" dxfId="1" priority="1997" stopIfTrue="1" operator="between">
      <formula>"Check"</formula>
      <formula>"Check"</formula>
    </cfRule>
  </conditionalFormatting>
  <conditionalFormatting sqref="R2010">
    <cfRule type="cellIs" dxfId="1" priority="1998" stopIfTrue="1" operator="between">
      <formula>"Check"</formula>
      <formula>"Check"</formula>
    </cfRule>
  </conditionalFormatting>
  <conditionalFormatting sqref="R2011">
    <cfRule type="cellIs" dxfId="1" priority="1999" stopIfTrue="1" operator="between">
      <formula>"Check"</formula>
      <formula>"Check"</formula>
    </cfRule>
  </conditionalFormatting>
  <conditionalFormatting sqref="R2012">
    <cfRule type="cellIs" dxfId="1" priority="2000" stopIfTrue="1" operator="between">
      <formula>"Check"</formula>
      <formula>"Check"</formula>
    </cfRule>
  </conditionalFormatting>
  <conditionalFormatting sqref="R2013">
    <cfRule type="cellIs" dxfId="1" priority="2001" stopIfTrue="1" operator="between">
      <formula>"Check"</formula>
      <formula>"Check"</formula>
    </cfRule>
  </conditionalFormatting>
  <conditionalFormatting sqref="R2014">
    <cfRule type="cellIs" dxfId="1" priority="2002" stopIfTrue="1" operator="between">
      <formula>"Check"</formula>
      <formula>"Check"</formula>
    </cfRule>
  </conditionalFormatting>
  <conditionalFormatting sqref="R2015">
    <cfRule type="cellIs" dxfId="1" priority="2003" stopIfTrue="1" operator="between">
      <formula>"Check"</formula>
      <formula>"Check"</formula>
    </cfRule>
  </conditionalFormatting>
  <conditionalFormatting sqref="R2016">
    <cfRule type="cellIs" dxfId="1" priority="2004" stopIfTrue="1" operator="between">
      <formula>"Check"</formula>
      <formula>"Check"</formula>
    </cfRule>
  </conditionalFormatting>
  <conditionalFormatting sqref="R2017">
    <cfRule type="cellIs" dxfId="1" priority="2005" stopIfTrue="1" operator="between">
      <formula>"Check"</formula>
      <formula>"Check"</formula>
    </cfRule>
  </conditionalFormatting>
  <conditionalFormatting sqref="R2018">
    <cfRule type="cellIs" dxfId="1" priority="2006" stopIfTrue="1" operator="between">
      <formula>"Check"</formula>
      <formula>"Check"</formula>
    </cfRule>
  </conditionalFormatting>
  <conditionalFormatting sqref="R2019">
    <cfRule type="cellIs" dxfId="1" priority="2007" stopIfTrue="1" operator="between">
      <formula>"Check"</formula>
      <formula>"Check"</formula>
    </cfRule>
  </conditionalFormatting>
  <conditionalFormatting sqref="R2020">
    <cfRule type="cellIs" dxfId="1" priority="2008" stopIfTrue="1" operator="between">
      <formula>"Check"</formula>
      <formula>"Check"</formula>
    </cfRule>
  </conditionalFormatting>
  <conditionalFormatting sqref="R2021">
    <cfRule type="cellIs" dxfId="1" priority="2009" stopIfTrue="1" operator="between">
      <formula>"Check"</formula>
      <formula>"Check"</formula>
    </cfRule>
  </conditionalFormatting>
  <conditionalFormatting sqref="R2022">
    <cfRule type="cellIs" dxfId="1" priority="2010" stopIfTrue="1" operator="between">
      <formula>"Check"</formula>
      <formula>"Check"</formula>
    </cfRule>
  </conditionalFormatting>
  <conditionalFormatting sqref="R2023">
    <cfRule type="cellIs" dxfId="1" priority="2011" stopIfTrue="1" operator="between">
      <formula>"Check"</formula>
      <formula>"Check"</formula>
    </cfRule>
  </conditionalFormatting>
  <conditionalFormatting sqref="R2024">
    <cfRule type="cellIs" dxfId="1" priority="2012" stopIfTrue="1" operator="between">
      <formula>"Check"</formula>
      <formula>"Check"</formula>
    </cfRule>
  </conditionalFormatting>
  <conditionalFormatting sqref="R2025">
    <cfRule type="cellIs" dxfId="1" priority="2013" stopIfTrue="1" operator="between">
      <formula>"Check"</formula>
      <formula>"Check"</formula>
    </cfRule>
  </conditionalFormatting>
  <conditionalFormatting sqref="R2026">
    <cfRule type="cellIs" dxfId="1" priority="2014" stopIfTrue="1" operator="between">
      <formula>"Check"</formula>
      <formula>"Check"</formula>
    </cfRule>
  </conditionalFormatting>
  <conditionalFormatting sqref="R2027">
    <cfRule type="cellIs" dxfId="1" priority="2015" stopIfTrue="1" operator="between">
      <formula>"Check"</formula>
      <formula>"Check"</formula>
    </cfRule>
  </conditionalFormatting>
  <conditionalFormatting sqref="R2028">
    <cfRule type="cellIs" dxfId="1" priority="2016" stopIfTrue="1" operator="between">
      <formula>"Check"</formula>
      <formula>"Check"</formula>
    </cfRule>
  </conditionalFormatting>
  <conditionalFormatting sqref="R2029">
    <cfRule type="cellIs" dxfId="1" priority="2017" stopIfTrue="1" operator="between">
      <formula>"Check"</formula>
      <formula>"Check"</formula>
    </cfRule>
  </conditionalFormatting>
  <conditionalFormatting sqref="R2030">
    <cfRule type="cellIs" dxfId="1" priority="2018" stopIfTrue="1" operator="between">
      <formula>"Check"</formula>
      <formula>"Check"</formula>
    </cfRule>
  </conditionalFormatting>
  <conditionalFormatting sqref="R2031">
    <cfRule type="cellIs" dxfId="1" priority="2019" stopIfTrue="1" operator="between">
      <formula>"Check"</formula>
      <formula>"Check"</formula>
    </cfRule>
  </conditionalFormatting>
  <conditionalFormatting sqref="R2032">
    <cfRule type="cellIs" dxfId="1" priority="2020" stopIfTrue="1" operator="between">
      <formula>"Check"</formula>
      <formula>"Check"</formula>
    </cfRule>
  </conditionalFormatting>
  <conditionalFormatting sqref="R2033">
    <cfRule type="cellIs" dxfId="1" priority="2021" stopIfTrue="1" operator="between">
      <formula>"Check"</formula>
      <formula>"Check"</formula>
    </cfRule>
  </conditionalFormatting>
  <conditionalFormatting sqref="R2034">
    <cfRule type="cellIs" dxfId="1" priority="2022" stopIfTrue="1" operator="between">
      <formula>"Check"</formula>
      <formula>"Check"</formula>
    </cfRule>
  </conditionalFormatting>
  <conditionalFormatting sqref="R2035">
    <cfRule type="cellIs" dxfId="1" priority="2023" stopIfTrue="1" operator="between">
      <formula>"Check"</formula>
      <formula>"Check"</formula>
    </cfRule>
  </conditionalFormatting>
  <conditionalFormatting sqref="R2036">
    <cfRule type="cellIs" dxfId="1" priority="2024" stopIfTrue="1" operator="between">
      <formula>"Check"</formula>
      <formula>"Check"</formula>
    </cfRule>
  </conditionalFormatting>
  <conditionalFormatting sqref="R2037">
    <cfRule type="cellIs" dxfId="1" priority="2025" stopIfTrue="1" operator="between">
      <formula>"Check"</formula>
      <formula>"Check"</formula>
    </cfRule>
  </conditionalFormatting>
  <conditionalFormatting sqref="R2038">
    <cfRule type="cellIs" dxfId="1" priority="2026" stopIfTrue="1" operator="between">
      <formula>"Check"</formula>
      <formula>"Check"</formula>
    </cfRule>
  </conditionalFormatting>
  <conditionalFormatting sqref="R2039">
    <cfRule type="cellIs" dxfId="1" priority="2027" stopIfTrue="1" operator="between">
      <formula>"Check"</formula>
      <formula>"Check"</formula>
    </cfRule>
  </conditionalFormatting>
  <conditionalFormatting sqref="R2040">
    <cfRule type="cellIs" dxfId="1" priority="2028" stopIfTrue="1" operator="between">
      <formula>"Check"</formula>
      <formula>"Check"</formula>
    </cfRule>
  </conditionalFormatting>
  <conditionalFormatting sqref="R2041">
    <cfRule type="cellIs" dxfId="1" priority="2029" stopIfTrue="1" operator="between">
      <formula>"Check"</formula>
      <formula>"Check"</formula>
    </cfRule>
  </conditionalFormatting>
  <conditionalFormatting sqref="R2042">
    <cfRule type="cellIs" dxfId="1" priority="2030" stopIfTrue="1" operator="between">
      <formula>"Check"</formula>
      <formula>"Check"</formula>
    </cfRule>
  </conditionalFormatting>
  <conditionalFormatting sqref="R2043">
    <cfRule type="cellIs" dxfId="1" priority="2031" stopIfTrue="1" operator="between">
      <formula>"Check"</formula>
      <formula>"Check"</formula>
    </cfRule>
  </conditionalFormatting>
  <conditionalFormatting sqref="R2044">
    <cfRule type="cellIs" dxfId="1" priority="2032" stopIfTrue="1" operator="between">
      <formula>"Check"</formula>
      <formula>"Check"</formula>
    </cfRule>
  </conditionalFormatting>
  <conditionalFormatting sqref="R2045">
    <cfRule type="cellIs" dxfId="1" priority="2033" stopIfTrue="1" operator="between">
      <formula>"Check"</formula>
      <formula>"Check"</formula>
    </cfRule>
  </conditionalFormatting>
  <conditionalFormatting sqref="R2046">
    <cfRule type="cellIs" dxfId="1" priority="2034" stopIfTrue="1" operator="between">
      <formula>"Check"</formula>
      <formula>"Check"</formula>
    </cfRule>
  </conditionalFormatting>
  <conditionalFormatting sqref="R2047">
    <cfRule type="cellIs" dxfId="1" priority="2035" stopIfTrue="1" operator="between">
      <formula>"Check"</formula>
      <formula>"Check"</formula>
    </cfRule>
  </conditionalFormatting>
  <conditionalFormatting sqref="R2048">
    <cfRule type="cellIs" dxfId="1" priority="2036" stopIfTrue="1" operator="between">
      <formula>"Check"</formula>
      <formula>"Check"</formula>
    </cfRule>
  </conditionalFormatting>
  <conditionalFormatting sqref="R2049">
    <cfRule type="cellIs" dxfId="1" priority="2037" stopIfTrue="1" operator="between">
      <formula>"Check"</formula>
      <formula>"Check"</formula>
    </cfRule>
  </conditionalFormatting>
  <conditionalFormatting sqref="R2050">
    <cfRule type="cellIs" dxfId="1" priority="2038" stopIfTrue="1" operator="between">
      <formula>"Check"</formula>
      <formula>"Check"</formula>
    </cfRule>
  </conditionalFormatting>
  <conditionalFormatting sqref="R2051">
    <cfRule type="cellIs" dxfId="1" priority="2039" stopIfTrue="1" operator="between">
      <formula>"Check"</formula>
      <formula>"Check"</formula>
    </cfRule>
  </conditionalFormatting>
  <conditionalFormatting sqref="R2052">
    <cfRule type="cellIs" dxfId="1" priority="2040" stopIfTrue="1" operator="between">
      <formula>"Check"</formula>
      <formula>"Check"</formula>
    </cfRule>
  </conditionalFormatting>
  <conditionalFormatting sqref="R2053">
    <cfRule type="cellIs" dxfId="1" priority="2041" stopIfTrue="1" operator="between">
      <formula>"Check"</formula>
      <formula>"Check"</formula>
    </cfRule>
  </conditionalFormatting>
  <conditionalFormatting sqref="R2054">
    <cfRule type="cellIs" dxfId="1" priority="2042" stopIfTrue="1" operator="between">
      <formula>"Check"</formula>
      <formula>"Check"</formula>
    </cfRule>
  </conditionalFormatting>
  <conditionalFormatting sqref="R2055">
    <cfRule type="cellIs" dxfId="1" priority="2043" stopIfTrue="1" operator="between">
      <formula>"Check"</formula>
      <formula>"Check"</formula>
    </cfRule>
  </conditionalFormatting>
  <conditionalFormatting sqref="R2056">
    <cfRule type="cellIs" dxfId="1" priority="2044" stopIfTrue="1" operator="between">
      <formula>"Check"</formula>
      <formula>"Check"</formula>
    </cfRule>
  </conditionalFormatting>
  <conditionalFormatting sqref="R2057">
    <cfRule type="cellIs" dxfId="1" priority="2045" stopIfTrue="1" operator="between">
      <formula>"Check"</formula>
      <formula>"Check"</formula>
    </cfRule>
  </conditionalFormatting>
  <conditionalFormatting sqref="R2058">
    <cfRule type="cellIs" dxfId="1" priority="2046" stopIfTrue="1" operator="between">
      <formula>"Check"</formula>
      <formula>"Check"</formula>
    </cfRule>
  </conditionalFormatting>
  <conditionalFormatting sqref="R2059">
    <cfRule type="cellIs" dxfId="1" priority="2047" stopIfTrue="1" operator="between">
      <formula>"Check"</formula>
      <formula>"Check"</formula>
    </cfRule>
  </conditionalFormatting>
  <conditionalFormatting sqref="R2060">
    <cfRule type="cellIs" dxfId="1" priority="2048" stopIfTrue="1" operator="between">
      <formula>"Check"</formula>
      <formula>"Check"</formula>
    </cfRule>
  </conditionalFormatting>
  <conditionalFormatting sqref="R2061">
    <cfRule type="cellIs" dxfId="1" priority="2049" stopIfTrue="1" operator="between">
      <formula>"Check"</formula>
      <formula>"Check"</formula>
    </cfRule>
  </conditionalFormatting>
  <conditionalFormatting sqref="R2062">
    <cfRule type="cellIs" dxfId="1" priority="2050" stopIfTrue="1" operator="between">
      <formula>"Check"</formula>
      <formula>"Check"</formula>
    </cfRule>
  </conditionalFormatting>
  <conditionalFormatting sqref="R2063">
    <cfRule type="cellIs" dxfId="1" priority="2051" stopIfTrue="1" operator="between">
      <formula>"Check"</formula>
      <formula>"Check"</formula>
    </cfRule>
  </conditionalFormatting>
  <conditionalFormatting sqref="R2064">
    <cfRule type="cellIs" dxfId="1" priority="2052" stopIfTrue="1" operator="between">
      <formula>"Check"</formula>
      <formula>"Check"</formula>
    </cfRule>
  </conditionalFormatting>
  <conditionalFormatting sqref="R2065">
    <cfRule type="cellIs" dxfId="1" priority="2053" stopIfTrue="1" operator="between">
      <formula>"Check"</formula>
      <formula>"Check"</formula>
    </cfRule>
  </conditionalFormatting>
  <conditionalFormatting sqref="R2066">
    <cfRule type="cellIs" dxfId="1" priority="2054" stopIfTrue="1" operator="between">
      <formula>"Check"</formula>
      <formula>"Check"</formula>
    </cfRule>
  </conditionalFormatting>
  <conditionalFormatting sqref="R2067">
    <cfRule type="cellIs" dxfId="1" priority="2055" stopIfTrue="1" operator="between">
      <formula>"Check"</formula>
      <formula>"Check"</formula>
    </cfRule>
  </conditionalFormatting>
  <conditionalFormatting sqref="R2068">
    <cfRule type="cellIs" dxfId="1" priority="2056" stopIfTrue="1" operator="between">
      <formula>"Check"</formula>
      <formula>"Check"</formula>
    </cfRule>
  </conditionalFormatting>
  <conditionalFormatting sqref="R2069">
    <cfRule type="cellIs" dxfId="1" priority="2057" stopIfTrue="1" operator="between">
      <formula>"Check"</formula>
      <formula>"Check"</formula>
    </cfRule>
  </conditionalFormatting>
  <conditionalFormatting sqref="R2070">
    <cfRule type="cellIs" dxfId="1" priority="2058" stopIfTrue="1" operator="between">
      <formula>"Check"</formula>
      <formula>"Check"</formula>
    </cfRule>
  </conditionalFormatting>
  <conditionalFormatting sqref="R2071">
    <cfRule type="cellIs" dxfId="1" priority="2059" stopIfTrue="1" operator="between">
      <formula>"Check"</formula>
      <formula>"Check"</formula>
    </cfRule>
  </conditionalFormatting>
  <conditionalFormatting sqref="R2072">
    <cfRule type="cellIs" dxfId="1" priority="2060" stopIfTrue="1" operator="between">
      <formula>"Check"</formula>
      <formula>"Check"</formula>
    </cfRule>
  </conditionalFormatting>
  <conditionalFormatting sqref="R2073">
    <cfRule type="cellIs" dxfId="1" priority="2061" stopIfTrue="1" operator="between">
      <formula>"Check"</formula>
      <formula>"Check"</formula>
    </cfRule>
  </conditionalFormatting>
  <conditionalFormatting sqref="R2074">
    <cfRule type="cellIs" dxfId="1" priority="2062" stopIfTrue="1" operator="between">
      <formula>"Check"</formula>
      <formula>"Check"</formula>
    </cfRule>
  </conditionalFormatting>
  <conditionalFormatting sqref="R2075">
    <cfRule type="cellIs" dxfId="1" priority="2063" stopIfTrue="1" operator="between">
      <formula>"Check"</formula>
      <formula>"Check"</formula>
    </cfRule>
  </conditionalFormatting>
  <conditionalFormatting sqref="R2076">
    <cfRule type="cellIs" dxfId="1" priority="2064" stopIfTrue="1" operator="between">
      <formula>"Check"</formula>
      <formula>"Check"</formula>
    </cfRule>
  </conditionalFormatting>
  <conditionalFormatting sqref="R2077">
    <cfRule type="cellIs" dxfId="1" priority="2065" stopIfTrue="1" operator="between">
      <formula>"Check"</formula>
      <formula>"Check"</formula>
    </cfRule>
  </conditionalFormatting>
  <conditionalFormatting sqref="R2078">
    <cfRule type="cellIs" dxfId="1" priority="2066" stopIfTrue="1" operator="between">
      <formula>"Check"</formula>
      <formula>"Check"</formula>
    </cfRule>
  </conditionalFormatting>
  <conditionalFormatting sqref="R2079">
    <cfRule type="cellIs" dxfId="1" priority="2067" stopIfTrue="1" operator="between">
      <formula>"Check"</formula>
      <formula>"Check"</formula>
    </cfRule>
  </conditionalFormatting>
  <conditionalFormatting sqref="R2080">
    <cfRule type="cellIs" dxfId="1" priority="2068" stopIfTrue="1" operator="between">
      <formula>"Check"</formula>
      <formula>"Check"</formula>
    </cfRule>
  </conditionalFormatting>
  <conditionalFormatting sqref="R2081">
    <cfRule type="cellIs" dxfId="1" priority="2069" stopIfTrue="1" operator="between">
      <formula>"Check"</formula>
      <formula>"Check"</formula>
    </cfRule>
  </conditionalFormatting>
  <conditionalFormatting sqref="R2082">
    <cfRule type="cellIs" dxfId="1" priority="2070" stopIfTrue="1" operator="between">
      <formula>"Check"</formula>
      <formula>"Check"</formula>
    </cfRule>
  </conditionalFormatting>
  <conditionalFormatting sqref="R2083">
    <cfRule type="cellIs" dxfId="1" priority="2071" stopIfTrue="1" operator="between">
      <formula>"Check"</formula>
      <formula>"Check"</formula>
    </cfRule>
  </conditionalFormatting>
  <conditionalFormatting sqref="R2084">
    <cfRule type="cellIs" dxfId="1" priority="2072" stopIfTrue="1" operator="between">
      <formula>"Check"</formula>
      <formula>"Check"</formula>
    </cfRule>
  </conditionalFormatting>
  <conditionalFormatting sqref="R2085">
    <cfRule type="cellIs" dxfId="1" priority="2073" stopIfTrue="1" operator="between">
      <formula>"Check"</formula>
      <formula>"Check"</formula>
    </cfRule>
  </conditionalFormatting>
  <conditionalFormatting sqref="R2086">
    <cfRule type="cellIs" dxfId="1" priority="2074" stopIfTrue="1" operator="between">
      <formula>"Check"</formula>
      <formula>"Check"</formula>
    </cfRule>
  </conditionalFormatting>
  <conditionalFormatting sqref="R2087">
    <cfRule type="cellIs" dxfId="1" priority="2075" stopIfTrue="1" operator="between">
      <formula>"Check"</formula>
      <formula>"Check"</formula>
    </cfRule>
  </conditionalFormatting>
  <conditionalFormatting sqref="R2088">
    <cfRule type="cellIs" dxfId="1" priority="2076" stopIfTrue="1" operator="between">
      <formula>"Check"</formula>
      <formula>"Check"</formula>
    </cfRule>
  </conditionalFormatting>
  <conditionalFormatting sqref="R2089">
    <cfRule type="cellIs" dxfId="1" priority="2077" stopIfTrue="1" operator="between">
      <formula>"Check"</formula>
      <formula>"Check"</formula>
    </cfRule>
  </conditionalFormatting>
  <conditionalFormatting sqref="R2090">
    <cfRule type="cellIs" dxfId="1" priority="2078" stopIfTrue="1" operator="between">
      <formula>"Check"</formula>
      <formula>"Check"</formula>
    </cfRule>
  </conditionalFormatting>
  <conditionalFormatting sqref="R2091">
    <cfRule type="cellIs" dxfId="1" priority="2079" stopIfTrue="1" operator="between">
      <formula>"Check"</formula>
      <formula>"Check"</formula>
    </cfRule>
  </conditionalFormatting>
  <conditionalFormatting sqref="R2092">
    <cfRule type="cellIs" dxfId="1" priority="2080" stopIfTrue="1" operator="between">
      <formula>"Check"</formula>
      <formula>"Check"</formula>
    </cfRule>
  </conditionalFormatting>
  <conditionalFormatting sqref="R2093">
    <cfRule type="cellIs" dxfId="1" priority="2081" stopIfTrue="1" operator="between">
      <formula>"Check"</formula>
      <formula>"Check"</formula>
    </cfRule>
  </conditionalFormatting>
  <conditionalFormatting sqref="R2094">
    <cfRule type="cellIs" dxfId="1" priority="2082" stopIfTrue="1" operator="between">
      <formula>"Check"</formula>
      <formula>"Check"</formula>
    </cfRule>
  </conditionalFormatting>
  <conditionalFormatting sqref="R2095">
    <cfRule type="cellIs" dxfId="1" priority="2083" stopIfTrue="1" operator="between">
      <formula>"Check"</formula>
      <formula>"Check"</formula>
    </cfRule>
  </conditionalFormatting>
  <conditionalFormatting sqref="R2096">
    <cfRule type="cellIs" dxfId="1" priority="2084" stopIfTrue="1" operator="between">
      <formula>"Check"</formula>
      <formula>"Check"</formula>
    </cfRule>
  </conditionalFormatting>
  <conditionalFormatting sqref="R2097">
    <cfRule type="cellIs" dxfId="1" priority="2085" stopIfTrue="1" operator="between">
      <formula>"Check"</formula>
      <formula>"Check"</formula>
    </cfRule>
  </conditionalFormatting>
  <conditionalFormatting sqref="R2098">
    <cfRule type="cellIs" dxfId="1" priority="2086" stopIfTrue="1" operator="between">
      <formula>"Check"</formula>
      <formula>"Check"</formula>
    </cfRule>
  </conditionalFormatting>
  <conditionalFormatting sqref="R2099">
    <cfRule type="cellIs" dxfId="1" priority="2087" stopIfTrue="1" operator="between">
      <formula>"Check"</formula>
      <formula>"Check"</formula>
    </cfRule>
  </conditionalFormatting>
  <conditionalFormatting sqref="R2100">
    <cfRule type="cellIs" dxfId="1" priority="2088" stopIfTrue="1" operator="between">
      <formula>"Check"</formula>
      <formula>"Check"</formula>
    </cfRule>
  </conditionalFormatting>
  <conditionalFormatting sqref="R2101">
    <cfRule type="cellIs" dxfId="1" priority="2089" stopIfTrue="1" operator="between">
      <formula>"Check"</formula>
      <formula>"Check"</formula>
    </cfRule>
  </conditionalFormatting>
  <conditionalFormatting sqref="R2102">
    <cfRule type="cellIs" dxfId="1" priority="2090" stopIfTrue="1" operator="between">
      <formula>"Check"</formula>
      <formula>"Check"</formula>
    </cfRule>
  </conditionalFormatting>
  <conditionalFormatting sqref="R2103">
    <cfRule type="cellIs" dxfId="1" priority="2091" stopIfTrue="1" operator="between">
      <formula>"Check"</formula>
      <formula>"Check"</formula>
    </cfRule>
  </conditionalFormatting>
  <conditionalFormatting sqref="R2104">
    <cfRule type="cellIs" dxfId="1" priority="2092" stopIfTrue="1" operator="between">
      <formula>"Check"</formula>
      <formula>"Check"</formula>
    </cfRule>
  </conditionalFormatting>
  <conditionalFormatting sqref="R2105">
    <cfRule type="cellIs" dxfId="1" priority="2093" stopIfTrue="1" operator="between">
      <formula>"Check"</formula>
      <formula>"Check"</formula>
    </cfRule>
  </conditionalFormatting>
  <conditionalFormatting sqref="R2106">
    <cfRule type="cellIs" dxfId="1" priority="2094" stopIfTrue="1" operator="between">
      <formula>"Check"</formula>
      <formula>"Check"</formula>
    </cfRule>
  </conditionalFormatting>
  <conditionalFormatting sqref="R2107">
    <cfRule type="cellIs" dxfId="1" priority="2095" stopIfTrue="1" operator="between">
      <formula>"Check"</formula>
      <formula>"Check"</formula>
    </cfRule>
  </conditionalFormatting>
  <conditionalFormatting sqref="R2108">
    <cfRule type="cellIs" dxfId="1" priority="2096" stopIfTrue="1" operator="between">
      <formula>"Check"</formula>
      <formula>"Check"</formula>
    </cfRule>
  </conditionalFormatting>
  <conditionalFormatting sqref="R2109">
    <cfRule type="cellIs" dxfId="1" priority="2097" stopIfTrue="1" operator="between">
      <formula>"Check"</formula>
      <formula>"Check"</formula>
    </cfRule>
  </conditionalFormatting>
  <conditionalFormatting sqref="R2110">
    <cfRule type="cellIs" dxfId="1" priority="2098" stopIfTrue="1" operator="between">
      <formula>"Check"</formula>
      <formula>"Check"</formula>
    </cfRule>
  </conditionalFormatting>
  <conditionalFormatting sqref="R2111">
    <cfRule type="cellIs" dxfId="1" priority="2099" stopIfTrue="1" operator="between">
      <formula>"Check"</formula>
      <formula>"Check"</formula>
    </cfRule>
  </conditionalFormatting>
  <conditionalFormatting sqref="R2112">
    <cfRule type="cellIs" dxfId="1" priority="2100" stopIfTrue="1" operator="between">
      <formula>"Check"</formula>
      <formula>"Check"</formula>
    </cfRule>
  </conditionalFormatting>
  <conditionalFormatting sqref="R2113">
    <cfRule type="cellIs" dxfId="1" priority="2101" stopIfTrue="1" operator="between">
      <formula>"Check"</formula>
      <formula>"Check"</formula>
    </cfRule>
  </conditionalFormatting>
  <conditionalFormatting sqref="R2114">
    <cfRule type="cellIs" dxfId="1" priority="2102" stopIfTrue="1" operator="between">
      <formula>"Check"</formula>
      <formula>"Check"</formula>
    </cfRule>
  </conditionalFormatting>
  <conditionalFormatting sqref="R2115">
    <cfRule type="cellIs" dxfId="1" priority="2103" stopIfTrue="1" operator="between">
      <formula>"Check"</formula>
      <formula>"Check"</formula>
    </cfRule>
  </conditionalFormatting>
  <conditionalFormatting sqref="R2116">
    <cfRule type="cellIs" dxfId="1" priority="2104" stopIfTrue="1" operator="between">
      <formula>"Check"</formula>
      <formula>"Check"</formula>
    </cfRule>
  </conditionalFormatting>
  <conditionalFormatting sqref="R2117">
    <cfRule type="cellIs" dxfId="1" priority="2105" stopIfTrue="1" operator="between">
      <formula>"Check"</formula>
      <formula>"Check"</formula>
    </cfRule>
  </conditionalFormatting>
  <conditionalFormatting sqref="R2118">
    <cfRule type="cellIs" dxfId="1" priority="2106" stopIfTrue="1" operator="between">
      <formula>"Check"</formula>
      <formula>"Check"</formula>
    </cfRule>
  </conditionalFormatting>
  <conditionalFormatting sqref="R2119">
    <cfRule type="cellIs" dxfId="1" priority="2107" stopIfTrue="1" operator="between">
      <formula>"Check"</formula>
      <formula>"Check"</formula>
    </cfRule>
  </conditionalFormatting>
  <conditionalFormatting sqref="R2120">
    <cfRule type="cellIs" dxfId="1" priority="2108" stopIfTrue="1" operator="between">
      <formula>"Check"</formula>
      <formula>"Check"</formula>
    </cfRule>
  </conditionalFormatting>
  <conditionalFormatting sqref="R2121">
    <cfRule type="cellIs" dxfId="1" priority="2109" stopIfTrue="1" operator="between">
      <formula>"Check"</formula>
      <formula>"Check"</formula>
    </cfRule>
  </conditionalFormatting>
  <conditionalFormatting sqref="R2122">
    <cfRule type="cellIs" dxfId="1" priority="2110" stopIfTrue="1" operator="between">
      <formula>"Check"</formula>
      <formula>"Check"</formula>
    </cfRule>
  </conditionalFormatting>
  <conditionalFormatting sqref="R2123">
    <cfRule type="cellIs" dxfId="1" priority="2111" stopIfTrue="1" operator="between">
      <formula>"Check"</formula>
      <formula>"Check"</formula>
    </cfRule>
  </conditionalFormatting>
  <conditionalFormatting sqref="R2124">
    <cfRule type="cellIs" dxfId="1" priority="2112" stopIfTrue="1" operator="between">
      <formula>"Check"</formula>
      <formula>"Check"</formula>
    </cfRule>
  </conditionalFormatting>
  <conditionalFormatting sqref="R2125">
    <cfRule type="cellIs" dxfId="1" priority="2113" stopIfTrue="1" operator="between">
      <formula>"Check"</formula>
      <formula>"Check"</formula>
    </cfRule>
  </conditionalFormatting>
  <conditionalFormatting sqref="R2126">
    <cfRule type="cellIs" dxfId="1" priority="2114" stopIfTrue="1" operator="between">
      <formula>"Check"</formula>
      <formula>"Check"</formula>
    </cfRule>
  </conditionalFormatting>
  <conditionalFormatting sqref="R2127">
    <cfRule type="cellIs" dxfId="1" priority="2115" stopIfTrue="1" operator="between">
      <formula>"Check"</formula>
      <formula>"Check"</formula>
    </cfRule>
  </conditionalFormatting>
  <conditionalFormatting sqref="R2128">
    <cfRule type="cellIs" dxfId="1" priority="2116" stopIfTrue="1" operator="between">
      <formula>"Check"</formula>
      <formula>"Check"</formula>
    </cfRule>
  </conditionalFormatting>
  <conditionalFormatting sqref="R2129">
    <cfRule type="cellIs" dxfId="1" priority="2117" stopIfTrue="1" operator="between">
      <formula>"Check"</formula>
      <formula>"Check"</formula>
    </cfRule>
  </conditionalFormatting>
  <conditionalFormatting sqref="R2130">
    <cfRule type="cellIs" dxfId="1" priority="2118" stopIfTrue="1" operator="between">
      <formula>"Check"</formula>
      <formula>"Check"</formula>
    </cfRule>
  </conditionalFormatting>
  <conditionalFormatting sqref="R2131">
    <cfRule type="cellIs" dxfId="1" priority="2119" stopIfTrue="1" operator="between">
      <formula>"Check"</formula>
      <formula>"Check"</formula>
    </cfRule>
  </conditionalFormatting>
  <conditionalFormatting sqref="R2132">
    <cfRule type="cellIs" dxfId="1" priority="2120" stopIfTrue="1" operator="between">
      <formula>"Check"</formula>
      <formula>"Check"</formula>
    </cfRule>
  </conditionalFormatting>
  <conditionalFormatting sqref="R2133">
    <cfRule type="cellIs" dxfId="1" priority="2121" stopIfTrue="1" operator="between">
      <formula>"Check"</formula>
      <formula>"Check"</formula>
    </cfRule>
  </conditionalFormatting>
  <conditionalFormatting sqref="R2134">
    <cfRule type="cellIs" dxfId="1" priority="2122" stopIfTrue="1" operator="between">
      <formula>"Check"</formula>
      <formula>"Check"</formula>
    </cfRule>
  </conditionalFormatting>
  <conditionalFormatting sqref="R2135">
    <cfRule type="cellIs" dxfId="1" priority="2123" stopIfTrue="1" operator="between">
      <formula>"Check"</formula>
      <formula>"Check"</formula>
    </cfRule>
  </conditionalFormatting>
  <conditionalFormatting sqref="R2136">
    <cfRule type="cellIs" dxfId="1" priority="2124" stopIfTrue="1" operator="between">
      <formula>"Check"</formula>
      <formula>"Check"</formula>
    </cfRule>
  </conditionalFormatting>
  <conditionalFormatting sqref="R2137">
    <cfRule type="cellIs" dxfId="1" priority="2125" stopIfTrue="1" operator="between">
      <formula>"Check"</formula>
      <formula>"Check"</formula>
    </cfRule>
  </conditionalFormatting>
  <conditionalFormatting sqref="R2138">
    <cfRule type="cellIs" dxfId="1" priority="2126" stopIfTrue="1" operator="between">
      <formula>"Check"</formula>
      <formula>"Check"</formula>
    </cfRule>
  </conditionalFormatting>
  <conditionalFormatting sqref="R2139">
    <cfRule type="cellIs" dxfId="1" priority="2127" stopIfTrue="1" operator="between">
      <formula>"Check"</formula>
      <formula>"Check"</formula>
    </cfRule>
  </conditionalFormatting>
  <conditionalFormatting sqref="R2140">
    <cfRule type="cellIs" dxfId="1" priority="2128" stopIfTrue="1" operator="between">
      <formula>"Check"</formula>
      <formula>"Check"</formula>
    </cfRule>
  </conditionalFormatting>
  <conditionalFormatting sqref="R2141">
    <cfRule type="cellIs" dxfId="1" priority="2129" stopIfTrue="1" operator="between">
      <formula>"Check"</formula>
      <formula>"Check"</formula>
    </cfRule>
  </conditionalFormatting>
  <conditionalFormatting sqref="R2142">
    <cfRule type="cellIs" dxfId="1" priority="2130" stopIfTrue="1" operator="between">
      <formula>"Check"</formula>
      <formula>"Check"</formula>
    </cfRule>
  </conditionalFormatting>
  <conditionalFormatting sqref="R2143">
    <cfRule type="cellIs" dxfId="1" priority="2131" stopIfTrue="1" operator="between">
      <formula>"Check"</formula>
      <formula>"Check"</formula>
    </cfRule>
  </conditionalFormatting>
  <conditionalFormatting sqref="R2144">
    <cfRule type="cellIs" dxfId="1" priority="2132" stopIfTrue="1" operator="between">
      <formula>"Check"</formula>
      <formula>"Check"</formula>
    </cfRule>
  </conditionalFormatting>
  <conditionalFormatting sqref="R2145">
    <cfRule type="cellIs" dxfId="1" priority="2133" stopIfTrue="1" operator="between">
      <formula>"Check"</formula>
      <formula>"Check"</formula>
    </cfRule>
  </conditionalFormatting>
  <conditionalFormatting sqref="R2146">
    <cfRule type="cellIs" dxfId="1" priority="2134" stopIfTrue="1" operator="between">
      <formula>"Check"</formula>
      <formula>"Check"</formula>
    </cfRule>
  </conditionalFormatting>
  <conditionalFormatting sqref="R2147">
    <cfRule type="cellIs" dxfId="1" priority="2135" stopIfTrue="1" operator="between">
      <formula>"Check"</formula>
      <formula>"Check"</formula>
    </cfRule>
  </conditionalFormatting>
  <conditionalFormatting sqref="R2148">
    <cfRule type="cellIs" dxfId="1" priority="2136" stopIfTrue="1" operator="between">
      <formula>"Check"</formula>
      <formula>"Check"</formula>
    </cfRule>
  </conditionalFormatting>
  <conditionalFormatting sqref="R2149">
    <cfRule type="cellIs" dxfId="1" priority="2137" stopIfTrue="1" operator="between">
      <formula>"Check"</formula>
      <formula>"Check"</formula>
    </cfRule>
  </conditionalFormatting>
  <conditionalFormatting sqref="R2150">
    <cfRule type="cellIs" dxfId="1" priority="2138" stopIfTrue="1" operator="between">
      <formula>"Check"</formula>
      <formula>"Check"</formula>
    </cfRule>
  </conditionalFormatting>
  <conditionalFormatting sqref="R2151">
    <cfRule type="cellIs" dxfId="1" priority="2139" stopIfTrue="1" operator="between">
      <formula>"Check"</formula>
      <formula>"Check"</formula>
    </cfRule>
  </conditionalFormatting>
  <conditionalFormatting sqref="R2152">
    <cfRule type="cellIs" dxfId="1" priority="2140" stopIfTrue="1" operator="between">
      <formula>"Check"</formula>
      <formula>"Check"</formula>
    </cfRule>
  </conditionalFormatting>
  <conditionalFormatting sqref="R2153">
    <cfRule type="cellIs" dxfId="1" priority="2141" stopIfTrue="1" operator="between">
      <formula>"Check"</formula>
      <formula>"Check"</formula>
    </cfRule>
  </conditionalFormatting>
  <conditionalFormatting sqref="R2154">
    <cfRule type="cellIs" dxfId="1" priority="2142" stopIfTrue="1" operator="between">
      <formula>"Check"</formula>
      <formula>"Check"</formula>
    </cfRule>
  </conditionalFormatting>
  <conditionalFormatting sqref="R2155">
    <cfRule type="cellIs" dxfId="1" priority="2143" stopIfTrue="1" operator="between">
      <formula>"Check"</formula>
      <formula>"Check"</formula>
    </cfRule>
  </conditionalFormatting>
  <conditionalFormatting sqref="R2156">
    <cfRule type="cellIs" dxfId="1" priority="2144" stopIfTrue="1" operator="between">
      <formula>"Check"</formula>
      <formula>"Check"</formula>
    </cfRule>
  </conditionalFormatting>
  <conditionalFormatting sqref="R2157">
    <cfRule type="cellIs" dxfId="1" priority="2145" stopIfTrue="1" operator="between">
      <formula>"Check"</formula>
      <formula>"Check"</formula>
    </cfRule>
  </conditionalFormatting>
  <conditionalFormatting sqref="R2158">
    <cfRule type="cellIs" dxfId="1" priority="2146" stopIfTrue="1" operator="between">
      <formula>"Check"</formula>
      <formula>"Check"</formula>
    </cfRule>
  </conditionalFormatting>
  <conditionalFormatting sqref="R2159">
    <cfRule type="cellIs" dxfId="1" priority="2147" stopIfTrue="1" operator="between">
      <formula>"Check"</formula>
      <formula>"Check"</formula>
    </cfRule>
  </conditionalFormatting>
  <conditionalFormatting sqref="R2160">
    <cfRule type="cellIs" dxfId="1" priority="2148" stopIfTrue="1" operator="between">
      <formula>"Check"</formula>
      <formula>"Check"</formula>
    </cfRule>
  </conditionalFormatting>
  <conditionalFormatting sqref="R2161">
    <cfRule type="cellIs" dxfId="1" priority="2149" stopIfTrue="1" operator="between">
      <formula>"Check"</formula>
      <formula>"Check"</formula>
    </cfRule>
  </conditionalFormatting>
  <conditionalFormatting sqref="R2162">
    <cfRule type="cellIs" dxfId="1" priority="2150" stopIfTrue="1" operator="between">
      <formula>"Check"</formula>
      <formula>"Check"</formula>
    </cfRule>
  </conditionalFormatting>
  <conditionalFormatting sqref="R2163">
    <cfRule type="cellIs" dxfId="1" priority="2151" stopIfTrue="1" operator="between">
      <formula>"Check"</formula>
      <formula>"Check"</formula>
    </cfRule>
  </conditionalFormatting>
  <conditionalFormatting sqref="R2164">
    <cfRule type="cellIs" dxfId="1" priority="2152" stopIfTrue="1" operator="between">
      <formula>"Check"</formula>
      <formula>"Check"</formula>
    </cfRule>
  </conditionalFormatting>
  <conditionalFormatting sqref="R2165">
    <cfRule type="cellIs" dxfId="1" priority="2153" stopIfTrue="1" operator="between">
      <formula>"Check"</formula>
      <formula>"Check"</formula>
    </cfRule>
  </conditionalFormatting>
  <conditionalFormatting sqref="R2166">
    <cfRule type="cellIs" dxfId="1" priority="2154" stopIfTrue="1" operator="between">
      <formula>"Check"</formula>
      <formula>"Check"</formula>
    </cfRule>
  </conditionalFormatting>
  <conditionalFormatting sqref="R2167">
    <cfRule type="cellIs" dxfId="1" priority="2155" stopIfTrue="1" operator="between">
      <formula>"Check"</formula>
      <formula>"Check"</formula>
    </cfRule>
  </conditionalFormatting>
  <conditionalFormatting sqref="R2168">
    <cfRule type="cellIs" dxfId="1" priority="2156" stopIfTrue="1" operator="between">
      <formula>"Check"</formula>
      <formula>"Check"</formula>
    </cfRule>
  </conditionalFormatting>
  <conditionalFormatting sqref="R2169">
    <cfRule type="cellIs" dxfId="1" priority="2157" stopIfTrue="1" operator="between">
      <formula>"Check"</formula>
      <formula>"Check"</formula>
    </cfRule>
  </conditionalFormatting>
  <conditionalFormatting sqref="R2170">
    <cfRule type="cellIs" dxfId="1" priority="2158" stopIfTrue="1" operator="between">
      <formula>"Check"</formula>
      <formula>"Check"</formula>
    </cfRule>
  </conditionalFormatting>
  <conditionalFormatting sqref="R2171">
    <cfRule type="cellIs" dxfId="1" priority="2159" stopIfTrue="1" operator="between">
      <formula>"Check"</formula>
      <formula>"Check"</formula>
    </cfRule>
  </conditionalFormatting>
  <conditionalFormatting sqref="R2172">
    <cfRule type="cellIs" dxfId="1" priority="2160" stopIfTrue="1" operator="between">
      <formula>"Check"</formula>
      <formula>"Check"</formula>
    </cfRule>
  </conditionalFormatting>
  <conditionalFormatting sqref="R2173">
    <cfRule type="cellIs" dxfId="1" priority="2161" stopIfTrue="1" operator="between">
      <formula>"Check"</formula>
      <formula>"Check"</formula>
    </cfRule>
  </conditionalFormatting>
  <conditionalFormatting sqref="R2174">
    <cfRule type="cellIs" dxfId="1" priority="2162" stopIfTrue="1" operator="between">
      <formula>"Check"</formula>
      <formula>"Check"</formula>
    </cfRule>
  </conditionalFormatting>
  <conditionalFormatting sqref="R2175">
    <cfRule type="cellIs" dxfId="1" priority="2163" stopIfTrue="1" operator="between">
      <formula>"Check"</formula>
      <formula>"Check"</formula>
    </cfRule>
  </conditionalFormatting>
  <conditionalFormatting sqref="R2176">
    <cfRule type="cellIs" dxfId="1" priority="2164" stopIfTrue="1" operator="between">
      <formula>"Check"</formula>
      <formula>"Check"</formula>
    </cfRule>
  </conditionalFormatting>
  <conditionalFormatting sqref="R2177">
    <cfRule type="cellIs" dxfId="1" priority="2165" stopIfTrue="1" operator="between">
      <formula>"Check"</formula>
      <formula>"Check"</formula>
    </cfRule>
  </conditionalFormatting>
  <conditionalFormatting sqref="R2178">
    <cfRule type="cellIs" dxfId="1" priority="2166" stopIfTrue="1" operator="between">
      <formula>"Check"</formula>
      <formula>"Check"</formula>
    </cfRule>
  </conditionalFormatting>
  <conditionalFormatting sqref="R2179">
    <cfRule type="cellIs" dxfId="1" priority="2167" stopIfTrue="1" operator="between">
      <formula>"Check"</formula>
      <formula>"Check"</formula>
    </cfRule>
  </conditionalFormatting>
  <conditionalFormatting sqref="R2180">
    <cfRule type="cellIs" dxfId="1" priority="2168" stopIfTrue="1" operator="between">
      <formula>"Check"</formula>
      <formula>"Check"</formula>
    </cfRule>
  </conditionalFormatting>
  <conditionalFormatting sqref="R2181">
    <cfRule type="cellIs" dxfId="1" priority="2169" stopIfTrue="1" operator="between">
      <formula>"Check"</formula>
      <formula>"Check"</formula>
    </cfRule>
  </conditionalFormatting>
  <conditionalFormatting sqref="R2182">
    <cfRule type="cellIs" dxfId="1" priority="2170" stopIfTrue="1" operator="between">
      <formula>"Check"</formula>
      <formula>"Check"</formula>
    </cfRule>
  </conditionalFormatting>
  <conditionalFormatting sqref="R2183">
    <cfRule type="cellIs" dxfId="1" priority="2171" stopIfTrue="1" operator="between">
      <formula>"Check"</formula>
      <formula>"Check"</formula>
    </cfRule>
  </conditionalFormatting>
  <conditionalFormatting sqref="R2184">
    <cfRule type="cellIs" dxfId="1" priority="2172" stopIfTrue="1" operator="between">
      <formula>"Check"</formula>
      <formula>"Check"</formula>
    </cfRule>
  </conditionalFormatting>
  <conditionalFormatting sqref="R2185">
    <cfRule type="cellIs" dxfId="1" priority="2173" stopIfTrue="1" operator="between">
      <formula>"Check"</formula>
      <formula>"Check"</formula>
    </cfRule>
  </conditionalFormatting>
  <conditionalFormatting sqref="R2186">
    <cfRule type="cellIs" dxfId="1" priority="2174" stopIfTrue="1" operator="between">
      <formula>"Check"</formula>
      <formula>"Check"</formula>
    </cfRule>
  </conditionalFormatting>
  <conditionalFormatting sqref="R2187">
    <cfRule type="cellIs" dxfId="1" priority="2175" stopIfTrue="1" operator="between">
      <formula>"Check"</formula>
      <formula>"Check"</formula>
    </cfRule>
  </conditionalFormatting>
  <conditionalFormatting sqref="R2188">
    <cfRule type="cellIs" dxfId="1" priority="2176" stopIfTrue="1" operator="between">
      <formula>"Check"</formula>
      <formula>"Check"</formula>
    </cfRule>
  </conditionalFormatting>
  <conditionalFormatting sqref="R2189">
    <cfRule type="cellIs" dxfId="1" priority="2177" stopIfTrue="1" operator="between">
      <formula>"Check"</formula>
      <formula>"Check"</formula>
    </cfRule>
  </conditionalFormatting>
  <conditionalFormatting sqref="R2190">
    <cfRule type="cellIs" dxfId="1" priority="2178" stopIfTrue="1" operator="between">
      <formula>"Check"</formula>
      <formula>"Check"</formula>
    </cfRule>
  </conditionalFormatting>
  <conditionalFormatting sqref="R2191">
    <cfRule type="cellIs" dxfId="1" priority="2179" stopIfTrue="1" operator="between">
      <formula>"Check"</formula>
      <formula>"Check"</formula>
    </cfRule>
  </conditionalFormatting>
  <conditionalFormatting sqref="R2192">
    <cfRule type="cellIs" dxfId="1" priority="2180" stopIfTrue="1" operator="between">
      <formula>"Check"</formula>
      <formula>"Check"</formula>
    </cfRule>
  </conditionalFormatting>
  <conditionalFormatting sqref="R2193">
    <cfRule type="cellIs" dxfId="1" priority="2181" stopIfTrue="1" operator="between">
      <formula>"Check"</formula>
      <formula>"Check"</formula>
    </cfRule>
  </conditionalFormatting>
  <conditionalFormatting sqref="R2194">
    <cfRule type="cellIs" dxfId="1" priority="2182" stopIfTrue="1" operator="between">
      <formula>"Check"</formula>
      <formula>"Check"</formula>
    </cfRule>
  </conditionalFormatting>
  <conditionalFormatting sqref="R2195">
    <cfRule type="cellIs" dxfId="1" priority="2183" stopIfTrue="1" operator="between">
      <formula>"Check"</formula>
      <formula>"Check"</formula>
    </cfRule>
  </conditionalFormatting>
  <conditionalFormatting sqref="R2196">
    <cfRule type="cellIs" dxfId="1" priority="2184" stopIfTrue="1" operator="between">
      <formula>"Check"</formula>
      <formula>"Check"</formula>
    </cfRule>
  </conditionalFormatting>
  <conditionalFormatting sqref="R2197">
    <cfRule type="cellIs" dxfId="1" priority="2185" stopIfTrue="1" operator="between">
      <formula>"Check"</formula>
      <formula>"Check"</formula>
    </cfRule>
  </conditionalFormatting>
  <conditionalFormatting sqref="R2198">
    <cfRule type="cellIs" dxfId="1" priority="2186" stopIfTrue="1" operator="between">
      <formula>"Check"</formula>
      <formula>"Check"</formula>
    </cfRule>
  </conditionalFormatting>
  <conditionalFormatting sqref="R2199">
    <cfRule type="cellIs" dxfId="1" priority="2187" stopIfTrue="1" operator="between">
      <formula>"Check"</formula>
      <formula>"Check"</formula>
    </cfRule>
  </conditionalFormatting>
  <conditionalFormatting sqref="R2200">
    <cfRule type="cellIs" dxfId="1" priority="2188" stopIfTrue="1" operator="between">
      <formula>"Check"</formula>
      <formula>"Check"</formula>
    </cfRule>
  </conditionalFormatting>
  <conditionalFormatting sqref="R2201">
    <cfRule type="cellIs" dxfId="1" priority="2189" stopIfTrue="1" operator="between">
      <formula>"Check"</formula>
      <formula>"Check"</formula>
    </cfRule>
  </conditionalFormatting>
  <conditionalFormatting sqref="R2202">
    <cfRule type="cellIs" dxfId="1" priority="2190" stopIfTrue="1" operator="between">
      <formula>"Check"</formula>
      <formula>"Check"</formula>
    </cfRule>
  </conditionalFormatting>
  <conditionalFormatting sqref="R2203">
    <cfRule type="cellIs" dxfId="1" priority="2191" stopIfTrue="1" operator="between">
      <formula>"Check"</formula>
      <formula>"Check"</formula>
    </cfRule>
  </conditionalFormatting>
  <conditionalFormatting sqref="R2204">
    <cfRule type="cellIs" dxfId="1" priority="2192" stopIfTrue="1" operator="between">
      <formula>"Check"</formula>
      <formula>"Check"</formula>
    </cfRule>
  </conditionalFormatting>
  <conditionalFormatting sqref="R2205">
    <cfRule type="cellIs" dxfId="1" priority="2193" stopIfTrue="1" operator="between">
      <formula>"Check"</formula>
      <formula>"Check"</formula>
    </cfRule>
  </conditionalFormatting>
  <conditionalFormatting sqref="R2206">
    <cfRule type="cellIs" dxfId="1" priority="2194" stopIfTrue="1" operator="between">
      <formula>"Check"</formula>
      <formula>"Check"</formula>
    </cfRule>
  </conditionalFormatting>
  <conditionalFormatting sqref="R2207">
    <cfRule type="cellIs" dxfId="1" priority="2195" stopIfTrue="1" operator="between">
      <formula>"Check"</formula>
      <formula>"Check"</formula>
    </cfRule>
  </conditionalFormatting>
  <conditionalFormatting sqref="R2208">
    <cfRule type="cellIs" dxfId="1" priority="2196" stopIfTrue="1" operator="between">
      <formula>"Check"</formula>
      <formula>"Check"</formula>
    </cfRule>
  </conditionalFormatting>
  <conditionalFormatting sqref="R2209">
    <cfRule type="cellIs" dxfId="1" priority="2197" stopIfTrue="1" operator="between">
      <formula>"Check"</formula>
      <formula>"Check"</formula>
    </cfRule>
  </conditionalFormatting>
  <conditionalFormatting sqref="R2210">
    <cfRule type="cellIs" dxfId="1" priority="2198" stopIfTrue="1" operator="between">
      <formula>"Check"</formula>
      <formula>"Check"</formula>
    </cfRule>
  </conditionalFormatting>
  <conditionalFormatting sqref="R2211">
    <cfRule type="cellIs" dxfId="1" priority="2199" stopIfTrue="1" operator="between">
      <formula>"Check"</formula>
      <formula>"Check"</formula>
    </cfRule>
  </conditionalFormatting>
  <conditionalFormatting sqref="R2212">
    <cfRule type="cellIs" dxfId="1" priority="2200" stopIfTrue="1" operator="between">
      <formula>"Check"</formula>
      <formula>"Check"</formula>
    </cfRule>
  </conditionalFormatting>
  <conditionalFormatting sqref="R2213">
    <cfRule type="cellIs" dxfId="1" priority="2201" stopIfTrue="1" operator="between">
      <formula>"Check"</formula>
      <formula>"Check"</formula>
    </cfRule>
  </conditionalFormatting>
  <conditionalFormatting sqref="R2214">
    <cfRule type="cellIs" dxfId="1" priority="2202" stopIfTrue="1" operator="between">
      <formula>"Check"</formula>
      <formula>"Check"</formula>
    </cfRule>
  </conditionalFormatting>
  <conditionalFormatting sqref="R2215">
    <cfRule type="cellIs" dxfId="1" priority="2203" stopIfTrue="1" operator="between">
      <formula>"Check"</formula>
      <formula>"Check"</formula>
    </cfRule>
  </conditionalFormatting>
  <conditionalFormatting sqref="R2216">
    <cfRule type="cellIs" dxfId="1" priority="2204" stopIfTrue="1" operator="between">
      <formula>"Check"</formula>
      <formula>"Check"</formula>
    </cfRule>
  </conditionalFormatting>
  <conditionalFormatting sqref="R2217">
    <cfRule type="cellIs" dxfId="1" priority="2205" stopIfTrue="1" operator="between">
      <formula>"Check"</formula>
      <formula>"Check"</formula>
    </cfRule>
  </conditionalFormatting>
  <conditionalFormatting sqref="R2218">
    <cfRule type="cellIs" dxfId="1" priority="2206" stopIfTrue="1" operator="between">
      <formula>"Check"</formula>
      <formula>"Check"</formula>
    </cfRule>
  </conditionalFormatting>
  <conditionalFormatting sqref="R2219">
    <cfRule type="cellIs" dxfId="1" priority="2207" stopIfTrue="1" operator="between">
      <formula>"Check"</formula>
      <formula>"Check"</formula>
    </cfRule>
  </conditionalFormatting>
  <conditionalFormatting sqref="R2220">
    <cfRule type="cellIs" dxfId="1" priority="2208" stopIfTrue="1" operator="between">
      <formula>"Check"</formula>
      <formula>"Check"</formula>
    </cfRule>
  </conditionalFormatting>
  <conditionalFormatting sqref="R2221">
    <cfRule type="cellIs" dxfId="1" priority="2209" stopIfTrue="1" operator="between">
      <formula>"Check"</formula>
      <formula>"Check"</formula>
    </cfRule>
  </conditionalFormatting>
  <conditionalFormatting sqref="R2222">
    <cfRule type="cellIs" dxfId="1" priority="2210" stopIfTrue="1" operator="between">
      <formula>"Check"</formula>
      <formula>"Check"</formula>
    </cfRule>
  </conditionalFormatting>
  <conditionalFormatting sqref="R2223">
    <cfRule type="cellIs" dxfId="1" priority="2211" stopIfTrue="1" operator="between">
      <formula>"Check"</formula>
      <formula>"Check"</formula>
    </cfRule>
  </conditionalFormatting>
  <conditionalFormatting sqref="R2224">
    <cfRule type="cellIs" dxfId="1" priority="2212" stopIfTrue="1" operator="between">
      <formula>"Check"</formula>
      <formula>"Check"</formula>
    </cfRule>
  </conditionalFormatting>
  <conditionalFormatting sqref="R2225">
    <cfRule type="cellIs" dxfId="1" priority="2213" stopIfTrue="1" operator="between">
      <formula>"Check"</formula>
      <formula>"Check"</formula>
    </cfRule>
  </conditionalFormatting>
  <conditionalFormatting sqref="R2226">
    <cfRule type="cellIs" dxfId="1" priority="2214" stopIfTrue="1" operator="between">
      <formula>"Check"</formula>
      <formula>"Check"</formula>
    </cfRule>
  </conditionalFormatting>
  <conditionalFormatting sqref="R2227">
    <cfRule type="cellIs" dxfId="1" priority="2215" stopIfTrue="1" operator="between">
      <formula>"Check"</formula>
      <formula>"Check"</formula>
    </cfRule>
  </conditionalFormatting>
  <conditionalFormatting sqref="R2228">
    <cfRule type="cellIs" dxfId="1" priority="2216" stopIfTrue="1" operator="between">
      <formula>"Check"</formula>
      <formula>"Check"</formula>
    </cfRule>
  </conditionalFormatting>
  <conditionalFormatting sqref="R2229">
    <cfRule type="cellIs" dxfId="1" priority="2217" stopIfTrue="1" operator="between">
      <formula>"Check"</formula>
      <formula>"Check"</formula>
    </cfRule>
  </conditionalFormatting>
  <conditionalFormatting sqref="R2230">
    <cfRule type="cellIs" dxfId="1" priority="2218" stopIfTrue="1" operator="between">
      <formula>"Check"</formula>
      <formula>"Check"</formula>
    </cfRule>
  </conditionalFormatting>
  <conditionalFormatting sqref="R2231">
    <cfRule type="cellIs" dxfId="1" priority="2219" stopIfTrue="1" operator="between">
      <formula>"Check"</formula>
      <formula>"Check"</formula>
    </cfRule>
  </conditionalFormatting>
  <conditionalFormatting sqref="R2232">
    <cfRule type="cellIs" dxfId="1" priority="2220" stopIfTrue="1" operator="between">
      <formula>"Check"</formula>
      <formula>"Check"</formula>
    </cfRule>
  </conditionalFormatting>
  <conditionalFormatting sqref="R2233">
    <cfRule type="cellIs" dxfId="1" priority="2221" stopIfTrue="1" operator="between">
      <formula>"Check"</formula>
      <formula>"Check"</formula>
    </cfRule>
  </conditionalFormatting>
  <conditionalFormatting sqref="R2234">
    <cfRule type="cellIs" dxfId="1" priority="2222" stopIfTrue="1" operator="between">
      <formula>"Check"</formula>
      <formula>"Check"</formula>
    </cfRule>
  </conditionalFormatting>
  <conditionalFormatting sqref="R2235">
    <cfRule type="cellIs" dxfId="1" priority="2223" stopIfTrue="1" operator="between">
      <formula>"Check"</formula>
      <formula>"Check"</formula>
    </cfRule>
  </conditionalFormatting>
  <conditionalFormatting sqref="R2236">
    <cfRule type="cellIs" dxfId="1" priority="2224" stopIfTrue="1" operator="between">
      <formula>"Check"</formula>
      <formula>"Check"</formula>
    </cfRule>
  </conditionalFormatting>
  <conditionalFormatting sqref="R2237">
    <cfRule type="cellIs" dxfId="1" priority="2225" stopIfTrue="1" operator="between">
      <formula>"Check"</formula>
      <formula>"Check"</formula>
    </cfRule>
  </conditionalFormatting>
  <conditionalFormatting sqref="R2238">
    <cfRule type="cellIs" dxfId="1" priority="2226" stopIfTrue="1" operator="between">
      <formula>"Check"</formula>
      <formula>"Check"</formula>
    </cfRule>
  </conditionalFormatting>
  <conditionalFormatting sqref="R2239">
    <cfRule type="cellIs" dxfId="1" priority="2227" stopIfTrue="1" operator="between">
      <formula>"Check"</formula>
      <formula>"Check"</formula>
    </cfRule>
  </conditionalFormatting>
  <conditionalFormatting sqref="R2240">
    <cfRule type="cellIs" dxfId="1" priority="2228" stopIfTrue="1" operator="between">
      <formula>"Check"</formula>
      <formula>"Check"</formula>
    </cfRule>
  </conditionalFormatting>
  <conditionalFormatting sqref="R2241">
    <cfRule type="cellIs" dxfId="1" priority="2229" stopIfTrue="1" operator="between">
      <formula>"Check"</formula>
      <formula>"Check"</formula>
    </cfRule>
  </conditionalFormatting>
  <conditionalFormatting sqref="R2242">
    <cfRule type="cellIs" dxfId="1" priority="2230" stopIfTrue="1" operator="between">
      <formula>"Check"</formula>
      <formula>"Check"</formula>
    </cfRule>
  </conditionalFormatting>
  <conditionalFormatting sqref="R2243">
    <cfRule type="cellIs" dxfId="1" priority="2231" stopIfTrue="1" operator="between">
      <formula>"Check"</formula>
      <formula>"Check"</formula>
    </cfRule>
  </conditionalFormatting>
  <conditionalFormatting sqref="R2244">
    <cfRule type="cellIs" dxfId="1" priority="2232" stopIfTrue="1" operator="between">
      <formula>"Check"</formula>
      <formula>"Check"</formula>
    </cfRule>
  </conditionalFormatting>
  <conditionalFormatting sqref="R2245">
    <cfRule type="cellIs" dxfId="1" priority="2233" stopIfTrue="1" operator="between">
      <formula>"Check"</formula>
      <formula>"Check"</formula>
    </cfRule>
  </conditionalFormatting>
  <conditionalFormatting sqref="R2246">
    <cfRule type="cellIs" dxfId="1" priority="2234" stopIfTrue="1" operator="between">
      <formula>"Check"</formula>
      <formula>"Check"</formula>
    </cfRule>
  </conditionalFormatting>
  <conditionalFormatting sqref="R2247">
    <cfRule type="cellIs" dxfId="1" priority="2235" stopIfTrue="1" operator="between">
      <formula>"Check"</formula>
      <formula>"Check"</formula>
    </cfRule>
  </conditionalFormatting>
  <conditionalFormatting sqref="R2248">
    <cfRule type="cellIs" dxfId="1" priority="2236" stopIfTrue="1" operator="between">
      <formula>"Check"</formula>
      <formula>"Check"</formula>
    </cfRule>
  </conditionalFormatting>
  <conditionalFormatting sqref="R2249">
    <cfRule type="cellIs" dxfId="1" priority="2237" stopIfTrue="1" operator="between">
      <formula>"Check"</formula>
      <formula>"Check"</formula>
    </cfRule>
  </conditionalFormatting>
  <conditionalFormatting sqref="R2250">
    <cfRule type="cellIs" dxfId="1" priority="2238" stopIfTrue="1" operator="between">
      <formula>"Check"</formula>
      <formula>"Check"</formula>
    </cfRule>
  </conditionalFormatting>
  <conditionalFormatting sqref="R2251">
    <cfRule type="cellIs" dxfId="1" priority="2239" stopIfTrue="1" operator="between">
      <formula>"Check"</formula>
      <formula>"Check"</formula>
    </cfRule>
  </conditionalFormatting>
  <conditionalFormatting sqref="R2252">
    <cfRule type="cellIs" dxfId="1" priority="2240" stopIfTrue="1" operator="between">
      <formula>"Check"</formula>
      <formula>"Check"</formula>
    </cfRule>
  </conditionalFormatting>
  <conditionalFormatting sqref="R2253">
    <cfRule type="cellIs" dxfId="1" priority="2241" stopIfTrue="1" operator="between">
      <formula>"Check"</formula>
      <formula>"Check"</formula>
    </cfRule>
  </conditionalFormatting>
  <conditionalFormatting sqref="R2254">
    <cfRule type="cellIs" dxfId="1" priority="2242" stopIfTrue="1" operator="between">
      <formula>"Check"</formula>
      <formula>"Check"</formula>
    </cfRule>
  </conditionalFormatting>
  <conditionalFormatting sqref="R2255">
    <cfRule type="cellIs" dxfId="1" priority="2243" stopIfTrue="1" operator="between">
      <formula>"Check"</formula>
      <formula>"Check"</formula>
    </cfRule>
  </conditionalFormatting>
  <conditionalFormatting sqref="R2256">
    <cfRule type="cellIs" dxfId="1" priority="2244" stopIfTrue="1" operator="between">
      <formula>"Check"</formula>
      <formula>"Check"</formula>
    </cfRule>
  </conditionalFormatting>
  <conditionalFormatting sqref="R2257">
    <cfRule type="cellIs" dxfId="1" priority="2245" stopIfTrue="1" operator="between">
      <formula>"Check"</formula>
      <formula>"Check"</formula>
    </cfRule>
  </conditionalFormatting>
  <conditionalFormatting sqref="R2258">
    <cfRule type="cellIs" dxfId="1" priority="2246" stopIfTrue="1" operator="between">
      <formula>"Check"</formula>
      <formula>"Check"</formula>
    </cfRule>
  </conditionalFormatting>
  <conditionalFormatting sqref="R2259">
    <cfRule type="cellIs" dxfId="1" priority="2247" stopIfTrue="1" operator="between">
      <formula>"Check"</formula>
      <formula>"Check"</formula>
    </cfRule>
  </conditionalFormatting>
  <conditionalFormatting sqref="R2260">
    <cfRule type="cellIs" dxfId="1" priority="2248" stopIfTrue="1" operator="between">
      <formula>"Check"</formula>
      <formula>"Check"</formula>
    </cfRule>
  </conditionalFormatting>
  <conditionalFormatting sqref="R2261">
    <cfRule type="cellIs" dxfId="1" priority="2249" stopIfTrue="1" operator="between">
      <formula>"Check"</formula>
      <formula>"Check"</formula>
    </cfRule>
  </conditionalFormatting>
  <conditionalFormatting sqref="R2262">
    <cfRule type="cellIs" dxfId="1" priority="2250" stopIfTrue="1" operator="between">
      <formula>"Check"</formula>
      <formula>"Check"</formula>
    </cfRule>
  </conditionalFormatting>
  <conditionalFormatting sqref="R2263">
    <cfRule type="cellIs" dxfId="1" priority="2251" stopIfTrue="1" operator="between">
      <formula>"Check"</formula>
      <formula>"Check"</formula>
    </cfRule>
  </conditionalFormatting>
  <conditionalFormatting sqref="R2264">
    <cfRule type="cellIs" dxfId="1" priority="2252" stopIfTrue="1" operator="between">
      <formula>"Check"</formula>
      <formula>"Check"</formula>
    </cfRule>
  </conditionalFormatting>
  <conditionalFormatting sqref="R2265">
    <cfRule type="cellIs" dxfId="1" priority="2253" stopIfTrue="1" operator="between">
      <formula>"Check"</formula>
      <formula>"Check"</formula>
    </cfRule>
  </conditionalFormatting>
  <conditionalFormatting sqref="R2266">
    <cfRule type="cellIs" dxfId="1" priority="2254" stopIfTrue="1" operator="between">
      <formula>"Check"</formula>
      <formula>"Check"</formula>
    </cfRule>
  </conditionalFormatting>
  <conditionalFormatting sqref="R2267">
    <cfRule type="cellIs" dxfId="1" priority="2255" stopIfTrue="1" operator="between">
      <formula>"Check"</formula>
      <formula>"Check"</formula>
    </cfRule>
  </conditionalFormatting>
  <conditionalFormatting sqref="R2268">
    <cfRule type="cellIs" dxfId="1" priority="2256" stopIfTrue="1" operator="between">
      <formula>"Check"</formula>
      <formula>"Check"</formula>
    </cfRule>
  </conditionalFormatting>
  <conditionalFormatting sqref="R2269">
    <cfRule type="cellIs" dxfId="1" priority="2257" stopIfTrue="1" operator="between">
      <formula>"Check"</formula>
      <formula>"Check"</formula>
    </cfRule>
  </conditionalFormatting>
  <conditionalFormatting sqref="R2270">
    <cfRule type="cellIs" dxfId="1" priority="2258" stopIfTrue="1" operator="between">
      <formula>"Check"</formula>
      <formula>"Check"</formula>
    </cfRule>
  </conditionalFormatting>
  <conditionalFormatting sqref="R2271">
    <cfRule type="cellIs" dxfId="1" priority="2259" stopIfTrue="1" operator="between">
      <formula>"Check"</formula>
      <formula>"Check"</formula>
    </cfRule>
  </conditionalFormatting>
  <conditionalFormatting sqref="R2272">
    <cfRule type="cellIs" dxfId="1" priority="2260" stopIfTrue="1" operator="between">
      <formula>"Check"</formula>
      <formula>"Check"</formula>
    </cfRule>
  </conditionalFormatting>
  <conditionalFormatting sqref="R2273">
    <cfRule type="cellIs" dxfId="1" priority="2261" stopIfTrue="1" operator="between">
      <formula>"Check"</formula>
      <formula>"Check"</formula>
    </cfRule>
  </conditionalFormatting>
  <conditionalFormatting sqref="R2274">
    <cfRule type="cellIs" dxfId="1" priority="2262" stopIfTrue="1" operator="between">
      <formula>"Check"</formula>
      <formula>"Check"</formula>
    </cfRule>
  </conditionalFormatting>
  <conditionalFormatting sqref="R2275">
    <cfRule type="cellIs" dxfId="1" priority="2263" stopIfTrue="1" operator="between">
      <formula>"Check"</formula>
      <formula>"Check"</formula>
    </cfRule>
  </conditionalFormatting>
  <conditionalFormatting sqref="R2276">
    <cfRule type="cellIs" dxfId="1" priority="2264" stopIfTrue="1" operator="between">
      <formula>"Check"</formula>
      <formula>"Check"</formula>
    </cfRule>
  </conditionalFormatting>
  <conditionalFormatting sqref="R2277">
    <cfRule type="cellIs" dxfId="1" priority="2265" stopIfTrue="1" operator="between">
      <formula>"Check"</formula>
      <formula>"Check"</formula>
    </cfRule>
  </conditionalFormatting>
  <conditionalFormatting sqref="R2278">
    <cfRule type="cellIs" dxfId="1" priority="2266" stopIfTrue="1" operator="between">
      <formula>"Check"</formula>
      <formula>"Check"</formula>
    </cfRule>
  </conditionalFormatting>
  <conditionalFormatting sqref="R2279">
    <cfRule type="cellIs" dxfId="1" priority="2267" stopIfTrue="1" operator="between">
      <formula>"Check"</formula>
      <formula>"Check"</formula>
    </cfRule>
  </conditionalFormatting>
  <conditionalFormatting sqref="R2280">
    <cfRule type="cellIs" dxfId="1" priority="2268" stopIfTrue="1" operator="between">
      <formula>"Check"</formula>
      <formula>"Check"</formula>
    </cfRule>
  </conditionalFormatting>
  <conditionalFormatting sqref="R2281">
    <cfRule type="cellIs" dxfId="1" priority="2269" stopIfTrue="1" operator="between">
      <formula>"Check"</formula>
      <formula>"Check"</formula>
    </cfRule>
  </conditionalFormatting>
  <conditionalFormatting sqref="R2282">
    <cfRule type="cellIs" dxfId="1" priority="2270" stopIfTrue="1" operator="between">
      <formula>"Check"</formula>
      <formula>"Check"</formula>
    </cfRule>
  </conditionalFormatting>
  <conditionalFormatting sqref="R2283">
    <cfRule type="cellIs" dxfId="1" priority="2271" stopIfTrue="1" operator="between">
      <formula>"Check"</formula>
      <formula>"Check"</formula>
    </cfRule>
  </conditionalFormatting>
  <conditionalFormatting sqref="R2284">
    <cfRule type="cellIs" dxfId="1" priority="2272" stopIfTrue="1" operator="between">
      <formula>"Check"</formula>
      <formula>"Check"</formula>
    </cfRule>
  </conditionalFormatting>
  <conditionalFormatting sqref="R2285">
    <cfRule type="cellIs" dxfId="1" priority="2273" stopIfTrue="1" operator="between">
      <formula>"Check"</formula>
      <formula>"Check"</formula>
    </cfRule>
  </conditionalFormatting>
  <conditionalFormatting sqref="R2286">
    <cfRule type="cellIs" dxfId="1" priority="2274" stopIfTrue="1" operator="between">
      <formula>"Check"</formula>
      <formula>"Check"</formula>
    </cfRule>
  </conditionalFormatting>
  <conditionalFormatting sqref="R2287">
    <cfRule type="cellIs" dxfId="1" priority="2275" stopIfTrue="1" operator="between">
      <formula>"Check"</formula>
      <formula>"Check"</formula>
    </cfRule>
  </conditionalFormatting>
  <conditionalFormatting sqref="R2288">
    <cfRule type="cellIs" dxfId="1" priority="2276" stopIfTrue="1" operator="between">
      <formula>"Check"</formula>
      <formula>"Check"</formula>
    </cfRule>
  </conditionalFormatting>
  <conditionalFormatting sqref="R2289">
    <cfRule type="cellIs" dxfId="1" priority="2277" stopIfTrue="1" operator="between">
      <formula>"Check"</formula>
      <formula>"Check"</formula>
    </cfRule>
  </conditionalFormatting>
  <conditionalFormatting sqref="R2290">
    <cfRule type="cellIs" dxfId="1" priority="2278" stopIfTrue="1" operator="between">
      <formula>"Check"</formula>
      <formula>"Check"</formula>
    </cfRule>
  </conditionalFormatting>
  <conditionalFormatting sqref="R2291">
    <cfRule type="cellIs" dxfId="1" priority="2279" stopIfTrue="1" operator="between">
      <formula>"Check"</formula>
      <formula>"Check"</formula>
    </cfRule>
  </conditionalFormatting>
  <conditionalFormatting sqref="R2292">
    <cfRule type="cellIs" dxfId="1" priority="2280" stopIfTrue="1" operator="between">
      <formula>"Check"</formula>
      <formula>"Check"</formula>
    </cfRule>
  </conditionalFormatting>
  <conditionalFormatting sqref="R2293">
    <cfRule type="cellIs" dxfId="1" priority="2281" stopIfTrue="1" operator="between">
      <formula>"Check"</formula>
      <formula>"Check"</formula>
    </cfRule>
  </conditionalFormatting>
  <conditionalFormatting sqref="R2294">
    <cfRule type="cellIs" dxfId="1" priority="2282" stopIfTrue="1" operator="between">
      <formula>"Check"</formula>
      <formula>"Check"</formula>
    </cfRule>
  </conditionalFormatting>
  <conditionalFormatting sqref="R2295">
    <cfRule type="cellIs" dxfId="1" priority="2283" stopIfTrue="1" operator="between">
      <formula>"Check"</formula>
      <formula>"Check"</formula>
    </cfRule>
  </conditionalFormatting>
  <conditionalFormatting sqref="R2296">
    <cfRule type="cellIs" dxfId="1" priority="2284" stopIfTrue="1" operator="between">
      <formula>"Check"</formula>
      <formula>"Check"</formula>
    </cfRule>
  </conditionalFormatting>
  <conditionalFormatting sqref="R2297">
    <cfRule type="cellIs" dxfId="1" priority="2285" stopIfTrue="1" operator="between">
      <formula>"Check"</formula>
      <formula>"Check"</formula>
    </cfRule>
  </conditionalFormatting>
  <conditionalFormatting sqref="R2298">
    <cfRule type="cellIs" dxfId="1" priority="2286" stopIfTrue="1" operator="between">
      <formula>"Check"</formula>
      <formula>"Check"</formula>
    </cfRule>
  </conditionalFormatting>
  <conditionalFormatting sqref="R2299">
    <cfRule type="cellIs" dxfId="1" priority="2287" stopIfTrue="1" operator="between">
      <formula>"Check"</formula>
      <formula>"Check"</formula>
    </cfRule>
  </conditionalFormatting>
  <conditionalFormatting sqref="R2300">
    <cfRule type="cellIs" dxfId="1" priority="2288" stopIfTrue="1" operator="between">
      <formula>"Check"</formula>
      <formula>"Check"</formula>
    </cfRule>
  </conditionalFormatting>
  <conditionalFormatting sqref="R2301">
    <cfRule type="cellIs" dxfId="1" priority="2289" stopIfTrue="1" operator="between">
      <formula>"Check"</formula>
      <formula>"Check"</formula>
    </cfRule>
  </conditionalFormatting>
  <conditionalFormatting sqref="R2302">
    <cfRule type="cellIs" dxfId="1" priority="2290" stopIfTrue="1" operator="between">
      <formula>"Check"</formula>
      <formula>"Check"</formula>
    </cfRule>
  </conditionalFormatting>
  <conditionalFormatting sqref="R2303">
    <cfRule type="cellIs" dxfId="1" priority="2291" stopIfTrue="1" operator="between">
      <formula>"Check"</formula>
      <formula>"Check"</formula>
    </cfRule>
  </conditionalFormatting>
  <conditionalFormatting sqref="R2304">
    <cfRule type="cellIs" dxfId="1" priority="2292" stopIfTrue="1" operator="between">
      <formula>"Check"</formula>
      <formula>"Check"</formula>
    </cfRule>
  </conditionalFormatting>
  <conditionalFormatting sqref="R2305">
    <cfRule type="cellIs" dxfId="1" priority="2293" stopIfTrue="1" operator="between">
      <formula>"Check"</formula>
      <formula>"Check"</formula>
    </cfRule>
  </conditionalFormatting>
  <conditionalFormatting sqref="R2306">
    <cfRule type="cellIs" dxfId="1" priority="2294" stopIfTrue="1" operator="between">
      <formula>"Check"</formula>
      <formula>"Check"</formula>
    </cfRule>
  </conditionalFormatting>
  <conditionalFormatting sqref="R2307">
    <cfRule type="cellIs" dxfId="1" priority="2295" stopIfTrue="1" operator="between">
      <formula>"Check"</formula>
      <formula>"Check"</formula>
    </cfRule>
  </conditionalFormatting>
  <conditionalFormatting sqref="R2308">
    <cfRule type="cellIs" dxfId="1" priority="2296" stopIfTrue="1" operator="between">
      <formula>"Check"</formula>
      <formula>"Check"</formula>
    </cfRule>
  </conditionalFormatting>
  <conditionalFormatting sqref="R2309">
    <cfRule type="cellIs" dxfId="1" priority="2297" stopIfTrue="1" operator="between">
      <formula>"Check"</formula>
      <formula>"Check"</formula>
    </cfRule>
  </conditionalFormatting>
  <conditionalFormatting sqref="R2310">
    <cfRule type="cellIs" dxfId="1" priority="2298" stopIfTrue="1" operator="between">
      <formula>"Check"</formula>
      <formula>"Check"</formula>
    </cfRule>
  </conditionalFormatting>
  <conditionalFormatting sqref="R2311">
    <cfRule type="cellIs" dxfId="1" priority="2299" stopIfTrue="1" operator="between">
      <formula>"Check"</formula>
      <formula>"Check"</formula>
    </cfRule>
  </conditionalFormatting>
  <conditionalFormatting sqref="R2312">
    <cfRule type="cellIs" dxfId="1" priority="2300" stopIfTrue="1" operator="between">
      <formula>"Check"</formula>
      <formula>"Check"</formula>
    </cfRule>
  </conditionalFormatting>
  <conditionalFormatting sqref="R2313">
    <cfRule type="cellIs" dxfId="1" priority="2301" stopIfTrue="1" operator="between">
      <formula>"Check"</formula>
      <formula>"Check"</formula>
    </cfRule>
  </conditionalFormatting>
  <conditionalFormatting sqref="R2314">
    <cfRule type="cellIs" dxfId="1" priority="2302" stopIfTrue="1" operator="between">
      <formula>"Check"</formula>
      <formula>"Check"</formula>
    </cfRule>
  </conditionalFormatting>
  <conditionalFormatting sqref="R2315">
    <cfRule type="cellIs" dxfId="1" priority="2303" stopIfTrue="1" operator="between">
      <formula>"Check"</formula>
      <formula>"Check"</formula>
    </cfRule>
  </conditionalFormatting>
  <conditionalFormatting sqref="R2316">
    <cfRule type="cellIs" dxfId="1" priority="2304" stopIfTrue="1" operator="between">
      <formula>"Check"</formula>
      <formula>"Check"</formula>
    </cfRule>
  </conditionalFormatting>
  <conditionalFormatting sqref="R2317">
    <cfRule type="cellIs" dxfId="1" priority="2305" stopIfTrue="1" operator="between">
      <formula>"Check"</formula>
      <formula>"Check"</formula>
    </cfRule>
  </conditionalFormatting>
  <conditionalFormatting sqref="R2318">
    <cfRule type="cellIs" dxfId="1" priority="2306" stopIfTrue="1" operator="between">
      <formula>"Check"</formula>
      <formula>"Check"</formula>
    </cfRule>
  </conditionalFormatting>
  <conditionalFormatting sqref="R2319">
    <cfRule type="cellIs" dxfId="1" priority="2307" stopIfTrue="1" operator="between">
      <formula>"Check"</formula>
      <formula>"Check"</formula>
    </cfRule>
  </conditionalFormatting>
  <conditionalFormatting sqref="R2320">
    <cfRule type="cellIs" dxfId="1" priority="2308" stopIfTrue="1" operator="between">
      <formula>"Check"</formula>
      <formula>"Check"</formula>
    </cfRule>
  </conditionalFormatting>
  <conditionalFormatting sqref="R2321">
    <cfRule type="cellIs" dxfId="1" priority="2309" stopIfTrue="1" operator="between">
      <formula>"Check"</formula>
      <formula>"Check"</formula>
    </cfRule>
  </conditionalFormatting>
  <conditionalFormatting sqref="R2322">
    <cfRule type="cellIs" dxfId="1" priority="2310" stopIfTrue="1" operator="between">
      <formula>"Check"</formula>
      <formula>"Check"</formula>
    </cfRule>
  </conditionalFormatting>
  <conditionalFormatting sqref="R2323">
    <cfRule type="cellIs" dxfId="1" priority="2311" stopIfTrue="1" operator="between">
      <formula>"Check"</formula>
      <formula>"Check"</formula>
    </cfRule>
  </conditionalFormatting>
  <conditionalFormatting sqref="R2324">
    <cfRule type="cellIs" dxfId="1" priority="2312" stopIfTrue="1" operator="between">
      <formula>"Check"</formula>
      <formula>"Check"</formula>
    </cfRule>
  </conditionalFormatting>
  <conditionalFormatting sqref="R2325">
    <cfRule type="cellIs" dxfId="1" priority="2313" stopIfTrue="1" operator="between">
      <formula>"Check"</formula>
      <formula>"Check"</formula>
    </cfRule>
  </conditionalFormatting>
  <conditionalFormatting sqref="R2326">
    <cfRule type="cellIs" dxfId="1" priority="2314" stopIfTrue="1" operator="between">
      <formula>"Check"</formula>
      <formula>"Check"</formula>
    </cfRule>
  </conditionalFormatting>
  <conditionalFormatting sqref="R2327">
    <cfRule type="cellIs" dxfId="1" priority="2315" stopIfTrue="1" operator="between">
      <formula>"Check"</formula>
      <formula>"Check"</formula>
    </cfRule>
  </conditionalFormatting>
  <conditionalFormatting sqref="R2328">
    <cfRule type="cellIs" dxfId="1" priority="2316" stopIfTrue="1" operator="between">
      <formula>"Check"</formula>
      <formula>"Check"</formula>
    </cfRule>
  </conditionalFormatting>
  <conditionalFormatting sqref="R2329">
    <cfRule type="cellIs" dxfId="1" priority="2317" stopIfTrue="1" operator="between">
      <formula>"Check"</formula>
      <formula>"Check"</formula>
    </cfRule>
  </conditionalFormatting>
  <conditionalFormatting sqref="R2330">
    <cfRule type="cellIs" dxfId="1" priority="2318" stopIfTrue="1" operator="between">
      <formula>"Check"</formula>
      <formula>"Check"</formula>
    </cfRule>
  </conditionalFormatting>
  <conditionalFormatting sqref="R2331">
    <cfRule type="cellIs" dxfId="1" priority="2319" stopIfTrue="1" operator="between">
      <formula>"Check"</formula>
      <formula>"Check"</formula>
    </cfRule>
  </conditionalFormatting>
  <conditionalFormatting sqref="R2332">
    <cfRule type="cellIs" dxfId="1" priority="2320" stopIfTrue="1" operator="between">
      <formula>"Check"</formula>
      <formula>"Check"</formula>
    </cfRule>
  </conditionalFormatting>
  <conditionalFormatting sqref="R2333">
    <cfRule type="cellIs" dxfId="1" priority="2321" stopIfTrue="1" operator="between">
      <formula>"Check"</formula>
      <formula>"Check"</formula>
    </cfRule>
  </conditionalFormatting>
  <conditionalFormatting sqref="R2334">
    <cfRule type="cellIs" dxfId="1" priority="2322" stopIfTrue="1" operator="between">
      <formula>"Check"</formula>
      <formula>"Check"</formula>
    </cfRule>
  </conditionalFormatting>
  <conditionalFormatting sqref="R2335">
    <cfRule type="cellIs" dxfId="1" priority="2323" stopIfTrue="1" operator="between">
      <formula>"Check"</formula>
      <formula>"Check"</formula>
    </cfRule>
  </conditionalFormatting>
  <conditionalFormatting sqref="R2336">
    <cfRule type="cellIs" dxfId="1" priority="2324" stopIfTrue="1" operator="between">
      <formula>"Check"</formula>
      <formula>"Check"</formula>
    </cfRule>
  </conditionalFormatting>
  <conditionalFormatting sqref="R2337">
    <cfRule type="cellIs" dxfId="1" priority="2325" stopIfTrue="1" operator="between">
      <formula>"Check"</formula>
      <formula>"Check"</formula>
    </cfRule>
  </conditionalFormatting>
  <conditionalFormatting sqref="R2338">
    <cfRule type="cellIs" dxfId="1" priority="2326" stopIfTrue="1" operator="between">
      <formula>"Check"</formula>
      <formula>"Check"</formula>
    </cfRule>
  </conditionalFormatting>
  <conditionalFormatting sqref="R2339">
    <cfRule type="cellIs" dxfId="1" priority="2327" stopIfTrue="1" operator="between">
      <formula>"Check"</formula>
      <formula>"Check"</formula>
    </cfRule>
  </conditionalFormatting>
  <conditionalFormatting sqref="R2340">
    <cfRule type="cellIs" dxfId="1" priority="2328" stopIfTrue="1" operator="between">
      <formula>"Check"</formula>
      <formula>"Check"</formula>
    </cfRule>
  </conditionalFormatting>
  <conditionalFormatting sqref="R2341">
    <cfRule type="cellIs" dxfId="1" priority="2329" stopIfTrue="1" operator="between">
      <formula>"Check"</formula>
      <formula>"Check"</formula>
    </cfRule>
  </conditionalFormatting>
  <conditionalFormatting sqref="R2342">
    <cfRule type="cellIs" dxfId="1" priority="2330" stopIfTrue="1" operator="between">
      <formula>"Check"</formula>
      <formula>"Check"</formula>
    </cfRule>
  </conditionalFormatting>
  <conditionalFormatting sqref="R2343">
    <cfRule type="cellIs" dxfId="1" priority="2331" stopIfTrue="1" operator="between">
      <formula>"Check"</formula>
      <formula>"Check"</formula>
    </cfRule>
  </conditionalFormatting>
  <conditionalFormatting sqref="R2344">
    <cfRule type="cellIs" dxfId="1" priority="2332" stopIfTrue="1" operator="between">
      <formula>"Check"</formula>
      <formula>"Check"</formula>
    </cfRule>
  </conditionalFormatting>
  <conditionalFormatting sqref="R2345">
    <cfRule type="cellIs" dxfId="1" priority="2333" stopIfTrue="1" operator="between">
      <formula>"Check"</formula>
      <formula>"Check"</formula>
    </cfRule>
  </conditionalFormatting>
  <conditionalFormatting sqref="R2346">
    <cfRule type="cellIs" dxfId="1" priority="2334" stopIfTrue="1" operator="between">
      <formula>"Check"</formula>
      <formula>"Check"</formula>
    </cfRule>
  </conditionalFormatting>
  <conditionalFormatting sqref="R2347">
    <cfRule type="cellIs" dxfId="1" priority="2335" stopIfTrue="1" operator="between">
      <formula>"Check"</formula>
      <formula>"Check"</formula>
    </cfRule>
  </conditionalFormatting>
  <conditionalFormatting sqref="R2348">
    <cfRule type="cellIs" dxfId="1" priority="2336" stopIfTrue="1" operator="between">
      <formula>"Check"</formula>
      <formula>"Check"</formula>
    </cfRule>
  </conditionalFormatting>
  <conditionalFormatting sqref="R2349">
    <cfRule type="cellIs" dxfId="1" priority="2337" stopIfTrue="1" operator="between">
      <formula>"Check"</formula>
      <formula>"Check"</formula>
    </cfRule>
  </conditionalFormatting>
  <conditionalFormatting sqref="R2350">
    <cfRule type="cellIs" dxfId="1" priority="2338" stopIfTrue="1" operator="between">
      <formula>"Check"</formula>
      <formula>"Check"</formula>
    </cfRule>
  </conditionalFormatting>
  <conditionalFormatting sqref="R2351">
    <cfRule type="cellIs" dxfId="1" priority="2339" stopIfTrue="1" operator="between">
      <formula>"Check"</formula>
      <formula>"Check"</formula>
    </cfRule>
  </conditionalFormatting>
  <conditionalFormatting sqref="R2352">
    <cfRule type="cellIs" dxfId="1" priority="2340" stopIfTrue="1" operator="between">
      <formula>"Check"</formula>
      <formula>"Check"</formula>
    </cfRule>
  </conditionalFormatting>
  <conditionalFormatting sqref="R2353">
    <cfRule type="cellIs" dxfId="1" priority="2341" stopIfTrue="1" operator="between">
      <formula>"Check"</formula>
      <formula>"Check"</formula>
    </cfRule>
  </conditionalFormatting>
  <conditionalFormatting sqref="R2354">
    <cfRule type="cellIs" dxfId="1" priority="2342" stopIfTrue="1" operator="between">
      <formula>"Check"</formula>
      <formula>"Check"</formula>
    </cfRule>
  </conditionalFormatting>
  <conditionalFormatting sqref="R2355">
    <cfRule type="cellIs" dxfId="1" priority="2343" stopIfTrue="1" operator="between">
      <formula>"Check"</formula>
      <formula>"Check"</formula>
    </cfRule>
  </conditionalFormatting>
  <conditionalFormatting sqref="R2356">
    <cfRule type="cellIs" dxfId="1" priority="2344" stopIfTrue="1" operator="between">
      <formula>"Check"</formula>
      <formula>"Check"</formula>
    </cfRule>
  </conditionalFormatting>
  <conditionalFormatting sqref="R2357">
    <cfRule type="cellIs" dxfId="1" priority="2345" stopIfTrue="1" operator="between">
      <formula>"Check"</formula>
      <formula>"Check"</formula>
    </cfRule>
  </conditionalFormatting>
  <conditionalFormatting sqref="R2358">
    <cfRule type="cellIs" dxfId="1" priority="2346" stopIfTrue="1" operator="between">
      <formula>"Check"</formula>
      <formula>"Check"</formula>
    </cfRule>
  </conditionalFormatting>
  <conditionalFormatting sqref="R2359">
    <cfRule type="cellIs" dxfId="1" priority="2347" stopIfTrue="1" operator="between">
      <formula>"Check"</formula>
      <formula>"Check"</formula>
    </cfRule>
  </conditionalFormatting>
  <conditionalFormatting sqref="R2360">
    <cfRule type="cellIs" dxfId="1" priority="2348" stopIfTrue="1" operator="between">
      <formula>"Check"</formula>
      <formula>"Check"</formula>
    </cfRule>
  </conditionalFormatting>
  <conditionalFormatting sqref="R2361">
    <cfRule type="cellIs" dxfId="1" priority="2349" stopIfTrue="1" operator="between">
      <formula>"Check"</formula>
      <formula>"Check"</formula>
    </cfRule>
  </conditionalFormatting>
  <conditionalFormatting sqref="R2362">
    <cfRule type="cellIs" dxfId="1" priority="2350" stopIfTrue="1" operator="between">
      <formula>"Check"</formula>
      <formula>"Check"</formula>
    </cfRule>
  </conditionalFormatting>
  <conditionalFormatting sqref="R2363">
    <cfRule type="cellIs" dxfId="1" priority="2351" stopIfTrue="1" operator="between">
      <formula>"Check"</formula>
      <formula>"Check"</formula>
    </cfRule>
  </conditionalFormatting>
  <conditionalFormatting sqref="R2364">
    <cfRule type="cellIs" dxfId="1" priority="2352" stopIfTrue="1" operator="between">
      <formula>"Check"</formula>
      <formula>"Check"</formula>
    </cfRule>
  </conditionalFormatting>
  <conditionalFormatting sqref="R2365">
    <cfRule type="cellIs" dxfId="1" priority="2353" stopIfTrue="1" operator="between">
      <formula>"Check"</formula>
      <formula>"Check"</formula>
    </cfRule>
  </conditionalFormatting>
  <conditionalFormatting sqref="R2366">
    <cfRule type="cellIs" dxfId="1" priority="2354" stopIfTrue="1" operator="between">
      <formula>"Check"</formula>
      <formula>"Check"</formula>
    </cfRule>
  </conditionalFormatting>
  <conditionalFormatting sqref="R2367">
    <cfRule type="cellIs" dxfId="1" priority="2355" stopIfTrue="1" operator="between">
      <formula>"Check"</formula>
      <formula>"Check"</formula>
    </cfRule>
  </conditionalFormatting>
  <conditionalFormatting sqref="R2368">
    <cfRule type="cellIs" dxfId="1" priority="2356" stopIfTrue="1" operator="between">
      <formula>"Check"</formula>
      <formula>"Check"</formula>
    </cfRule>
  </conditionalFormatting>
  <conditionalFormatting sqref="R2369">
    <cfRule type="cellIs" dxfId="1" priority="2357" stopIfTrue="1" operator="between">
      <formula>"Check"</formula>
      <formula>"Check"</formula>
    </cfRule>
  </conditionalFormatting>
  <conditionalFormatting sqref="R2370">
    <cfRule type="cellIs" dxfId="1" priority="2358" stopIfTrue="1" operator="between">
      <formula>"Check"</formula>
      <formula>"Check"</formula>
    </cfRule>
  </conditionalFormatting>
  <conditionalFormatting sqref="R2371">
    <cfRule type="cellIs" dxfId="1" priority="2359" stopIfTrue="1" operator="between">
      <formula>"Check"</formula>
      <formula>"Check"</formula>
    </cfRule>
  </conditionalFormatting>
  <conditionalFormatting sqref="R2372">
    <cfRule type="cellIs" dxfId="1" priority="2360" stopIfTrue="1" operator="between">
      <formula>"Check"</formula>
      <formula>"Check"</formula>
    </cfRule>
  </conditionalFormatting>
  <conditionalFormatting sqref="R2373">
    <cfRule type="cellIs" dxfId="1" priority="2361" stopIfTrue="1" operator="between">
      <formula>"Check"</formula>
      <formula>"Check"</formula>
    </cfRule>
  </conditionalFormatting>
  <conditionalFormatting sqref="R2374">
    <cfRule type="cellIs" dxfId="1" priority="2362" stopIfTrue="1" operator="between">
      <formula>"Check"</formula>
      <formula>"Check"</formula>
    </cfRule>
  </conditionalFormatting>
  <conditionalFormatting sqref="R2375">
    <cfRule type="cellIs" dxfId="1" priority="2363" stopIfTrue="1" operator="between">
      <formula>"Check"</formula>
      <formula>"Check"</formula>
    </cfRule>
  </conditionalFormatting>
  <conditionalFormatting sqref="R2376">
    <cfRule type="cellIs" dxfId="1" priority="2364" stopIfTrue="1" operator="between">
      <formula>"Check"</formula>
      <formula>"Check"</formula>
    </cfRule>
  </conditionalFormatting>
  <conditionalFormatting sqref="R2377">
    <cfRule type="cellIs" dxfId="1" priority="2365" stopIfTrue="1" operator="between">
      <formula>"Check"</formula>
      <formula>"Check"</formula>
    </cfRule>
  </conditionalFormatting>
  <conditionalFormatting sqref="R2378">
    <cfRule type="cellIs" dxfId="1" priority="2366" stopIfTrue="1" operator="between">
      <formula>"Check"</formula>
      <formula>"Check"</formula>
    </cfRule>
  </conditionalFormatting>
  <conditionalFormatting sqref="R2379">
    <cfRule type="cellIs" dxfId="1" priority="2367" stopIfTrue="1" operator="between">
      <formula>"Check"</formula>
      <formula>"Check"</formula>
    </cfRule>
  </conditionalFormatting>
  <conditionalFormatting sqref="R2380">
    <cfRule type="cellIs" dxfId="1" priority="2368" stopIfTrue="1" operator="between">
      <formula>"Check"</formula>
      <formula>"Check"</formula>
    </cfRule>
  </conditionalFormatting>
  <conditionalFormatting sqref="R2381">
    <cfRule type="cellIs" dxfId="1" priority="2369" stopIfTrue="1" operator="between">
      <formula>"Check"</formula>
      <formula>"Check"</formula>
    </cfRule>
  </conditionalFormatting>
  <conditionalFormatting sqref="R2382">
    <cfRule type="cellIs" dxfId="1" priority="2370" stopIfTrue="1" operator="between">
      <formula>"Check"</formula>
      <formula>"Check"</formula>
    </cfRule>
  </conditionalFormatting>
  <conditionalFormatting sqref="R2383">
    <cfRule type="cellIs" dxfId="1" priority="2371" stopIfTrue="1" operator="between">
      <formula>"Check"</formula>
      <formula>"Check"</formula>
    </cfRule>
  </conditionalFormatting>
  <conditionalFormatting sqref="R2384">
    <cfRule type="cellIs" dxfId="1" priority="2372" stopIfTrue="1" operator="between">
      <formula>"Check"</formula>
      <formula>"Check"</formula>
    </cfRule>
  </conditionalFormatting>
  <conditionalFormatting sqref="R2385">
    <cfRule type="cellIs" dxfId="1" priority="2373" stopIfTrue="1" operator="between">
      <formula>"Check"</formula>
      <formula>"Check"</formula>
    </cfRule>
  </conditionalFormatting>
  <conditionalFormatting sqref="R2386">
    <cfRule type="cellIs" dxfId="1" priority="2374" stopIfTrue="1" operator="between">
      <formula>"Check"</formula>
      <formula>"Check"</formula>
    </cfRule>
  </conditionalFormatting>
  <conditionalFormatting sqref="R2387">
    <cfRule type="cellIs" dxfId="1" priority="2375" stopIfTrue="1" operator="between">
      <formula>"Check"</formula>
      <formula>"Check"</formula>
    </cfRule>
  </conditionalFormatting>
  <conditionalFormatting sqref="R2388">
    <cfRule type="cellIs" dxfId="1" priority="2376" stopIfTrue="1" operator="between">
      <formula>"Check"</formula>
      <formula>"Check"</formula>
    </cfRule>
  </conditionalFormatting>
  <conditionalFormatting sqref="R2389">
    <cfRule type="cellIs" dxfId="1" priority="2377" stopIfTrue="1" operator="between">
      <formula>"Check"</formula>
      <formula>"Check"</formula>
    </cfRule>
  </conditionalFormatting>
  <conditionalFormatting sqref="R2390">
    <cfRule type="cellIs" dxfId="1" priority="2378" stopIfTrue="1" operator="between">
      <formula>"Check"</formula>
      <formula>"Check"</formula>
    </cfRule>
  </conditionalFormatting>
  <conditionalFormatting sqref="R2391">
    <cfRule type="cellIs" dxfId="1" priority="2379" stopIfTrue="1" operator="between">
      <formula>"Check"</formula>
      <formula>"Check"</formula>
    </cfRule>
  </conditionalFormatting>
  <conditionalFormatting sqref="R2392">
    <cfRule type="cellIs" dxfId="1" priority="2380" stopIfTrue="1" operator="between">
      <formula>"Check"</formula>
      <formula>"Check"</formula>
    </cfRule>
  </conditionalFormatting>
  <conditionalFormatting sqref="R2393">
    <cfRule type="cellIs" dxfId="1" priority="2381" stopIfTrue="1" operator="between">
      <formula>"Check"</formula>
      <formula>"Check"</formula>
    </cfRule>
  </conditionalFormatting>
  <conditionalFormatting sqref="R2394">
    <cfRule type="cellIs" dxfId="1" priority="2382" stopIfTrue="1" operator="between">
      <formula>"Check"</formula>
      <formula>"Check"</formula>
    </cfRule>
  </conditionalFormatting>
  <conditionalFormatting sqref="R2395">
    <cfRule type="cellIs" dxfId="1" priority="2383" stopIfTrue="1" operator="between">
      <formula>"Check"</formula>
      <formula>"Check"</formula>
    </cfRule>
  </conditionalFormatting>
  <conditionalFormatting sqref="R2396">
    <cfRule type="cellIs" dxfId="1" priority="2384" stopIfTrue="1" operator="between">
      <formula>"Check"</formula>
      <formula>"Check"</formula>
    </cfRule>
  </conditionalFormatting>
  <conditionalFormatting sqref="R2397">
    <cfRule type="cellIs" dxfId="1" priority="2385" stopIfTrue="1" operator="between">
      <formula>"Check"</formula>
      <formula>"Check"</formula>
    </cfRule>
  </conditionalFormatting>
  <conditionalFormatting sqref="R2398">
    <cfRule type="cellIs" dxfId="1" priority="2386" stopIfTrue="1" operator="between">
      <formula>"Check"</formula>
      <formula>"Check"</formula>
    </cfRule>
  </conditionalFormatting>
  <conditionalFormatting sqref="R2399">
    <cfRule type="cellIs" dxfId="1" priority="2387" stopIfTrue="1" operator="between">
      <formula>"Check"</formula>
      <formula>"Check"</formula>
    </cfRule>
  </conditionalFormatting>
  <conditionalFormatting sqref="R2400">
    <cfRule type="cellIs" dxfId="1" priority="2388" stopIfTrue="1" operator="between">
      <formula>"Check"</formula>
      <formula>"Check"</formula>
    </cfRule>
  </conditionalFormatting>
  <conditionalFormatting sqref="R2401">
    <cfRule type="cellIs" dxfId="1" priority="2389" stopIfTrue="1" operator="between">
      <formula>"Check"</formula>
      <formula>"Check"</formula>
    </cfRule>
  </conditionalFormatting>
  <conditionalFormatting sqref="R2402">
    <cfRule type="cellIs" dxfId="1" priority="2390" stopIfTrue="1" operator="between">
      <formula>"Check"</formula>
      <formula>"Check"</formula>
    </cfRule>
  </conditionalFormatting>
  <conditionalFormatting sqref="R2403">
    <cfRule type="cellIs" dxfId="1" priority="2391" stopIfTrue="1" operator="between">
      <formula>"Check"</formula>
      <formula>"Check"</formula>
    </cfRule>
  </conditionalFormatting>
  <conditionalFormatting sqref="R2404">
    <cfRule type="cellIs" dxfId="1" priority="2392" stopIfTrue="1" operator="between">
      <formula>"Check"</formula>
      <formula>"Check"</formula>
    </cfRule>
  </conditionalFormatting>
  <conditionalFormatting sqref="R2405">
    <cfRule type="cellIs" dxfId="1" priority="2393" stopIfTrue="1" operator="between">
      <formula>"Check"</formula>
      <formula>"Check"</formula>
    </cfRule>
  </conditionalFormatting>
  <conditionalFormatting sqref="R2406">
    <cfRule type="cellIs" dxfId="1" priority="2394" stopIfTrue="1" operator="between">
      <formula>"Check"</formula>
      <formula>"Check"</formula>
    </cfRule>
  </conditionalFormatting>
  <conditionalFormatting sqref="R2407">
    <cfRule type="cellIs" dxfId="1" priority="2395" stopIfTrue="1" operator="between">
      <formula>"Check"</formula>
      <formula>"Check"</formula>
    </cfRule>
  </conditionalFormatting>
  <conditionalFormatting sqref="R2408">
    <cfRule type="cellIs" dxfId="1" priority="2396" stopIfTrue="1" operator="between">
      <formula>"Check"</formula>
      <formula>"Check"</formula>
    </cfRule>
  </conditionalFormatting>
  <conditionalFormatting sqref="R2409">
    <cfRule type="cellIs" dxfId="1" priority="2397" stopIfTrue="1" operator="between">
      <formula>"Check"</formula>
      <formula>"Check"</formula>
    </cfRule>
  </conditionalFormatting>
  <conditionalFormatting sqref="R2410">
    <cfRule type="cellIs" dxfId="1" priority="2398" stopIfTrue="1" operator="between">
      <formula>"Check"</formula>
      <formula>"Check"</formula>
    </cfRule>
  </conditionalFormatting>
  <conditionalFormatting sqref="R2411">
    <cfRule type="cellIs" dxfId="1" priority="2399" stopIfTrue="1" operator="between">
      <formula>"Check"</formula>
      <formula>"Check"</formula>
    </cfRule>
  </conditionalFormatting>
  <conditionalFormatting sqref="R2412">
    <cfRule type="cellIs" dxfId="1" priority="2400" stopIfTrue="1" operator="between">
      <formula>"Check"</formula>
      <formula>"Check"</formula>
    </cfRule>
  </conditionalFormatting>
  <conditionalFormatting sqref="R2413">
    <cfRule type="cellIs" dxfId="1" priority="2401" stopIfTrue="1" operator="between">
      <formula>"Check"</formula>
      <formula>"Check"</formula>
    </cfRule>
  </conditionalFormatting>
  <conditionalFormatting sqref="R2414">
    <cfRule type="cellIs" dxfId="1" priority="2402" stopIfTrue="1" operator="between">
      <formula>"Check"</formula>
      <formula>"Check"</formula>
    </cfRule>
  </conditionalFormatting>
  <conditionalFormatting sqref="R2415">
    <cfRule type="cellIs" dxfId="1" priority="2403" stopIfTrue="1" operator="between">
      <formula>"Check"</formula>
      <formula>"Check"</formula>
    </cfRule>
  </conditionalFormatting>
  <conditionalFormatting sqref="R2416">
    <cfRule type="cellIs" dxfId="1" priority="2404" stopIfTrue="1" operator="between">
      <formula>"Check"</formula>
      <formula>"Check"</formula>
    </cfRule>
  </conditionalFormatting>
  <conditionalFormatting sqref="R2417">
    <cfRule type="cellIs" dxfId="1" priority="2405" stopIfTrue="1" operator="between">
      <formula>"Check"</formula>
      <formula>"Check"</formula>
    </cfRule>
  </conditionalFormatting>
  <conditionalFormatting sqref="R2418">
    <cfRule type="cellIs" dxfId="1" priority="2406" stopIfTrue="1" operator="between">
      <formula>"Check"</formula>
      <formula>"Check"</formula>
    </cfRule>
  </conditionalFormatting>
  <conditionalFormatting sqref="R2419">
    <cfRule type="cellIs" dxfId="1" priority="2407" stopIfTrue="1" operator="between">
      <formula>"Check"</formula>
      <formula>"Check"</formula>
    </cfRule>
  </conditionalFormatting>
  <conditionalFormatting sqref="R2420">
    <cfRule type="cellIs" dxfId="1" priority="2408" stopIfTrue="1" operator="between">
      <formula>"Check"</formula>
      <formula>"Check"</formula>
    </cfRule>
  </conditionalFormatting>
  <conditionalFormatting sqref="R2421">
    <cfRule type="cellIs" dxfId="1" priority="2409" stopIfTrue="1" operator="between">
      <formula>"Check"</formula>
      <formula>"Check"</formula>
    </cfRule>
  </conditionalFormatting>
  <conditionalFormatting sqref="R2422">
    <cfRule type="cellIs" dxfId="1" priority="2410" stopIfTrue="1" operator="between">
      <formula>"Check"</formula>
      <formula>"Check"</formula>
    </cfRule>
  </conditionalFormatting>
  <conditionalFormatting sqref="R2423">
    <cfRule type="cellIs" dxfId="1" priority="2411" stopIfTrue="1" operator="between">
      <formula>"Check"</formula>
      <formula>"Check"</formula>
    </cfRule>
  </conditionalFormatting>
  <conditionalFormatting sqref="R2424">
    <cfRule type="cellIs" dxfId="1" priority="2412" stopIfTrue="1" operator="between">
      <formula>"Check"</formula>
      <formula>"Check"</formula>
    </cfRule>
  </conditionalFormatting>
  <conditionalFormatting sqref="R2425">
    <cfRule type="cellIs" dxfId="1" priority="2413" stopIfTrue="1" operator="between">
      <formula>"Check"</formula>
      <formula>"Check"</formula>
    </cfRule>
  </conditionalFormatting>
  <conditionalFormatting sqref="R2426">
    <cfRule type="cellIs" dxfId="1" priority="2414" stopIfTrue="1" operator="between">
      <formula>"Check"</formula>
      <formula>"Check"</formula>
    </cfRule>
  </conditionalFormatting>
  <conditionalFormatting sqref="R2427">
    <cfRule type="cellIs" dxfId="1" priority="2415" stopIfTrue="1" operator="between">
      <formula>"Check"</formula>
      <formula>"Check"</formula>
    </cfRule>
  </conditionalFormatting>
  <conditionalFormatting sqref="R2428">
    <cfRule type="cellIs" dxfId="1" priority="2416" stopIfTrue="1" operator="between">
      <formula>"Check"</formula>
      <formula>"Check"</formula>
    </cfRule>
  </conditionalFormatting>
  <conditionalFormatting sqref="R2429">
    <cfRule type="cellIs" dxfId="1" priority="2417" stopIfTrue="1" operator="between">
      <formula>"Check"</formula>
      <formula>"Check"</formula>
    </cfRule>
  </conditionalFormatting>
  <conditionalFormatting sqref="R2430">
    <cfRule type="cellIs" dxfId="1" priority="2418" stopIfTrue="1" operator="between">
      <formula>"Check"</formula>
      <formula>"Check"</formula>
    </cfRule>
  </conditionalFormatting>
  <conditionalFormatting sqref="R2431">
    <cfRule type="cellIs" dxfId="1" priority="2419" stopIfTrue="1" operator="between">
      <formula>"Check"</formula>
      <formula>"Check"</formula>
    </cfRule>
  </conditionalFormatting>
  <conditionalFormatting sqref="R2432">
    <cfRule type="cellIs" dxfId="1" priority="2420" stopIfTrue="1" operator="between">
      <formula>"Check"</formula>
      <formula>"Check"</formula>
    </cfRule>
  </conditionalFormatting>
  <conditionalFormatting sqref="R2433">
    <cfRule type="cellIs" dxfId="1" priority="2421" stopIfTrue="1" operator="between">
      <formula>"Check"</formula>
      <formula>"Check"</formula>
    </cfRule>
  </conditionalFormatting>
  <conditionalFormatting sqref="R2434">
    <cfRule type="cellIs" dxfId="1" priority="2422" stopIfTrue="1" operator="between">
      <formula>"Check"</formula>
      <formula>"Check"</formula>
    </cfRule>
  </conditionalFormatting>
  <conditionalFormatting sqref="R2435">
    <cfRule type="cellIs" dxfId="1" priority="2423" stopIfTrue="1" operator="between">
      <formula>"Check"</formula>
      <formula>"Check"</formula>
    </cfRule>
  </conditionalFormatting>
  <conditionalFormatting sqref="R2436">
    <cfRule type="cellIs" dxfId="1" priority="2424" stopIfTrue="1" operator="between">
      <formula>"Check"</formula>
      <formula>"Check"</formula>
    </cfRule>
  </conditionalFormatting>
  <conditionalFormatting sqref="R2437">
    <cfRule type="cellIs" dxfId="1" priority="2425" stopIfTrue="1" operator="between">
      <formula>"Check"</formula>
      <formula>"Check"</formula>
    </cfRule>
  </conditionalFormatting>
  <conditionalFormatting sqref="R2438">
    <cfRule type="cellIs" dxfId="1" priority="2426" stopIfTrue="1" operator="between">
      <formula>"Check"</formula>
      <formula>"Check"</formula>
    </cfRule>
  </conditionalFormatting>
  <conditionalFormatting sqref="R2439">
    <cfRule type="cellIs" dxfId="1" priority="2427" stopIfTrue="1" operator="between">
      <formula>"Check"</formula>
      <formula>"Check"</formula>
    </cfRule>
  </conditionalFormatting>
  <conditionalFormatting sqref="R2440">
    <cfRule type="cellIs" dxfId="1" priority="2428" stopIfTrue="1" operator="between">
      <formula>"Check"</formula>
      <formula>"Check"</formula>
    </cfRule>
  </conditionalFormatting>
  <conditionalFormatting sqref="R2441">
    <cfRule type="cellIs" dxfId="1" priority="2429" stopIfTrue="1" operator="between">
      <formula>"Check"</formula>
      <formula>"Check"</formula>
    </cfRule>
  </conditionalFormatting>
  <conditionalFormatting sqref="R2442">
    <cfRule type="cellIs" dxfId="1" priority="2430" stopIfTrue="1" operator="between">
      <formula>"Check"</formula>
      <formula>"Check"</formula>
    </cfRule>
  </conditionalFormatting>
  <conditionalFormatting sqref="R2443">
    <cfRule type="cellIs" dxfId="1" priority="2431" stopIfTrue="1" operator="between">
      <formula>"Check"</formula>
      <formula>"Check"</formula>
    </cfRule>
  </conditionalFormatting>
  <conditionalFormatting sqref="R2444">
    <cfRule type="cellIs" dxfId="1" priority="2432" stopIfTrue="1" operator="between">
      <formula>"Check"</formula>
      <formula>"Check"</formula>
    </cfRule>
  </conditionalFormatting>
  <conditionalFormatting sqref="R2445">
    <cfRule type="cellIs" dxfId="1" priority="2433" stopIfTrue="1" operator="between">
      <formula>"Check"</formula>
      <formula>"Check"</formula>
    </cfRule>
  </conditionalFormatting>
  <conditionalFormatting sqref="R2446">
    <cfRule type="cellIs" dxfId="1" priority="2434" stopIfTrue="1" operator="between">
      <formula>"Check"</formula>
      <formula>"Check"</formula>
    </cfRule>
  </conditionalFormatting>
  <conditionalFormatting sqref="R2447">
    <cfRule type="cellIs" dxfId="1" priority="2435" stopIfTrue="1" operator="between">
      <formula>"Check"</formula>
      <formula>"Check"</formula>
    </cfRule>
  </conditionalFormatting>
  <conditionalFormatting sqref="R2448">
    <cfRule type="cellIs" dxfId="1" priority="2436" stopIfTrue="1" operator="between">
      <formula>"Check"</formula>
      <formula>"Check"</formula>
    </cfRule>
  </conditionalFormatting>
  <conditionalFormatting sqref="R2449">
    <cfRule type="cellIs" dxfId="1" priority="2437" stopIfTrue="1" operator="between">
      <formula>"Check"</formula>
      <formula>"Check"</formula>
    </cfRule>
  </conditionalFormatting>
  <conditionalFormatting sqref="R2450">
    <cfRule type="cellIs" dxfId="1" priority="2438" stopIfTrue="1" operator="between">
      <formula>"Check"</formula>
      <formula>"Check"</formula>
    </cfRule>
  </conditionalFormatting>
  <conditionalFormatting sqref="R2451">
    <cfRule type="cellIs" dxfId="1" priority="2439" stopIfTrue="1" operator="between">
      <formula>"Check"</formula>
      <formula>"Check"</formula>
    </cfRule>
  </conditionalFormatting>
  <conditionalFormatting sqref="R2452">
    <cfRule type="cellIs" dxfId="1" priority="2440" stopIfTrue="1" operator="between">
      <formula>"Check"</formula>
      <formula>"Check"</formula>
    </cfRule>
  </conditionalFormatting>
  <conditionalFormatting sqref="R2453">
    <cfRule type="cellIs" dxfId="1" priority="2441" stopIfTrue="1" operator="between">
      <formula>"Check"</formula>
      <formula>"Check"</formula>
    </cfRule>
  </conditionalFormatting>
  <conditionalFormatting sqref="R2454">
    <cfRule type="cellIs" dxfId="1" priority="2442" stopIfTrue="1" operator="between">
      <formula>"Check"</formula>
      <formula>"Check"</formula>
    </cfRule>
  </conditionalFormatting>
  <conditionalFormatting sqref="R2455">
    <cfRule type="cellIs" dxfId="1" priority="2443" stopIfTrue="1" operator="between">
      <formula>"Check"</formula>
      <formula>"Check"</formula>
    </cfRule>
  </conditionalFormatting>
  <conditionalFormatting sqref="R2456">
    <cfRule type="cellIs" dxfId="1" priority="2444" stopIfTrue="1" operator="between">
      <formula>"Check"</formula>
      <formula>"Check"</formula>
    </cfRule>
  </conditionalFormatting>
  <conditionalFormatting sqref="R2457">
    <cfRule type="cellIs" dxfId="1" priority="2445" stopIfTrue="1" operator="between">
      <formula>"Check"</formula>
      <formula>"Check"</formula>
    </cfRule>
  </conditionalFormatting>
  <conditionalFormatting sqref="R2458">
    <cfRule type="cellIs" dxfId="1" priority="2446" stopIfTrue="1" operator="between">
      <formula>"Check"</formula>
      <formula>"Check"</formula>
    </cfRule>
  </conditionalFormatting>
  <conditionalFormatting sqref="R2459">
    <cfRule type="cellIs" dxfId="1" priority="2447" stopIfTrue="1" operator="between">
      <formula>"Check"</formula>
      <formula>"Check"</formula>
    </cfRule>
  </conditionalFormatting>
  <conditionalFormatting sqref="R2460">
    <cfRule type="cellIs" dxfId="1" priority="2448" stopIfTrue="1" operator="between">
      <formula>"Check"</formula>
      <formula>"Check"</formula>
    </cfRule>
  </conditionalFormatting>
  <conditionalFormatting sqref="R2461">
    <cfRule type="cellIs" dxfId="1" priority="2449" stopIfTrue="1" operator="between">
      <formula>"Check"</formula>
      <formula>"Check"</formula>
    </cfRule>
  </conditionalFormatting>
  <conditionalFormatting sqref="R2462">
    <cfRule type="cellIs" dxfId="1" priority="2450" stopIfTrue="1" operator="between">
      <formula>"Check"</formula>
      <formula>"Check"</formula>
    </cfRule>
  </conditionalFormatting>
  <conditionalFormatting sqref="R2463">
    <cfRule type="cellIs" dxfId="1" priority="2451" stopIfTrue="1" operator="between">
      <formula>"Check"</formula>
      <formula>"Check"</formula>
    </cfRule>
  </conditionalFormatting>
  <conditionalFormatting sqref="R2464">
    <cfRule type="cellIs" dxfId="1" priority="2452" stopIfTrue="1" operator="between">
      <formula>"Check"</formula>
      <formula>"Check"</formula>
    </cfRule>
  </conditionalFormatting>
  <conditionalFormatting sqref="R2465">
    <cfRule type="cellIs" dxfId="1" priority="2453" stopIfTrue="1" operator="between">
      <formula>"Check"</formula>
      <formula>"Check"</formula>
    </cfRule>
  </conditionalFormatting>
  <conditionalFormatting sqref="R2466">
    <cfRule type="cellIs" dxfId="1" priority="2454" stopIfTrue="1" operator="between">
      <formula>"Check"</formula>
      <formula>"Check"</formula>
    </cfRule>
  </conditionalFormatting>
  <conditionalFormatting sqref="R2467">
    <cfRule type="cellIs" dxfId="1" priority="2455" stopIfTrue="1" operator="between">
      <formula>"Check"</formula>
      <formula>"Check"</formula>
    </cfRule>
  </conditionalFormatting>
  <conditionalFormatting sqref="R2468">
    <cfRule type="cellIs" dxfId="1" priority="2456" stopIfTrue="1" operator="between">
      <formula>"Check"</formula>
      <formula>"Check"</formula>
    </cfRule>
  </conditionalFormatting>
  <conditionalFormatting sqref="R2469">
    <cfRule type="cellIs" dxfId="1" priority="2457" stopIfTrue="1" operator="between">
      <formula>"Check"</formula>
      <formula>"Check"</formula>
    </cfRule>
  </conditionalFormatting>
  <conditionalFormatting sqref="R2470">
    <cfRule type="cellIs" dxfId="1" priority="2458" stopIfTrue="1" operator="between">
      <formula>"Check"</formula>
      <formula>"Check"</formula>
    </cfRule>
  </conditionalFormatting>
  <conditionalFormatting sqref="R2471">
    <cfRule type="cellIs" dxfId="1" priority="2459" stopIfTrue="1" operator="between">
      <formula>"Check"</formula>
      <formula>"Check"</formula>
    </cfRule>
  </conditionalFormatting>
  <conditionalFormatting sqref="R2472">
    <cfRule type="cellIs" dxfId="1" priority="2460" stopIfTrue="1" operator="between">
      <formula>"Check"</formula>
      <formula>"Check"</formula>
    </cfRule>
  </conditionalFormatting>
  <conditionalFormatting sqref="R2473">
    <cfRule type="cellIs" dxfId="1" priority="2461" stopIfTrue="1" operator="between">
      <formula>"Check"</formula>
      <formula>"Check"</formula>
    </cfRule>
  </conditionalFormatting>
  <conditionalFormatting sqref="R2474">
    <cfRule type="cellIs" dxfId="1" priority="2462" stopIfTrue="1" operator="between">
      <formula>"Check"</formula>
      <formula>"Check"</formula>
    </cfRule>
  </conditionalFormatting>
  <conditionalFormatting sqref="R2475">
    <cfRule type="cellIs" dxfId="1" priority="2463" stopIfTrue="1" operator="between">
      <formula>"Check"</formula>
      <formula>"Check"</formula>
    </cfRule>
  </conditionalFormatting>
  <conditionalFormatting sqref="R2476">
    <cfRule type="cellIs" dxfId="1" priority="2464" stopIfTrue="1" operator="between">
      <formula>"Check"</formula>
      <formula>"Check"</formula>
    </cfRule>
  </conditionalFormatting>
  <conditionalFormatting sqref="R2477">
    <cfRule type="cellIs" dxfId="1" priority="2465" stopIfTrue="1" operator="between">
      <formula>"Check"</formula>
      <formula>"Check"</formula>
    </cfRule>
  </conditionalFormatting>
  <conditionalFormatting sqref="R2478">
    <cfRule type="cellIs" dxfId="1" priority="2466" stopIfTrue="1" operator="between">
      <formula>"Check"</formula>
      <formula>"Check"</formula>
    </cfRule>
  </conditionalFormatting>
  <conditionalFormatting sqref="R2479">
    <cfRule type="cellIs" dxfId="1" priority="2467" stopIfTrue="1" operator="between">
      <formula>"Check"</formula>
      <formula>"Check"</formula>
    </cfRule>
  </conditionalFormatting>
  <conditionalFormatting sqref="R2480">
    <cfRule type="cellIs" dxfId="1" priority="2468" stopIfTrue="1" operator="between">
      <formula>"Check"</formula>
      <formula>"Check"</formula>
    </cfRule>
  </conditionalFormatting>
  <conditionalFormatting sqref="R2481">
    <cfRule type="cellIs" dxfId="1" priority="2469" stopIfTrue="1" operator="between">
      <formula>"Check"</formula>
      <formula>"Check"</formula>
    </cfRule>
  </conditionalFormatting>
  <conditionalFormatting sqref="R2482">
    <cfRule type="cellIs" dxfId="1" priority="2470" stopIfTrue="1" operator="between">
      <formula>"Check"</formula>
      <formula>"Check"</formula>
    </cfRule>
  </conditionalFormatting>
  <conditionalFormatting sqref="R2483">
    <cfRule type="cellIs" dxfId="1" priority="2471" stopIfTrue="1" operator="between">
      <formula>"Check"</formula>
      <formula>"Check"</formula>
    </cfRule>
  </conditionalFormatting>
  <conditionalFormatting sqref="R2484">
    <cfRule type="cellIs" dxfId="1" priority="2472" stopIfTrue="1" operator="between">
      <formula>"Check"</formula>
      <formula>"Check"</formula>
    </cfRule>
  </conditionalFormatting>
  <conditionalFormatting sqref="R2485">
    <cfRule type="cellIs" dxfId="1" priority="2473" stopIfTrue="1" operator="between">
      <formula>"Check"</formula>
      <formula>"Check"</formula>
    </cfRule>
  </conditionalFormatting>
  <conditionalFormatting sqref="R2486">
    <cfRule type="cellIs" dxfId="1" priority="2474" stopIfTrue="1" operator="between">
      <formula>"Check"</formula>
      <formula>"Check"</formula>
    </cfRule>
  </conditionalFormatting>
  <conditionalFormatting sqref="R2487">
    <cfRule type="cellIs" dxfId="1" priority="2475" stopIfTrue="1" operator="between">
      <formula>"Check"</formula>
      <formula>"Check"</formula>
    </cfRule>
  </conditionalFormatting>
  <conditionalFormatting sqref="R2488">
    <cfRule type="cellIs" dxfId="1" priority="2476" stopIfTrue="1" operator="between">
      <formula>"Check"</formula>
      <formula>"Check"</formula>
    </cfRule>
  </conditionalFormatting>
  <conditionalFormatting sqref="R2489">
    <cfRule type="cellIs" dxfId="1" priority="2477" stopIfTrue="1" operator="between">
      <formula>"Check"</formula>
      <formula>"Check"</formula>
    </cfRule>
  </conditionalFormatting>
  <conditionalFormatting sqref="R2490">
    <cfRule type="cellIs" dxfId="1" priority="2478" stopIfTrue="1" operator="between">
      <formula>"Check"</formula>
      <formula>"Check"</formula>
    </cfRule>
  </conditionalFormatting>
  <conditionalFormatting sqref="R2491">
    <cfRule type="cellIs" dxfId="1" priority="2479" stopIfTrue="1" operator="between">
      <formula>"Check"</formula>
      <formula>"Check"</formula>
    </cfRule>
  </conditionalFormatting>
  <conditionalFormatting sqref="R2492">
    <cfRule type="cellIs" dxfId="1" priority="2480" stopIfTrue="1" operator="between">
      <formula>"Check"</formula>
      <formula>"Check"</formula>
    </cfRule>
  </conditionalFormatting>
  <conditionalFormatting sqref="R2493">
    <cfRule type="cellIs" dxfId="1" priority="2481" stopIfTrue="1" operator="between">
      <formula>"Check"</formula>
      <formula>"Check"</formula>
    </cfRule>
  </conditionalFormatting>
  <conditionalFormatting sqref="R2494">
    <cfRule type="cellIs" dxfId="1" priority="2482" stopIfTrue="1" operator="between">
      <formula>"Check"</formula>
      <formula>"Check"</formula>
    </cfRule>
  </conditionalFormatting>
  <conditionalFormatting sqref="R2495">
    <cfRule type="cellIs" dxfId="1" priority="2483" stopIfTrue="1" operator="between">
      <formula>"Check"</formula>
      <formula>"Check"</formula>
    </cfRule>
  </conditionalFormatting>
  <conditionalFormatting sqref="R2496">
    <cfRule type="cellIs" dxfId="1" priority="2484" stopIfTrue="1" operator="between">
      <formula>"Check"</formula>
      <formula>"Check"</formula>
    </cfRule>
  </conditionalFormatting>
  <conditionalFormatting sqref="R2497">
    <cfRule type="cellIs" dxfId="1" priority="2485" stopIfTrue="1" operator="between">
      <formula>"Check"</formula>
      <formula>"Check"</formula>
    </cfRule>
  </conditionalFormatting>
  <conditionalFormatting sqref="R2498">
    <cfRule type="cellIs" dxfId="1" priority="2486" stopIfTrue="1" operator="between">
      <formula>"Check"</formula>
      <formula>"Check"</formula>
    </cfRule>
  </conditionalFormatting>
  <conditionalFormatting sqref="R2499">
    <cfRule type="cellIs" dxfId="1" priority="2487" stopIfTrue="1" operator="between">
      <formula>"Check"</formula>
      <formula>"Check"</formula>
    </cfRule>
  </conditionalFormatting>
  <conditionalFormatting sqref="R2500">
    <cfRule type="cellIs" dxfId="1" priority="2488" stopIfTrue="1" operator="between">
      <formula>"Check"</formula>
      <formula>"Check"</formula>
    </cfRule>
  </conditionalFormatting>
  <conditionalFormatting sqref="R2501">
    <cfRule type="cellIs" dxfId="1" priority="2489" stopIfTrue="1" operator="between">
      <formula>"Check"</formula>
      <formula>"Check"</formula>
    </cfRule>
  </conditionalFormatting>
  <conditionalFormatting sqref="R2502">
    <cfRule type="cellIs" dxfId="1" priority="2490" stopIfTrue="1" operator="between">
      <formula>"Check"</formula>
      <formula>"Check"</formula>
    </cfRule>
  </conditionalFormatting>
  <conditionalFormatting sqref="R2503">
    <cfRule type="cellIs" dxfId="1" priority="2491" stopIfTrue="1" operator="between">
      <formula>"Check"</formula>
      <formula>"Check"</formula>
    </cfRule>
  </conditionalFormatting>
  <conditionalFormatting sqref="R2504">
    <cfRule type="cellIs" dxfId="1" priority="2492" stopIfTrue="1" operator="between">
      <formula>"Check"</formula>
      <formula>"Check"</formula>
    </cfRule>
  </conditionalFormatting>
  <conditionalFormatting sqref="R2505">
    <cfRule type="cellIs" dxfId="1" priority="2493" stopIfTrue="1" operator="between">
      <formula>"Check"</formula>
      <formula>"Check"</formula>
    </cfRule>
  </conditionalFormatting>
  <conditionalFormatting sqref="R2506">
    <cfRule type="cellIs" dxfId="1" priority="2494" stopIfTrue="1" operator="between">
      <formula>"Check"</formula>
      <formula>"Check"</formula>
    </cfRule>
  </conditionalFormatting>
  <conditionalFormatting sqref="R2507">
    <cfRule type="cellIs" dxfId="1" priority="2495" stopIfTrue="1" operator="between">
      <formula>"Check"</formula>
      <formula>"Check"</formula>
    </cfRule>
  </conditionalFormatting>
  <conditionalFormatting sqref="R2508">
    <cfRule type="cellIs" dxfId="1" priority="2496" stopIfTrue="1" operator="between">
      <formula>"Check"</formula>
      <formula>"Check"</formula>
    </cfRule>
  </conditionalFormatting>
  <conditionalFormatting sqref="R2509">
    <cfRule type="cellIs" dxfId="1" priority="2497" stopIfTrue="1" operator="between">
      <formula>"Check"</formula>
      <formula>"Check"</formula>
    </cfRule>
  </conditionalFormatting>
  <conditionalFormatting sqref="R2510">
    <cfRule type="cellIs" dxfId="1" priority="2498" stopIfTrue="1" operator="between">
      <formula>"Check"</formula>
      <formula>"Check"</formula>
    </cfRule>
  </conditionalFormatting>
  <conditionalFormatting sqref="R2511">
    <cfRule type="cellIs" dxfId="1" priority="2499" stopIfTrue="1" operator="between">
      <formula>"Check"</formula>
      <formula>"Check"</formula>
    </cfRule>
  </conditionalFormatting>
  <conditionalFormatting sqref="R2512">
    <cfRule type="cellIs" dxfId="1" priority="2500" stopIfTrue="1" operator="between">
      <formula>"Check"</formula>
      <formula>"Check"</formula>
    </cfRule>
  </conditionalFormatting>
  <conditionalFormatting sqref="R2513">
    <cfRule type="cellIs" dxfId="1" priority="2501" stopIfTrue="1" operator="between">
      <formula>"Check"</formula>
      <formula>"Check"</formula>
    </cfRule>
  </conditionalFormatting>
  <conditionalFormatting sqref="R2514">
    <cfRule type="cellIs" dxfId="1" priority="2502" stopIfTrue="1" operator="between">
      <formula>"Check"</formula>
      <formula>"Check"</formula>
    </cfRule>
  </conditionalFormatting>
  <conditionalFormatting sqref="R2515">
    <cfRule type="cellIs" dxfId="1" priority="2503" stopIfTrue="1" operator="between">
      <formula>"Check"</formula>
      <formula>"Check"</formula>
    </cfRule>
  </conditionalFormatting>
  <conditionalFormatting sqref="R2516">
    <cfRule type="cellIs" dxfId="1" priority="2504" stopIfTrue="1" operator="between">
      <formula>"Check"</formula>
      <formula>"Check"</formula>
    </cfRule>
  </conditionalFormatting>
  <conditionalFormatting sqref="R2517">
    <cfRule type="cellIs" dxfId="1" priority="2505" stopIfTrue="1" operator="between">
      <formula>"Check"</formula>
      <formula>"Check"</formula>
    </cfRule>
  </conditionalFormatting>
  <conditionalFormatting sqref="R2518">
    <cfRule type="cellIs" dxfId="1" priority="2506" stopIfTrue="1" operator="between">
      <formula>"Check"</formula>
      <formula>"Check"</formula>
    </cfRule>
  </conditionalFormatting>
  <conditionalFormatting sqref="R2519">
    <cfRule type="cellIs" dxfId="1" priority="2507" stopIfTrue="1" operator="between">
      <formula>"Check"</formula>
      <formula>"Check"</formula>
    </cfRule>
  </conditionalFormatting>
  <conditionalFormatting sqref="R2520">
    <cfRule type="cellIs" dxfId="1" priority="2508" stopIfTrue="1" operator="between">
      <formula>"Check"</formula>
      <formula>"Check"</formula>
    </cfRule>
  </conditionalFormatting>
  <conditionalFormatting sqref="R2521">
    <cfRule type="cellIs" dxfId="1" priority="2509" stopIfTrue="1" operator="between">
      <formula>"Check"</formula>
      <formula>"Check"</formula>
    </cfRule>
  </conditionalFormatting>
  <conditionalFormatting sqref="R2522">
    <cfRule type="cellIs" dxfId="1" priority="2510" stopIfTrue="1" operator="between">
      <formula>"Check"</formula>
      <formula>"Check"</formula>
    </cfRule>
  </conditionalFormatting>
  <conditionalFormatting sqref="R2523">
    <cfRule type="cellIs" dxfId="1" priority="2511" stopIfTrue="1" operator="between">
      <formula>"Check"</formula>
      <formula>"Check"</formula>
    </cfRule>
  </conditionalFormatting>
  <conditionalFormatting sqref="R2524">
    <cfRule type="cellIs" dxfId="1" priority="2512" stopIfTrue="1" operator="between">
      <formula>"Check"</formula>
      <formula>"Check"</formula>
    </cfRule>
  </conditionalFormatting>
  <conditionalFormatting sqref="R2525">
    <cfRule type="cellIs" dxfId="1" priority="2513" stopIfTrue="1" operator="between">
      <formula>"Check"</formula>
      <formula>"Check"</formula>
    </cfRule>
  </conditionalFormatting>
  <conditionalFormatting sqref="R2526">
    <cfRule type="cellIs" dxfId="1" priority="2514" stopIfTrue="1" operator="between">
      <formula>"Check"</formula>
      <formula>"Check"</formula>
    </cfRule>
  </conditionalFormatting>
  <conditionalFormatting sqref="R2527">
    <cfRule type="cellIs" dxfId="1" priority="2515" stopIfTrue="1" operator="between">
      <formula>"Check"</formula>
      <formula>"Check"</formula>
    </cfRule>
  </conditionalFormatting>
  <conditionalFormatting sqref="R2528">
    <cfRule type="cellIs" dxfId="1" priority="2516" stopIfTrue="1" operator="between">
      <formula>"Check"</formula>
      <formula>"Check"</formula>
    </cfRule>
  </conditionalFormatting>
  <conditionalFormatting sqref="R2529">
    <cfRule type="cellIs" dxfId="1" priority="2517" stopIfTrue="1" operator="between">
      <formula>"Check"</formula>
      <formula>"Check"</formula>
    </cfRule>
  </conditionalFormatting>
  <conditionalFormatting sqref="R2530">
    <cfRule type="cellIs" dxfId="1" priority="2518" stopIfTrue="1" operator="between">
      <formula>"Check"</formula>
      <formula>"Check"</formula>
    </cfRule>
  </conditionalFormatting>
  <conditionalFormatting sqref="R2531">
    <cfRule type="cellIs" dxfId="1" priority="2519" stopIfTrue="1" operator="between">
      <formula>"Check"</formula>
      <formula>"Check"</formula>
    </cfRule>
  </conditionalFormatting>
  <conditionalFormatting sqref="R2532">
    <cfRule type="cellIs" dxfId="1" priority="2520" stopIfTrue="1" operator="between">
      <formula>"Check"</formula>
      <formula>"Check"</formula>
    </cfRule>
  </conditionalFormatting>
  <conditionalFormatting sqref="R2533">
    <cfRule type="cellIs" dxfId="1" priority="2521" stopIfTrue="1" operator="between">
      <formula>"Check"</formula>
      <formula>"Check"</formula>
    </cfRule>
  </conditionalFormatting>
  <conditionalFormatting sqref="R2534">
    <cfRule type="cellIs" dxfId="1" priority="2522" stopIfTrue="1" operator="between">
      <formula>"Check"</formula>
      <formula>"Check"</formula>
    </cfRule>
  </conditionalFormatting>
  <conditionalFormatting sqref="R2535">
    <cfRule type="cellIs" dxfId="1" priority="2523" stopIfTrue="1" operator="between">
      <formula>"Check"</formula>
      <formula>"Check"</formula>
    </cfRule>
  </conditionalFormatting>
  <conditionalFormatting sqref="R2536">
    <cfRule type="cellIs" dxfId="1" priority="2524" stopIfTrue="1" operator="between">
      <formula>"Check"</formula>
      <formula>"Check"</formula>
    </cfRule>
  </conditionalFormatting>
  <conditionalFormatting sqref="R2537">
    <cfRule type="cellIs" dxfId="1" priority="2525" stopIfTrue="1" operator="between">
      <formula>"Check"</formula>
      <formula>"Check"</formula>
    </cfRule>
  </conditionalFormatting>
  <conditionalFormatting sqref="R2538">
    <cfRule type="cellIs" dxfId="1" priority="2526" stopIfTrue="1" operator="between">
      <formula>"Check"</formula>
      <formula>"Check"</formula>
    </cfRule>
  </conditionalFormatting>
  <conditionalFormatting sqref="R2539">
    <cfRule type="cellIs" dxfId="1" priority="2527" stopIfTrue="1" operator="between">
      <formula>"Check"</formula>
      <formula>"Check"</formula>
    </cfRule>
  </conditionalFormatting>
  <pageMargins left="0.23" right="0.2" top="0.47" bottom="0.21" header="0.33" footer="0.3"/>
  <pageSetup paperSize="9" scale="29" fitToHeight="0"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0"/>
  <sheetViews>
    <sheetView topLeftCell="A34" workbookViewId="0">
      <selection activeCell="C25" sqref="C25"/>
    </sheetView>
  </sheetViews>
  <sheetFormatPr defaultColWidth="9" defaultRowHeight="13.6"/>
  <cols>
    <col min="1" max="1" width="13.109375" style="60" customWidth="1"/>
    <col min="2" max="2" width="9" style="60"/>
    <col min="3" max="3" width="42.3359375" style="60" customWidth="1"/>
    <col min="4" max="4" width="11.3359375" style="60" customWidth="1"/>
    <col min="5" max="5" width="9" style="60"/>
    <col min="6" max="6" width="12.21875" style="61" customWidth="1"/>
    <col min="7" max="12" width="9" style="61"/>
    <col min="13" max="16384" width="9" style="60"/>
  </cols>
  <sheetData>
    <row r="1" ht="14" spans="1:27">
      <c r="A1" s="62" t="s">
        <v>4</v>
      </c>
      <c r="B1" s="63"/>
      <c r="C1" s="64" t="s">
        <v>3270</v>
      </c>
      <c r="D1" s="65"/>
      <c r="E1" s="65"/>
      <c r="F1" s="66"/>
    </row>
    <row r="2" spans="1:27">
      <c r="A2" s="67" t="s">
        <v>6</v>
      </c>
      <c r="B2" s="68"/>
      <c r="C2" s="69" t="s">
        <v>491</v>
      </c>
      <c r="D2" s="70"/>
      <c r="E2" s="70"/>
      <c r="F2" s="71"/>
    </row>
    <row r="3" spans="1:27">
      <c r="A3" s="67" t="s">
        <v>3271</v>
      </c>
      <c r="B3" s="68"/>
      <c r="C3" s="69" t="s">
        <v>3272</v>
      </c>
      <c r="D3" s="70"/>
      <c r="E3" s="70"/>
      <c r="F3" s="71"/>
    </row>
    <row r="4" spans="1:27">
      <c r="A4" s="67" t="s">
        <v>10</v>
      </c>
      <c r="B4" s="68"/>
      <c r="C4" s="69" t="s">
        <v>3273</v>
      </c>
      <c r="D4" s="70"/>
      <c r="E4" s="70"/>
      <c r="F4" s="71"/>
    </row>
    <row r="5" ht="14.35" spans="1:27">
      <c r="A5" s="72" t="s">
        <v>12</v>
      </c>
      <c r="B5" s="73" t="s">
        <v>3246</v>
      </c>
      <c r="C5" s="74" t="s">
        <v>752</v>
      </c>
      <c r="D5" s="70"/>
      <c r="E5" s="75"/>
      <c r="F5" s="76"/>
    </row>
    <row r="6" spans="1:27">
      <c r="A6" s="77" t="s">
        <v>3274</v>
      </c>
      <c r="B6" s="78"/>
      <c r="C6" s="78"/>
      <c r="D6" s="78"/>
      <c r="E6" s="78"/>
      <c r="F6" s="78"/>
      <c r="G6" s="78"/>
      <c r="H6" s="78"/>
      <c r="I6" s="78"/>
      <c r="J6" s="78"/>
      <c r="K6" s="78"/>
      <c r="L6" s="78"/>
      <c r="M6" s="78"/>
      <c r="N6" s="78"/>
      <c r="O6" s="78"/>
      <c r="P6" s="78"/>
      <c r="Q6" s="78"/>
      <c r="R6" s="78"/>
      <c r="S6" s="78"/>
      <c r="T6" s="78"/>
      <c r="U6" s="78"/>
      <c r="V6" s="78"/>
    </row>
    <row r="7" ht="14" spans="1:27">
      <c r="A7" s="68" t="s">
        <v>489</v>
      </c>
      <c r="B7" s="68" t="s">
        <v>3275</v>
      </c>
      <c r="C7" s="79" t="s">
        <v>3276</v>
      </c>
      <c r="D7" s="68" t="s">
        <v>3277</v>
      </c>
      <c r="E7" s="80" t="s">
        <v>3278</v>
      </c>
      <c r="F7" s="80"/>
      <c r="G7" s="80"/>
      <c r="H7" s="80"/>
      <c r="I7" s="80"/>
      <c r="J7" s="80"/>
      <c r="K7" s="80"/>
      <c r="L7" s="80"/>
      <c r="M7" s="80"/>
      <c r="N7" s="80"/>
      <c r="O7" s="80"/>
      <c r="P7" s="80"/>
      <c r="Q7" s="80"/>
      <c r="R7" s="80"/>
      <c r="S7" s="81"/>
      <c r="T7" s="81"/>
      <c r="U7" s="81"/>
    </row>
    <row r="8" ht="55" spans="1:27">
      <c r="A8" s="68"/>
      <c r="B8" s="68"/>
      <c r="C8" s="79"/>
      <c r="D8" s="68"/>
      <c r="E8" s="82" t="s">
        <v>3279</v>
      </c>
      <c r="F8" s="82" t="s">
        <v>3280</v>
      </c>
      <c r="G8" s="83" t="s">
        <v>3281</v>
      </c>
      <c r="H8" s="83" t="s">
        <v>3280</v>
      </c>
      <c r="I8" s="84" t="s">
        <v>3282</v>
      </c>
      <c r="J8" s="84" t="s">
        <v>3280</v>
      </c>
      <c r="K8" s="85" t="s">
        <v>3283</v>
      </c>
      <c r="L8" s="84" t="s">
        <v>3280</v>
      </c>
      <c r="M8" s="86" t="s">
        <v>3284</v>
      </c>
      <c r="N8" s="84" t="s">
        <v>3280</v>
      </c>
      <c r="O8" s="84" t="s">
        <v>3285</v>
      </c>
      <c r="P8" s="84" t="s">
        <v>3280</v>
      </c>
      <c r="Q8" s="84" t="s">
        <v>3286</v>
      </c>
      <c r="R8" s="84" t="s">
        <v>3280</v>
      </c>
      <c r="S8" s="81"/>
      <c r="T8" s="81"/>
      <c r="U8" s="81"/>
      <c r="V8" s="81"/>
      <c r="W8" s="81"/>
      <c r="X8" s="81"/>
      <c r="Y8" s="81"/>
      <c r="Z8" s="81"/>
      <c r="AA8" s="81"/>
    </row>
    <row r="9" ht="16.8" spans="1:27">
      <c r="A9" s="87"/>
      <c r="B9" s="88"/>
      <c r="C9" s="89"/>
      <c r="D9" s="90"/>
      <c r="E9" s="91"/>
      <c r="F9" s="91"/>
      <c r="G9" s="91"/>
      <c r="H9" s="91"/>
      <c r="I9" s="91"/>
      <c r="J9" s="91"/>
      <c r="K9" s="91"/>
      <c r="L9" s="91"/>
      <c r="M9" s="91"/>
      <c r="N9" s="91"/>
      <c r="O9" s="91"/>
      <c r="P9" s="91"/>
      <c r="Q9" s="91"/>
      <c r="R9" s="91"/>
    </row>
    <row r="10" ht="16.8" spans="1:27">
      <c r="A10" s="87"/>
      <c r="B10" s="88"/>
      <c r="C10" s="89"/>
      <c r="D10" s="90"/>
      <c r="E10" s="91"/>
      <c r="F10" s="91"/>
      <c r="G10" s="91"/>
      <c r="H10" s="91"/>
      <c r="I10" s="91"/>
      <c r="J10" s="91"/>
      <c r="K10" s="91"/>
      <c r="L10" s="91"/>
      <c r="M10" s="91"/>
      <c r="N10" s="91"/>
      <c r="O10" s="91"/>
      <c r="P10" s="91"/>
      <c r="Q10" s="91"/>
      <c r="R10" s="91"/>
    </row>
    <row r="11" ht="16.8" spans="1:27">
      <c r="A11" s="87"/>
      <c r="B11" s="88"/>
      <c r="C11" s="89"/>
      <c r="D11" s="90"/>
      <c r="E11" s="91"/>
      <c r="F11" s="91"/>
      <c r="G11" s="91"/>
      <c r="H11" s="91"/>
      <c r="I11" s="91"/>
      <c r="J11" s="91"/>
      <c r="K11" s="91"/>
      <c r="L11" s="91"/>
      <c r="M11" s="91"/>
      <c r="N11" s="91"/>
      <c r="O11" s="91"/>
      <c r="P11" s="91"/>
      <c r="Q11" s="91"/>
      <c r="R11" s="91"/>
    </row>
    <row r="12" ht="16.8" spans="1:27">
      <c r="A12" s="87"/>
      <c r="B12" s="88"/>
      <c r="C12" s="89"/>
      <c r="D12" s="90"/>
      <c r="E12" s="91"/>
      <c r="F12" s="91"/>
      <c r="G12" s="91"/>
      <c r="H12" s="91"/>
      <c r="I12" s="91"/>
      <c r="J12" s="91"/>
      <c r="K12" s="91"/>
      <c r="L12" s="91"/>
      <c r="M12" s="91"/>
      <c r="N12" s="91"/>
      <c r="O12" s="91"/>
      <c r="P12" s="91"/>
      <c r="Q12" s="91"/>
      <c r="R12" s="91"/>
    </row>
    <row r="13" ht="16.8" spans="1:27">
      <c r="A13" s="87"/>
      <c r="B13" s="88"/>
      <c r="C13" s="89"/>
      <c r="D13" s="90"/>
      <c r="E13" s="91"/>
      <c r="F13" s="91"/>
      <c r="G13" s="91"/>
      <c r="H13" s="91"/>
      <c r="I13" s="91"/>
      <c r="J13" s="91"/>
      <c r="K13" s="91"/>
      <c r="L13" s="91"/>
      <c r="M13" s="91"/>
      <c r="N13" s="91"/>
      <c r="O13" s="91"/>
      <c r="P13" s="91"/>
      <c r="Q13" s="91"/>
      <c r="R13" s="91"/>
    </row>
    <row r="14" ht="16.8" spans="1:27">
      <c r="A14" s="87"/>
      <c r="B14" s="88"/>
      <c r="C14" s="89"/>
      <c r="D14" s="90"/>
      <c r="E14" s="91"/>
      <c r="F14" s="91"/>
      <c r="G14" s="91"/>
      <c r="H14" s="91"/>
      <c r="I14" s="91"/>
      <c r="J14" s="91"/>
      <c r="K14" s="91"/>
      <c r="L14" s="91"/>
      <c r="M14" s="91"/>
      <c r="N14" s="91"/>
      <c r="O14" s="91"/>
      <c r="P14" s="91"/>
      <c r="Q14" s="91"/>
      <c r="R14" s="91"/>
    </row>
    <row r="15" ht="16.8" spans="1:27">
      <c r="A15" s="87"/>
      <c r="B15" s="88"/>
      <c r="C15" s="89"/>
      <c r="D15" s="90"/>
      <c r="E15" s="91"/>
      <c r="F15" s="91"/>
      <c r="G15" s="91"/>
      <c r="H15" s="91"/>
      <c r="I15" s="91"/>
      <c r="J15" s="91"/>
      <c r="K15" s="91"/>
      <c r="L15" s="91"/>
      <c r="M15" s="91"/>
      <c r="N15" s="91"/>
      <c r="O15" s="91"/>
      <c r="P15" s="91"/>
      <c r="Q15" s="91"/>
      <c r="R15" s="91"/>
    </row>
    <row r="16" ht="16.8" spans="1:27">
      <c r="A16" s="87"/>
      <c r="B16" s="88"/>
      <c r="C16" s="89"/>
      <c r="D16" s="90"/>
      <c r="E16" s="91"/>
      <c r="F16" s="91"/>
      <c r="G16" s="91"/>
      <c r="H16" s="91"/>
      <c r="I16" s="91"/>
      <c r="J16" s="91"/>
      <c r="K16" s="91"/>
      <c r="L16" s="91"/>
      <c r="M16" s="91"/>
      <c r="N16" s="91"/>
      <c r="O16" s="91"/>
      <c r="P16" s="91"/>
      <c r="Q16" s="91"/>
      <c r="R16" s="91"/>
    </row>
    <row r="17" ht="16.8" spans="1:18">
      <c r="A17" s="87"/>
      <c r="B17" s="88"/>
      <c r="C17" s="89"/>
      <c r="D17" s="90"/>
      <c r="E17" s="91"/>
      <c r="F17" s="91"/>
      <c r="G17" s="91"/>
      <c r="H17" s="91"/>
      <c r="I17" s="91"/>
      <c r="J17" s="91"/>
      <c r="K17" s="91"/>
      <c r="L17" s="91"/>
      <c r="M17" s="91"/>
      <c r="N17" s="91"/>
      <c r="O17" s="91"/>
      <c r="P17" s="91"/>
      <c r="Q17" s="91"/>
      <c r="R17" s="91"/>
    </row>
    <row r="18" ht="16.8" spans="1:18">
      <c r="A18" s="87"/>
      <c r="B18" s="88"/>
      <c r="C18" s="89"/>
      <c r="D18" s="90"/>
      <c r="E18" s="91"/>
      <c r="F18" s="91"/>
      <c r="G18" s="91"/>
      <c r="H18" s="91"/>
      <c r="I18" s="91"/>
      <c r="J18" s="91"/>
      <c r="K18" s="91"/>
      <c r="L18" s="91"/>
      <c r="M18" s="91"/>
      <c r="N18" s="91"/>
      <c r="O18" s="91"/>
      <c r="P18" s="91"/>
      <c r="Q18" s="91"/>
      <c r="R18" s="91"/>
    </row>
    <row r="19" ht="16.8" spans="1:18">
      <c r="A19" s="87"/>
      <c r="B19" s="88"/>
      <c r="C19" s="89"/>
      <c r="D19" s="90"/>
      <c r="E19" s="91"/>
      <c r="F19" s="91"/>
      <c r="G19" s="91"/>
      <c r="H19" s="91"/>
      <c r="I19" s="91"/>
      <c r="J19" s="91"/>
      <c r="K19" s="91"/>
      <c r="L19" s="91"/>
      <c r="M19" s="91"/>
      <c r="N19" s="91"/>
      <c r="O19" s="91"/>
      <c r="P19" s="91"/>
      <c r="Q19" s="91"/>
      <c r="R19" s="91"/>
    </row>
    <row r="20" ht="16.8" spans="1:18">
      <c r="A20" s="87"/>
      <c r="B20" s="88"/>
      <c r="C20" s="89"/>
      <c r="D20" s="90"/>
      <c r="E20" s="91"/>
      <c r="F20" s="91"/>
      <c r="G20" s="91"/>
      <c r="H20" s="91"/>
      <c r="I20" s="91"/>
      <c r="J20" s="91"/>
      <c r="K20" s="91"/>
      <c r="L20" s="91"/>
      <c r="M20" s="91"/>
      <c r="N20" s="91"/>
      <c r="O20" s="91"/>
      <c r="P20" s="91"/>
      <c r="Q20" s="91"/>
      <c r="R20" s="91"/>
    </row>
    <row r="21" ht="16.8" spans="1:18">
      <c r="A21" s="87"/>
      <c r="B21" s="88"/>
      <c r="C21" s="89"/>
      <c r="D21" s="90"/>
      <c r="E21" s="91"/>
      <c r="F21" s="91"/>
      <c r="G21" s="91"/>
      <c r="H21" s="91"/>
      <c r="I21" s="91"/>
      <c r="J21" s="91"/>
      <c r="K21" s="91"/>
      <c r="L21" s="91"/>
      <c r="M21" s="91"/>
      <c r="N21" s="91"/>
      <c r="O21" s="91"/>
      <c r="P21" s="91"/>
      <c r="Q21" s="91"/>
      <c r="R21" s="91"/>
    </row>
    <row r="22" ht="16.8" spans="1:18">
      <c r="A22" s="87"/>
      <c r="B22" s="88"/>
      <c r="C22" s="89"/>
      <c r="D22" s="90"/>
      <c r="E22" s="91"/>
      <c r="F22" s="91"/>
      <c r="G22" s="91"/>
      <c r="H22" s="91"/>
      <c r="I22" s="91"/>
      <c r="J22" s="91"/>
      <c r="K22" s="91"/>
      <c r="L22" s="91"/>
      <c r="M22" s="91"/>
      <c r="N22" s="91"/>
      <c r="O22" s="91"/>
      <c r="P22" s="91"/>
      <c r="Q22" s="91"/>
      <c r="R22" s="91"/>
    </row>
    <row r="23" ht="16.8" spans="1:18">
      <c r="A23" s="87"/>
      <c r="B23" s="88"/>
      <c r="C23" s="89"/>
      <c r="D23" s="90"/>
      <c r="E23" s="91"/>
      <c r="F23" s="91"/>
      <c r="G23" s="91"/>
      <c r="H23" s="91"/>
      <c r="I23" s="91"/>
      <c r="J23" s="91"/>
      <c r="K23" s="91"/>
      <c r="L23" s="91"/>
      <c r="M23" s="91"/>
      <c r="N23" s="91"/>
      <c r="O23" s="91"/>
      <c r="P23" s="91"/>
      <c r="Q23" s="91"/>
      <c r="R23" s="91"/>
    </row>
    <row r="24" ht="16.8" spans="1:18">
      <c r="A24" s="87"/>
      <c r="B24" s="88"/>
      <c r="C24" s="89"/>
      <c r="D24" s="90"/>
      <c r="E24" s="91"/>
      <c r="F24" s="91"/>
      <c r="G24" s="91"/>
      <c r="H24" s="91"/>
      <c r="I24" s="91"/>
      <c r="J24" s="91"/>
      <c r="K24" s="91"/>
      <c r="L24" s="91"/>
      <c r="M24" s="91"/>
      <c r="N24" s="91"/>
      <c r="O24" s="91"/>
      <c r="P24" s="91"/>
      <c r="Q24" s="91"/>
      <c r="R24" s="91"/>
    </row>
    <row r="25" ht="16.8" spans="1:18">
      <c r="A25" s="87"/>
      <c r="B25" s="88"/>
      <c r="C25" s="89"/>
      <c r="D25" s="90"/>
      <c r="E25" s="91"/>
      <c r="F25" s="91"/>
      <c r="G25" s="91"/>
      <c r="H25" s="91"/>
      <c r="I25" s="91"/>
      <c r="J25" s="91"/>
      <c r="K25" s="91"/>
      <c r="L25" s="91"/>
      <c r="M25" s="91"/>
      <c r="N25" s="91"/>
      <c r="O25" s="91"/>
      <c r="P25" s="91"/>
      <c r="Q25" s="91"/>
      <c r="R25" s="91"/>
    </row>
    <row r="26" ht="16.8" spans="1:18">
      <c r="A26" s="87"/>
      <c r="B26" s="88"/>
      <c r="C26" s="89"/>
      <c r="D26" s="90"/>
      <c r="E26" s="91"/>
      <c r="F26" s="91"/>
      <c r="G26" s="91"/>
      <c r="H26" s="91"/>
      <c r="I26" s="91"/>
      <c r="J26" s="91"/>
      <c r="K26" s="91"/>
      <c r="L26" s="91"/>
      <c r="M26" s="91"/>
      <c r="N26" s="91"/>
      <c r="O26" s="91"/>
      <c r="P26" s="91"/>
      <c r="Q26" s="91"/>
      <c r="R26" s="91"/>
    </row>
    <row r="27" ht="16.8" spans="1:18">
      <c r="A27" s="87"/>
      <c r="B27" s="88"/>
      <c r="C27" s="89"/>
      <c r="D27" s="90"/>
      <c r="E27" s="91"/>
      <c r="F27" s="91"/>
      <c r="G27" s="91"/>
      <c r="H27" s="91"/>
      <c r="I27" s="91"/>
      <c r="J27" s="91"/>
      <c r="K27" s="91"/>
      <c r="L27" s="91"/>
      <c r="M27" s="91"/>
      <c r="N27" s="91"/>
      <c r="O27" s="91"/>
      <c r="P27" s="91"/>
      <c r="Q27" s="91"/>
      <c r="R27" s="91"/>
    </row>
    <row r="28" ht="16.8" spans="1:18">
      <c r="A28" s="87"/>
      <c r="B28" s="88"/>
      <c r="C28" s="89"/>
      <c r="D28" s="90"/>
      <c r="E28" s="91"/>
      <c r="F28" s="91"/>
      <c r="G28" s="91"/>
      <c r="H28" s="91"/>
      <c r="I28" s="91"/>
      <c r="J28" s="91"/>
      <c r="K28" s="91"/>
      <c r="L28" s="91"/>
      <c r="M28" s="91"/>
      <c r="N28" s="91"/>
      <c r="O28" s="91"/>
      <c r="P28" s="91"/>
      <c r="Q28" s="91"/>
      <c r="R28" s="91"/>
    </row>
    <row r="29" ht="16.8" spans="1:18">
      <c r="A29" s="87"/>
      <c r="B29" s="88"/>
      <c r="C29" s="89"/>
      <c r="D29" s="90"/>
      <c r="E29" s="91"/>
      <c r="F29" s="91"/>
      <c r="G29" s="91"/>
      <c r="H29" s="91"/>
      <c r="I29" s="91"/>
      <c r="J29" s="91"/>
      <c r="K29" s="91"/>
      <c r="L29" s="91"/>
      <c r="M29" s="91"/>
      <c r="N29" s="91"/>
      <c r="O29" s="91"/>
      <c r="P29" s="91"/>
      <c r="Q29" s="91"/>
      <c r="R29" s="91"/>
    </row>
    <row r="30" ht="16.8" spans="1:18">
      <c r="A30" s="87"/>
      <c r="B30" s="88"/>
      <c r="C30" s="89"/>
      <c r="D30" s="90"/>
      <c r="E30" s="91"/>
      <c r="F30" s="91"/>
      <c r="G30" s="91"/>
      <c r="H30" s="91"/>
      <c r="I30" s="91"/>
      <c r="J30" s="91"/>
      <c r="K30" s="91"/>
      <c r="L30" s="91"/>
      <c r="M30" s="91"/>
      <c r="N30" s="91"/>
      <c r="O30" s="91"/>
      <c r="P30" s="91"/>
      <c r="Q30" s="91"/>
      <c r="R30" s="91"/>
    </row>
    <row r="31" ht="16.8" spans="1:18">
      <c r="A31" s="87"/>
      <c r="B31" s="88"/>
      <c r="C31" s="89"/>
      <c r="D31" s="90"/>
      <c r="E31" s="91"/>
      <c r="F31" s="91"/>
      <c r="G31" s="91"/>
      <c r="H31" s="91"/>
      <c r="I31" s="91"/>
      <c r="J31" s="91"/>
      <c r="K31" s="91"/>
      <c r="L31" s="91"/>
      <c r="M31" s="91"/>
      <c r="N31" s="91"/>
      <c r="O31" s="91"/>
      <c r="P31" s="91"/>
      <c r="Q31" s="91"/>
      <c r="R31" s="91"/>
    </row>
    <row r="32" ht="16.8" spans="1:18">
      <c r="A32" s="87"/>
      <c r="B32" s="88"/>
      <c r="C32" s="89"/>
      <c r="D32" s="90"/>
      <c r="E32" s="91"/>
      <c r="F32" s="91"/>
      <c r="G32" s="91"/>
      <c r="H32" s="91"/>
      <c r="I32" s="91"/>
      <c r="J32" s="91"/>
      <c r="K32" s="91"/>
      <c r="L32" s="91"/>
      <c r="M32" s="91"/>
      <c r="N32" s="91"/>
      <c r="O32" s="91"/>
      <c r="P32" s="91"/>
      <c r="Q32" s="91"/>
      <c r="R32" s="91"/>
    </row>
    <row r="33" ht="16.8" spans="1:18">
      <c r="A33" s="87"/>
      <c r="B33" s="88"/>
      <c r="C33" s="89"/>
      <c r="D33" s="90"/>
      <c r="E33" s="91"/>
      <c r="F33" s="91"/>
      <c r="G33" s="91"/>
      <c r="H33" s="91"/>
      <c r="I33" s="91"/>
      <c r="J33" s="91"/>
      <c r="K33" s="91"/>
      <c r="L33" s="91"/>
      <c r="M33" s="91"/>
      <c r="N33" s="91"/>
      <c r="O33" s="91"/>
      <c r="P33" s="91"/>
      <c r="Q33" s="91"/>
      <c r="R33" s="91"/>
    </row>
    <row r="34" ht="16.8" spans="1:18">
      <c r="A34" s="87"/>
      <c r="B34" s="88"/>
      <c r="C34" s="89"/>
      <c r="D34" s="90"/>
      <c r="E34" s="91"/>
      <c r="F34" s="91"/>
      <c r="G34" s="91"/>
      <c r="H34" s="91"/>
      <c r="I34" s="91"/>
      <c r="J34" s="91"/>
      <c r="K34" s="91"/>
      <c r="L34" s="91"/>
      <c r="M34" s="91"/>
      <c r="N34" s="91"/>
      <c r="O34" s="91"/>
      <c r="P34" s="91"/>
      <c r="Q34" s="91"/>
      <c r="R34" s="91"/>
    </row>
    <row r="35" ht="16.8" spans="1:18">
      <c r="A35" s="87"/>
      <c r="B35" s="88"/>
      <c r="C35" s="89"/>
      <c r="D35" s="90"/>
      <c r="E35" s="91"/>
      <c r="F35" s="91"/>
      <c r="G35" s="91"/>
      <c r="H35" s="91"/>
      <c r="I35" s="91"/>
      <c r="J35" s="91"/>
      <c r="K35" s="91"/>
      <c r="L35" s="91"/>
      <c r="M35" s="91"/>
      <c r="N35" s="91"/>
      <c r="O35" s="91"/>
      <c r="P35" s="91"/>
      <c r="Q35" s="91"/>
      <c r="R35" s="91"/>
    </row>
    <row r="36" ht="16.8" spans="1:18">
      <c r="A36" s="87"/>
      <c r="B36" s="88"/>
      <c r="C36" s="89"/>
      <c r="D36" s="90"/>
      <c r="E36" s="91"/>
      <c r="F36" s="91"/>
      <c r="G36" s="91"/>
      <c r="H36" s="91"/>
      <c r="I36" s="91"/>
      <c r="J36" s="91"/>
      <c r="K36" s="91"/>
      <c r="L36" s="91"/>
      <c r="M36" s="91"/>
      <c r="N36" s="91"/>
      <c r="O36" s="91"/>
      <c r="P36" s="91"/>
      <c r="Q36" s="91"/>
      <c r="R36" s="91"/>
    </row>
    <row r="37" ht="16.8" spans="1:18">
      <c r="A37" s="87"/>
      <c r="B37" s="88"/>
      <c r="C37" s="89"/>
      <c r="D37" s="90"/>
      <c r="E37" s="91"/>
      <c r="F37" s="91"/>
      <c r="G37" s="91"/>
      <c r="H37" s="91"/>
      <c r="I37" s="91"/>
      <c r="J37" s="91"/>
      <c r="K37" s="91"/>
      <c r="L37" s="91"/>
      <c r="M37" s="91"/>
      <c r="N37" s="91"/>
      <c r="O37" s="91"/>
      <c r="P37" s="91"/>
      <c r="Q37" s="91"/>
      <c r="R37" s="91"/>
    </row>
    <row r="38" ht="16.8" spans="1:18">
      <c r="A38" s="87"/>
      <c r="B38" s="88"/>
      <c r="C38" s="89"/>
      <c r="D38" s="90"/>
      <c r="E38" s="91"/>
      <c r="F38" s="91"/>
      <c r="G38" s="91"/>
      <c r="H38" s="91"/>
      <c r="I38" s="91"/>
      <c r="J38" s="91"/>
      <c r="K38" s="91"/>
      <c r="L38" s="91"/>
      <c r="M38" s="91"/>
      <c r="N38" s="91"/>
      <c r="O38" s="91"/>
      <c r="P38" s="91"/>
      <c r="Q38" s="91"/>
      <c r="R38" s="91"/>
    </row>
    <row r="39" ht="16.8" spans="1:18">
      <c r="A39" s="87"/>
      <c r="B39" s="88"/>
      <c r="C39" s="89"/>
      <c r="D39" s="90"/>
      <c r="E39" s="91"/>
      <c r="F39" s="91"/>
      <c r="G39" s="91"/>
      <c r="H39" s="91"/>
      <c r="I39" s="91"/>
      <c r="J39" s="91"/>
      <c r="K39" s="91"/>
      <c r="L39" s="91"/>
      <c r="M39" s="91"/>
      <c r="N39" s="91"/>
      <c r="O39" s="91"/>
      <c r="P39" s="91"/>
      <c r="Q39" s="91"/>
      <c r="R39" s="91"/>
    </row>
    <row r="40" ht="16.8" spans="1:18">
      <c r="A40" s="87"/>
      <c r="B40" s="88"/>
      <c r="C40" s="89"/>
      <c r="D40" s="90"/>
      <c r="E40" s="91"/>
      <c r="F40" s="91"/>
      <c r="G40" s="91"/>
      <c r="H40" s="91"/>
      <c r="I40" s="91"/>
      <c r="J40" s="91"/>
      <c r="K40" s="91"/>
      <c r="L40" s="91"/>
      <c r="M40" s="91"/>
      <c r="N40" s="91"/>
      <c r="O40" s="91"/>
      <c r="P40" s="91"/>
      <c r="Q40" s="91"/>
      <c r="R40" s="91"/>
    </row>
    <row r="41" ht="16.8" spans="1:18">
      <c r="A41" s="87"/>
      <c r="B41" s="88"/>
      <c r="C41" s="89"/>
      <c r="D41" s="90"/>
      <c r="E41" s="91"/>
      <c r="F41" s="91"/>
      <c r="G41" s="91"/>
      <c r="H41" s="91"/>
      <c r="I41" s="91"/>
      <c r="J41" s="91"/>
      <c r="K41" s="91"/>
      <c r="L41" s="91"/>
      <c r="M41" s="91"/>
      <c r="N41" s="91"/>
      <c r="O41" s="91"/>
      <c r="P41" s="91"/>
      <c r="Q41" s="91"/>
      <c r="R41" s="91"/>
    </row>
    <row r="42" ht="16.8" spans="1:18">
      <c r="A42" s="87"/>
      <c r="B42" s="88"/>
      <c r="C42" s="89"/>
      <c r="D42" s="90"/>
      <c r="E42" s="91"/>
      <c r="F42" s="91"/>
      <c r="G42" s="91"/>
      <c r="H42" s="91"/>
      <c r="I42" s="91"/>
      <c r="J42" s="91"/>
      <c r="K42" s="91"/>
      <c r="L42" s="91"/>
      <c r="M42" s="91"/>
      <c r="N42" s="91"/>
      <c r="O42" s="91"/>
      <c r="P42" s="91"/>
      <c r="Q42" s="91"/>
      <c r="R42" s="91"/>
    </row>
    <row r="43" ht="16.8" spans="1:18">
      <c r="A43" s="87"/>
      <c r="B43" s="88"/>
      <c r="C43" s="89"/>
      <c r="D43" s="90"/>
      <c r="E43" s="91"/>
      <c r="F43" s="91"/>
      <c r="G43" s="91"/>
      <c r="H43" s="91"/>
      <c r="I43" s="91"/>
      <c r="J43" s="91"/>
      <c r="K43" s="91"/>
      <c r="L43" s="91"/>
      <c r="M43" s="91"/>
      <c r="N43" s="91"/>
      <c r="O43" s="91"/>
      <c r="P43" s="91"/>
      <c r="Q43" s="91"/>
      <c r="R43" s="91"/>
    </row>
    <row r="44" ht="16.8" spans="1:18">
      <c r="A44" s="87"/>
      <c r="B44" s="88"/>
      <c r="C44" s="89"/>
      <c r="D44" s="90"/>
      <c r="E44" s="91"/>
      <c r="F44" s="91"/>
      <c r="G44" s="91"/>
      <c r="H44" s="91"/>
      <c r="I44" s="91"/>
      <c r="J44" s="91"/>
      <c r="K44" s="91"/>
      <c r="L44" s="91"/>
      <c r="M44" s="91"/>
      <c r="N44" s="91"/>
      <c r="O44" s="91"/>
      <c r="P44" s="91"/>
      <c r="Q44" s="91"/>
      <c r="R44" s="91"/>
    </row>
    <row r="45" ht="16.8" spans="1:18">
      <c r="A45" s="87"/>
      <c r="B45" s="88"/>
      <c r="C45" s="89"/>
      <c r="D45" s="90"/>
      <c r="E45" s="91"/>
      <c r="F45" s="91"/>
      <c r="G45" s="91"/>
      <c r="H45" s="91"/>
      <c r="I45" s="91"/>
      <c r="J45" s="91"/>
      <c r="K45" s="91"/>
      <c r="L45" s="91"/>
      <c r="M45" s="91"/>
      <c r="N45" s="91"/>
      <c r="O45" s="91"/>
      <c r="P45" s="91"/>
      <c r="Q45" s="91"/>
      <c r="R45" s="91"/>
    </row>
    <row r="46" ht="16.8" spans="1:18">
      <c r="A46" s="87"/>
      <c r="B46" s="88"/>
      <c r="C46" s="89"/>
      <c r="D46" s="90"/>
      <c r="E46" s="91"/>
      <c r="F46" s="91"/>
      <c r="G46" s="91"/>
      <c r="H46" s="91"/>
      <c r="I46" s="91"/>
      <c r="J46" s="91"/>
      <c r="K46" s="91"/>
      <c r="L46" s="91"/>
      <c r="M46" s="91"/>
      <c r="N46" s="91"/>
      <c r="O46" s="91"/>
      <c r="P46" s="91"/>
      <c r="Q46" s="91"/>
      <c r="R46" s="91"/>
    </row>
    <row r="47" ht="16.8" spans="1:18">
      <c r="A47" s="87"/>
      <c r="B47" s="88"/>
      <c r="C47" s="89"/>
      <c r="D47" s="90"/>
      <c r="E47" s="91"/>
      <c r="F47" s="91"/>
      <c r="G47" s="91"/>
      <c r="H47" s="91"/>
      <c r="I47" s="91"/>
      <c r="J47" s="91"/>
      <c r="K47" s="91"/>
      <c r="L47" s="91"/>
      <c r="M47" s="91"/>
      <c r="N47" s="91"/>
      <c r="O47" s="91"/>
      <c r="P47" s="91"/>
      <c r="Q47" s="91"/>
      <c r="R47" s="91"/>
    </row>
    <row r="48" ht="16.8" spans="1:18">
      <c r="A48" s="87"/>
      <c r="B48" s="88"/>
      <c r="C48" s="89"/>
      <c r="D48" s="90"/>
      <c r="E48" s="91"/>
      <c r="F48" s="91"/>
      <c r="G48" s="91"/>
      <c r="H48" s="91"/>
      <c r="I48" s="91"/>
      <c r="J48" s="91"/>
      <c r="K48" s="91"/>
      <c r="L48" s="91"/>
      <c r="M48" s="91"/>
      <c r="N48" s="91"/>
      <c r="O48" s="91"/>
      <c r="P48" s="91"/>
      <c r="Q48" s="91"/>
      <c r="R48" s="91"/>
    </row>
    <row r="49" ht="16.8" spans="1:18">
      <c r="A49" s="87"/>
      <c r="B49" s="88"/>
      <c r="C49" s="89"/>
      <c r="D49" s="90"/>
      <c r="E49" s="91"/>
      <c r="F49" s="91"/>
      <c r="G49" s="91"/>
      <c r="H49" s="91"/>
      <c r="I49" s="91"/>
      <c r="J49" s="91"/>
      <c r="K49" s="91"/>
      <c r="L49" s="91"/>
      <c r="M49" s="91"/>
      <c r="N49" s="91"/>
      <c r="O49" s="91"/>
      <c r="P49" s="91"/>
      <c r="Q49" s="91"/>
      <c r="R49" s="91"/>
    </row>
    <row r="50" ht="16.8" spans="1:18">
      <c r="A50" s="87"/>
      <c r="B50" s="88"/>
      <c r="C50" s="89"/>
      <c r="D50" s="90"/>
      <c r="E50" s="91"/>
      <c r="F50" s="91"/>
      <c r="G50" s="91"/>
      <c r="H50" s="91"/>
      <c r="I50" s="91"/>
      <c r="J50" s="91"/>
      <c r="K50" s="91"/>
      <c r="L50" s="91"/>
      <c r="M50" s="91"/>
      <c r="N50" s="91"/>
      <c r="O50" s="91"/>
      <c r="P50" s="91"/>
      <c r="Q50" s="91"/>
      <c r="R50" s="91"/>
    </row>
    <row r="51" ht="16.8" spans="1:18">
      <c r="A51" s="87"/>
      <c r="B51" s="88"/>
      <c r="C51" s="89"/>
      <c r="D51" s="90"/>
      <c r="E51" s="91"/>
      <c r="F51" s="91"/>
      <c r="G51" s="91"/>
      <c r="H51" s="91"/>
      <c r="I51" s="91"/>
      <c r="J51" s="91"/>
      <c r="K51" s="91"/>
      <c r="L51" s="91"/>
      <c r="M51" s="91"/>
      <c r="N51" s="91"/>
      <c r="O51" s="91"/>
      <c r="P51" s="91"/>
      <c r="Q51" s="91"/>
      <c r="R51" s="91"/>
    </row>
    <row r="52" ht="16.8" spans="1:18">
      <c r="A52" s="87"/>
      <c r="B52" s="88"/>
      <c r="C52" s="89"/>
      <c r="D52" s="90"/>
      <c r="E52" s="91"/>
      <c r="F52" s="91"/>
      <c r="G52" s="91"/>
      <c r="H52" s="91"/>
      <c r="I52" s="91"/>
      <c r="J52" s="91"/>
      <c r="K52" s="91"/>
      <c r="L52" s="91"/>
      <c r="M52" s="91"/>
      <c r="N52" s="91"/>
      <c r="O52" s="91"/>
      <c r="P52" s="91"/>
      <c r="Q52" s="91"/>
      <c r="R52" s="91"/>
    </row>
    <row r="53" ht="16.8" spans="1:18">
      <c r="A53" s="87"/>
      <c r="B53" s="88"/>
      <c r="C53" s="89"/>
      <c r="D53" s="90"/>
      <c r="E53" s="91"/>
      <c r="F53" s="91"/>
      <c r="G53" s="91"/>
      <c r="H53" s="91"/>
      <c r="I53" s="91"/>
      <c r="J53" s="91"/>
      <c r="K53" s="91"/>
      <c r="L53" s="91"/>
      <c r="M53" s="91"/>
      <c r="N53" s="91"/>
      <c r="O53" s="91"/>
      <c r="P53" s="91"/>
      <c r="Q53" s="91"/>
      <c r="R53" s="91"/>
    </row>
    <row r="54" ht="16.8" spans="1:18">
      <c r="A54" s="87"/>
      <c r="B54" s="88"/>
      <c r="C54" s="89"/>
      <c r="D54" s="90"/>
      <c r="E54" s="91"/>
      <c r="F54" s="91"/>
      <c r="G54" s="91"/>
      <c r="H54" s="91"/>
      <c r="I54" s="91"/>
      <c r="J54" s="91"/>
      <c r="K54" s="91"/>
      <c r="L54" s="91"/>
      <c r="M54" s="91"/>
      <c r="N54" s="91"/>
      <c r="O54" s="91"/>
      <c r="P54" s="91"/>
      <c r="Q54" s="91"/>
      <c r="R54" s="91"/>
    </row>
    <row r="55" ht="16.8" spans="1:18">
      <c r="A55" s="87"/>
      <c r="B55" s="88"/>
      <c r="C55" s="89"/>
      <c r="D55" s="90"/>
      <c r="E55" s="91"/>
      <c r="F55" s="91"/>
      <c r="G55" s="91"/>
      <c r="H55" s="91"/>
      <c r="I55" s="91"/>
      <c r="J55" s="91"/>
      <c r="K55" s="91"/>
      <c r="L55" s="91"/>
      <c r="M55" s="91"/>
      <c r="N55" s="91"/>
      <c r="O55" s="91"/>
      <c r="P55" s="91"/>
      <c r="Q55" s="91"/>
      <c r="R55" s="91"/>
    </row>
    <row r="56" ht="16.8" spans="1:18">
      <c r="A56" s="87"/>
      <c r="B56" s="88"/>
      <c r="C56" s="89"/>
      <c r="D56" s="90"/>
      <c r="E56" s="91"/>
      <c r="F56" s="91"/>
      <c r="G56" s="91"/>
      <c r="H56" s="91"/>
      <c r="I56" s="91"/>
      <c r="J56" s="91"/>
      <c r="K56" s="91"/>
      <c r="L56" s="91"/>
      <c r="M56" s="91"/>
      <c r="N56" s="91"/>
      <c r="O56" s="91"/>
      <c r="P56" s="91"/>
      <c r="Q56" s="91"/>
      <c r="R56" s="91"/>
    </row>
    <row r="57" ht="16.8" spans="1:18">
      <c r="A57" s="87"/>
      <c r="B57" s="88"/>
      <c r="C57" s="89"/>
      <c r="D57" s="90"/>
      <c r="E57" s="91"/>
      <c r="F57" s="91"/>
      <c r="G57" s="91"/>
      <c r="H57" s="91"/>
      <c r="I57" s="91"/>
      <c r="J57" s="91"/>
      <c r="K57" s="91"/>
      <c r="L57" s="91"/>
      <c r="M57" s="91"/>
      <c r="N57" s="91"/>
      <c r="O57" s="91"/>
      <c r="P57" s="91"/>
      <c r="Q57" s="91"/>
      <c r="R57" s="91"/>
    </row>
    <row r="58" ht="16.8" spans="1:18">
      <c r="A58" s="87"/>
      <c r="B58" s="88"/>
      <c r="C58" s="89"/>
      <c r="D58" s="90"/>
      <c r="E58" s="91"/>
      <c r="F58" s="91"/>
      <c r="G58" s="91"/>
      <c r="H58" s="91"/>
      <c r="I58" s="91"/>
      <c r="J58" s="91"/>
      <c r="K58" s="91"/>
      <c r="L58" s="91"/>
      <c r="M58" s="91"/>
      <c r="N58" s="91"/>
      <c r="O58" s="91"/>
      <c r="P58" s="91"/>
      <c r="Q58" s="91"/>
      <c r="R58" s="91"/>
    </row>
    <row r="59" ht="16.8" spans="1:18">
      <c r="A59" s="87"/>
      <c r="B59" s="88"/>
      <c r="C59" s="89"/>
      <c r="D59" s="90"/>
      <c r="E59" s="91"/>
      <c r="F59" s="91"/>
      <c r="G59" s="91"/>
      <c r="H59" s="91"/>
      <c r="I59" s="91"/>
      <c r="J59" s="91"/>
      <c r="K59" s="91"/>
      <c r="L59" s="91"/>
      <c r="M59" s="91"/>
      <c r="N59" s="91"/>
      <c r="O59" s="91"/>
      <c r="P59" s="91"/>
      <c r="Q59" s="91"/>
      <c r="R59" s="91"/>
    </row>
    <row r="60" ht="16.8" spans="1:18">
      <c r="A60" s="87"/>
      <c r="B60" s="88"/>
      <c r="C60" s="89"/>
      <c r="D60" s="90"/>
      <c r="E60" s="91"/>
      <c r="F60" s="91"/>
      <c r="G60" s="91"/>
      <c r="H60" s="91"/>
      <c r="I60" s="91"/>
      <c r="J60" s="91"/>
      <c r="K60" s="91"/>
      <c r="L60" s="91"/>
      <c r="M60" s="91"/>
      <c r="N60" s="91"/>
      <c r="O60" s="91"/>
      <c r="P60" s="91"/>
      <c r="Q60" s="91"/>
      <c r="R60" s="91"/>
    </row>
    <row r="61" ht="16.8" spans="1:18">
      <c r="A61" s="87"/>
      <c r="B61" s="88"/>
      <c r="C61" s="89"/>
      <c r="D61" s="90"/>
      <c r="E61" s="91"/>
      <c r="F61" s="91"/>
      <c r="G61" s="91"/>
      <c r="H61" s="91"/>
      <c r="I61" s="91"/>
      <c r="J61" s="91"/>
      <c r="K61" s="91"/>
      <c r="L61" s="91"/>
      <c r="M61" s="91"/>
      <c r="N61" s="91"/>
      <c r="O61" s="91"/>
      <c r="P61" s="91"/>
      <c r="Q61" s="91"/>
      <c r="R61" s="91"/>
    </row>
    <row r="62" ht="16.8" spans="1:18">
      <c r="A62" s="87"/>
      <c r="B62" s="88"/>
      <c r="C62" s="89"/>
      <c r="D62" s="90"/>
      <c r="E62" s="91"/>
      <c r="F62" s="91"/>
      <c r="G62" s="91"/>
      <c r="H62" s="91"/>
      <c r="I62" s="91"/>
      <c r="J62" s="91"/>
      <c r="K62" s="91"/>
      <c r="L62" s="91"/>
      <c r="M62" s="91"/>
      <c r="N62" s="91"/>
      <c r="O62" s="91"/>
      <c r="P62" s="91"/>
      <c r="Q62" s="91"/>
      <c r="R62" s="91"/>
    </row>
    <row r="63" ht="16.8" spans="1:18">
      <c r="A63" s="87"/>
      <c r="B63" s="88"/>
      <c r="C63" s="89"/>
      <c r="D63" s="90"/>
      <c r="E63" s="91"/>
      <c r="F63" s="91"/>
      <c r="G63" s="91"/>
      <c r="H63" s="91"/>
      <c r="I63" s="91"/>
      <c r="J63" s="91"/>
      <c r="K63" s="91"/>
      <c r="L63" s="91"/>
      <c r="M63" s="91"/>
      <c r="N63" s="91"/>
      <c r="O63" s="91"/>
      <c r="P63" s="91"/>
      <c r="Q63" s="91"/>
      <c r="R63" s="91"/>
    </row>
    <row r="64" ht="16.8" spans="1:18">
      <c r="A64" s="87"/>
      <c r="B64" s="88"/>
      <c r="C64" s="89"/>
      <c r="D64" s="90"/>
      <c r="E64" s="91"/>
      <c r="F64" s="91"/>
      <c r="G64" s="91"/>
      <c r="H64" s="91"/>
      <c r="I64" s="91"/>
      <c r="J64" s="91"/>
      <c r="K64" s="91"/>
      <c r="L64" s="91"/>
      <c r="M64" s="91"/>
      <c r="N64" s="91"/>
      <c r="O64" s="91"/>
      <c r="P64" s="91"/>
      <c r="Q64" s="91"/>
      <c r="R64" s="91"/>
    </row>
    <row r="65" spans="1:18">
      <c r="A65" s="87"/>
      <c r="B65" s="88"/>
      <c r="C65" s="92"/>
      <c r="D65" s="92"/>
      <c r="E65" s="93"/>
      <c r="F65" s="93"/>
      <c r="G65" s="93"/>
      <c r="H65" s="93"/>
      <c r="I65" s="93"/>
      <c r="J65" s="93"/>
      <c r="K65" s="93"/>
      <c r="L65" s="93"/>
      <c r="M65" s="93"/>
      <c r="N65" s="93"/>
      <c r="O65" s="93"/>
      <c r="P65" s="93"/>
      <c r="Q65" s="93"/>
      <c r="R65" s="93"/>
    </row>
    <row r="66" spans="1:18">
      <c r="A66" s="88" t="s">
        <v>3287</v>
      </c>
      <c r="B66" s="88"/>
      <c r="C66" s="88"/>
      <c r="D66" s="88"/>
      <c r="E66" s="93">
        <f>SUM(E9:E65)</f>
        <v>0</v>
      </c>
      <c r="F66" s="93"/>
      <c r="G66" s="93">
        <f>SUM(G9:G65)</f>
        <v>0</v>
      </c>
      <c r="H66" s="93"/>
      <c r="I66" s="93">
        <f>SUM(I9:I65)</f>
        <v>0</v>
      </c>
      <c r="J66" s="93"/>
      <c r="K66" s="93">
        <f>SUM(K9:K65)</f>
        <v>0</v>
      </c>
      <c r="L66" s="93"/>
      <c r="M66" s="93">
        <f>SUM(M9:M65)</f>
        <v>0</v>
      </c>
      <c r="N66" s="93"/>
      <c r="O66" s="93">
        <f>SUM(O9:O65)</f>
        <v>0</v>
      </c>
      <c r="P66" s="93"/>
      <c r="Q66" s="93">
        <f>SUM(Q9:Q65)</f>
        <v>0</v>
      </c>
      <c r="R66" s="93"/>
    </row>
    <row r="67" spans="1:18">
      <c r="A67" s="88" t="s">
        <v>3288</v>
      </c>
      <c r="B67" s="88"/>
      <c r="C67" s="88"/>
      <c r="D67" s="88"/>
      <c r="E67" s="94">
        <f>SUM(E66:Q66)</f>
        <v>0</v>
      </c>
      <c r="F67" s="94"/>
      <c r="G67" s="94"/>
      <c r="H67" s="94"/>
      <c r="I67" s="94"/>
      <c r="J67" s="94"/>
      <c r="K67" s="94"/>
      <c r="L67" s="94"/>
      <c r="M67" s="94"/>
      <c r="N67" s="94"/>
      <c r="O67" s="94"/>
      <c r="P67" s="94"/>
      <c r="Q67" s="94"/>
      <c r="R67" s="94"/>
    </row>
    <row r="68" spans="1:18">
      <c r="B68" s="95"/>
    </row>
    <row r="69" spans="1:18">
      <c r="B69" s="95"/>
    </row>
    <row r="70" spans="1:18">
      <c r="A70" s="60" t="s">
        <v>3289</v>
      </c>
      <c r="B70" s="95"/>
    </row>
    <row r="71" spans="1:18">
      <c r="A71" s="60" t="s">
        <v>3290</v>
      </c>
      <c r="B71" s="95"/>
    </row>
    <row r="72" spans="1:18">
      <c r="A72" s="60" t="s">
        <v>3291</v>
      </c>
      <c r="B72" s="95"/>
    </row>
    <row r="73" spans="1:18">
      <c r="A73" s="60" t="s">
        <v>3292</v>
      </c>
      <c r="B73" s="95"/>
    </row>
    <row r="74" spans="1:18">
      <c r="A74" s="60" t="s">
        <v>3293</v>
      </c>
      <c r="B74" s="95"/>
    </row>
    <row r="75" spans="1:18">
      <c r="B75" s="95"/>
    </row>
    <row r="76" spans="1:18">
      <c r="B76" s="95"/>
    </row>
    <row r="77" spans="1:18">
      <c r="B77" s="95"/>
    </row>
    <row r="78" spans="1:18">
      <c r="B78" s="95"/>
    </row>
    <row r="79" spans="1:18">
      <c r="B79" s="95"/>
    </row>
    <row r="80" spans="1:18">
      <c r="B80" s="95"/>
    </row>
  </sheetData>
  <sheetProtection password="BFEE" sheet="1"/>
  <mergeCells count="9">
    <mergeCell ref="A6:V6"/>
    <mergeCell ref="E7:R7"/>
    <mergeCell ref="A66:C66"/>
    <mergeCell ref="A67:C67"/>
    <mergeCell ref="E67:R67"/>
    <mergeCell ref="A7:A8"/>
    <mergeCell ref="B7:B8"/>
    <mergeCell ref="C7:C8"/>
    <mergeCell ref="D7:D8"/>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4"/>
  <sheetViews>
    <sheetView workbookViewId="0">
      <selection activeCell="A22" sqref="A22"/>
    </sheetView>
  </sheetViews>
  <sheetFormatPr defaultColWidth="8.8828125" defaultRowHeight="15.2" outlineLevelCol="3"/>
  <cols>
    <col min="1" max="1" width="45" style="1" customWidth="1"/>
    <col min="2" max="2" width="67.8828125" style="2" customWidth="1"/>
    <col min="3" max="3" width="57.6640625" style="1" customWidth="1"/>
    <col min="4" max="16384" width="8.8828125" style="1"/>
  </cols>
  <sheetData>
    <row r="1" ht="29" spans="1:4">
      <c r="A1" s="3" t="s">
        <v>489</v>
      </c>
      <c r="B1" s="4" t="s">
        <v>3294</v>
      </c>
      <c r="C1" s="4" t="s">
        <v>3295</v>
      </c>
    </row>
    <row r="2" ht="15" customHeight="1" spans="1:4">
      <c r="A2" s="5">
        <v>6002</v>
      </c>
      <c r="B2" s="6" t="s">
        <v>32</v>
      </c>
      <c r="C2" s="6" t="s">
        <v>520</v>
      </c>
    </row>
    <row r="3" spans="1:4">
      <c r="A3" s="5">
        <v>6002</v>
      </c>
      <c r="B3" s="6" t="s">
        <v>33</v>
      </c>
      <c r="C3" s="6" t="s">
        <v>523</v>
      </c>
    </row>
    <row r="4" spans="1:4">
      <c r="A4" s="5">
        <v>6002</v>
      </c>
      <c r="B4" s="6" t="s">
        <v>34</v>
      </c>
      <c r="C4" s="6" t="s">
        <v>524</v>
      </c>
    </row>
    <row r="5" spans="1:4">
      <c r="A5" s="5">
        <v>1220</v>
      </c>
      <c r="B5" s="6" t="s">
        <v>55</v>
      </c>
      <c r="C5" s="6" t="s">
        <v>525</v>
      </c>
    </row>
    <row r="6" ht="15" customHeight="1" spans="1:4">
      <c r="A6" s="5">
        <v>1314</v>
      </c>
      <c r="B6" s="6" t="s">
        <v>65</v>
      </c>
      <c r="C6" s="6" t="s">
        <v>526</v>
      </c>
    </row>
    <row r="7" ht="16.8" spans="1:4">
      <c r="A7" s="5">
        <v>1320</v>
      </c>
      <c r="B7" s="6" t="s">
        <v>66</v>
      </c>
      <c r="C7" s="7" t="s">
        <v>527</v>
      </c>
    </row>
    <row r="8" spans="1:4">
      <c r="A8" s="5">
        <v>1350</v>
      </c>
      <c r="B8" s="6" t="s">
        <v>69</v>
      </c>
      <c r="C8" s="6" t="s">
        <v>528</v>
      </c>
    </row>
    <row r="9" spans="1:4">
      <c r="A9" s="5">
        <v>1360</v>
      </c>
      <c r="B9" s="6" t="s">
        <v>70</v>
      </c>
      <c r="C9" s="6" t="s">
        <v>529</v>
      </c>
    </row>
    <row r="10" spans="1:4">
      <c r="A10" s="5">
        <v>1410</v>
      </c>
      <c r="B10" s="6" t="s">
        <v>74</v>
      </c>
      <c r="C10" s="6" t="s">
        <v>530</v>
      </c>
    </row>
    <row r="11" spans="1:4">
      <c r="A11" s="5">
        <v>1420</v>
      </c>
      <c r="B11" s="6" t="s">
        <v>76</v>
      </c>
      <c r="C11" s="6" t="s">
        <v>531</v>
      </c>
      <c r="D11" s="8"/>
    </row>
    <row r="12" spans="1:4">
      <c r="A12" s="5">
        <v>1510</v>
      </c>
      <c r="B12" s="6" t="s">
        <v>82</v>
      </c>
      <c r="C12" s="6" t="s">
        <v>532</v>
      </c>
      <c r="D12" s="8"/>
    </row>
    <row r="13" spans="1:4">
      <c r="A13" s="5">
        <v>1520</v>
      </c>
      <c r="B13" s="6" t="s">
        <v>84</v>
      </c>
      <c r="C13" s="6" t="s">
        <v>533</v>
      </c>
      <c r="D13" s="8"/>
    </row>
    <row r="14" spans="1:4">
      <c r="A14" s="5">
        <v>1530</v>
      </c>
      <c r="B14" s="6" t="s">
        <v>86</v>
      </c>
      <c r="C14" s="6" t="s">
        <v>534</v>
      </c>
      <c r="D14" s="8"/>
    </row>
    <row r="15" spans="1:4">
      <c r="A15" s="5">
        <v>1531</v>
      </c>
      <c r="B15" s="6" t="s">
        <v>89</v>
      </c>
      <c r="C15" s="6" t="s">
        <v>535</v>
      </c>
      <c r="D15" s="8"/>
    </row>
    <row r="16" ht="15" customHeight="1" spans="1:4">
      <c r="A16" s="5">
        <v>1532</v>
      </c>
      <c r="B16" s="6" t="s">
        <v>92</v>
      </c>
      <c r="C16" s="6" t="s">
        <v>536</v>
      </c>
      <c r="D16" s="8"/>
    </row>
    <row r="17" ht="15" customHeight="1" spans="1:4">
      <c r="A17" s="5">
        <v>1533</v>
      </c>
      <c r="B17" s="6" t="s">
        <v>95</v>
      </c>
      <c r="C17" s="6" t="s">
        <v>537</v>
      </c>
      <c r="D17" s="8"/>
    </row>
    <row r="18" ht="15" customHeight="1" spans="1:4">
      <c r="A18" s="5">
        <v>1534</v>
      </c>
      <c r="B18" s="6" t="s">
        <v>98</v>
      </c>
      <c r="C18" s="7" t="s">
        <v>538</v>
      </c>
      <c r="D18" s="8"/>
    </row>
    <row r="19" ht="16.8" spans="1:4">
      <c r="A19" s="5">
        <v>1540</v>
      </c>
      <c r="B19" s="6" t="s">
        <v>100</v>
      </c>
      <c r="C19" s="7" t="s">
        <v>539</v>
      </c>
      <c r="D19" s="8"/>
    </row>
    <row r="20" ht="15" customHeight="1" spans="1:4">
      <c r="A20" s="5">
        <v>1611</v>
      </c>
      <c r="B20" s="6" t="s">
        <v>110</v>
      </c>
      <c r="C20" s="6" t="s">
        <v>540</v>
      </c>
      <c r="D20" s="8"/>
    </row>
    <row r="21" ht="15" customHeight="1" spans="1:4">
      <c r="A21" s="5">
        <v>1611</v>
      </c>
      <c r="B21" s="6" t="s">
        <v>112</v>
      </c>
      <c r="C21" s="6" t="s">
        <v>541</v>
      </c>
      <c r="D21" s="8"/>
    </row>
    <row r="22" spans="1:4">
      <c r="A22" s="5">
        <v>1611</v>
      </c>
      <c r="B22" s="6" t="s">
        <v>114</v>
      </c>
      <c r="C22" s="6" t="s">
        <v>542</v>
      </c>
      <c r="D22" s="8"/>
    </row>
    <row r="23" spans="1:4">
      <c r="A23" s="5">
        <v>1611</v>
      </c>
      <c r="B23" s="6" t="s">
        <v>114</v>
      </c>
      <c r="C23" s="9" t="s">
        <v>3296</v>
      </c>
      <c r="D23" s="8"/>
    </row>
    <row r="24" ht="15" customHeight="1" spans="1:4">
      <c r="A24" s="5">
        <v>1611</v>
      </c>
      <c r="B24" s="6" t="s">
        <v>116</v>
      </c>
      <c r="C24" s="6" t="s">
        <v>543</v>
      </c>
      <c r="D24" s="8"/>
    </row>
    <row r="25" ht="15" customHeight="1" spans="1:4">
      <c r="A25" s="5">
        <v>1611</v>
      </c>
      <c r="B25" s="6" t="s">
        <v>118</v>
      </c>
      <c r="C25" s="6" t="s">
        <v>544</v>
      </c>
      <c r="D25" s="8"/>
    </row>
    <row r="26" ht="15" customHeight="1" spans="1:4">
      <c r="A26" s="5">
        <v>1611</v>
      </c>
      <c r="B26" s="10" t="s">
        <v>120</v>
      </c>
      <c r="C26" s="6" t="s">
        <v>545</v>
      </c>
      <c r="D26" s="8"/>
    </row>
    <row r="27" ht="15" customHeight="1" spans="1:4">
      <c r="A27" s="5">
        <v>1611</v>
      </c>
      <c r="B27" s="10" t="s">
        <v>120</v>
      </c>
      <c r="C27" s="10" t="s">
        <v>3297</v>
      </c>
      <c r="D27" s="8"/>
    </row>
    <row r="28" spans="1:4">
      <c r="A28" s="5">
        <v>1611</v>
      </c>
      <c r="B28" s="10" t="s">
        <v>120</v>
      </c>
      <c r="C28" s="10" t="s">
        <v>3298</v>
      </c>
      <c r="D28" s="8"/>
    </row>
    <row r="29" spans="1:4">
      <c r="A29" s="5">
        <v>1611</v>
      </c>
      <c r="B29" s="6" t="s">
        <v>122</v>
      </c>
      <c r="C29" s="6" t="s">
        <v>546</v>
      </c>
      <c r="D29" s="8"/>
    </row>
    <row r="30" spans="1:4">
      <c r="A30" s="5">
        <v>1611</v>
      </c>
      <c r="B30" s="6" t="s">
        <v>124</v>
      </c>
      <c r="C30" s="6" t="s">
        <v>547</v>
      </c>
      <c r="D30" s="8"/>
    </row>
    <row r="31" spans="1:4">
      <c r="A31" s="5">
        <v>1611</v>
      </c>
      <c r="B31" s="6" t="s">
        <v>126</v>
      </c>
      <c r="C31" s="6" t="s">
        <v>548</v>
      </c>
      <c r="D31" s="8"/>
    </row>
    <row r="32" ht="15" customHeight="1" spans="1:4">
      <c r="A32" s="5">
        <v>1611</v>
      </c>
      <c r="B32" s="6" t="s">
        <v>128</v>
      </c>
      <c r="C32" s="6" t="s">
        <v>549</v>
      </c>
      <c r="D32" s="8"/>
    </row>
    <row r="33" spans="1:4">
      <c r="A33" s="5">
        <v>1643</v>
      </c>
      <c r="B33" s="11" t="s">
        <v>132</v>
      </c>
      <c r="C33" s="6" t="s">
        <v>550</v>
      </c>
      <c r="D33" s="8"/>
    </row>
    <row r="34" spans="1:4">
      <c r="A34" s="5">
        <v>1644</v>
      </c>
      <c r="B34" s="6" t="s">
        <v>135</v>
      </c>
      <c r="C34" s="6" t="s">
        <v>551</v>
      </c>
      <c r="D34" s="8"/>
    </row>
    <row r="35" spans="1:4">
      <c r="A35" s="5">
        <v>1645</v>
      </c>
      <c r="B35" s="6" t="s">
        <v>138</v>
      </c>
      <c r="C35" s="6" t="s">
        <v>552</v>
      </c>
      <c r="D35" s="8"/>
    </row>
    <row r="36" ht="16.8" spans="1:4">
      <c r="A36" s="5">
        <v>1612</v>
      </c>
      <c r="B36" s="12" t="s">
        <v>141</v>
      </c>
      <c r="C36" s="7" t="s">
        <v>3299</v>
      </c>
      <c r="D36" s="8"/>
    </row>
    <row r="37" spans="1:4">
      <c r="A37" s="5" t="s">
        <v>1880</v>
      </c>
      <c r="B37" s="13"/>
      <c r="C37" s="6" t="s">
        <v>3300</v>
      </c>
      <c r="D37" s="8"/>
    </row>
    <row r="38" spans="1:4">
      <c r="A38" s="5">
        <v>1646</v>
      </c>
      <c r="B38" s="6" t="s">
        <v>146</v>
      </c>
      <c r="C38" s="10" t="s">
        <v>3301</v>
      </c>
      <c r="D38" s="8"/>
    </row>
    <row r="39" spans="1:4">
      <c r="A39" s="5">
        <v>1646</v>
      </c>
      <c r="B39" s="6" t="s">
        <v>148</v>
      </c>
      <c r="C39" s="10" t="s">
        <v>3302</v>
      </c>
      <c r="D39" s="8"/>
    </row>
    <row r="40" spans="1:4">
      <c r="A40" s="5">
        <v>1613</v>
      </c>
      <c r="B40" s="6" t="s">
        <v>151</v>
      </c>
      <c r="C40" s="6" t="s">
        <v>556</v>
      </c>
      <c r="D40" s="8"/>
    </row>
    <row r="41" spans="1:4">
      <c r="A41" s="5">
        <v>1614</v>
      </c>
      <c r="B41" s="6" t="s">
        <v>155</v>
      </c>
      <c r="C41" s="6" t="s">
        <v>557</v>
      </c>
      <c r="D41" s="8"/>
    </row>
    <row r="42" spans="1:4">
      <c r="A42" s="5">
        <v>1621</v>
      </c>
      <c r="B42" s="6" t="s">
        <v>160</v>
      </c>
      <c r="C42" s="6" t="s">
        <v>558</v>
      </c>
      <c r="D42" s="8"/>
    </row>
    <row r="43" ht="15" customHeight="1" spans="1:4">
      <c r="A43" s="5">
        <v>1622</v>
      </c>
      <c r="B43" s="6" t="s">
        <v>163</v>
      </c>
      <c r="C43" s="6" t="s">
        <v>559</v>
      </c>
      <c r="D43" s="8"/>
    </row>
    <row r="44" spans="1:4">
      <c r="A44" s="5">
        <v>1623</v>
      </c>
      <c r="B44" s="6" t="s">
        <v>166</v>
      </c>
      <c r="C44" s="6" t="s">
        <v>560</v>
      </c>
      <c r="D44" s="8"/>
    </row>
    <row r="45" ht="16.8" spans="1:4">
      <c r="A45" s="5">
        <v>1630</v>
      </c>
      <c r="B45" s="12" t="s">
        <v>171</v>
      </c>
      <c r="C45" s="14" t="s">
        <v>3303</v>
      </c>
      <c r="D45" s="8"/>
    </row>
    <row r="46" spans="1:4">
      <c r="A46" s="5">
        <v>1630</v>
      </c>
      <c r="B46" s="13"/>
      <c r="C46" s="6" t="s">
        <v>3304</v>
      </c>
      <c r="D46" s="8"/>
    </row>
    <row r="47" ht="15" customHeight="1" spans="1:4">
      <c r="A47" s="5">
        <v>3791</v>
      </c>
      <c r="B47" s="6" t="s">
        <v>189</v>
      </c>
      <c r="C47" s="6"/>
      <c r="D47" s="8"/>
    </row>
    <row r="48" spans="1:4">
      <c r="A48" s="5">
        <v>8410</v>
      </c>
      <c r="B48" s="6" t="s">
        <v>3305</v>
      </c>
      <c r="C48" s="6" t="s">
        <v>563</v>
      </c>
      <c r="D48" s="8"/>
    </row>
    <row r="49" spans="1:4">
      <c r="A49" s="5">
        <v>8421</v>
      </c>
      <c r="B49" s="12" t="s">
        <v>564</v>
      </c>
      <c r="C49" s="6" t="s">
        <v>3306</v>
      </c>
      <c r="D49" s="8"/>
    </row>
    <row r="50" spans="1:4">
      <c r="A50" s="5">
        <v>8421</v>
      </c>
      <c r="B50" s="15"/>
      <c r="C50" s="6" t="s">
        <v>3307</v>
      </c>
      <c r="D50" s="8"/>
    </row>
    <row r="51" spans="1:4">
      <c r="A51" s="5">
        <v>8421</v>
      </c>
      <c r="B51" s="15"/>
      <c r="C51" s="6" t="s">
        <v>3308</v>
      </c>
      <c r="D51" s="8"/>
    </row>
    <row r="52" spans="1:4">
      <c r="A52" s="5">
        <v>8421</v>
      </c>
      <c r="B52" s="15"/>
      <c r="C52" s="6" t="s">
        <v>3309</v>
      </c>
      <c r="D52" s="8"/>
    </row>
    <row r="53" spans="1:4">
      <c r="A53" s="5">
        <v>8421</v>
      </c>
      <c r="B53" s="13"/>
      <c r="C53" s="6" t="s">
        <v>3310</v>
      </c>
      <c r="D53" s="8"/>
    </row>
    <row r="54" spans="1:4">
      <c r="A54" s="5">
        <v>8422</v>
      </c>
      <c r="B54" s="6" t="s">
        <v>565</v>
      </c>
      <c r="C54" s="6" t="s">
        <v>565</v>
      </c>
      <c r="D54" s="8"/>
    </row>
    <row r="55" ht="15" customHeight="1" spans="1:4">
      <c r="A55" s="5">
        <v>8423</v>
      </c>
      <c r="B55" s="12" t="s">
        <v>566</v>
      </c>
      <c r="C55" s="6" t="s">
        <v>3311</v>
      </c>
      <c r="D55" s="8"/>
    </row>
    <row r="56" spans="1:4">
      <c r="A56" s="5">
        <v>8423</v>
      </c>
      <c r="B56" s="13"/>
      <c r="C56" s="6" t="s">
        <v>3312</v>
      </c>
      <c r="D56" s="8"/>
    </row>
    <row r="57" spans="1:4">
      <c r="A57" s="5">
        <v>8424</v>
      </c>
      <c r="B57" s="16" t="s">
        <v>361</v>
      </c>
      <c r="C57" s="6" t="s">
        <v>3313</v>
      </c>
      <c r="D57" s="8"/>
    </row>
    <row r="58" ht="16.8" spans="1:4">
      <c r="A58" s="5"/>
      <c r="B58" s="17"/>
      <c r="C58" s="7" t="s">
        <v>3314</v>
      </c>
      <c r="D58" s="8"/>
    </row>
    <row r="59" spans="1:4">
      <c r="A59" s="5">
        <v>8426</v>
      </c>
      <c r="B59" s="6" t="s">
        <v>3315</v>
      </c>
      <c r="C59" s="6" t="s">
        <v>568</v>
      </c>
      <c r="D59" s="8"/>
    </row>
    <row r="60" spans="1:4">
      <c r="A60" s="5">
        <v>8426</v>
      </c>
      <c r="B60" s="6" t="s">
        <v>3315</v>
      </c>
      <c r="C60" s="10" t="s">
        <v>2742</v>
      </c>
      <c r="D60" s="8"/>
    </row>
    <row r="61" ht="16.8" spans="1:4">
      <c r="A61" s="5">
        <v>8451</v>
      </c>
      <c r="B61" s="18" t="s">
        <v>380</v>
      </c>
      <c r="C61" s="7" t="s">
        <v>3316</v>
      </c>
      <c r="D61" s="8"/>
    </row>
    <row r="62" ht="16.8" spans="1:4">
      <c r="A62" s="5">
        <v>8451</v>
      </c>
      <c r="B62" s="19"/>
      <c r="C62" s="7" t="s">
        <v>1836</v>
      </c>
      <c r="D62" s="8"/>
    </row>
    <row r="63" spans="1:4">
      <c r="A63" s="5">
        <v>8451</v>
      </c>
      <c r="B63" s="19"/>
      <c r="C63" s="20" t="s">
        <v>3317</v>
      </c>
      <c r="D63" s="8"/>
    </row>
    <row r="64" ht="15" customHeight="1" spans="1:4">
      <c r="A64" s="5">
        <v>8451</v>
      </c>
      <c r="B64" s="19"/>
      <c r="C64" s="14" t="s">
        <v>3318</v>
      </c>
      <c r="D64" s="8"/>
    </row>
    <row r="65" ht="15" customHeight="1" spans="1:4">
      <c r="A65" s="5">
        <v>8451</v>
      </c>
      <c r="B65" s="19"/>
      <c r="C65" s="7" t="s">
        <v>3319</v>
      </c>
      <c r="D65" s="8"/>
    </row>
    <row r="66" ht="15" customHeight="1" spans="1:4">
      <c r="A66" s="5">
        <v>8451</v>
      </c>
      <c r="B66" s="19"/>
      <c r="C66" s="20" t="s">
        <v>3320</v>
      </c>
      <c r="D66" s="8"/>
    </row>
    <row r="67" ht="15" customHeight="1" spans="1:4">
      <c r="A67" s="5">
        <v>8451</v>
      </c>
      <c r="B67" s="21"/>
      <c r="C67" s="20" t="s">
        <v>3321</v>
      </c>
      <c r="D67" s="8"/>
    </row>
    <row r="68" ht="15" customHeight="1" spans="1:4">
      <c r="A68" s="5">
        <v>8452</v>
      </c>
      <c r="B68" s="22" t="s">
        <v>3322</v>
      </c>
      <c r="C68" s="7" t="s">
        <v>3323</v>
      </c>
      <c r="D68" s="8"/>
    </row>
    <row r="69" ht="15" customHeight="1" spans="1:4">
      <c r="A69" s="5">
        <v>8452</v>
      </c>
      <c r="B69" s="23"/>
      <c r="C69" s="7" t="s">
        <v>3324</v>
      </c>
      <c r="D69" s="8"/>
    </row>
    <row r="70" ht="15" customHeight="1" spans="1:4">
      <c r="A70" s="5">
        <v>8452</v>
      </c>
      <c r="B70" s="23"/>
      <c r="C70" s="14" t="s">
        <v>3325</v>
      </c>
      <c r="D70" s="8"/>
    </row>
    <row r="71" ht="15" customHeight="1" spans="1:4">
      <c r="A71" s="5">
        <v>8453</v>
      </c>
      <c r="B71" s="23"/>
      <c r="C71" s="7" t="s">
        <v>571</v>
      </c>
      <c r="D71" s="8"/>
    </row>
    <row r="72" ht="15" customHeight="1" spans="1:4">
      <c r="A72" s="5">
        <v>8454</v>
      </c>
      <c r="B72" s="23"/>
      <c r="C72" s="7" t="s">
        <v>3326</v>
      </c>
      <c r="D72" s="8"/>
    </row>
    <row r="73" spans="1:4">
      <c r="A73" s="5">
        <v>8455</v>
      </c>
      <c r="B73" s="24"/>
      <c r="C73" s="25"/>
      <c r="D73" s="8"/>
    </row>
    <row r="74" ht="16.8" spans="1:4">
      <c r="A74" s="5">
        <v>8456</v>
      </c>
      <c r="B74" s="6" t="s">
        <v>3327</v>
      </c>
      <c r="C74" s="7" t="s">
        <v>575</v>
      </c>
      <c r="D74" s="8"/>
    </row>
    <row r="75" ht="15" customHeight="1" spans="1:4">
      <c r="A75" s="5">
        <v>8425</v>
      </c>
      <c r="B75" s="6" t="s">
        <v>396</v>
      </c>
      <c r="C75" s="7" t="s">
        <v>576</v>
      </c>
      <c r="D75" s="8"/>
    </row>
    <row r="76" ht="15" customHeight="1" spans="1:4">
      <c r="A76" s="5">
        <v>8491</v>
      </c>
      <c r="B76" s="16" t="s">
        <v>403</v>
      </c>
      <c r="C76" s="14" t="s">
        <v>3328</v>
      </c>
      <c r="D76" s="8"/>
    </row>
    <row r="77" spans="1:4">
      <c r="A77" s="5">
        <v>8491</v>
      </c>
      <c r="B77" s="26"/>
      <c r="C77" s="6" t="s">
        <v>3329</v>
      </c>
      <c r="D77" s="8"/>
    </row>
    <row r="78" spans="1:4">
      <c r="A78" s="5">
        <v>8491</v>
      </c>
      <c r="B78" s="26"/>
      <c r="C78" s="10" t="s">
        <v>3330</v>
      </c>
      <c r="D78" s="8"/>
    </row>
    <row r="79" spans="1:4">
      <c r="A79" s="5">
        <v>8491</v>
      </c>
      <c r="B79" s="17"/>
      <c r="C79" s="10" t="s">
        <v>3331</v>
      </c>
      <c r="D79" s="8"/>
    </row>
    <row r="80" ht="15" customHeight="1" spans="1:4">
      <c r="A80" s="5">
        <v>8492</v>
      </c>
      <c r="B80" s="6" t="s">
        <v>3332</v>
      </c>
      <c r="C80" s="7" t="s">
        <v>578</v>
      </c>
      <c r="D80" s="8"/>
    </row>
    <row r="81" ht="15" customHeight="1" spans="1:4">
      <c r="A81" s="5">
        <v>8485</v>
      </c>
      <c r="B81" s="6" t="s">
        <v>419</v>
      </c>
      <c r="C81" s="6" t="s">
        <v>579</v>
      </c>
      <c r="D81" s="8"/>
    </row>
    <row r="82" ht="15" customHeight="1" spans="1:4">
      <c r="A82" s="5">
        <v>8496</v>
      </c>
      <c r="B82" s="16" t="s">
        <v>3333</v>
      </c>
      <c r="C82" s="6" t="s">
        <v>3334</v>
      </c>
      <c r="D82" s="8"/>
    </row>
    <row r="83" spans="1:4">
      <c r="A83" s="5">
        <v>8496</v>
      </c>
      <c r="B83" s="26"/>
      <c r="C83" s="6" t="s">
        <v>3335</v>
      </c>
      <c r="D83" s="8"/>
    </row>
    <row r="84" ht="15" customHeight="1" spans="1:4">
      <c r="A84" s="5" t="s">
        <v>420</v>
      </c>
      <c r="B84" s="17"/>
      <c r="C84" s="10" t="s">
        <v>3336</v>
      </c>
      <c r="D84" s="8"/>
    </row>
    <row r="85" spans="1:4">
      <c r="A85" s="5">
        <v>8497</v>
      </c>
      <c r="B85" s="6" t="s">
        <v>427</v>
      </c>
      <c r="C85" s="6" t="s">
        <v>581</v>
      </c>
      <c r="D85" s="8"/>
    </row>
    <row r="86" spans="1:4">
      <c r="A86" s="5">
        <v>8900</v>
      </c>
      <c r="B86" s="10" t="s">
        <v>431</v>
      </c>
      <c r="C86" s="10" t="s">
        <v>1932</v>
      </c>
      <c r="D86" s="8"/>
    </row>
    <row r="87" ht="16.8" spans="1:4">
      <c r="A87" s="5">
        <v>8900</v>
      </c>
      <c r="B87" s="6"/>
      <c r="C87" s="7" t="s">
        <v>3337</v>
      </c>
      <c r="D87" s="8"/>
    </row>
    <row r="88" ht="15" customHeight="1" spans="1:4">
      <c r="A88" s="5">
        <v>8900</v>
      </c>
      <c r="B88" s="6"/>
      <c r="C88" s="6" t="s">
        <v>582</v>
      </c>
      <c r="D88" s="8"/>
    </row>
    <row r="89" ht="15" customHeight="1" spans="1:4">
      <c r="A89" s="5">
        <v>8900</v>
      </c>
      <c r="B89" s="6"/>
      <c r="C89" s="10" t="s">
        <v>3338</v>
      </c>
      <c r="D89" s="8"/>
    </row>
    <row r="90" ht="15" customHeight="1" spans="1:4">
      <c r="A90" s="5">
        <v>2991</v>
      </c>
      <c r="B90" s="6" t="s">
        <v>440</v>
      </c>
      <c r="C90" s="6"/>
      <c r="D90" s="8"/>
    </row>
    <row r="91" ht="15" customHeight="1" spans="1:4">
      <c r="A91" s="5">
        <v>4007</v>
      </c>
      <c r="B91" s="12" t="s">
        <v>458</v>
      </c>
      <c r="C91" s="6" t="s">
        <v>3339</v>
      </c>
      <c r="D91" s="8"/>
    </row>
    <row r="92" ht="15" customHeight="1" spans="1:4">
      <c r="A92" s="5">
        <v>4007</v>
      </c>
      <c r="B92" s="15"/>
      <c r="C92" s="6" t="s">
        <v>3340</v>
      </c>
      <c r="D92" s="8"/>
    </row>
    <row r="93" ht="15" customHeight="1" spans="1:4">
      <c r="A93" s="5">
        <v>4007</v>
      </c>
      <c r="B93" s="15"/>
      <c r="C93" s="6" t="s">
        <v>3341</v>
      </c>
      <c r="D93" s="8"/>
    </row>
    <row r="94" spans="1:4">
      <c r="A94" s="5">
        <v>4007</v>
      </c>
      <c r="B94" s="15"/>
      <c r="C94" s="6" t="s">
        <v>3342</v>
      </c>
      <c r="D94" s="8"/>
    </row>
    <row r="95" spans="1:4">
      <c r="A95" s="5">
        <v>4007</v>
      </c>
      <c r="B95" s="15"/>
      <c r="C95" s="10" t="s">
        <v>554</v>
      </c>
      <c r="D95" s="8"/>
    </row>
    <row r="96" spans="1:4">
      <c r="A96" s="5">
        <v>4007</v>
      </c>
      <c r="B96" s="15"/>
      <c r="C96" s="10" t="s">
        <v>3343</v>
      </c>
      <c r="D96" s="8"/>
    </row>
    <row r="97" spans="1:4">
      <c r="A97" s="5">
        <v>4007</v>
      </c>
      <c r="B97" s="13"/>
      <c r="C97" s="10" t="s">
        <v>3344</v>
      </c>
      <c r="D97" s="8"/>
    </row>
    <row r="98" ht="15" customHeight="1" spans="1:4">
      <c r="A98" s="5">
        <v>4081</v>
      </c>
      <c r="B98" s="6" t="s">
        <v>460</v>
      </c>
      <c r="C98" s="6" t="s">
        <v>585</v>
      </c>
      <c r="D98" s="8"/>
    </row>
    <row r="99" ht="15" customHeight="1" spans="1:4">
      <c r="A99" s="5">
        <v>4991</v>
      </c>
      <c r="B99" s="6" t="s">
        <v>462</v>
      </c>
      <c r="C99" s="6"/>
      <c r="D99" s="8"/>
    </row>
    <row r="100" ht="15" customHeight="1" spans="1:4">
      <c r="A100" s="27">
        <v>1110</v>
      </c>
      <c r="B100" s="28" t="s">
        <v>587</v>
      </c>
      <c r="C100" s="28" t="s">
        <v>587</v>
      </c>
      <c r="D100" s="8"/>
    </row>
    <row r="101" ht="15" customHeight="1" spans="1:4">
      <c r="A101" s="27">
        <v>1110</v>
      </c>
      <c r="B101" s="28" t="s">
        <v>587</v>
      </c>
      <c r="C101" s="28" t="s">
        <v>587</v>
      </c>
      <c r="D101" s="8"/>
    </row>
    <row r="102" ht="15" customHeight="1" spans="1:4">
      <c r="A102" s="29">
        <v>1120</v>
      </c>
      <c r="B102" s="30" t="s">
        <v>588</v>
      </c>
      <c r="C102" s="30" t="s">
        <v>588</v>
      </c>
      <c r="D102" s="8"/>
    </row>
    <row r="103" ht="15" customHeight="1" spans="1:4">
      <c r="A103" s="29">
        <v>1130</v>
      </c>
      <c r="B103" s="30" t="s">
        <v>589</v>
      </c>
      <c r="C103" s="30" t="s">
        <v>589</v>
      </c>
      <c r="D103" s="8"/>
    </row>
    <row r="104" ht="15" customHeight="1" spans="1:4">
      <c r="A104" s="29">
        <v>1210</v>
      </c>
      <c r="B104" s="30" t="s">
        <v>590</v>
      </c>
      <c r="C104" s="30" t="s">
        <v>590</v>
      </c>
      <c r="D104" s="8"/>
    </row>
    <row r="105" ht="15" customHeight="1" spans="1:4">
      <c r="A105" s="29">
        <v>1311</v>
      </c>
      <c r="B105" s="30" t="s">
        <v>591</v>
      </c>
      <c r="C105" s="30"/>
      <c r="D105" s="8"/>
    </row>
    <row r="106" ht="15" customHeight="1" spans="1:4">
      <c r="A106" s="29">
        <v>1312</v>
      </c>
      <c r="B106" s="30" t="s">
        <v>592</v>
      </c>
      <c r="C106" s="30" t="str">
        <f>B106</f>
        <v>配电房工程费</v>
      </c>
      <c r="D106" s="8"/>
    </row>
    <row r="107" ht="15" customHeight="1" spans="1:4">
      <c r="A107" s="29">
        <v>1313</v>
      </c>
      <c r="B107" s="30" t="s">
        <v>593</v>
      </c>
      <c r="C107" s="30" t="str">
        <f>B107</f>
        <v>电增容费</v>
      </c>
      <c r="D107" s="8"/>
    </row>
    <row r="108" spans="1:4">
      <c r="A108" s="29">
        <v>1330</v>
      </c>
      <c r="B108" s="30" t="s">
        <v>594</v>
      </c>
      <c r="C108" s="30" t="str">
        <f>B108</f>
        <v>煤气装置</v>
      </c>
      <c r="D108" s="8"/>
    </row>
    <row r="109" spans="1:4">
      <c r="A109" s="29">
        <v>1340</v>
      </c>
      <c r="B109" s="30" t="s">
        <v>595</v>
      </c>
      <c r="C109" s="30" t="str">
        <f>B109</f>
        <v>公共暖气装置</v>
      </c>
      <c r="D109" s="8"/>
    </row>
    <row r="110" spans="1:4">
      <c r="A110" s="29">
        <v>1430</v>
      </c>
      <c r="B110" s="30" t="s">
        <v>596</v>
      </c>
      <c r="C110" s="30" t="str">
        <f>B110</f>
        <v>临时安全设置</v>
      </c>
      <c r="D110" s="8"/>
    </row>
    <row r="111" ht="15" customHeight="1" spans="1:4">
      <c r="A111" s="29">
        <v>1624</v>
      </c>
      <c r="B111" s="31" t="s">
        <v>597</v>
      </c>
      <c r="C111" s="30" t="s">
        <v>3345</v>
      </c>
      <c r="D111" s="8"/>
    </row>
    <row r="112" ht="15" customHeight="1" spans="1:4">
      <c r="A112" s="29">
        <v>1624</v>
      </c>
      <c r="B112" s="32"/>
      <c r="C112" s="30" t="s">
        <v>3346</v>
      </c>
      <c r="D112" s="8"/>
    </row>
    <row r="113" ht="15" customHeight="1" spans="1:4">
      <c r="A113" s="33">
        <v>2960</v>
      </c>
      <c r="B113" s="34" t="s">
        <v>438</v>
      </c>
      <c r="C113" s="7" t="s">
        <v>3347</v>
      </c>
      <c r="D113" s="8"/>
    </row>
    <row r="114" ht="15" customHeight="1" spans="1:4">
      <c r="A114" s="33">
        <v>2960</v>
      </c>
      <c r="B114" s="35"/>
      <c r="C114" s="36" t="s">
        <v>3348</v>
      </c>
      <c r="D114" s="8"/>
    </row>
    <row r="115" spans="1:4">
      <c r="A115" s="33">
        <v>2960</v>
      </c>
      <c r="B115" s="35"/>
      <c r="C115" s="36" t="s">
        <v>3349</v>
      </c>
      <c r="D115" s="8"/>
    </row>
    <row r="116" spans="1:4">
      <c r="A116" s="33">
        <v>2960</v>
      </c>
      <c r="B116" s="35"/>
      <c r="C116" s="36" t="s">
        <v>598</v>
      </c>
      <c r="D116" s="8"/>
    </row>
    <row r="117" spans="1:4">
      <c r="A117" s="33">
        <v>2960</v>
      </c>
      <c r="B117" s="35"/>
      <c r="C117" s="37" t="s">
        <v>3350</v>
      </c>
      <c r="D117" s="8"/>
    </row>
    <row r="118" spans="1:4">
      <c r="A118" s="33" t="s">
        <v>3351</v>
      </c>
      <c r="B118" s="38"/>
      <c r="C118" s="37" t="s">
        <v>3352</v>
      </c>
      <c r="D118" s="8"/>
    </row>
    <row r="119" ht="15" customHeight="1" spans="1:4">
      <c r="A119" s="29">
        <v>3718</v>
      </c>
      <c r="B119" s="39" t="s">
        <v>599</v>
      </c>
      <c r="C119" s="7" t="s">
        <v>3353</v>
      </c>
      <c r="D119" s="8"/>
    </row>
    <row r="120" spans="1:4">
      <c r="A120" s="29">
        <v>3718</v>
      </c>
      <c r="B120" s="40"/>
      <c r="C120" s="36" t="s">
        <v>3354</v>
      </c>
      <c r="D120" s="8"/>
    </row>
    <row r="121" ht="15" customHeight="1" spans="1:4">
      <c r="A121" s="29">
        <v>3718</v>
      </c>
      <c r="B121" s="40"/>
      <c r="C121" s="36" t="s">
        <v>3355</v>
      </c>
      <c r="D121" s="8"/>
    </row>
    <row r="122" ht="15" customHeight="1" spans="1:4">
      <c r="A122" s="29">
        <v>3718</v>
      </c>
      <c r="B122" s="40"/>
      <c r="C122" s="36" t="s">
        <v>3356</v>
      </c>
      <c r="D122" s="8"/>
    </row>
    <row r="123" ht="15" customHeight="1" spans="1:4">
      <c r="A123" s="29">
        <v>3718</v>
      </c>
      <c r="B123" s="40"/>
      <c r="C123" s="14" t="s">
        <v>3357</v>
      </c>
      <c r="D123" s="8"/>
    </row>
    <row r="124" ht="15" customHeight="1" spans="1:4">
      <c r="A124" s="29">
        <v>3718</v>
      </c>
      <c r="B124" s="41"/>
      <c r="C124" s="36" t="s">
        <v>599</v>
      </c>
      <c r="D124" s="8"/>
    </row>
    <row r="125" ht="15" customHeight="1" spans="1:4">
      <c r="A125" s="29">
        <v>4001</v>
      </c>
      <c r="B125" s="36" t="s">
        <v>600</v>
      </c>
      <c r="C125" s="36" t="s">
        <v>600</v>
      </c>
      <c r="D125" s="8"/>
    </row>
    <row r="126" ht="15" customHeight="1" spans="1:4">
      <c r="A126" s="33">
        <v>4002</v>
      </c>
      <c r="B126" s="37" t="s">
        <v>3358</v>
      </c>
      <c r="C126" s="37" t="s">
        <v>3359</v>
      </c>
      <c r="D126" s="8"/>
    </row>
    <row r="127" ht="15" customHeight="1" spans="1:4">
      <c r="A127" s="33">
        <v>4003</v>
      </c>
      <c r="B127" s="36" t="s">
        <v>602</v>
      </c>
      <c r="C127" s="36" t="s">
        <v>3360</v>
      </c>
      <c r="D127" s="8"/>
    </row>
    <row r="128" ht="15" customHeight="1" spans="1:4">
      <c r="A128" s="29">
        <v>4004</v>
      </c>
      <c r="B128" s="30" t="s">
        <v>603</v>
      </c>
      <c r="C128" s="7" t="s">
        <v>603</v>
      </c>
      <c r="D128" s="8"/>
    </row>
    <row r="129" ht="15" customHeight="1" spans="1:4">
      <c r="A129" s="29">
        <v>4005</v>
      </c>
      <c r="B129" s="30" t="s">
        <v>604</v>
      </c>
      <c r="C129" s="30" t="s">
        <v>604</v>
      </c>
      <c r="D129" s="8"/>
    </row>
    <row r="130" ht="15" customHeight="1" spans="1:4">
      <c r="A130" s="29">
        <v>4006</v>
      </c>
      <c r="B130" s="36" t="s">
        <v>605</v>
      </c>
      <c r="C130" s="36" t="s">
        <v>3361</v>
      </c>
      <c r="D130" s="8"/>
    </row>
    <row r="131" ht="15" customHeight="1" spans="1:4">
      <c r="A131" s="33">
        <v>6003</v>
      </c>
      <c r="B131" s="36" t="s">
        <v>606</v>
      </c>
      <c r="C131" s="36"/>
      <c r="D131" s="8"/>
    </row>
    <row r="132" spans="1:4">
      <c r="A132" s="33">
        <v>6004</v>
      </c>
      <c r="B132" s="36" t="s">
        <v>607</v>
      </c>
      <c r="C132" s="36"/>
      <c r="D132" s="8"/>
    </row>
    <row r="133" spans="1:4">
      <c r="A133" s="33">
        <v>6005</v>
      </c>
      <c r="B133" s="36" t="s">
        <v>608</v>
      </c>
      <c r="C133" s="36"/>
      <c r="D133" s="8"/>
    </row>
    <row r="134" spans="1:4">
      <c r="A134" s="29">
        <v>6006</v>
      </c>
      <c r="B134" s="30" t="s">
        <v>609</v>
      </c>
      <c r="C134" s="36"/>
      <c r="D134" s="8"/>
    </row>
    <row r="135" ht="15" customHeight="1" spans="1:4">
      <c r="A135" s="29">
        <v>6007</v>
      </c>
      <c r="B135" s="30" t="s">
        <v>610</v>
      </c>
      <c r="C135" s="36"/>
      <c r="D135" s="8"/>
    </row>
    <row r="136" ht="15" customHeight="1" spans="1:4">
      <c r="A136" s="29">
        <v>8310</v>
      </c>
      <c r="B136" s="37" t="s">
        <v>261</v>
      </c>
      <c r="C136" s="14" t="s">
        <v>3362</v>
      </c>
      <c r="D136" s="8"/>
    </row>
    <row r="137" ht="15" customHeight="1" spans="1:4">
      <c r="A137" s="29">
        <v>8310</v>
      </c>
      <c r="B137" s="37" t="s">
        <v>261</v>
      </c>
      <c r="C137" s="14" t="s">
        <v>3363</v>
      </c>
      <c r="D137" s="8"/>
    </row>
    <row r="138" ht="15" customHeight="1" spans="1:4">
      <c r="A138" s="29">
        <v>8310</v>
      </c>
      <c r="B138" s="37" t="s">
        <v>261</v>
      </c>
      <c r="C138" s="14" t="s">
        <v>3364</v>
      </c>
      <c r="D138" s="8"/>
    </row>
    <row r="139" ht="15" customHeight="1" spans="1:4">
      <c r="A139" s="29">
        <v>8310</v>
      </c>
      <c r="B139" s="37" t="s">
        <v>261</v>
      </c>
      <c r="C139" s="42" t="s">
        <v>3365</v>
      </c>
      <c r="D139" s="8"/>
    </row>
    <row r="140" ht="15" customHeight="1" spans="1:4">
      <c r="A140" s="29">
        <v>8457</v>
      </c>
      <c r="B140" s="30" t="s">
        <v>612</v>
      </c>
      <c r="C140" s="30" t="s">
        <v>3366</v>
      </c>
      <c r="D140" s="8"/>
    </row>
    <row r="141" ht="15" customHeight="1" spans="1:4">
      <c r="A141" s="29">
        <v>8500</v>
      </c>
      <c r="B141" s="30" t="s">
        <v>613</v>
      </c>
      <c r="C141" s="30" t="s">
        <v>613</v>
      </c>
      <c r="D141" s="8"/>
    </row>
    <row r="142" ht="15" customHeight="1" spans="1:4">
      <c r="A142" s="29">
        <v>8500</v>
      </c>
      <c r="B142" s="37" t="s">
        <v>3367</v>
      </c>
      <c r="C142" s="37" t="s">
        <v>3367</v>
      </c>
      <c r="D142" s="8"/>
    </row>
    <row r="143" ht="15" customHeight="1" spans="1:4">
      <c r="A143" s="43">
        <v>9999</v>
      </c>
      <c r="B143" s="44" t="s">
        <v>40</v>
      </c>
      <c r="C143" s="36"/>
      <c r="D143" s="8"/>
    </row>
    <row r="144" spans="1:4">
      <c r="A144" s="43">
        <v>7001</v>
      </c>
      <c r="B144" s="44" t="s">
        <v>41</v>
      </c>
      <c r="C144" s="36"/>
      <c r="D144" s="8"/>
    </row>
    <row r="145" spans="1:4">
      <c r="A145" s="43">
        <v>7012</v>
      </c>
      <c r="B145" s="45" t="s">
        <v>42</v>
      </c>
      <c r="C145" s="36"/>
      <c r="D145" s="8"/>
    </row>
    <row r="146" spans="1:4">
      <c r="A146" s="46">
        <v>1650</v>
      </c>
      <c r="B146" s="45" t="s">
        <v>3368</v>
      </c>
      <c r="C146" s="36"/>
      <c r="D146" s="8"/>
    </row>
    <row r="147" spans="1:4">
      <c r="A147" s="47">
        <v>3711</v>
      </c>
      <c r="B147" s="48" t="s">
        <v>3369</v>
      </c>
      <c r="C147" s="30" t="s">
        <v>3370</v>
      </c>
      <c r="D147" s="8"/>
    </row>
    <row r="148" spans="1:4">
      <c r="A148" s="47">
        <v>3711</v>
      </c>
      <c r="B148" s="49"/>
      <c r="C148" s="30" t="s">
        <v>3371</v>
      </c>
      <c r="D148" s="8"/>
    </row>
    <row r="149" spans="1:4">
      <c r="A149" s="47">
        <v>3711</v>
      </c>
      <c r="B149" s="49"/>
      <c r="C149" s="30" t="s">
        <v>3372</v>
      </c>
      <c r="D149" s="8"/>
    </row>
    <row r="150" ht="16.8" spans="1:4">
      <c r="A150" s="47">
        <v>3711</v>
      </c>
      <c r="B150" s="49"/>
      <c r="C150" s="50" t="s">
        <v>3373</v>
      </c>
      <c r="D150" s="8"/>
    </row>
    <row r="151" spans="1:4">
      <c r="A151" s="47">
        <v>3711</v>
      </c>
      <c r="B151" s="49"/>
      <c r="C151" s="30" t="s">
        <v>3374</v>
      </c>
      <c r="D151" s="8"/>
    </row>
    <row r="152" spans="1:4">
      <c r="A152" s="47">
        <v>3711</v>
      </c>
      <c r="B152" s="49"/>
      <c r="C152" s="45" t="s">
        <v>3375</v>
      </c>
      <c r="D152" s="8"/>
    </row>
    <row r="153" spans="1:4">
      <c r="A153" s="47">
        <v>3711</v>
      </c>
      <c r="B153" s="49"/>
      <c r="C153" s="45" t="s">
        <v>3376</v>
      </c>
      <c r="D153" s="8"/>
    </row>
    <row r="154" spans="1:4">
      <c r="A154" s="47">
        <v>3711</v>
      </c>
      <c r="B154" s="49"/>
      <c r="C154" s="45" t="s">
        <v>3377</v>
      </c>
      <c r="D154" s="8"/>
    </row>
    <row r="155" spans="1:4">
      <c r="A155" s="47">
        <v>3711</v>
      </c>
      <c r="B155" s="49"/>
      <c r="C155" s="45" t="s">
        <v>3378</v>
      </c>
      <c r="D155" s="8"/>
    </row>
    <row r="156" spans="1:4">
      <c r="A156" s="47">
        <v>3711</v>
      </c>
      <c r="B156" s="49"/>
      <c r="C156" s="30" t="s">
        <v>3379</v>
      </c>
      <c r="D156" s="8"/>
    </row>
    <row r="157" spans="1:4">
      <c r="A157" s="47">
        <v>3711</v>
      </c>
      <c r="B157" s="51"/>
      <c r="C157" s="45" t="s">
        <v>3380</v>
      </c>
      <c r="D157" s="8"/>
    </row>
    <row r="158" spans="1:4">
      <c r="A158" s="47">
        <v>3712</v>
      </c>
      <c r="B158" s="48" t="s">
        <v>3381</v>
      </c>
      <c r="C158" s="45" t="s">
        <v>3382</v>
      </c>
      <c r="D158" s="8"/>
    </row>
    <row r="159" ht="16.8" spans="1:4">
      <c r="A159" s="47">
        <v>3712</v>
      </c>
      <c r="B159" s="49"/>
      <c r="C159" s="50" t="s">
        <v>3383</v>
      </c>
      <c r="D159" s="8"/>
    </row>
    <row r="160" ht="16.8" spans="1:4">
      <c r="A160" s="47">
        <v>3712</v>
      </c>
      <c r="B160" s="49"/>
      <c r="C160" s="50" t="s">
        <v>3384</v>
      </c>
      <c r="D160" s="8"/>
    </row>
    <row r="161" ht="16.8" spans="1:4">
      <c r="A161" s="47">
        <v>3712</v>
      </c>
      <c r="B161" s="51"/>
      <c r="C161" s="50" t="s">
        <v>3385</v>
      </c>
      <c r="D161" s="8"/>
    </row>
    <row r="162" ht="16.8" spans="1:4">
      <c r="A162" s="47">
        <v>3713</v>
      </c>
      <c r="B162" s="48" t="s">
        <v>3386</v>
      </c>
      <c r="C162" s="50" t="s">
        <v>3387</v>
      </c>
      <c r="D162" s="8"/>
    </row>
    <row r="163" ht="16.8" spans="1:4">
      <c r="A163" s="47">
        <v>3713</v>
      </c>
      <c r="B163" s="49"/>
      <c r="C163" s="50" t="s">
        <v>3388</v>
      </c>
      <c r="D163" s="8"/>
    </row>
    <row r="164" ht="16.8" spans="1:4">
      <c r="A164" s="47">
        <v>3713</v>
      </c>
      <c r="B164" s="49"/>
      <c r="C164" s="50" t="s">
        <v>3389</v>
      </c>
      <c r="D164" s="8"/>
    </row>
    <row r="165" ht="16.8" spans="1:4">
      <c r="A165" s="47">
        <v>3713</v>
      </c>
      <c r="B165" s="49"/>
      <c r="C165" s="50" t="s">
        <v>3390</v>
      </c>
      <c r="D165" s="8"/>
    </row>
    <row r="166" ht="16.8" spans="1:4">
      <c r="A166" s="47">
        <v>3713</v>
      </c>
      <c r="B166" s="49"/>
      <c r="C166" s="50" t="s">
        <v>3391</v>
      </c>
      <c r="D166" s="8"/>
    </row>
    <row r="167" ht="16.8" spans="1:4">
      <c r="A167" s="47">
        <v>3713</v>
      </c>
      <c r="B167" s="51"/>
      <c r="C167" s="50" t="s">
        <v>3392</v>
      </c>
      <c r="D167" s="8"/>
    </row>
    <row r="168" spans="1:4">
      <c r="A168" s="47">
        <v>3714</v>
      </c>
      <c r="B168" s="48" t="s">
        <v>3393</v>
      </c>
      <c r="C168" s="45" t="s">
        <v>3394</v>
      </c>
      <c r="D168" s="8"/>
    </row>
    <row r="169" spans="1:4">
      <c r="A169" s="47">
        <v>3714</v>
      </c>
      <c r="B169" s="51"/>
      <c r="C169" s="30" t="s">
        <v>3395</v>
      </c>
      <c r="D169" s="8"/>
    </row>
    <row r="170" spans="1:4">
      <c r="A170" s="47">
        <v>3792</v>
      </c>
      <c r="B170" s="45" t="s">
        <v>621</v>
      </c>
      <c r="C170" s="6"/>
      <c r="D170" s="8"/>
    </row>
    <row r="171" ht="15" customHeight="1" spans="1:4">
      <c r="A171" s="47">
        <v>3793</v>
      </c>
      <c r="B171" s="45" t="s">
        <v>622</v>
      </c>
      <c r="C171" s="6"/>
      <c r="D171" s="8"/>
    </row>
    <row r="172" ht="15" customHeight="1" spans="1:4">
      <c r="A172" s="47">
        <v>3794</v>
      </c>
      <c r="B172" s="45" t="s">
        <v>623</v>
      </c>
      <c r="C172" s="6"/>
      <c r="D172" s="8"/>
    </row>
    <row r="173" ht="15" customHeight="1" spans="1:4">
      <c r="A173" s="47">
        <v>8110</v>
      </c>
      <c r="B173" s="45" t="s">
        <v>199</v>
      </c>
      <c r="C173" s="7"/>
      <c r="D173" s="8"/>
    </row>
    <row r="174" ht="15" customHeight="1" spans="1:4">
      <c r="A174" s="47">
        <v>8110</v>
      </c>
      <c r="B174" s="45"/>
      <c r="C174" s="7"/>
      <c r="D174" s="8"/>
    </row>
    <row r="175" ht="15" customHeight="1" spans="1:4">
      <c r="A175" s="47">
        <v>8120</v>
      </c>
      <c r="B175" s="45" t="s">
        <v>203</v>
      </c>
      <c r="C175" s="45" t="s">
        <v>625</v>
      </c>
      <c r="D175" s="8"/>
    </row>
    <row r="176" ht="15" customHeight="1" spans="1:4">
      <c r="A176" s="47">
        <v>8130</v>
      </c>
      <c r="B176" s="45" t="s">
        <v>207</v>
      </c>
      <c r="C176" s="7" t="s">
        <v>626</v>
      </c>
      <c r="D176" s="8"/>
    </row>
    <row r="177" ht="15" customHeight="1" spans="1:4">
      <c r="A177" s="47">
        <v>8140</v>
      </c>
      <c r="B177" s="45" t="s">
        <v>211</v>
      </c>
      <c r="C177" s="45" t="s">
        <v>627</v>
      </c>
      <c r="D177" s="8"/>
    </row>
    <row r="178" ht="15" customHeight="1" spans="1:4">
      <c r="A178" s="47">
        <v>8150</v>
      </c>
      <c r="B178" s="45" t="s">
        <v>215</v>
      </c>
      <c r="C178" s="7" t="s">
        <v>628</v>
      </c>
      <c r="D178" s="8"/>
    </row>
    <row r="179" ht="15" customHeight="1" spans="1:4">
      <c r="A179" s="47">
        <v>8160</v>
      </c>
      <c r="B179" s="45" t="s">
        <v>219</v>
      </c>
      <c r="C179" s="7" t="s">
        <v>629</v>
      </c>
      <c r="D179" s="8"/>
    </row>
    <row r="180" ht="15" customHeight="1" spans="1:4">
      <c r="A180" s="47">
        <v>8170</v>
      </c>
      <c r="B180" s="45" t="s">
        <v>223</v>
      </c>
      <c r="C180" s="7" t="s">
        <v>630</v>
      </c>
      <c r="D180" s="8"/>
    </row>
    <row r="181" ht="16.8" spans="1:4">
      <c r="A181" s="47">
        <v>8180</v>
      </c>
      <c r="B181" s="45" t="s">
        <v>227</v>
      </c>
      <c r="C181" s="14" t="s">
        <v>631</v>
      </c>
      <c r="D181" s="8"/>
    </row>
    <row r="182" spans="1:4">
      <c r="A182" s="47">
        <v>8190</v>
      </c>
      <c r="B182" s="48" t="s">
        <v>231</v>
      </c>
      <c r="C182" s="45"/>
      <c r="D182" s="8"/>
    </row>
    <row r="183" spans="1:4">
      <c r="A183" s="47">
        <v>8190</v>
      </c>
      <c r="B183" s="49"/>
      <c r="C183" s="45" t="s">
        <v>3396</v>
      </c>
      <c r="D183" s="8"/>
    </row>
    <row r="184" spans="1:4">
      <c r="A184" s="47">
        <v>8190</v>
      </c>
      <c r="B184" s="49"/>
      <c r="C184" s="45" t="s">
        <v>3397</v>
      </c>
      <c r="D184" s="8"/>
    </row>
    <row r="185" ht="16.8" spans="1:4">
      <c r="A185" s="47">
        <v>8190</v>
      </c>
      <c r="B185" s="49"/>
      <c r="C185" s="7" t="s">
        <v>3398</v>
      </c>
      <c r="D185" s="8"/>
    </row>
    <row r="186" ht="16.8" spans="1:4">
      <c r="A186" s="47">
        <v>8190</v>
      </c>
      <c r="B186" s="49"/>
      <c r="C186" s="7" t="s">
        <v>3399</v>
      </c>
      <c r="D186" s="8"/>
    </row>
    <row r="187" ht="16.8" spans="1:4">
      <c r="A187" s="47">
        <v>8190</v>
      </c>
      <c r="B187" s="49"/>
      <c r="C187" s="7" t="s">
        <v>3400</v>
      </c>
      <c r="D187" s="8"/>
    </row>
    <row r="188" ht="16.8" spans="1:4">
      <c r="A188" s="47">
        <v>8190</v>
      </c>
      <c r="B188" s="49"/>
      <c r="C188" s="7" t="s">
        <v>3401</v>
      </c>
      <c r="D188" s="8"/>
    </row>
    <row r="189" spans="1:4">
      <c r="A189" s="47">
        <v>8190</v>
      </c>
      <c r="B189" s="51"/>
      <c r="C189" s="45" t="s">
        <v>3402</v>
      </c>
      <c r="D189" s="8"/>
    </row>
    <row r="190" spans="1:4">
      <c r="A190" s="46">
        <v>8210</v>
      </c>
      <c r="B190" s="45" t="s">
        <v>633</v>
      </c>
      <c r="C190" s="52" t="s">
        <v>633</v>
      </c>
      <c r="D190" s="8"/>
    </row>
    <row r="191" spans="1:4">
      <c r="A191" s="46">
        <v>8220</v>
      </c>
      <c r="B191" s="48" t="s">
        <v>634</v>
      </c>
      <c r="C191" s="45" t="s">
        <v>3403</v>
      </c>
      <c r="D191" s="8"/>
    </row>
    <row r="192" spans="1:4">
      <c r="A192" s="46">
        <v>8220</v>
      </c>
      <c r="B192" s="51"/>
      <c r="C192" s="45" t="s">
        <v>634</v>
      </c>
      <c r="D192" s="8"/>
    </row>
    <row r="193" spans="1:4">
      <c r="A193" s="46">
        <v>8230</v>
      </c>
      <c r="B193" s="45" t="s">
        <v>635</v>
      </c>
      <c r="C193" s="45" t="s">
        <v>635</v>
      </c>
      <c r="D193" s="8"/>
    </row>
    <row r="194" spans="1:4">
      <c r="A194" s="46">
        <v>8240</v>
      </c>
      <c r="B194" s="45" t="s">
        <v>240</v>
      </c>
      <c r="C194" s="6"/>
      <c r="D194" s="8"/>
    </row>
    <row r="195" ht="16.8" spans="1:4">
      <c r="A195" s="46">
        <v>8250</v>
      </c>
      <c r="B195" s="48" t="s">
        <v>244</v>
      </c>
      <c r="C195" s="14" t="s">
        <v>3404</v>
      </c>
      <c r="D195" s="8"/>
    </row>
    <row r="196" ht="16.8" spans="1:4">
      <c r="A196" s="46">
        <v>8250</v>
      </c>
      <c r="B196" s="49"/>
      <c r="C196" s="7" t="s">
        <v>3405</v>
      </c>
      <c r="D196" s="8"/>
    </row>
    <row r="197" ht="16.8" spans="1:4">
      <c r="A197" s="46">
        <v>8250</v>
      </c>
      <c r="B197" s="49"/>
      <c r="C197" s="14" t="s">
        <v>3406</v>
      </c>
      <c r="D197" s="8"/>
    </row>
    <row r="198" ht="16.8" spans="1:4">
      <c r="A198" s="46">
        <v>8250</v>
      </c>
      <c r="B198" s="49"/>
      <c r="C198" s="14" t="s">
        <v>3407</v>
      </c>
      <c r="D198" s="8"/>
    </row>
    <row r="199" ht="16.8" spans="1:4">
      <c r="A199" s="46">
        <v>8250</v>
      </c>
      <c r="B199" s="49"/>
      <c r="C199" s="14" t="s">
        <v>3408</v>
      </c>
      <c r="D199" s="8"/>
    </row>
    <row r="200" ht="16.8" spans="1:4">
      <c r="A200" s="46">
        <v>8250</v>
      </c>
      <c r="B200" s="49"/>
      <c r="C200" s="14" t="s">
        <v>3409</v>
      </c>
      <c r="D200" s="8"/>
    </row>
    <row r="201" spans="1:4">
      <c r="A201" s="46">
        <v>8250</v>
      </c>
      <c r="B201" s="49"/>
      <c r="C201" s="52" t="s">
        <v>3410</v>
      </c>
      <c r="D201" s="8"/>
    </row>
    <row r="202" spans="1:4">
      <c r="A202" s="46">
        <v>8250</v>
      </c>
      <c r="B202" s="49"/>
      <c r="C202" s="52" t="s">
        <v>3411</v>
      </c>
      <c r="D202" s="8"/>
    </row>
    <row r="203" spans="1:4">
      <c r="A203" s="46">
        <v>8250</v>
      </c>
      <c r="B203" s="49"/>
      <c r="C203" s="52" t="s">
        <v>3412</v>
      </c>
      <c r="D203" s="8"/>
    </row>
    <row r="204" spans="1:4">
      <c r="A204" s="46">
        <v>8250</v>
      </c>
      <c r="B204" s="49"/>
      <c r="C204" s="52" t="s">
        <v>3413</v>
      </c>
      <c r="D204" s="8"/>
    </row>
    <row r="205" ht="16.8" spans="1:4">
      <c r="A205" s="46">
        <v>8250</v>
      </c>
      <c r="B205" s="51"/>
      <c r="C205" s="14" t="s">
        <v>3414</v>
      </c>
      <c r="D205" s="8"/>
    </row>
    <row r="206" ht="16.8" spans="1:4">
      <c r="A206" s="47">
        <v>8260</v>
      </c>
      <c r="B206" s="53" t="s">
        <v>248</v>
      </c>
      <c r="C206" s="7" t="s">
        <v>3415</v>
      </c>
      <c r="D206" s="8"/>
    </row>
    <row r="207" ht="16.8" spans="1:4">
      <c r="A207" s="47">
        <v>8260</v>
      </c>
      <c r="B207" s="54"/>
      <c r="C207" s="7" t="s">
        <v>3416</v>
      </c>
      <c r="D207" s="8"/>
    </row>
    <row r="208" ht="16.8" spans="1:4">
      <c r="A208" s="47">
        <v>8260</v>
      </c>
      <c r="B208" s="54"/>
      <c r="C208" s="7" t="s">
        <v>3417</v>
      </c>
      <c r="D208" s="8"/>
    </row>
    <row r="209" ht="16.8" spans="1:4">
      <c r="A209" s="47">
        <v>8260</v>
      </c>
      <c r="B209" s="54"/>
      <c r="C209" s="7" t="s">
        <v>3418</v>
      </c>
      <c r="D209" s="8"/>
    </row>
    <row r="210" ht="16.8" spans="1:4">
      <c r="A210" s="47">
        <v>8260</v>
      </c>
      <c r="B210" s="54"/>
      <c r="C210" s="14" t="s">
        <v>3419</v>
      </c>
      <c r="D210" s="8"/>
    </row>
    <row r="211" ht="16.8" spans="1:4">
      <c r="A211" s="47">
        <v>8260</v>
      </c>
      <c r="B211" s="54"/>
      <c r="C211" s="14" t="s">
        <v>3420</v>
      </c>
      <c r="D211" s="8"/>
    </row>
    <row r="212" ht="16.8" spans="1:4">
      <c r="A212" s="47">
        <v>8260</v>
      </c>
      <c r="B212" s="54"/>
      <c r="C212" s="14" t="s">
        <v>3421</v>
      </c>
      <c r="D212" s="8"/>
    </row>
    <row r="213" ht="16.8" spans="1:4">
      <c r="A213" s="47">
        <v>8260</v>
      </c>
      <c r="B213" s="54"/>
      <c r="C213" s="14" t="s">
        <v>3422</v>
      </c>
      <c r="D213" s="8"/>
    </row>
    <row r="214" ht="16.8" spans="1:4">
      <c r="A214" s="47">
        <v>8260</v>
      </c>
      <c r="B214" s="54"/>
      <c r="C214" s="14" t="s">
        <v>3423</v>
      </c>
      <c r="D214" s="8"/>
    </row>
    <row r="215" ht="16.8" spans="1:4">
      <c r="A215" s="47">
        <v>8260</v>
      </c>
      <c r="B215" s="55"/>
      <c r="C215" s="42" t="s">
        <v>3424</v>
      </c>
      <c r="D215" s="8"/>
    </row>
    <row r="216" spans="1:4">
      <c r="A216" s="47">
        <v>8431</v>
      </c>
      <c r="B216" s="48" t="s">
        <v>3425</v>
      </c>
      <c r="C216" s="45" t="s">
        <v>3426</v>
      </c>
      <c r="D216" s="8"/>
    </row>
    <row r="217" spans="1:4">
      <c r="A217" s="47">
        <v>8431</v>
      </c>
      <c r="B217" s="49"/>
      <c r="C217" s="45" t="s">
        <v>3427</v>
      </c>
      <c r="D217" s="8"/>
    </row>
    <row r="218" spans="1:4">
      <c r="A218" s="47">
        <v>8431</v>
      </c>
      <c r="B218" s="49"/>
      <c r="C218" s="45" t="s">
        <v>3428</v>
      </c>
      <c r="D218" s="8"/>
    </row>
    <row r="219" ht="16.8" spans="1:4">
      <c r="A219" s="47">
        <v>8431</v>
      </c>
      <c r="B219" s="49"/>
      <c r="C219" s="14" t="s">
        <v>3429</v>
      </c>
      <c r="D219" s="8"/>
    </row>
    <row r="220" ht="16.8" spans="1:4">
      <c r="A220" s="47">
        <v>8431</v>
      </c>
      <c r="B220" s="51"/>
      <c r="C220" s="14" t="s">
        <v>3430</v>
      </c>
      <c r="D220" s="8"/>
    </row>
    <row r="221" ht="16.8" spans="1:4">
      <c r="A221" s="47">
        <v>8432</v>
      </c>
      <c r="B221" s="48" t="s">
        <v>3431</v>
      </c>
      <c r="C221" s="7" t="s">
        <v>3432</v>
      </c>
      <c r="D221" s="8"/>
    </row>
    <row r="222" ht="16.8" spans="1:4">
      <c r="A222" s="47">
        <v>8432</v>
      </c>
      <c r="B222" s="51"/>
      <c r="C222" s="7" t="s">
        <v>3433</v>
      </c>
      <c r="D222" s="8"/>
    </row>
    <row r="223" spans="1:4">
      <c r="A223" s="47">
        <v>8433</v>
      </c>
      <c r="B223" s="48" t="s">
        <v>3434</v>
      </c>
      <c r="C223" s="45" t="s">
        <v>3435</v>
      </c>
      <c r="D223" s="8"/>
    </row>
    <row r="224" spans="1:4">
      <c r="A224" s="47">
        <v>8433</v>
      </c>
      <c r="B224" s="49"/>
      <c r="C224" s="45" t="s">
        <v>3436</v>
      </c>
      <c r="D224" s="8"/>
    </row>
    <row r="225" spans="1:4">
      <c r="A225" s="47">
        <v>8433</v>
      </c>
      <c r="B225" s="49"/>
      <c r="C225" s="45" t="s">
        <v>3437</v>
      </c>
      <c r="D225" s="8"/>
    </row>
    <row r="226" spans="1:4">
      <c r="A226" s="47">
        <v>8433</v>
      </c>
      <c r="B226" s="51"/>
      <c r="C226" s="45" t="s">
        <v>3438</v>
      </c>
      <c r="D226" s="8"/>
    </row>
    <row r="227" ht="16.8" spans="1:4">
      <c r="A227" s="47">
        <v>8434</v>
      </c>
      <c r="B227" s="45" t="s">
        <v>3439</v>
      </c>
      <c r="C227" s="14" t="s">
        <v>642</v>
      </c>
      <c r="D227" s="8"/>
    </row>
    <row r="228" spans="1:4">
      <c r="A228" s="47">
        <v>8435</v>
      </c>
      <c r="B228" s="45" t="s">
        <v>3440</v>
      </c>
      <c r="C228" s="45" t="s">
        <v>643</v>
      </c>
      <c r="D228" s="8"/>
    </row>
    <row r="229" spans="1:4">
      <c r="A229" s="47">
        <v>8436</v>
      </c>
      <c r="B229" s="45" t="s">
        <v>3441</v>
      </c>
      <c r="C229" s="45" t="s">
        <v>644</v>
      </c>
      <c r="D229" s="8"/>
    </row>
    <row r="230" spans="1:4">
      <c r="A230" s="47">
        <v>8280</v>
      </c>
      <c r="B230" s="45" t="s">
        <v>256</v>
      </c>
      <c r="C230" s="45" t="s">
        <v>645</v>
      </c>
      <c r="D230" s="8"/>
    </row>
    <row r="231" spans="1:4">
      <c r="A231" s="47">
        <v>8321</v>
      </c>
      <c r="B231" s="45" t="s">
        <v>265</v>
      </c>
      <c r="C231" s="45" t="s">
        <v>646</v>
      </c>
      <c r="D231" s="8"/>
    </row>
    <row r="232" spans="1:4">
      <c r="A232" s="47">
        <v>8322</v>
      </c>
      <c r="B232" s="45" t="s">
        <v>269</v>
      </c>
      <c r="C232" s="45" t="s">
        <v>647</v>
      </c>
      <c r="D232" s="8"/>
    </row>
    <row r="233" ht="16.8" spans="1:4">
      <c r="A233" s="47">
        <v>8323</v>
      </c>
      <c r="B233" s="48" t="s">
        <v>3442</v>
      </c>
      <c r="C233" s="7" t="s">
        <v>3443</v>
      </c>
      <c r="D233" s="8"/>
    </row>
    <row r="234" spans="1:4">
      <c r="A234" s="47">
        <v>8323</v>
      </c>
      <c r="B234" s="49"/>
      <c r="C234" s="45" t="s">
        <v>3444</v>
      </c>
      <c r="D234" s="8"/>
    </row>
    <row r="235" spans="1:4">
      <c r="A235" s="47">
        <v>8323</v>
      </c>
      <c r="B235" s="49"/>
      <c r="C235" s="56" t="s">
        <v>3445</v>
      </c>
      <c r="D235" s="8"/>
    </row>
    <row r="236" spans="1:4">
      <c r="A236" s="47">
        <v>8323</v>
      </c>
      <c r="B236" s="49"/>
      <c r="C236" s="56" t="s">
        <v>3446</v>
      </c>
      <c r="D236" s="8"/>
    </row>
    <row r="237" spans="1:4">
      <c r="A237" s="47">
        <v>8323</v>
      </c>
      <c r="B237" s="51"/>
      <c r="C237" s="56" t="s">
        <v>3447</v>
      </c>
      <c r="D237" s="8"/>
    </row>
    <row r="238" spans="1:4">
      <c r="A238" s="47">
        <v>8324</v>
      </c>
      <c r="B238" s="45" t="s">
        <v>3448</v>
      </c>
      <c r="C238" s="45" t="s">
        <v>649</v>
      </c>
      <c r="D238" s="8"/>
    </row>
    <row r="239" spans="1:4">
      <c r="A239" s="47">
        <v>8325</v>
      </c>
      <c r="B239" s="45" t="s">
        <v>277</v>
      </c>
      <c r="C239" s="56" t="s">
        <v>650</v>
      </c>
      <c r="D239" s="8"/>
    </row>
    <row r="240" spans="1:4">
      <c r="A240" s="47">
        <v>8326</v>
      </c>
      <c r="B240" s="48" t="s">
        <v>281</v>
      </c>
      <c r="C240" s="56" t="s">
        <v>3449</v>
      </c>
      <c r="D240" s="8"/>
    </row>
    <row r="241" spans="1:4">
      <c r="A241" s="47">
        <v>8326</v>
      </c>
      <c r="B241" s="51"/>
      <c r="C241" s="57" t="s">
        <v>3450</v>
      </c>
      <c r="D241" s="8"/>
    </row>
    <row r="242" spans="1:4">
      <c r="A242" s="47">
        <v>8327</v>
      </c>
      <c r="B242" s="45" t="s">
        <v>285</v>
      </c>
      <c r="C242" s="45" t="s">
        <v>652</v>
      </c>
      <c r="D242" s="8"/>
    </row>
    <row r="243" spans="1:4">
      <c r="A243" s="47">
        <v>8328</v>
      </c>
      <c r="B243" s="48" t="s">
        <v>289</v>
      </c>
      <c r="C243" s="56" t="s">
        <v>3451</v>
      </c>
      <c r="D243" s="8"/>
    </row>
    <row r="244" spans="1:4">
      <c r="A244" s="47">
        <v>8328</v>
      </c>
      <c r="B244" s="49"/>
      <c r="C244" s="56" t="s">
        <v>3452</v>
      </c>
      <c r="D244" s="8"/>
    </row>
    <row r="245" spans="1:4">
      <c r="A245" s="47">
        <v>8328</v>
      </c>
      <c r="B245" s="49"/>
      <c r="C245" s="57" t="s">
        <v>3453</v>
      </c>
      <c r="D245" s="8"/>
    </row>
    <row r="246" spans="1:4">
      <c r="A246" s="47">
        <v>8328</v>
      </c>
      <c r="B246" s="51"/>
      <c r="C246" s="57" t="s">
        <v>3454</v>
      </c>
      <c r="D246" s="8"/>
    </row>
    <row r="247" spans="1:4">
      <c r="A247" s="47">
        <v>8331</v>
      </c>
      <c r="B247" s="48" t="s">
        <v>293</v>
      </c>
      <c r="C247" s="56" t="s">
        <v>3455</v>
      </c>
      <c r="D247" s="8"/>
    </row>
    <row r="248" spans="1:4">
      <c r="A248" s="47">
        <v>8331</v>
      </c>
      <c r="B248" s="51"/>
      <c r="C248" s="56" t="s">
        <v>3456</v>
      </c>
      <c r="D248" s="8"/>
    </row>
    <row r="249" spans="1:4">
      <c r="A249" s="47">
        <v>8332</v>
      </c>
      <c r="B249" s="48" t="s">
        <v>297</v>
      </c>
      <c r="C249" s="45" t="s">
        <v>3457</v>
      </c>
      <c r="D249" s="8"/>
    </row>
    <row r="250" spans="1:4">
      <c r="A250" s="47">
        <v>8332</v>
      </c>
      <c r="B250" s="49"/>
      <c r="C250" s="45" t="s">
        <v>3458</v>
      </c>
      <c r="D250" s="8"/>
    </row>
    <row r="251" spans="1:4">
      <c r="A251" s="47">
        <v>8332</v>
      </c>
      <c r="B251" s="51"/>
      <c r="C251" s="45" t="s">
        <v>3459</v>
      </c>
      <c r="D251" s="8"/>
    </row>
    <row r="252" spans="1:4">
      <c r="A252" s="47">
        <v>8333</v>
      </c>
      <c r="B252" s="45" t="s">
        <v>301</v>
      </c>
      <c r="C252" s="56" t="s">
        <v>656</v>
      </c>
      <c r="D252" s="8"/>
    </row>
    <row r="253" spans="1:4">
      <c r="A253" s="47">
        <v>8334</v>
      </c>
      <c r="B253" s="45" t="s">
        <v>305</v>
      </c>
      <c r="C253" s="56" t="s">
        <v>657</v>
      </c>
      <c r="D253" s="8"/>
    </row>
    <row r="254" spans="1:4">
      <c r="A254" s="47">
        <v>8335</v>
      </c>
      <c r="B254" s="48" t="s">
        <v>309</v>
      </c>
      <c r="C254" s="56" t="s">
        <v>3460</v>
      </c>
      <c r="D254" s="8"/>
    </row>
    <row r="255" spans="1:4">
      <c r="A255" s="47">
        <v>8335</v>
      </c>
      <c r="B255" s="51"/>
      <c r="C255" s="56" t="s">
        <v>3461</v>
      </c>
      <c r="D255" s="8"/>
    </row>
    <row r="256" spans="1:4">
      <c r="A256" s="47">
        <v>8351</v>
      </c>
      <c r="B256" s="45" t="s">
        <v>313</v>
      </c>
      <c r="C256" s="56" t="s">
        <v>659</v>
      </c>
      <c r="D256" s="8"/>
    </row>
    <row r="257" spans="1:4">
      <c r="A257" s="47">
        <v>8341</v>
      </c>
      <c r="B257" s="45" t="s">
        <v>3462</v>
      </c>
      <c r="C257" s="56" t="s">
        <v>660</v>
      </c>
      <c r="D257" s="8"/>
    </row>
    <row r="258" ht="16" spans="1:4">
      <c r="A258" s="47">
        <v>8342</v>
      </c>
      <c r="B258" s="48" t="s">
        <v>3463</v>
      </c>
      <c r="C258" s="56" t="s">
        <v>3464</v>
      </c>
      <c r="D258" s="8"/>
    </row>
    <row r="259" spans="1:4">
      <c r="A259" s="47">
        <v>8342</v>
      </c>
      <c r="B259" s="49"/>
      <c r="C259" s="56" t="s">
        <v>3465</v>
      </c>
      <c r="D259" s="8"/>
    </row>
    <row r="260" ht="16" spans="1:4">
      <c r="A260" s="47">
        <v>8342</v>
      </c>
      <c r="B260" s="49"/>
      <c r="C260" s="56" t="s">
        <v>3466</v>
      </c>
      <c r="D260" s="8"/>
    </row>
    <row r="261" ht="16" spans="1:4">
      <c r="A261" s="47">
        <v>8342</v>
      </c>
      <c r="B261" s="49"/>
      <c r="C261" s="56" t="s">
        <v>3467</v>
      </c>
      <c r="D261" s="8"/>
    </row>
    <row r="262" ht="16" spans="1:4">
      <c r="A262" s="47">
        <v>8342</v>
      </c>
      <c r="B262" s="51"/>
      <c r="C262" s="56" t="s">
        <v>3468</v>
      </c>
      <c r="D262" s="8"/>
    </row>
    <row r="263" spans="1:4">
      <c r="A263" s="47">
        <v>8343</v>
      </c>
      <c r="B263" s="48" t="s">
        <v>3469</v>
      </c>
      <c r="C263" s="56" t="s">
        <v>3470</v>
      </c>
      <c r="D263" s="8"/>
    </row>
    <row r="264" ht="16" spans="1:4">
      <c r="A264" s="47">
        <v>8343</v>
      </c>
      <c r="B264" s="51"/>
      <c r="C264" s="56" t="s">
        <v>3471</v>
      </c>
      <c r="D264" s="8"/>
    </row>
    <row r="265" spans="1:4">
      <c r="A265" s="47">
        <v>8344</v>
      </c>
      <c r="B265" s="45" t="s">
        <v>3472</v>
      </c>
      <c r="C265" s="45" t="s">
        <v>663</v>
      </c>
      <c r="D265" s="8"/>
    </row>
    <row r="266" spans="1:4">
      <c r="A266" s="47">
        <v>8345</v>
      </c>
      <c r="B266" s="45" t="s">
        <v>3473</v>
      </c>
      <c r="C266" s="45" t="s">
        <v>664</v>
      </c>
      <c r="D266" s="8"/>
    </row>
    <row r="267" spans="1:4">
      <c r="A267" s="47">
        <v>8346</v>
      </c>
      <c r="B267" s="45" t="s">
        <v>3474</v>
      </c>
      <c r="C267" s="45"/>
      <c r="D267" s="8"/>
    </row>
    <row r="268" spans="1:4">
      <c r="A268" s="47">
        <v>8347</v>
      </c>
      <c r="B268" s="45" t="s">
        <v>3475</v>
      </c>
      <c r="C268" s="45"/>
      <c r="D268" s="8"/>
    </row>
    <row r="269" spans="1:4">
      <c r="A269" s="47">
        <v>8348</v>
      </c>
      <c r="B269" s="45" t="s">
        <v>3476</v>
      </c>
      <c r="C269" s="45"/>
      <c r="D269" s="8"/>
    </row>
    <row r="270" spans="1:4">
      <c r="A270" s="47">
        <v>8349</v>
      </c>
      <c r="B270" s="45" t="s">
        <v>3477</v>
      </c>
      <c r="C270" s="45"/>
      <c r="D270" s="8"/>
    </row>
    <row r="271" spans="1:4">
      <c r="A271" s="47">
        <v>8352</v>
      </c>
      <c r="B271" s="48" t="s">
        <v>3478</v>
      </c>
      <c r="C271" s="45" t="s">
        <v>3479</v>
      </c>
      <c r="D271" s="8"/>
    </row>
    <row r="272" spans="1:4">
      <c r="A272" s="47">
        <v>8352</v>
      </c>
      <c r="B272" s="49"/>
      <c r="C272" s="45" t="s">
        <v>3480</v>
      </c>
      <c r="D272" s="8"/>
    </row>
    <row r="273" spans="1:4">
      <c r="A273" s="47">
        <v>8352</v>
      </c>
      <c r="B273" s="49"/>
      <c r="C273" s="45" t="s">
        <v>3481</v>
      </c>
      <c r="D273" s="8"/>
    </row>
    <row r="274" spans="1:4">
      <c r="A274" s="47">
        <v>8352</v>
      </c>
      <c r="B274" s="49"/>
      <c r="C274" s="45" t="s">
        <v>3482</v>
      </c>
      <c r="D274" s="8"/>
    </row>
    <row r="275" spans="1:4">
      <c r="A275" s="47">
        <v>8352</v>
      </c>
      <c r="B275" s="49"/>
      <c r="C275" s="45" t="s">
        <v>3483</v>
      </c>
      <c r="D275" s="8"/>
    </row>
    <row r="276" spans="1:4">
      <c r="A276" s="47">
        <v>8352</v>
      </c>
      <c r="B276" s="49"/>
      <c r="C276" s="45" t="s">
        <v>3484</v>
      </c>
      <c r="D276" s="8"/>
    </row>
    <row r="277" spans="1:4">
      <c r="A277" s="47">
        <v>8352</v>
      </c>
      <c r="B277" s="49"/>
      <c r="C277" s="45" t="s">
        <v>3485</v>
      </c>
      <c r="D277" s="8"/>
    </row>
    <row r="278" spans="1:4">
      <c r="A278" s="47">
        <v>8352</v>
      </c>
      <c r="B278" s="49"/>
      <c r="C278" s="45" t="s">
        <v>3486</v>
      </c>
      <c r="D278" s="8"/>
    </row>
    <row r="279" spans="1:4">
      <c r="A279" s="47">
        <v>8352</v>
      </c>
      <c r="B279" s="49"/>
      <c r="C279" s="45" t="s">
        <v>3487</v>
      </c>
      <c r="D279" s="8"/>
    </row>
    <row r="280" spans="1:4">
      <c r="A280" s="47">
        <v>8352</v>
      </c>
      <c r="B280" s="49"/>
      <c r="C280" s="45" t="s">
        <v>3488</v>
      </c>
      <c r="D280" s="8"/>
    </row>
    <row r="281" spans="1:4">
      <c r="A281" s="47">
        <v>8352</v>
      </c>
      <c r="B281" s="49"/>
      <c r="C281" s="45" t="s">
        <v>3489</v>
      </c>
      <c r="D281" s="8"/>
    </row>
    <row r="282" spans="1:4">
      <c r="A282" s="47">
        <v>8352</v>
      </c>
      <c r="B282" s="49"/>
      <c r="C282" s="45" t="s">
        <v>3490</v>
      </c>
      <c r="D282" s="8"/>
    </row>
    <row r="283" spans="1:4">
      <c r="A283" s="47">
        <v>8352</v>
      </c>
      <c r="B283" s="49"/>
      <c r="C283" s="45" t="s">
        <v>3491</v>
      </c>
      <c r="D283" s="8"/>
    </row>
    <row r="284" spans="1:4">
      <c r="A284" s="47">
        <v>8352</v>
      </c>
      <c r="B284" s="49"/>
      <c r="C284" s="45" t="s">
        <v>3492</v>
      </c>
      <c r="D284" s="8"/>
    </row>
    <row r="285" spans="1:4">
      <c r="A285" s="47">
        <v>8352</v>
      </c>
      <c r="B285" s="49"/>
      <c r="C285" s="45" t="s">
        <v>3493</v>
      </c>
      <c r="D285" s="8"/>
    </row>
    <row r="286" spans="1:4">
      <c r="A286" s="47">
        <v>8352</v>
      </c>
      <c r="B286" s="49"/>
      <c r="C286" s="45" t="s">
        <v>3494</v>
      </c>
      <c r="D286" s="8"/>
    </row>
    <row r="287" spans="1:4">
      <c r="A287" s="47">
        <v>8352</v>
      </c>
      <c r="B287" s="49"/>
      <c r="C287" s="45" t="s">
        <v>3495</v>
      </c>
      <c r="D287" s="8"/>
    </row>
    <row r="288" spans="1:4">
      <c r="A288" s="47">
        <v>8352</v>
      </c>
      <c r="B288" s="49"/>
      <c r="C288" s="45" t="s">
        <v>3496</v>
      </c>
      <c r="D288" s="8"/>
    </row>
    <row r="289" spans="1:4">
      <c r="A289" s="47">
        <v>8352</v>
      </c>
      <c r="B289" s="49"/>
      <c r="C289" s="45" t="s">
        <v>3497</v>
      </c>
      <c r="D289" s="8"/>
    </row>
    <row r="290" spans="1:4">
      <c r="A290" s="47">
        <v>8352</v>
      </c>
      <c r="B290" s="49"/>
      <c r="C290" s="45" t="s">
        <v>3498</v>
      </c>
      <c r="D290" s="8"/>
    </row>
    <row r="291" spans="1:4">
      <c r="A291" s="47">
        <v>8352</v>
      </c>
      <c r="B291" s="49"/>
      <c r="C291" s="45" t="s">
        <v>3499</v>
      </c>
      <c r="D291" s="8"/>
    </row>
    <row r="292" spans="1:4">
      <c r="A292" s="47">
        <v>8352</v>
      </c>
      <c r="B292" s="49"/>
      <c r="C292" s="45" t="s">
        <v>3500</v>
      </c>
      <c r="D292" s="8"/>
    </row>
    <row r="293" spans="1:4">
      <c r="A293" s="47">
        <v>8352</v>
      </c>
      <c r="B293" s="49"/>
      <c r="C293" s="45" t="s">
        <v>3501</v>
      </c>
      <c r="D293" s="8"/>
    </row>
    <row r="294" spans="1:4">
      <c r="A294" s="47">
        <v>8352</v>
      </c>
      <c r="B294" s="49"/>
      <c r="C294" s="45" t="s">
        <v>3502</v>
      </c>
      <c r="D294" s="8"/>
    </row>
    <row r="295" spans="1:4">
      <c r="A295" s="47">
        <v>8352</v>
      </c>
      <c r="B295" s="49"/>
      <c r="C295" s="45" t="s">
        <v>3503</v>
      </c>
      <c r="D295" s="8"/>
    </row>
    <row r="296" spans="1:4">
      <c r="A296" s="47">
        <v>8352</v>
      </c>
      <c r="B296" s="49"/>
      <c r="C296" s="45" t="s">
        <v>3504</v>
      </c>
      <c r="D296" s="8"/>
    </row>
    <row r="297" spans="1:4">
      <c r="A297" s="47">
        <v>8352</v>
      </c>
      <c r="B297" s="51"/>
      <c r="C297" s="45" t="s">
        <v>3505</v>
      </c>
      <c r="D297" s="8"/>
    </row>
    <row r="298" spans="1:4">
      <c r="A298" s="47">
        <v>8353</v>
      </c>
      <c r="B298" s="48" t="s">
        <v>3506</v>
      </c>
      <c r="C298" s="56" t="s">
        <v>3507</v>
      </c>
      <c r="D298" s="8"/>
    </row>
    <row r="299" spans="1:4">
      <c r="A299" s="47">
        <v>8353</v>
      </c>
      <c r="B299" s="51"/>
      <c r="C299" s="56" t="s">
        <v>3508</v>
      </c>
      <c r="D299" s="8"/>
    </row>
    <row r="300" ht="16.8" spans="1:4">
      <c r="A300" s="47">
        <v>8354</v>
      </c>
      <c r="B300" s="45" t="s">
        <v>3509</v>
      </c>
      <c r="C300" s="7" t="s">
        <v>3510</v>
      </c>
      <c r="D300" s="8"/>
    </row>
    <row r="301" ht="16.8" spans="1:4">
      <c r="A301" s="47">
        <v>8354</v>
      </c>
      <c r="B301" s="45"/>
      <c r="C301" s="7" t="s">
        <v>3511</v>
      </c>
      <c r="D301" s="8"/>
    </row>
    <row r="302" ht="16.8" spans="1:4">
      <c r="A302" s="47">
        <v>8355</v>
      </c>
      <c r="B302" s="45" t="s">
        <v>3512</v>
      </c>
      <c r="C302" s="7" t="s">
        <v>672</v>
      </c>
      <c r="D302" s="8"/>
    </row>
    <row r="303" spans="1:4">
      <c r="A303" s="47">
        <v>8357</v>
      </c>
      <c r="B303" s="45" t="s">
        <v>3513</v>
      </c>
      <c r="C303" s="57" t="s">
        <v>673</v>
      </c>
      <c r="D303" s="8"/>
    </row>
    <row r="304" spans="1:4">
      <c r="A304" s="46">
        <v>8361</v>
      </c>
      <c r="B304" s="45" t="s">
        <v>333</v>
      </c>
      <c r="C304" s="45"/>
      <c r="D304" s="8"/>
    </row>
    <row r="305" spans="1:4">
      <c r="A305" s="46">
        <v>8362</v>
      </c>
      <c r="B305" s="45" t="s">
        <v>3514</v>
      </c>
      <c r="C305" s="45"/>
      <c r="D305" s="8"/>
    </row>
    <row r="306" spans="1:4">
      <c r="A306" s="46">
        <v>8391</v>
      </c>
      <c r="B306" s="45" t="s">
        <v>336</v>
      </c>
      <c r="C306" s="45"/>
      <c r="D306" s="8"/>
    </row>
    <row r="307" spans="1:4">
      <c r="A307" s="46">
        <v>8392</v>
      </c>
      <c r="B307" s="45" t="s">
        <v>3515</v>
      </c>
      <c r="C307" s="45"/>
      <c r="D307" s="8"/>
    </row>
    <row r="308" spans="1:4">
      <c r="A308" s="46">
        <v>8393</v>
      </c>
      <c r="B308" s="45" t="s">
        <v>3516</v>
      </c>
      <c r="C308" s="45"/>
      <c r="D308" s="8"/>
    </row>
    <row r="309" spans="1:4">
      <c r="A309" s="46">
        <v>8394</v>
      </c>
      <c r="B309" s="45" t="s">
        <v>3517</v>
      </c>
      <c r="C309" s="45"/>
      <c r="D309" s="8"/>
    </row>
    <row r="310" spans="1:4">
      <c r="A310" s="46">
        <v>8329</v>
      </c>
      <c r="B310" s="45" t="s">
        <v>344</v>
      </c>
      <c r="C310" s="56" t="s">
        <v>680</v>
      </c>
      <c r="D310" s="8"/>
    </row>
    <row r="311" spans="1:4">
      <c r="A311" s="46">
        <v>8330</v>
      </c>
      <c r="B311" s="48" t="s">
        <v>348</v>
      </c>
      <c r="C311" s="56" t="s">
        <v>3518</v>
      </c>
      <c r="D311" s="8"/>
    </row>
    <row r="312" spans="1:4">
      <c r="A312" s="46">
        <v>8330</v>
      </c>
      <c r="B312" s="51"/>
      <c r="C312" s="57" t="s">
        <v>3519</v>
      </c>
      <c r="D312" s="8"/>
    </row>
    <row r="313" spans="1:4">
      <c r="A313" s="46">
        <v>8440</v>
      </c>
      <c r="B313" s="45" t="s">
        <v>368</v>
      </c>
      <c r="C313" s="45" t="s">
        <v>682</v>
      </c>
      <c r="D313" s="8"/>
    </row>
    <row r="314" spans="1:4">
      <c r="A314" s="46">
        <v>8437</v>
      </c>
      <c r="B314" s="48" t="s">
        <v>372</v>
      </c>
      <c r="C314" s="57" t="s">
        <v>683</v>
      </c>
      <c r="D314" s="8"/>
    </row>
    <row r="315" ht="16" spans="1:4">
      <c r="A315" s="46">
        <v>8437</v>
      </c>
      <c r="B315" s="51"/>
      <c r="C315" s="56" t="s">
        <v>3520</v>
      </c>
      <c r="D315" s="8"/>
    </row>
    <row r="316" spans="1:4">
      <c r="A316" s="46">
        <v>8441</v>
      </c>
      <c r="B316" s="45" t="s">
        <v>376</v>
      </c>
      <c r="C316" s="56" t="s">
        <v>684</v>
      </c>
      <c r="D316" s="8"/>
    </row>
    <row r="317" spans="1:4">
      <c r="A317" s="46">
        <v>8420</v>
      </c>
      <c r="B317" s="48" t="s">
        <v>384</v>
      </c>
      <c r="C317" s="56" t="s">
        <v>685</v>
      </c>
      <c r="D317" s="8"/>
    </row>
    <row r="318" spans="1:4">
      <c r="A318" s="46">
        <v>8420</v>
      </c>
      <c r="B318" s="51"/>
      <c r="C318" s="56" t="s">
        <v>3521</v>
      </c>
      <c r="D318" s="8"/>
    </row>
    <row r="319" ht="16" spans="1:4">
      <c r="A319" s="46">
        <v>8450</v>
      </c>
      <c r="B319" s="45" t="s">
        <v>388</v>
      </c>
      <c r="C319" s="56" t="s">
        <v>686</v>
      </c>
      <c r="D319" s="8"/>
    </row>
    <row r="320" ht="16.8" spans="1:4">
      <c r="A320" s="46">
        <v>8493</v>
      </c>
      <c r="B320" s="45" t="s">
        <v>3522</v>
      </c>
      <c r="C320" s="7" t="s">
        <v>687</v>
      </c>
      <c r="D320" s="8"/>
    </row>
    <row r="321" ht="16.8" spans="1:4">
      <c r="A321" s="46">
        <v>8494</v>
      </c>
      <c r="B321" s="45" t="s">
        <v>415</v>
      </c>
      <c r="C321" s="7" t="s">
        <v>688</v>
      </c>
      <c r="D321" s="8"/>
    </row>
    <row r="322" spans="1:4">
      <c r="A322" s="47">
        <v>2910</v>
      </c>
      <c r="B322" s="48" t="s">
        <v>3523</v>
      </c>
      <c r="C322" s="45" t="s">
        <v>3524</v>
      </c>
      <c r="D322" s="8"/>
    </row>
    <row r="323" spans="1:4">
      <c r="A323" s="47">
        <v>2910</v>
      </c>
      <c r="B323" s="49"/>
      <c r="C323" s="45" t="s">
        <v>3525</v>
      </c>
      <c r="D323" s="8"/>
    </row>
    <row r="324" spans="1:4">
      <c r="A324" s="47">
        <v>2910</v>
      </c>
      <c r="B324" s="49"/>
      <c r="C324" s="45" t="s">
        <v>3526</v>
      </c>
      <c r="D324" s="8"/>
    </row>
    <row r="325" spans="1:4">
      <c r="A325" s="47">
        <v>2910</v>
      </c>
      <c r="B325" s="49"/>
      <c r="C325" s="45" t="s">
        <v>3527</v>
      </c>
      <c r="D325" s="8"/>
    </row>
    <row r="326" spans="1:4">
      <c r="A326" s="47">
        <v>2910</v>
      </c>
      <c r="B326" s="49"/>
      <c r="C326" s="45" t="s">
        <v>3528</v>
      </c>
      <c r="D326" s="8"/>
    </row>
    <row r="327" spans="1:4">
      <c r="A327" s="47">
        <v>2910</v>
      </c>
      <c r="B327" s="49"/>
      <c r="C327" s="52" t="s">
        <v>3529</v>
      </c>
      <c r="D327" s="8"/>
    </row>
    <row r="328" spans="1:4">
      <c r="A328" s="47">
        <v>2910</v>
      </c>
      <c r="B328" s="49"/>
      <c r="C328" s="52" t="s">
        <v>3530</v>
      </c>
      <c r="D328" s="8"/>
    </row>
    <row r="329" spans="1:4">
      <c r="A329" s="47">
        <v>2910</v>
      </c>
      <c r="B329" s="49"/>
      <c r="C329" s="52" t="s">
        <v>3531</v>
      </c>
      <c r="D329" s="8"/>
    </row>
    <row r="330" spans="1:4">
      <c r="A330" s="47">
        <v>2910</v>
      </c>
      <c r="B330" s="49"/>
      <c r="C330" s="52" t="s">
        <v>3532</v>
      </c>
      <c r="D330" s="8"/>
    </row>
    <row r="331" spans="1:4">
      <c r="A331" s="47">
        <v>2910</v>
      </c>
      <c r="B331" s="49"/>
      <c r="C331" s="52" t="s">
        <v>3533</v>
      </c>
      <c r="D331" s="8"/>
    </row>
    <row r="332" spans="1:4">
      <c r="A332" s="47">
        <v>2910</v>
      </c>
      <c r="B332" s="49"/>
      <c r="C332" s="45" t="s">
        <v>3534</v>
      </c>
      <c r="D332" s="8"/>
    </row>
    <row r="333" spans="1:4">
      <c r="A333" s="47">
        <v>2910</v>
      </c>
      <c r="B333" s="51"/>
      <c r="C333" s="45" t="s">
        <v>3535</v>
      </c>
      <c r="D333" s="8"/>
    </row>
    <row r="334" spans="1:4">
      <c r="A334" s="47">
        <v>2920</v>
      </c>
      <c r="B334" s="48" t="s">
        <v>3536</v>
      </c>
      <c r="C334" s="45" t="s">
        <v>3537</v>
      </c>
      <c r="D334" s="8"/>
    </row>
    <row r="335" spans="1:4">
      <c r="A335" s="47">
        <v>2920</v>
      </c>
      <c r="B335" s="49"/>
      <c r="C335" s="45" t="s">
        <v>3538</v>
      </c>
      <c r="D335" s="8"/>
    </row>
    <row r="336" spans="1:4">
      <c r="A336" s="47">
        <v>2920</v>
      </c>
      <c r="B336" s="49"/>
      <c r="C336" s="45" t="s">
        <v>3539</v>
      </c>
      <c r="D336" s="8"/>
    </row>
    <row r="337" spans="1:4">
      <c r="A337" s="47">
        <v>2920</v>
      </c>
      <c r="B337" s="49"/>
      <c r="C337" s="45" t="s">
        <v>3540</v>
      </c>
      <c r="D337" s="8"/>
    </row>
    <row r="338" spans="1:4">
      <c r="A338" s="47">
        <v>2920</v>
      </c>
      <c r="B338" s="49"/>
      <c r="C338" s="45" t="s">
        <v>3541</v>
      </c>
      <c r="D338" s="8"/>
    </row>
    <row r="339" spans="1:4">
      <c r="A339" s="47">
        <v>2920</v>
      </c>
      <c r="B339" s="49"/>
      <c r="C339" s="52" t="s">
        <v>3542</v>
      </c>
      <c r="D339" s="8"/>
    </row>
    <row r="340" spans="1:4">
      <c r="A340" s="47">
        <v>2920</v>
      </c>
      <c r="B340" s="49"/>
      <c r="C340" s="52" t="s">
        <v>3543</v>
      </c>
      <c r="D340" s="8"/>
    </row>
    <row r="341" spans="1:4">
      <c r="A341" s="47">
        <v>2920</v>
      </c>
      <c r="B341" s="51"/>
      <c r="C341" s="52" t="s">
        <v>3544</v>
      </c>
      <c r="D341" s="8"/>
    </row>
    <row r="342" spans="1:4">
      <c r="A342" s="47" t="s">
        <v>3545</v>
      </c>
      <c r="B342" s="53" t="s">
        <v>3546</v>
      </c>
      <c r="C342" s="58" t="s">
        <v>3547</v>
      </c>
      <c r="D342" s="8"/>
    </row>
    <row r="343" spans="1:4">
      <c r="A343" s="47" t="s">
        <v>3545</v>
      </c>
      <c r="B343" s="54"/>
      <c r="C343" s="58" t="s">
        <v>3548</v>
      </c>
      <c r="D343" s="8"/>
    </row>
    <row r="344" spans="1:4">
      <c r="A344" s="47" t="s">
        <v>3545</v>
      </c>
      <c r="B344" s="55"/>
      <c r="C344" s="58" t="s">
        <v>3549</v>
      </c>
      <c r="D344" s="8"/>
    </row>
    <row r="345" spans="1:4">
      <c r="A345" s="47">
        <v>2930</v>
      </c>
      <c r="B345" s="45" t="s">
        <v>3550</v>
      </c>
      <c r="C345" s="45"/>
      <c r="D345" s="8"/>
    </row>
    <row r="346" spans="1:4">
      <c r="A346" s="47">
        <v>2940</v>
      </c>
      <c r="B346" s="45" t="s">
        <v>3551</v>
      </c>
      <c r="C346" s="45"/>
      <c r="D346" s="8"/>
    </row>
    <row r="347" spans="1:4">
      <c r="A347" s="47">
        <v>2950</v>
      </c>
      <c r="B347" s="45" t="s">
        <v>3552</v>
      </c>
      <c r="C347" s="45"/>
      <c r="D347" s="8"/>
    </row>
    <row r="348" spans="1:4">
      <c r="A348" s="47">
        <v>2992</v>
      </c>
      <c r="B348" s="45" t="s">
        <v>3553</v>
      </c>
      <c r="C348" s="45"/>
      <c r="D348" s="8"/>
    </row>
    <row r="349" spans="1:4">
      <c r="A349" s="47">
        <v>2993</v>
      </c>
      <c r="B349" s="45" t="s">
        <v>3554</v>
      </c>
      <c r="C349" s="45"/>
      <c r="D349" s="8"/>
    </row>
    <row r="350" spans="1:4">
      <c r="A350" s="47">
        <v>2994</v>
      </c>
      <c r="B350" s="45" t="s">
        <v>3555</v>
      </c>
      <c r="C350" s="45"/>
      <c r="D350" s="8"/>
    </row>
    <row r="351" spans="1:4">
      <c r="A351" s="47">
        <v>4992</v>
      </c>
      <c r="B351" s="45" t="s">
        <v>3556</v>
      </c>
      <c r="C351" s="45"/>
      <c r="D351" s="8"/>
    </row>
    <row r="352" spans="1:4">
      <c r="A352" s="47">
        <v>4993</v>
      </c>
      <c r="B352" s="45" t="s">
        <v>3557</v>
      </c>
      <c r="C352" s="45"/>
      <c r="D352" s="8"/>
    </row>
    <row r="353" spans="1:4">
      <c r="A353" s="47">
        <v>4994</v>
      </c>
      <c r="B353" s="45" t="s">
        <v>3558</v>
      </c>
      <c r="C353" s="45"/>
      <c r="D353" s="8"/>
    </row>
    <row r="354" spans="1:4">
      <c r="A354" s="5">
        <v>6002</v>
      </c>
      <c r="B354" s="6" t="s">
        <v>32</v>
      </c>
      <c r="C354" s="59"/>
      <c r="D354" s="8"/>
    </row>
  </sheetData>
  <sheetProtection password="BFEE" sheet="1"/>
  <mergeCells count="40">
    <mergeCell ref="B36:B37"/>
    <mergeCell ref="B45:B46"/>
    <mergeCell ref="B49:B53"/>
    <mergeCell ref="B55:B56"/>
    <mergeCell ref="B57:B58"/>
    <mergeCell ref="B61:B67"/>
    <mergeCell ref="B68:B73"/>
    <mergeCell ref="B76:B79"/>
    <mergeCell ref="B82:B84"/>
    <mergeCell ref="B91:B97"/>
    <mergeCell ref="B111:B112"/>
    <mergeCell ref="B113:B118"/>
    <mergeCell ref="B119:B124"/>
    <mergeCell ref="B147:B157"/>
    <mergeCell ref="B158:B161"/>
    <mergeCell ref="B162:B167"/>
    <mergeCell ref="B168:B169"/>
    <mergeCell ref="B182:B189"/>
    <mergeCell ref="B191:B192"/>
    <mergeCell ref="B195:B205"/>
    <mergeCell ref="B206:B215"/>
    <mergeCell ref="B216:B220"/>
    <mergeCell ref="B221:B222"/>
    <mergeCell ref="B223:B226"/>
    <mergeCell ref="B233:B237"/>
    <mergeCell ref="B240:B241"/>
    <mergeCell ref="B243:B246"/>
    <mergeCell ref="B247:B248"/>
    <mergeCell ref="B249:B251"/>
    <mergeCell ref="B254:B255"/>
    <mergeCell ref="B258:B262"/>
    <mergeCell ref="B263:B264"/>
    <mergeCell ref="B271:B297"/>
    <mergeCell ref="B298:B299"/>
    <mergeCell ref="B311:B312"/>
    <mergeCell ref="B314:B315"/>
    <mergeCell ref="B317:B318"/>
    <mergeCell ref="B322:B333"/>
    <mergeCell ref="B334:B341"/>
    <mergeCell ref="B342:B344"/>
  </mergeCells>
  <pageMargins left="0.75" right="0.75" top="1" bottom="1" header="0.5" footer="0.5"/>
  <pageSetup paperSize="9" orientation="portrait"/>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 master="" otherUserPermission="visible"/>
  <rangeList sheetStid="9" master="" otherUserPermission="visible"/>
  <rangeList sheetStid="6" master="" otherUserPermission="visible"/>
  <rangeList sheetStid="11" master="" otherUserPermission="visible"/>
  <rangeList sheetStid="8" master="" otherUserPermission="visible"/>
  <rangeList sheetStid="1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FA</vt:lpstr>
      <vt:lpstr>资产分摊表</vt:lpstr>
      <vt:lpstr>预算书-初步</vt:lpstr>
      <vt:lpstr>预算书-找差异</vt:lpstr>
      <vt:lpstr>其他</vt:lpstr>
      <vt:lpstr>描述信息参考页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Vinda Yinghui (CN - Shanghai)</dc:creator>
  <cp:lastModifiedBy>Stephen Chan</cp:lastModifiedBy>
  <dcterms:created xsi:type="dcterms:W3CDTF">2006-09-14T11:21:00Z</dcterms:created>
  <dcterms:modified xsi:type="dcterms:W3CDTF">2025-12-09T17:18:25Z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1033-12.1.23540.23540</vt:lpwstr>
  </property>
  <property fmtid="{D5CDD505-2E9C-101B-9397-08002B2CF9AE}" pid="3" name="ICV">
    <vt:lpwstr>B33D56A0BEE34E589F790DBA483B4C46</vt:lpwstr>
  </property>
  <property fmtid="{D5CDD505-2E9C-101B-9397-08002B2CF9AE}" pid="4" name="KSOReadingLayout">
    <vt:bool>true</vt:bool>
  </property>
</Properties>
</file>